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IECS\"/>
    </mc:Choice>
  </mc:AlternateContent>
  <xr:revisionPtr revIDLastSave="0" documentId="13_ncr:1_{28A866A1-BF4C-4225-A588-3FD9E547D3B9}" xr6:coauthVersionLast="47" xr6:coauthVersionMax="47" xr10:uidLastSave="{00000000-0000-0000-0000-000000000000}"/>
  <bookViews>
    <workbookView xWindow="-120" yWindow="-120" windowWidth="29040" windowHeight="15840" tabRatio="913" activeTab="11" xr2:uid="{00000000-000D-0000-FFFF-FFFF00000000}"/>
  </bookViews>
  <sheets>
    <sheet name="Hoja1" sheetId="24" r:id="rId1"/>
    <sheet name="Hoja 7" sheetId="13" r:id="rId2"/>
    <sheet name="TRATAMIENTO" sheetId="23" r:id="rId3"/>
    <sheet name="UTILIDADES" sheetId="29" r:id="rId4"/>
    <sheet name="SIN_TTO" sheetId="30" r:id="rId5"/>
    <sheet name="inputs" sheetId="1" r:id="rId6"/>
    <sheet name="prob" sheetId="11" r:id="rId7"/>
    <sheet name="Inputs_Default" sheetId="17" r:id="rId8"/>
    <sheet name="SIMULACION" sheetId="5" r:id="rId9"/>
    <sheet name="ObservadoEsperado" sheetId="26" r:id="rId10"/>
    <sheet name="CEA BRASIL" sheetId="28" r:id="rId11"/>
    <sheet name="CEA CHILE" sheetId="31" r:id="rId12"/>
    <sheet name="CON_TRATAMIENTO" sheetId="22" r:id="rId13"/>
    <sheet name="SIN_TRATAMIENTO" sheetId="18" r:id="rId14"/>
    <sheet name="Hoja1 (2)" sheetId="20" r:id="rId15"/>
    <sheet name="bindia" sheetId="8" r:id="rId16"/>
    <sheet name="Colombia" sheetId="27" r:id="rId17"/>
    <sheet name="brazil" sheetId="25" r:id="rId18"/>
    <sheet name="india" sheetId="9" r:id="rId19"/>
    <sheet name="COMPARACION_INDIA" sheetId="2" r:id="rId20"/>
    <sheet name="COMPARACION_BRAZIL" sheetId="21" r:id="rId21"/>
    <sheet name="COMPARACION_BRAZILx" sheetId="16" r:id="rId22"/>
    <sheet name="glosario" sheetId="12" r:id="rId23"/>
    <sheet name="Hoja 10" sheetId="14" r:id="rId24"/>
  </sheets>
  <functionGroups builtInGroupCount="19"/>
  <definedNames>
    <definedName name="_pG1">inputs!$B$10</definedName>
    <definedName name="_pG2">inputs!$B$11</definedName>
    <definedName name="_pG3">inputs!$B$12</definedName>
    <definedName name="_pGO">inputs!$B$13</definedName>
    <definedName name="cohorte">#REF!</definedName>
    <definedName name="Costo_Diagnostico">inputs!$B$18</definedName>
    <definedName name="Costo_Evaluacion">inputs!$B$19</definedName>
    <definedName name="Costo_Tratamiento">inputs!$B$17</definedName>
    <definedName name="DISCONTINUACION_F0F3_G1">TRATAMIENTO!$C$14</definedName>
    <definedName name="DISCONTINUACION_F0F3_G2">TRATAMIENTO!$E$14</definedName>
    <definedName name="DISCONTINUACION_F0F3_G3">TRATAMIENTO!$G$14</definedName>
    <definedName name="DISCONTINUACION_F0F3_GO">TRATAMIENTO!$I$14</definedName>
    <definedName name="DISCONTINUACION_F4_G1">TRATAMIENTO!$D$14</definedName>
    <definedName name="DISCONTINUACION_F4_G2">TRATAMIENTO!$F$14</definedName>
    <definedName name="DISCONTINUACION_F4_G3">TRATAMIENTO!$H$14</definedName>
    <definedName name="DISCONTINUACION_F4_GO">TRATAMIENTO!$J$14</definedName>
    <definedName name="DURACION_F0F3_G1">TRATAMIENTO!$C$13</definedName>
    <definedName name="DURACION_F0F3_G2">TRATAMIENTO!$E$13</definedName>
    <definedName name="DURACION_F0F3_G3">TRATAMIENTO!$G$13</definedName>
    <definedName name="DURACION_F0F3_GO">TRATAMIENTO!$I$13</definedName>
    <definedName name="DURACION_F4_G1">TRATAMIENTO!$D$13</definedName>
    <definedName name="DURACION_F4_G2">TRATAMIENTO!$F$13</definedName>
    <definedName name="DURACION_F4_G3">TRATAMIENTO!$H$13</definedName>
    <definedName name="DURACION_F4_GO">TRATAMIENTO!$J$13</definedName>
    <definedName name="iCostoDC">inputs!$B$24</definedName>
    <definedName name="iCostoF0F2">inputs!$B$21</definedName>
    <definedName name="iCostoF3">inputs!$B$22</definedName>
    <definedName name="iCostoF4">inputs!$B$23</definedName>
    <definedName name="iCostoHCC">inputs!$B$25</definedName>
    <definedName name="iCostoSVRF0F2">inputs!$B$27</definedName>
    <definedName name="iCostoSVRF3">inputs!$B$28</definedName>
    <definedName name="iCostoSVRF4">inputs!$B$29</definedName>
    <definedName name="inputCiclosPorAño">inputs!$E$3</definedName>
    <definedName name="inputCohorte">inputs!$E$4</definedName>
    <definedName name="inputDescuento">inputs!$E$5</definedName>
    <definedName name="inputEdad">inputs!$B$3</definedName>
    <definedName name="inputPais">inputs!$B$4</definedName>
    <definedName name="iQalyDC">prob!$F$23</definedName>
    <definedName name="iQalyF0">prob!$F$17</definedName>
    <definedName name="iQalyF1">prob!$F$18</definedName>
    <definedName name="iQalyF2">prob!$F$19</definedName>
    <definedName name="iQalyF3">prob!$F$20</definedName>
    <definedName name="iQalyF4">prob!$F$21</definedName>
    <definedName name="iQalyHCC">prob!$F$22</definedName>
    <definedName name="iQalySVR">prob!$F$25</definedName>
    <definedName name="iQalySVRF4">prob!$F$26</definedName>
    <definedName name="p_DC_HCC">prob!$D$9</definedName>
    <definedName name="p_DC_LDR">prob!$D$10</definedName>
    <definedName name="p_DC1_HCC">prob!$D$11</definedName>
    <definedName name="p_DC1_LDR">prob!$D$12</definedName>
    <definedName name="p_F0_F1">prob!$D$2</definedName>
    <definedName name="p_F1_F2">prob!$D$3</definedName>
    <definedName name="p_F2_F3">prob!$D$4</definedName>
    <definedName name="p_F3_F4">prob!$D$5</definedName>
    <definedName name="p_F4_DC">prob!$D$6</definedName>
    <definedName name="p_F4_HCC">prob!$D$7</definedName>
    <definedName name="p_HCC_LDR">prob!$D$13</definedName>
    <definedName name="p_SVRF4_DC">prob!$D$15</definedName>
    <definedName name="p_SVRF4_HCC">prob!$D$14</definedName>
    <definedName name="prevCC">inputs!$B$9</definedName>
    <definedName name="prevF0">inputs!$B$5</definedName>
    <definedName name="prevF1">inputs!$B$6</definedName>
    <definedName name="prevF2">inputs!$B$7</definedName>
    <definedName name="prevF3">inputs!$B$8</definedName>
    <definedName name="pSVR_F0F3_G1">TRATAMIENTO!$C$12</definedName>
    <definedName name="pSVR_F0F3_G2">TRATAMIENTO!$E$12</definedName>
    <definedName name="pSVR_F0F3_G3">TRATAMIENTO!$G$12</definedName>
    <definedName name="pSVR_F0F3_GO">TRATAMIENTO!$I$12</definedName>
    <definedName name="pSVR_F4_G1">TRATAMIENTO!$D$12</definedName>
    <definedName name="pSVR_F4_G2">TRATAMIENTO!$F$12</definedName>
    <definedName name="pSVR_F4_G3">TRATAMIENTO!$H$12</definedName>
    <definedName name="pSVR_F4_GO">TRATAMIENTO!$J$12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7" i="31" l="1"/>
  <c r="G56" i="31"/>
  <c r="Q66" i="31"/>
  <c r="O67" i="31"/>
  <c r="Q67" i="31" s="1"/>
  <c r="O66" i="31"/>
  <c r="AN2" i="26" a="1"/>
  <c r="AN2" i="26" s="1"/>
  <c r="AO1" i="26"/>
  <c r="AN1" i="26"/>
  <c r="C77" i="20"/>
  <c r="D77" i="20"/>
  <c r="E77" i="20"/>
  <c r="F77" i="20"/>
  <c r="G77" i="20"/>
  <c r="H77" i="20"/>
  <c r="I77" i="20"/>
  <c r="J77" i="20"/>
  <c r="K77" i="20"/>
  <c r="L77" i="20"/>
  <c r="M77" i="20"/>
  <c r="N77" i="20"/>
  <c r="O77" i="20"/>
  <c r="P77" i="20"/>
  <c r="Q77" i="20"/>
  <c r="R77" i="20"/>
  <c r="S77" i="20"/>
  <c r="T77" i="20"/>
  <c r="B77" i="20"/>
  <c r="A77" i="20"/>
  <c r="AD90" i="26"/>
  <c r="AE90" i="26" s="1"/>
  <c r="AA90" i="26"/>
  <c r="AB90" i="26" s="1"/>
  <c r="X90" i="26"/>
  <c r="Y90" i="26" s="1"/>
  <c r="U90" i="26"/>
  <c r="V90" i="26" s="1"/>
  <c r="R90" i="26"/>
  <c r="S90" i="26" s="1"/>
  <c r="O90" i="26"/>
  <c r="P90" i="26" s="1"/>
  <c r="L90" i="26"/>
  <c r="M90" i="26" s="1"/>
  <c r="I90" i="26"/>
  <c r="J90" i="26" s="1"/>
  <c r="F90" i="26"/>
  <c r="G90" i="26" s="1"/>
  <c r="C90" i="26"/>
  <c r="D90" i="26" s="1"/>
  <c r="AE89" i="26"/>
  <c r="AB89" i="26"/>
  <c r="Y89" i="26"/>
  <c r="V89" i="26"/>
  <c r="S89" i="26"/>
  <c r="P89" i="26"/>
  <c r="M89" i="26"/>
  <c r="J89" i="26"/>
  <c r="G89" i="26"/>
  <c r="D89" i="26"/>
  <c r="AE88" i="26"/>
  <c r="AB88" i="26"/>
  <c r="Y88" i="26"/>
  <c r="V88" i="26"/>
  <c r="S88" i="26"/>
  <c r="P88" i="26"/>
  <c r="M88" i="26"/>
  <c r="J88" i="26"/>
  <c r="G88" i="26"/>
  <c r="D88" i="26"/>
  <c r="AE87" i="26"/>
  <c r="AB87" i="26"/>
  <c r="Y87" i="26"/>
  <c r="V87" i="26"/>
  <c r="S87" i="26"/>
  <c r="P87" i="26"/>
  <c r="M87" i="26"/>
  <c r="J87" i="26"/>
  <c r="G87" i="26"/>
  <c r="D87" i="26"/>
  <c r="AE86" i="26"/>
  <c r="AB86" i="26"/>
  <c r="Y86" i="26"/>
  <c r="V86" i="26"/>
  <c r="S86" i="26"/>
  <c r="P86" i="26"/>
  <c r="M86" i="26"/>
  <c r="J86" i="26"/>
  <c r="G86" i="26"/>
  <c r="D86" i="26"/>
  <c r="AE85" i="26"/>
  <c r="AB85" i="26"/>
  <c r="Y85" i="26"/>
  <c r="V85" i="26"/>
  <c r="S85" i="26"/>
  <c r="P85" i="26"/>
  <c r="M85" i="26"/>
  <c r="J85" i="26"/>
  <c r="G85" i="26"/>
  <c r="D85" i="26"/>
  <c r="AE84" i="26"/>
  <c r="AB84" i="26"/>
  <c r="Y84" i="26"/>
  <c r="V84" i="26"/>
  <c r="S84" i="26"/>
  <c r="P84" i="26"/>
  <c r="M84" i="26"/>
  <c r="J84" i="26"/>
  <c r="G84" i="26"/>
  <c r="D84" i="26"/>
  <c r="AE83" i="26"/>
  <c r="AB83" i="26"/>
  <c r="Y83" i="26"/>
  <c r="V83" i="26"/>
  <c r="S83" i="26"/>
  <c r="P83" i="26"/>
  <c r="M83" i="26"/>
  <c r="J83" i="26"/>
  <c r="G83" i="26"/>
  <c r="D83" i="26"/>
  <c r="AE82" i="26"/>
  <c r="AB82" i="26"/>
  <c r="Y82" i="26"/>
  <c r="V82" i="26"/>
  <c r="S82" i="26"/>
  <c r="P82" i="26"/>
  <c r="M82" i="26"/>
  <c r="J82" i="26"/>
  <c r="G82" i="26"/>
  <c r="D82" i="26"/>
  <c r="AE81" i="26"/>
  <c r="AB81" i="26"/>
  <c r="Y81" i="26"/>
  <c r="V81" i="26"/>
  <c r="S81" i="26"/>
  <c r="P81" i="26"/>
  <c r="M81" i="26"/>
  <c r="J81" i="26"/>
  <c r="G81" i="26"/>
  <c r="D81" i="26"/>
  <c r="AE80" i="26"/>
  <c r="AB80" i="26"/>
  <c r="Y80" i="26"/>
  <c r="V80" i="26"/>
  <c r="S80" i="26"/>
  <c r="P80" i="26"/>
  <c r="M80" i="26"/>
  <c r="J80" i="26"/>
  <c r="G80" i="26"/>
  <c r="D80" i="26"/>
  <c r="AE79" i="26"/>
  <c r="AB79" i="26"/>
  <c r="Y79" i="26"/>
  <c r="V79" i="26"/>
  <c r="S79" i="26"/>
  <c r="P79" i="26"/>
  <c r="M79" i="26"/>
  <c r="J79" i="26"/>
  <c r="G79" i="26"/>
  <c r="D79" i="26"/>
  <c r="AE78" i="26"/>
  <c r="AB78" i="26"/>
  <c r="Y78" i="26"/>
  <c r="V78" i="26"/>
  <c r="S78" i="26"/>
  <c r="P78" i="26"/>
  <c r="M78" i="26"/>
  <c r="J78" i="26"/>
  <c r="G78" i="26"/>
  <c r="D78" i="26"/>
  <c r="S47" i="28"/>
  <c r="S46" i="28"/>
  <c r="S48" i="28"/>
  <c r="S49" i="28"/>
  <c r="S45" i="28"/>
  <c r="R51" i="28"/>
  <c r="S51" i="28" s="1"/>
  <c r="R50" i="28"/>
  <c r="S50" i="28" s="1"/>
  <c r="Q51" i="28"/>
  <c r="P51" i="28"/>
  <c r="Q50" i="28"/>
  <c r="P50" i="28"/>
  <c r="C75" i="28"/>
  <c r="T75" i="20" l="1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A75" i="20"/>
  <c r="B75" i="20"/>
  <c r="AD20" i="26"/>
  <c r="AA20" i="26"/>
  <c r="X20" i="26"/>
  <c r="U20" i="26"/>
  <c r="R20" i="26"/>
  <c r="O20" i="26"/>
  <c r="L20" i="26"/>
  <c r="I20" i="26"/>
  <c r="F20" i="26"/>
  <c r="C20" i="26"/>
  <c r="AD73" i="26"/>
  <c r="AE73" i="26" s="1"/>
  <c r="AA73" i="26"/>
  <c r="AB73" i="26" s="1"/>
  <c r="X73" i="26"/>
  <c r="Y73" i="26" s="1"/>
  <c r="U73" i="26"/>
  <c r="V73" i="26" s="1"/>
  <c r="R73" i="26"/>
  <c r="S73" i="26" s="1"/>
  <c r="O73" i="26"/>
  <c r="P73" i="26" s="1"/>
  <c r="L73" i="26"/>
  <c r="M73" i="26" s="1"/>
  <c r="I73" i="26"/>
  <c r="J73" i="26" s="1"/>
  <c r="F73" i="26"/>
  <c r="G73" i="26" s="1"/>
  <c r="C73" i="26"/>
  <c r="D73" i="26" s="1"/>
  <c r="AE72" i="26"/>
  <c r="AB72" i="26"/>
  <c r="Y72" i="26"/>
  <c r="V72" i="26"/>
  <c r="S72" i="26"/>
  <c r="P72" i="26"/>
  <c r="M72" i="26"/>
  <c r="J72" i="26"/>
  <c r="G72" i="26"/>
  <c r="D72" i="26"/>
  <c r="AE71" i="26"/>
  <c r="AB71" i="26"/>
  <c r="Y71" i="26"/>
  <c r="V71" i="26"/>
  <c r="S71" i="26"/>
  <c r="P71" i="26"/>
  <c r="M71" i="26"/>
  <c r="J71" i="26"/>
  <c r="G71" i="26"/>
  <c r="D71" i="26"/>
  <c r="AE70" i="26"/>
  <c r="AB70" i="26"/>
  <c r="Y70" i="26"/>
  <c r="V70" i="26"/>
  <c r="S70" i="26"/>
  <c r="P70" i="26"/>
  <c r="M70" i="26"/>
  <c r="J70" i="26"/>
  <c r="G70" i="26"/>
  <c r="D70" i="26"/>
  <c r="AE69" i="26"/>
  <c r="AB69" i="26"/>
  <c r="Y69" i="26"/>
  <c r="V69" i="26"/>
  <c r="S69" i="26"/>
  <c r="P69" i="26"/>
  <c r="M69" i="26"/>
  <c r="J69" i="26"/>
  <c r="G69" i="26"/>
  <c r="D69" i="26"/>
  <c r="AE68" i="26"/>
  <c r="AB68" i="26"/>
  <c r="Y68" i="26"/>
  <c r="V68" i="26"/>
  <c r="S68" i="26"/>
  <c r="P68" i="26"/>
  <c r="M68" i="26"/>
  <c r="J68" i="26"/>
  <c r="G68" i="26"/>
  <c r="D68" i="26"/>
  <c r="AE67" i="26"/>
  <c r="AB67" i="26"/>
  <c r="Y67" i="26"/>
  <c r="V67" i="26"/>
  <c r="S67" i="26"/>
  <c r="P67" i="26"/>
  <c r="M67" i="26"/>
  <c r="J67" i="26"/>
  <c r="G67" i="26"/>
  <c r="D67" i="26"/>
  <c r="AE66" i="26"/>
  <c r="AB66" i="26"/>
  <c r="Y66" i="26"/>
  <c r="V66" i="26"/>
  <c r="S66" i="26"/>
  <c r="P66" i="26"/>
  <c r="M66" i="26"/>
  <c r="J66" i="26"/>
  <c r="G66" i="26"/>
  <c r="D66" i="26"/>
  <c r="AE65" i="26"/>
  <c r="AB65" i="26"/>
  <c r="Y65" i="26"/>
  <c r="V65" i="26"/>
  <c r="S65" i="26"/>
  <c r="P65" i="26"/>
  <c r="M65" i="26"/>
  <c r="J65" i="26"/>
  <c r="G65" i="26"/>
  <c r="D65" i="26"/>
  <c r="AE64" i="26"/>
  <c r="AB64" i="26"/>
  <c r="Y64" i="26"/>
  <c r="V64" i="26"/>
  <c r="S64" i="26"/>
  <c r="P64" i="26"/>
  <c r="M64" i="26"/>
  <c r="J64" i="26"/>
  <c r="G64" i="26"/>
  <c r="D64" i="26"/>
  <c r="AE63" i="26"/>
  <c r="AB63" i="26"/>
  <c r="Y63" i="26"/>
  <c r="V63" i="26"/>
  <c r="S63" i="26"/>
  <c r="P63" i="26"/>
  <c r="M63" i="26"/>
  <c r="J63" i="26"/>
  <c r="G63" i="26"/>
  <c r="D63" i="26"/>
  <c r="AE62" i="26"/>
  <c r="AB62" i="26"/>
  <c r="Y62" i="26"/>
  <c r="V62" i="26"/>
  <c r="S62" i="26"/>
  <c r="P62" i="26"/>
  <c r="M62" i="26"/>
  <c r="J62" i="26"/>
  <c r="G62" i="26"/>
  <c r="D62" i="26"/>
  <c r="AE61" i="26"/>
  <c r="AB61" i="26"/>
  <c r="Y61" i="26"/>
  <c r="V61" i="26"/>
  <c r="S61" i="26"/>
  <c r="P61" i="26"/>
  <c r="M61" i="26"/>
  <c r="J61" i="26"/>
  <c r="G61" i="26"/>
  <c r="D61" i="26"/>
  <c r="D4" i="26"/>
  <c r="D5" i="26"/>
  <c r="D6" i="26"/>
  <c r="D7" i="26"/>
  <c r="D8" i="26"/>
  <c r="D9" i="26"/>
  <c r="D10" i="26"/>
  <c r="D11" i="26"/>
  <c r="D12" i="26"/>
  <c r="D13" i="26"/>
  <c r="D14" i="26"/>
  <c r="G4" i="26"/>
  <c r="G5" i="26"/>
  <c r="G6" i="26"/>
  <c r="G7" i="26"/>
  <c r="G8" i="26"/>
  <c r="G9" i="26"/>
  <c r="G10" i="26"/>
  <c r="G11" i="26"/>
  <c r="G12" i="26"/>
  <c r="G13" i="26"/>
  <c r="G14" i="26"/>
  <c r="J4" i="26"/>
  <c r="J5" i="26"/>
  <c r="J6" i="26"/>
  <c r="J7" i="26"/>
  <c r="J8" i="26"/>
  <c r="J9" i="26"/>
  <c r="J10" i="26"/>
  <c r="J11" i="26"/>
  <c r="J12" i="26"/>
  <c r="J13" i="26"/>
  <c r="J14" i="26"/>
  <c r="M4" i="26"/>
  <c r="M5" i="26"/>
  <c r="M6" i="26"/>
  <c r="M7" i="26"/>
  <c r="M8" i="26"/>
  <c r="M9" i="26"/>
  <c r="M10" i="26"/>
  <c r="M11" i="26"/>
  <c r="M12" i="26"/>
  <c r="M13" i="26"/>
  <c r="M14" i="26"/>
  <c r="P4" i="26"/>
  <c r="P5" i="26"/>
  <c r="P6" i="26"/>
  <c r="P7" i="26"/>
  <c r="P8" i="26"/>
  <c r="P9" i="26"/>
  <c r="P10" i="26"/>
  <c r="P11" i="26"/>
  <c r="P12" i="26"/>
  <c r="P13" i="26"/>
  <c r="P14" i="26"/>
  <c r="S4" i="26"/>
  <c r="S5" i="26"/>
  <c r="S6" i="26"/>
  <c r="S7" i="26"/>
  <c r="S8" i="26"/>
  <c r="S9" i="26"/>
  <c r="S10" i="26"/>
  <c r="S11" i="26"/>
  <c r="S12" i="26"/>
  <c r="S13" i="26"/>
  <c r="S14" i="26"/>
  <c r="V4" i="26"/>
  <c r="V5" i="26"/>
  <c r="V6" i="26"/>
  <c r="V7" i="26"/>
  <c r="V8" i="26"/>
  <c r="V9" i="26"/>
  <c r="V10" i="26"/>
  <c r="V11" i="26"/>
  <c r="V12" i="26"/>
  <c r="V13" i="26"/>
  <c r="V14" i="26"/>
  <c r="Y4" i="26"/>
  <c r="Y5" i="26"/>
  <c r="Y6" i="26"/>
  <c r="Y7" i="26"/>
  <c r="Y8" i="26"/>
  <c r="Y9" i="26"/>
  <c r="Y10" i="26"/>
  <c r="Y11" i="26"/>
  <c r="Y12" i="26"/>
  <c r="Y13" i="26"/>
  <c r="Y14" i="26"/>
  <c r="AB4" i="26"/>
  <c r="AB5" i="26"/>
  <c r="AB6" i="26"/>
  <c r="AB7" i="26"/>
  <c r="AB8" i="26"/>
  <c r="AB9" i="26"/>
  <c r="AB10" i="26"/>
  <c r="AB11" i="26"/>
  <c r="AB12" i="26"/>
  <c r="AB13" i="26"/>
  <c r="AB14" i="26"/>
  <c r="AB3" i="26"/>
  <c r="AE4" i="26"/>
  <c r="AE5" i="26"/>
  <c r="AE6" i="26"/>
  <c r="AE7" i="26"/>
  <c r="AE8" i="26"/>
  <c r="AE9" i="26"/>
  <c r="AE10" i="26"/>
  <c r="AE11" i="26"/>
  <c r="AE12" i="26"/>
  <c r="AE13" i="26"/>
  <c r="AE14" i="26"/>
  <c r="AE3" i="26"/>
  <c r="Y3" i="26"/>
  <c r="V3" i="26"/>
  <c r="S3" i="26"/>
  <c r="P3" i="26"/>
  <c r="M3" i="26"/>
  <c r="J3" i="26"/>
  <c r="G3" i="26"/>
  <c r="D3" i="26"/>
  <c r="B128" i="27"/>
  <c r="B81" i="27"/>
  <c r="B76" i="27"/>
  <c r="B38" i="27"/>
  <c r="AK128" i="27"/>
  <c r="AI128" i="27"/>
  <c r="AG128" i="27"/>
  <c r="AE128" i="27"/>
  <c r="AD128" i="27"/>
  <c r="AC128" i="27"/>
  <c r="AB128" i="27"/>
  <c r="AA128" i="27"/>
  <c r="U128" i="27"/>
  <c r="T128" i="27"/>
  <c r="S128" i="27"/>
  <c r="R128" i="27"/>
  <c r="Q128" i="27"/>
  <c r="P128" i="27"/>
  <c r="O128" i="27"/>
  <c r="N128" i="27"/>
  <c r="M128" i="27"/>
  <c r="L128" i="27"/>
  <c r="K128" i="27"/>
  <c r="J128" i="27"/>
  <c r="Z128" i="27" s="1"/>
  <c r="I128" i="27"/>
  <c r="H128" i="27"/>
  <c r="Y128" i="27" s="1"/>
  <c r="G128" i="27"/>
  <c r="F128" i="27"/>
  <c r="X128" i="27" s="1"/>
  <c r="E128" i="27"/>
  <c r="D128" i="27"/>
  <c r="W128" i="27" s="1"/>
  <c r="C128" i="27"/>
  <c r="AK127" i="27"/>
  <c r="AI127" i="27"/>
  <c r="AG127" i="27"/>
  <c r="AE127" i="27"/>
  <c r="AD127" i="27"/>
  <c r="AC127" i="27"/>
  <c r="AB127" i="27"/>
  <c r="AA127" i="27"/>
  <c r="X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Z127" i="27" s="1"/>
  <c r="I127" i="27"/>
  <c r="H127" i="27"/>
  <c r="Y127" i="27" s="1"/>
  <c r="G127" i="27"/>
  <c r="F127" i="27"/>
  <c r="E127" i="27"/>
  <c r="D127" i="27"/>
  <c r="W127" i="27" s="1"/>
  <c r="C127" i="27"/>
  <c r="B127" i="27"/>
  <c r="V127" i="27" s="1"/>
  <c r="AK126" i="27"/>
  <c r="AI126" i="27"/>
  <c r="AG126" i="27"/>
  <c r="AE126" i="27"/>
  <c r="AD126" i="27"/>
  <c r="AC126" i="27"/>
  <c r="AB126" i="27"/>
  <c r="AA126" i="27"/>
  <c r="U126" i="27"/>
  <c r="T126" i="27"/>
  <c r="S126" i="27"/>
  <c r="R126" i="27"/>
  <c r="Q126" i="27"/>
  <c r="P126" i="27"/>
  <c r="O126" i="27"/>
  <c r="N126" i="27"/>
  <c r="M126" i="27"/>
  <c r="L126" i="27"/>
  <c r="K126" i="27"/>
  <c r="J126" i="27"/>
  <c r="Z126" i="27" s="1"/>
  <c r="I126" i="27"/>
  <c r="Y126" i="27" s="1"/>
  <c r="H126" i="27"/>
  <c r="G126" i="27"/>
  <c r="X126" i="27" s="1"/>
  <c r="F126" i="27"/>
  <c r="E126" i="27"/>
  <c r="W126" i="27" s="1"/>
  <c r="D126" i="27"/>
  <c r="C126" i="27"/>
  <c r="AK125" i="27"/>
  <c r="AI125" i="27"/>
  <c r="AG125" i="27"/>
  <c r="AE125" i="27"/>
  <c r="AD125" i="27"/>
  <c r="AC125" i="27"/>
  <c r="AB125" i="27"/>
  <c r="AA125" i="27"/>
  <c r="W125" i="27"/>
  <c r="U125" i="27"/>
  <c r="T125" i="27"/>
  <c r="S125" i="27"/>
  <c r="R125" i="27"/>
  <c r="Q125" i="27"/>
  <c r="P125" i="27"/>
  <c r="O125" i="27"/>
  <c r="N125" i="27"/>
  <c r="M125" i="27"/>
  <c r="L125" i="27"/>
  <c r="K125" i="27"/>
  <c r="J125" i="27"/>
  <c r="Z125" i="27" s="1"/>
  <c r="I125" i="27"/>
  <c r="H125" i="27"/>
  <c r="Y125" i="27" s="1"/>
  <c r="G125" i="27"/>
  <c r="F125" i="27"/>
  <c r="X125" i="27" s="1"/>
  <c r="E125" i="27"/>
  <c r="D125" i="27"/>
  <c r="C125" i="27"/>
  <c r="AK124" i="27"/>
  <c r="AI124" i="27"/>
  <c r="AG124" i="27"/>
  <c r="AE124" i="27"/>
  <c r="AD124" i="27"/>
  <c r="AC124" i="27"/>
  <c r="AB124" i="27"/>
  <c r="AA124" i="27"/>
  <c r="W124" i="27"/>
  <c r="U124" i="27"/>
  <c r="T124" i="27"/>
  <c r="S124" i="27"/>
  <c r="R124" i="27"/>
  <c r="Q124" i="27"/>
  <c r="P124" i="27"/>
  <c r="O124" i="27"/>
  <c r="N124" i="27"/>
  <c r="M124" i="27"/>
  <c r="L124" i="27"/>
  <c r="K124" i="27"/>
  <c r="J124" i="27"/>
  <c r="Z124" i="27" s="1"/>
  <c r="I124" i="27"/>
  <c r="H124" i="27"/>
  <c r="Y124" i="27" s="1"/>
  <c r="G124" i="27"/>
  <c r="X124" i="27" s="1"/>
  <c r="F124" i="27"/>
  <c r="E124" i="27"/>
  <c r="D124" i="27"/>
  <c r="C124" i="27"/>
  <c r="B124" i="27"/>
  <c r="V124" i="27" s="1"/>
  <c r="AK123" i="27"/>
  <c r="AI123" i="27"/>
  <c r="AG123" i="27"/>
  <c r="AE123" i="27"/>
  <c r="AD123" i="27"/>
  <c r="AC123" i="27"/>
  <c r="AB123" i="27"/>
  <c r="AA123" i="27"/>
  <c r="X123" i="27"/>
  <c r="U123" i="27"/>
  <c r="T123" i="27"/>
  <c r="S123" i="27"/>
  <c r="R123" i="27"/>
  <c r="Q123" i="27"/>
  <c r="P123" i="27"/>
  <c r="O123" i="27"/>
  <c r="N123" i="27"/>
  <c r="M123" i="27"/>
  <c r="L123" i="27"/>
  <c r="K123" i="27"/>
  <c r="J123" i="27"/>
  <c r="Z123" i="27" s="1"/>
  <c r="I123" i="27"/>
  <c r="H123" i="27"/>
  <c r="Y123" i="27" s="1"/>
  <c r="G123" i="27"/>
  <c r="F123" i="27"/>
  <c r="E123" i="27"/>
  <c r="D123" i="27"/>
  <c r="W123" i="27" s="1"/>
  <c r="C123" i="27"/>
  <c r="AK122" i="27"/>
  <c r="AI122" i="27"/>
  <c r="AG122" i="27"/>
  <c r="AE122" i="27"/>
  <c r="AD122" i="27"/>
  <c r="AC122" i="27"/>
  <c r="AB122" i="27"/>
  <c r="AA122" i="27"/>
  <c r="U122" i="27"/>
  <c r="T122" i="27"/>
  <c r="S122" i="27"/>
  <c r="R122" i="27"/>
  <c r="Q122" i="27"/>
  <c r="P122" i="27"/>
  <c r="O122" i="27"/>
  <c r="N122" i="27"/>
  <c r="M122" i="27"/>
  <c r="L122" i="27"/>
  <c r="K122" i="27"/>
  <c r="J122" i="27"/>
  <c r="Z122" i="27" s="1"/>
  <c r="I122" i="27"/>
  <c r="Y122" i="27" s="1"/>
  <c r="H122" i="27"/>
  <c r="G122" i="27"/>
  <c r="F122" i="27"/>
  <c r="X122" i="27" s="1"/>
  <c r="E122" i="27"/>
  <c r="D122" i="27"/>
  <c r="W122" i="27" s="1"/>
  <c r="C122" i="27"/>
  <c r="B122" i="27"/>
  <c r="V122" i="27" s="1"/>
  <c r="AK121" i="27"/>
  <c r="AI121" i="27"/>
  <c r="AG121" i="27"/>
  <c r="AE121" i="27"/>
  <c r="AD121" i="27"/>
  <c r="AC121" i="27"/>
  <c r="AB121" i="27"/>
  <c r="AA121" i="27"/>
  <c r="U121" i="27"/>
  <c r="T121" i="27"/>
  <c r="S121" i="27"/>
  <c r="R121" i="27"/>
  <c r="Q121" i="27"/>
  <c r="P121" i="27"/>
  <c r="O121" i="27"/>
  <c r="N121" i="27"/>
  <c r="M121" i="27"/>
  <c r="L121" i="27"/>
  <c r="K121" i="27"/>
  <c r="J121" i="27"/>
  <c r="Z121" i="27" s="1"/>
  <c r="I121" i="27"/>
  <c r="H121" i="27"/>
  <c r="Y121" i="27" s="1"/>
  <c r="G121" i="27"/>
  <c r="F121" i="27"/>
  <c r="X121" i="27" s="1"/>
  <c r="E121" i="27"/>
  <c r="D121" i="27"/>
  <c r="W121" i="27" s="1"/>
  <c r="C121" i="27"/>
  <c r="AK120" i="27"/>
  <c r="AI120" i="27"/>
  <c r="AG120" i="27"/>
  <c r="AE120" i="27"/>
  <c r="AD120" i="27"/>
  <c r="AC120" i="27"/>
  <c r="AB120" i="27"/>
  <c r="AA120" i="27"/>
  <c r="W120" i="27"/>
  <c r="U120" i="27"/>
  <c r="T120" i="27"/>
  <c r="S120" i="27"/>
  <c r="R120" i="27"/>
  <c r="Q120" i="27"/>
  <c r="P120" i="27"/>
  <c r="O120" i="27"/>
  <c r="N120" i="27"/>
  <c r="M120" i="27"/>
  <c r="L120" i="27"/>
  <c r="K120" i="27"/>
  <c r="J120" i="27"/>
  <c r="Z120" i="27" s="1"/>
  <c r="I120" i="27"/>
  <c r="H120" i="27"/>
  <c r="Y120" i="27" s="1"/>
  <c r="G120" i="27"/>
  <c r="F120" i="27"/>
  <c r="X120" i="27" s="1"/>
  <c r="E120" i="27"/>
  <c r="D120" i="27"/>
  <c r="C120" i="27"/>
  <c r="AK119" i="27"/>
  <c r="AI119" i="27"/>
  <c r="AG119" i="27"/>
  <c r="AE119" i="27"/>
  <c r="AD119" i="27"/>
  <c r="AC119" i="27"/>
  <c r="AB119" i="27"/>
  <c r="AA119" i="27"/>
  <c r="X119" i="27"/>
  <c r="U119" i="27"/>
  <c r="T119" i="27"/>
  <c r="S119" i="27"/>
  <c r="R119" i="27"/>
  <c r="Q119" i="27"/>
  <c r="P119" i="27"/>
  <c r="O119" i="27"/>
  <c r="N119" i="27"/>
  <c r="M119" i="27"/>
  <c r="L119" i="27"/>
  <c r="K119" i="27"/>
  <c r="J119" i="27"/>
  <c r="Z119" i="27" s="1"/>
  <c r="I119" i="27"/>
  <c r="H119" i="27"/>
  <c r="Y119" i="27" s="1"/>
  <c r="G119" i="27"/>
  <c r="F119" i="27"/>
  <c r="E119" i="27"/>
  <c r="D119" i="27"/>
  <c r="W119" i="27" s="1"/>
  <c r="C119" i="27"/>
  <c r="B119" i="27"/>
  <c r="V119" i="27" s="1"/>
  <c r="AK118" i="27"/>
  <c r="AI118" i="27"/>
  <c r="AG118" i="27"/>
  <c r="AE118" i="27"/>
  <c r="AD118" i="27"/>
  <c r="AC118" i="27"/>
  <c r="AB118" i="27"/>
  <c r="AA118" i="27"/>
  <c r="U118" i="27"/>
  <c r="T118" i="27"/>
  <c r="S118" i="27"/>
  <c r="R118" i="27"/>
  <c r="Q118" i="27"/>
  <c r="P118" i="27"/>
  <c r="O118" i="27"/>
  <c r="N118" i="27"/>
  <c r="M118" i="27"/>
  <c r="L118" i="27"/>
  <c r="K118" i="27"/>
  <c r="J118" i="27"/>
  <c r="Z118" i="27" s="1"/>
  <c r="I118" i="27"/>
  <c r="Y118" i="27" s="1"/>
  <c r="H118" i="27"/>
  <c r="G118" i="27"/>
  <c r="F118" i="27"/>
  <c r="X118" i="27" s="1"/>
  <c r="E118" i="27"/>
  <c r="W118" i="27" s="1"/>
  <c r="D118" i="27"/>
  <c r="C118" i="27"/>
  <c r="AK117" i="27"/>
  <c r="AI117" i="27"/>
  <c r="AG117" i="27"/>
  <c r="AE117" i="27"/>
  <c r="AD117" i="27"/>
  <c r="AC117" i="27"/>
  <c r="AB117" i="27"/>
  <c r="AA117" i="27"/>
  <c r="W117" i="27"/>
  <c r="U117" i="27"/>
  <c r="T117" i="27"/>
  <c r="S117" i="27"/>
  <c r="R117" i="27"/>
  <c r="Q117" i="27"/>
  <c r="P117" i="27"/>
  <c r="O117" i="27"/>
  <c r="N117" i="27"/>
  <c r="M117" i="27"/>
  <c r="L117" i="27"/>
  <c r="K117" i="27"/>
  <c r="J117" i="27"/>
  <c r="Z117" i="27" s="1"/>
  <c r="I117" i="27"/>
  <c r="H117" i="27"/>
  <c r="Y117" i="27" s="1"/>
  <c r="G117" i="27"/>
  <c r="F117" i="27"/>
  <c r="X117" i="27" s="1"/>
  <c r="E117" i="27"/>
  <c r="D117" i="27"/>
  <c r="C117" i="27"/>
  <c r="AK116" i="27"/>
  <c r="AI116" i="27"/>
  <c r="AG116" i="27"/>
  <c r="AE116" i="27"/>
  <c r="AD116" i="27"/>
  <c r="AC116" i="27"/>
  <c r="AB116" i="27"/>
  <c r="AA116" i="27"/>
  <c r="W116" i="27"/>
  <c r="U116" i="27"/>
  <c r="T116" i="27"/>
  <c r="S116" i="27"/>
  <c r="R116" i="27"/>
  <c r="Q116" i="27"/>
  <c r="P116" i="27"/>
  <c r="O116" i="27"/>
  <c r="N116" i="27"/>
  <c r="M116" i="27"/>
  <c r="L116" i="27"/>
  <c r="K116" i="27"/>
  <c r="J116" i="27"/>
  <c r="Z116" i="27" s="1"/>
  <c r="I116" i="27"/>
  <c r="H116" i="27"/>
  <c r="Y116" i="27" s="1"/>
  <c r="G116" i="27"/>
  <c r="X116" i="27" s="1"/>
  <c r="F116" i="27"/>
  <c r="E116" i="27"/>
  <c r="D116" i="27"/>
  <c r="C116" i="27"/>
  <c r="B116" i="27"/>
  <c r="V116" i="27" s="1"/>
  <c r="AK115" i="27"/>
  <c r="AI115" i="27"/>
  <c r="AG115" i="27"/>
  <c r="AE115" i="27"/>
  <c r="AD115" i="27"/>
  <c r="AC115" i="27"/>
  <c r="AB115" i="27"/>
  <c r="AA115" i="27"/>
  <c r="X115" i="27"/>
  <c r="U115" i="27"/>
  <c r="T115" i="27"/>
  <c r="S115" i="27"/>
  <c r="R115" i="27"/>
  <c r="Q115" i="27"/>
  <c r="P115" i="27"/>
  <c r="O115" i="27"/>
  <c r="N115" i="27"/>
  <c r="M115" i="27"/>
  <c r="L115" i="27"/>
  <c r="K115" i="27"/>
  <c r="J115" i="27"/>
  <c r="Z115" i="27" s="1"/>
  <c r="I115" i="27"/>
  <c r="H115" i="27"/>
  <c r="Y115" i="27" s="1"/>
  <c r="G115" i="27"/>
  <c r="F115" i="27"/>
  <c r="E115" i="27"/>
  <c r="D115" i="27"/>
  <c r="W115" i="27" s="1"/>
  <c r="C115" i="27"/>
  <c r="AK114" i="27"/>
  <c r="AI114" i="27"/>
  <c r="AG114" i="27"/>
  <c r="AE114" i="27"/>
  <c r="AD114" i="27"/>
  <c r="AC114" i="27"/>
  <c r="AB114" i="27"/>
  <c r="AA114" i="27"/>
  <c r="X114" i="27"/>
  <c r="U114" i="27"/>
  <c r="T114" i="27"/>
  <c r="S114" i="27"/>
  <c r="R114" i="27"/>
  <c r="Q114" i="27"/>
  <c r="P114" i="27"/>
  <c r="O114" i="27"/>
  <c r="N114" i="27"/>
  <c r="M114" i="27"/>
  <c r="L114" i="27"/>
  <c r="K114" i="27"/>
  <c r="J114" i="27"/>
  <c r="Z114" i="27" s="1"/>
  <c r="I114" i="27"/>
  <c r="Y114" i="27" s="1"/>
  <c r="H114" i="27"/>
  <c r="G114" i="27"/>
  <c r="F114" i="27"/>
  <c r="E114" i="27"/>
  <c r="W114" i="27" s="1"/>
  <c r="D114" i="27"/>
  <c r="C114" i="27"/>
  <c r="AK113" i="27"/>
  <c r="AI113" i="27"/>
  <c r="AG113" i="27"/>
  <c r="AE113" i="27"/>
  <c r="AD113" i="27"/>
  <c r="AC113" i="27"/>
  <c r="AB113" i="27"/>
  <c r="AA113" i="27"/>
  <c r="Z113" i="27"/>
  <c r="U113" i="27"/>
  <c r="T113" i="27"/>
  <c r="S113" i="27"/>
  <c r="R113" i="27"/>
  <c r="Q113" i="27"/>
  <c r="P113" i="27"/>
  <c r="O113" i="27"/>
  <c r="N113" i="27"/>
  <c r="M113" i="27"/>
  <c r="L113" i="27"/>
  <c r="K113" i="27"/>
  <c r="J113" i="27"/>
  <c r="I113" i="27"/>
  <c r="Y113" i="27" s="1"/>
  <c r="H113" i="27"/>
  <c r="G113" i="27"/>
  <c r="F113" i="27"/>
  <c r="X113" i="27" s="1"/>
  <c r="E113" i="27"/>
  <c r="D113" i="27"/>
  <c r="W113" i="27" s="1"/>
  <c r="C113" i="27"/>
  <c r="AK112" i="27"/>
  <c r="AI112" i="27"/>
  <c r="AG112" i="27"/>
  <c r="AE112" i="27"/>
  <c r="AD112" i="27"/>
  <c r="AC112" i="27"/>
  <c r="AB112" i="27"/>
  <c r="AA112" i="27"/>
  <c r="W112" i="27"/>
  <c r="U112" i="27"/>
  <c r="T112" i="27"/>
  <c r="S112" i="27"/>
  <c r="R112" i="27"/>
  <c r="Q112" i="27"/>
  <c r="P112" i="27"/>
  <c r="O112" i="27"/>
  <c r="N112" i="27"/>
  <c r="M112" i="27"/>
  <c r="L112" i="27"/>
  <c r="K112" i="27"/>
  <c r="J112" i="27"/>
  <c r="Z112" i="27" s="1"/>
  <c r="I112" i="27"/>
  <c r="H112" i="27"/>
  <c r="Y112" i="27" s="1"/>
  <c r="G112" i="27"/>
  <c r="F112" i="27"/>
  <c r="X112" i="27" s="1"/>
  <c r="E112" i="27"/>
  <c r="D112" i="27"/>
  <c r="C112" i="27"/>
  <c r="B112" i="27"/>
  <c r="AK111" i="27"/>
  <c r="AI111" i="27"/>
  <c r="AG111" i="27"/>
  <c r="AE111" i="27"/>
  <c r="AD111" i="27"/>
  <c r="AC111" i="27"/>
  <c r="AB111" i="27"/>
  <c r="AA111" i="27"/>
  <c r="X111" i="27"/>
  <c r="U111" i="27"/>
  <c r="T111" i="27"/>
  <c r="S111" i="27"/>
  <c r="R111" i="27"/>
  <c r="Q111" i="27"/>
  <c r="P111" i="27"/>
  <c r="O111" i="27"/>
  <c r="N111" i="27"/>
  <c r="M111" i="27"/>
  <c r="L111" i="27"/>
  <c r="K111" i="27"/>
  <c r="J111" i="27"/>
  <c r="Z111" i="27" s="1"/>
  <c r="I111" i="27"/>
  <c r="H111" i="27"/>
  <c r="Y111" i="27" s="1"/>
  <c r="G111" i="27"/>
  <c r="F111" i="27"/>
  <c r="E111" i="27"/>
  <c r="D111" i="27"/>
  <c r="W111" i="27" s="1"/>
  <c r="C111" i="27"/>
  <c r="B111" i="27"/>
  <c r="AK110" i="27"/>
  <c r="AI110" i="27"/>
  <c r="AG110" i="27"/>
  <c r="AE110" i="27"/>
  <c r="AD110" i="27"/>
  <c r="AC110" i="27"/>
  <c r="AB110" i="27"/>
  <c r="AA110" i="27"/>
  <c r="U110" i="27"/>
  <c r="T110" i="27"/>
  <c r="S110" i="27"/>
  <c r="R110" i="27"/>
  <c r="Q110" i="27"/>
  <c r="P110" i="27"/>
  <c r="O110" i="27"/>
  <c r="N110" i="27"/>
  <c r="M110" i="27"/>
  <c r="L110" i="27"/>
  <c r="K110" i="27"/>
  <c r="J110" i="27"/>
  <c r="Z110" i="27" s="1"/>
  <c r="I110" i="27"/>
  <c r="Y110" i="27" s="1"/>
  <c r="H110" i="27"/>
  <c r="G110" i="27"/>
  <c r="F110" i="27"/>
  <c r="X110" i="27" s="1"/>
  <c r="E110" i="27"/>
  <c r="W110" i="27" s="1"/>
  <c r="D110" i="27"/>
  <c r="C110" i="27"/>
  <c r="B110" i="27"/>
  <c r="V110" i="27" s="1"/>
  <c r="AK109" i="27"/>
  <c r="AI109" i="27"/>
  <c r="AG109" i="27"/>
  <c r="AE109" i="27"/>
  <c r="AD109" i="27"/>
  <c r="AC109" i="27"/>
  <c r="AB109" i="27"/>
  <c r="AA109" i="27"/>
  <c r="W109" i="27"/>
  <c r="V109" i="27"/>
  <c r="U109" i="27"/>
  <c r="T109" i="27"/>
  <c r="S109" i="27"/>
  <c r="R109" i="27"/>
  <c r="Q109" i="27"/>
  <c r="P109" i="27"/>
  <c r="O109" i="27"/>
  <c r="N109" i="27"/>
  <c r="M109" i="27"/>
  <c r="L109" i="27"/>
  <c r="K109" i="27"/>
  <c r="J109" i="27"/>
  <c r="Z109" i="27" s="1"/>
  <c r="I109" i="27"/>
  <c r="H109" i="27"/>
  <c r="Y109" i="27" s="1"/>
  <c r="G109" i="27"/>
  <c r="F109" i="27"/>
  <c r="X109" i="27" s="1"/>
  <c r="E109" i="27"/>
  <c r="D109" i="27"/>
  <c r="C109" i="27"/>
  <c r="B109" i="27"/>
  <c r="AK108" i="27"/>
  <c r="AI108" i="27"/>
  <c r="AG108" i="27"/>
  <c r="AE108" i="27"/>
  <c r="AD108" i="27"/>
  <c r="AC108" i="27"/>
  <c r="AB108" i="27"/>
  <c r="AA108" i="27"/>
  <c r="W108" i="27"/>
  <c r="U108" i="27"/>
  <c r="T108" i="27"/>
  <c r="S108" i="27"/>
  <c r="R108" i="27"/>
  <c r="Q108" i="27"/>
  <c r="P108" i="27"/>
  <c r="O108" i="27"/>
  <c r="N108" i="27"/>
  <c r="M108" i="27"/>
  <c r="L108" i="27"/>
  <c r="K108" i="27"/>
  <c r="J108" i="27"/>
  <c r="Z108" i="27" s="1"/>
  <c r="I108" i="27"/>
  <c r="H108" i="27"/>
  <c r="Y108" i="27" s="1"/>
  <c r="G108" i="27"/>
  <c r="X108" i="27" s="1"/>
  <c r="F108" i="27"/>
  <c r="E108" i="27"/>
  <c r="D108" i="27"/>
  <c r="C108" i="27"/>
  <c r="B108" i="27"/>
  <c r="AK107" i="27"/>
  <c r="AI107" i="27"/>
  <c r="AG107" i="27"/>
  <c r="AE107" i="27"/>
  <c r="AD107" i="27"/>
  <c r="AC107" i="27"/>
  <c r="AB107" i="27"/>
  <c r="AA107" i="27"/>
  <c r="X107" i="27"/>
  <c r="U107" i="27"/>
  <c r="T107" i="27"/>
  <c r="S107" i="27"/>
  <c r="R107" i="27"/>
  <c r="Q107" i="27"/>
  <c r="P107" i="27"/>
  <c r="O107" i="27"/>
  <c r="N107" i="27"/>
  <c r="M107" i="27"/>
  <c r="L107" i="27"/>
  <c r="K107" i="27"/>
  <c r="J107" i="27"/>
  <c r="Z107" i="27" s="1"/>
  <c r="I107" i="27"/>
  <c r="H107" i="27"/>
  <c r="Y107" i="27" s="1"/>
  <c r="G107" i="27"/>
  <c r="F107" i="27"/>
  <c r="E107" i="27"/>
  <c r="D107" i="27"/>
  <c r="W107" i="27" s="1"/>
  <c r="C107" i="27"/>
  <c r="B107" i="27"/>
  <c r="V107" i="27" s="1"/>
  <c r="AK106" i="27"/>
  <c r="AI106" i="27"/>
  <c r="AG106" i="27"/>
  <c r="AE106" i="27"/>
  <c r="AD106" i="27"/>
  <c r="AC106" i="27"/>
  <c r="AB106" i="27"/>
  <c r="AA106" i="27"/>
  <c r="X106" i="27"/>
  <c r="U106" i="27"/>
  <c r="T106" i="27"/>
  <c r="S106" i="27"/>
  <c r="R106" i="27"/>
  <c r="Q106" i="27"/>
  <c r="P106" i="27"/>
  <c r="O106" i="27"/>
  <c r="N106" i="27"/>
  <c r="M106" i="27"/>
  <c r="L106" i="27"/>
  <c r="K106" i="27"/>
  <c r="J106" i="27"/>
  <c r="Z106" i="27" s="1"/>
  <c r="I106" i="27"/>
  <c r="Y106" i="27" s="1"/>
  <c r="H106" i="27"/>
  <c r="G106" i="27"/>
  <c r="F106" i="27"/>
  <c r="E106" i="27"/>
  <c r="W106" i="27" s="1"/>
  <c r="D106" i="27"/>
  <c r="C106" i="27"/>
  <c r="B106" i="27"/>
  <c r="V106" i="27" s="1"/>
  <c r="AK105" i="27"/>
  <c r="AI105" i="27"/>
  <c r="AG105" i="27"/>
  <c r="AE105" i="27"/>
  <c r="AD105" i="27"/>
  <c r="AC105" i="27"/>
  <c r="AB105" i="27"/>
  <c r="AA105" i="27"/>
  <c r="Z105" i="27"/>
  <c r="U105" i="27"/>
  <c r="T105" i="27"/>
  <c r="S105" i="27"/>
  <c r="R105" i="27"/>
  <c r="Q105" i="27"/>
  <c r="P105" i="27"/>
  <c r="O105" i="27"/>
  <c r="N105" i="27"/>
  <c r="M105" i="27"/>
  <c r="L105" i="27"/>
  <c r="K105" i="27"/>
  <c r="J105" i="27"/>
  <c r="I105" i="27"/>
  <c r="H105" i="27"/>
  <c r="Y105" i="27" s="1"/>
  <c r="G105" i="27"/>
  <c r="F105" i="27"/>
  <c r="X105" i="27" s="1"/>
  <c r="E105" i="27"/>
  <c r="D105" i="27"/>
  <c r="W105" i="27" s="1"/>
  <c r="C105" i="27"/>
  <c r="B105" i="27"/>
  <c r="V105" i="27" s="1"/>
  <c r="AK104" i="27"/>
  <c r="AI104" i="27"/>
  <c r="AG104" i="27"/>
  <c r="AE104" i="27"/>
  <c r="AD104" i="27"/>
  <c r="AC104" i="27"/>
  <c r="AB104" i="27"/>
  <c r="AA104" i="27"/>
  <c r="W104" i="27"/>
  <c r="U104" i="27"/>
  <c r="T104" i="27"/>
  <c r="S104" i="27"/>
  <c r="R104" i="27"/>
  <c r="Q104" i="27"/>
  <c r="P104" i="27"/>
  <c r="O104" i="27"/>
  <c r="N104" i="27"/>
  <c r="M104" i="27"/>
  <c r="L104" i="27"/>
  <c r="K104" i="27"/>
  <c r="J104" i="27"/>
  <c r="Z104" i="27" s="1"/>
  <c r="I104" i="27"/>
  <c r="Y104" i="27" s="1"/>
  <c r="H104" i="27"/>
  <c r="G104" i="27"/>
  <c r="F104" i="27"/>
  <c r="X104" i="27" s="1"/>
  <c r="E104" i="27"/>
  <c r="D104" i="27"/>
  <c r="C104" i="27"/>
  <c r="B104" i="27"/>
  <c r="AK103" i="27"/>
  <c r="AI103" i="27"/>
  <c r="AG103" i="27"/>
  <c r="AE103" i="27"/>
  <c r="AD103" i="27"/>
  <c r="AC103" i="27"/>
  <c r="AB103" i="27"/>
  <c r="AA103" i="27"/>
  <c r="X103" i="27"/>
  <c r="V103" i="27"/>
  <c r="U103" i="27"/>
  <c r="T103" i="27"/>
  <c r="S103" i="27"/>
  <c r="R103" i="27"/>
  <c r="Q103" i="27"/>
  <c r="P103" i="27"/>
  <c r="O103" i="27"/>
  <c r="N103" i="27"/>
  <c r="M103" i="27"/>
  <c r="L103" i="27"/>
  <c r="K103" i="27"/>
  <c r="J103" i="27"/>
  <c r="Z103" i="27" s="1"/>
  <c r="I103" i="27"/>
  <c r="H103" i="27"/>
  <c r="Y103" i="27" s="1"/>
  <c r="G103" i="27"/>
  <c r="F103" i="27"/>
  <c r="E103" i="27"/>
  <c r="D103" i="27"/>
  <c r="W103" i="27" s="1"/>
  <c r="C103" i="27"/>
  <c r="B103" i="27"/>
  <c r="AK102" i="27"/>
  <c r="AI102" i="27"/>
  <c r="AG102" i="27"/>
  <c r="AE102" i="27"/>
  <c r="AD102" i="27"/>
  <c r="AC102" i="27"/>
  <c r="AB102" i="27"/>
  <c r="AA102" i="27"/>
  <c r="U102" i="27"/>
  <c r="T102" i="27"/>
  <c r="S102" i="27"/>
  <c r="R102" i="27"/>
  <c r="Q102" i="27"/>
  <c r="P102" i="27"/>
  <c r="O102" i="27"/>
  <c r="N102" i="27"/>
  <c r="M102" i="27"/>
  <c r="L102" i="27"/>
  <c r="K102" i="27"/>
  <c r="J102" i="27"/>
  <c r="Z102" i="27" s="1"/>
  <c r="I102" i="27"/>
  <c r="Y102" i="27" s="1"/>
  <c r="H102" i="27"/>
  <c r="G102" i="27"/>
  <c r="F102" i="27"/>
  <c r="X102" i="27" s="1"/>
  <c r="E102" i="27"/>
  <c r="W102" i="27" s="1"/>
  <c r="D102" i="27"/>
  <c r="C102" i="27"/>
  <c r="B102" i="27"/>
  <c r="AK101" i="27"/>
  <c r="AI101" i="27"/>
  <c r="AG101" i="27"/>
  <c r="AE101" i="27"/>
  <c r="AD101" i="27"/>
  <c r="AC101" i="27"/>
  <c r="AB101" i="27"/>
  <c r="AA101" i="27"/>
  <c r="W101" i="27"/>
  <c r="U101" i="27"/>
  <c r="T101" i="27"/>
  <c r="S101" i="27"/>
  <c r="R101" i="27"/>
  <c r="Q101" i="27"/>
  <c r="P101" i="27"/>
  <c r="O101" i="27"/>
  <c r="N101" i="27"/>
  <c r="M101" i="27"/>
  <c r="L101" i="27"/>
  <c r="K101" i="27"/>
  <c r="J101" i="27"/>
  <c r="Z101" i="27" s="1"/>
  <c r="I101" i="27"/>
  <c r="H101" i="27"/>
  <c r="Y101" i="27" s="1"/>
  <c r="G101" i="27"/>
  <c r="F101" i="27"/>
  <c r="X101" i="27" s="1"/>
  <c r="E101" i="27"/>
  <c r="D101" i="27"/>
  <c r="C101" i="27"/>
  <c r="B101" i="27"/>
  <c r="V101" i="27" s="1"/>
  <c r="AK100" i="27"/>
  <c r="AI100" i="27"/>
  <c r="AG100" i="27"/>
  <c r="AE100" i="27"/>
  <c r="AD100" i="27"/>
  <c r="AC100" i="27"/>
  <c r="AB100" i="27"/>
  <c r="AA100" i="27"/>
  <c r="W100" i="27"/>
  <c r="U100" i="27"/>
  <c r="T100" i="27"/>
  <c r="S100" i="27"/>
  <c r="R100" i="27"/>
  <c r="Q100" i="27"/>
  <c r="P100" i="27"/>
  <c r="O100" i="27"/>
  <c r="N100" i="27"/>
  <c r="M100" i="27"/>
  <c r="L100" i="27"/>
  <c r="K100" i="27"/>
  <c r="J100" i="27"/>
  <c r="Z100" i="27" s="1"/>
  <c r="I100" i="27"/>
  <c r="H100" i="27"/>
  <c r="Y100" i="27" s="1"/>
  <c r="G100" i="27"/>
  <c r="X100" i="27" s="1"/>
  <c r="F100" i="27"/>
  <c r="E100" i="27"/>
  <c r="D100" i="27"/>
  <c r="C100" i="27"/>
  <c r="B100" i="27"/>
  <c r="AK99" i="27"/>
  <c r="AI99" i="27"/>
  <c r="AG99" i="27"/>
  <c r="AE99" i="27"/>
  <c r="AD99" i="27"/>
  <c r="AC99" i="27"/>
  <c r="AB99" i="27"/>
  <c r="AA99" i="27"/>
  <c r="X99" i="27"/>
  <c r="U99" i="27"/>
  <c r="T99" i="27"/>
  <c r="S99" i="27"/>
  <c r="R99" i="27"/>
  <c r="Q99" i="27"/>
  <c r="P99" i="27"/>
  <c r="O99" i="27"/>
  <c r="N99" i="27"/>
  <c r="M99" i="27"/>
  <c r="L99" i="27"/>
  <c r="K99" i="27"/>
  <c r="J99" i="27"/>
  <c r="Z99" i="27" s="1"/>
  <c r="I99" i="27"/>
  <c r="H99" i="27"/>
  <c r="Y99" i="27" s="1"/>
  <c r="G99" i="27"/>
  <c r="F99" i="27"/>
  <c r="E99" i="27"/>
  <c r="D99" i="27"/>
  <c r="W99" i="27" s="1"/>
  <c r="C99" i="27"/>
  <c r="B99" i="27"/>
  <c r="V99" i="27" s="1"/>
  <c r="AK98" i="27"/>
  <c r="AI98" i="27"/>
  <c r="AG98" i="27"/>
  <c r="AE98" i="27"/>
  <c r="AD98" i="27"/>
  <c r="AC98" i="27"/>
  <c r="AB98" i="27"/>
  <c r="AA98" i="27"/>
  <c r="U98" i="27"/>
  <c r="T98" i="27"/>
  <c r="S98" i="27"/>
  <c r="R98" i="27"/>
  <c r="Q98" i="27"/>
  <c r="P98" i="27"/>
  <c r="O98" i="27"/>
  <c r="N98" i="27"/>
  <c r="M98" i="27"/>
  <c r="L98" i="27"/>
  <c r="K98" i="27"/>
  <c r="J98" i="27"/>
  <c r="Z98" i="27" s="1"/>
  <c r="I98" i="27"/>
  <c r="Y98" i="27" s="1"/>
  <c r="H98" i="27"/>
  <c r="G98" i="27"/>
  <c r="X98" i="27" s="1"/>
  <c r="F98" i="27"/>
  <c r="E98" i="27"/>
  <c r="W98" i="27" s="1"/>
  <c r="D98" i="27"/>
  <c r="C98" i="27"/>
  <c r="B98" i="27"/>
  <c r="V98" i="27" s="1"/>
  <c r="AK97" i="27"/>
  <c r="AI97" i="27"/>
  <c r="AG97" i="27"/>
  <c r="AE97" i="27"/>
  <c r="AD97" i="27"/>
  <c r="AC97" i="27"/>
  <c r="AB97" i="27"/>
  <c r="AA97" i="27"/>
  <c r="Z97" i="27"/>
  <c r="U97" i="27"/>
  <c r="T97" i="27"/>
  <c r="S97" i="27"/>
  <c r="R97" i="27"/>
  <c r="Q97" i="27"/>
  <c r="P97" i="27"/>
  <c r="O97" i="27"/>
  <c r="N97" i="27"/>
  <c r="M97" i="27"/>
  <c r="L97" i="27"/>
  <c r="K97" i="27"/>
  <c r="J97" i="27"/>
  <c r="I97" i="27"/>
  <c r="Y97" i="27" s="1"/>
  <c r="H97" i="27"/>
  <c r="G97" i="27"/>
  <c r="F97" i="27"/>
  <c r="X97" i="27" s="1"/>
  <c r="E97" i="27"/>
  <c r="D97" i="27"/>
  <c r="W97" i="27" s="1"/>
  <c r="C97" i="27"/>
  <c r="B97" i="27"/>
  <c r="AK96" i="27"/>
  <c r="AI96" i="27"/>
  <c r="AG96" i="27"/>
  <c r="AE96" i="27"/>
  <c r="AD96" i="27"/>
  <c r="AC96" i="27"/>
  <c r="AB96" i="27"/>
  <c r="AA96" i="27"/>
  <c r="W96" i="27"/>
  <c r="U96" i="27"/>
  <c r="T96" i="27"/>
  <c r="S96" i="27"/>
  <c r="R96" i="27"/>
  <c r="Q96" i="27"/>
  <c r="P96" i="27"/>
  <c r="O96" i="27"/>
  <c r="N96" i="27"/>
  <c r="M96" i="27"/>
  <c r="L96" i="27"/>
  <c r="K96" i="27"/>
  <c r="J96" i="27"/>
  <c r="Z96" i="27" s="1"/>
  <c r="I96" i="27"/>
  <c r="Y96" i="27" s="1"/>
  <c r="H96" i="27"/>
  <c r="G96" i="27"/>
  <c r="F96" i="27"/>
  <c r="X96" i="27" s="1"/>
  <c r="E96" i="27"/>
  <c r="D96" i="27"/>
  <c r="C96" i="27"/>
  <c r="B96" i="27"/>
  <c r="V96" i="27" s="1"/>
  <c r="AK95" i="27"/>
  <c r="AI95" i="27"/>
  <c r="AG95" i="27"/>
  <c r="AE95" i="27"/>
  <c r="AD95" i="27"/>
  <c r="AC95" i="27"/>
  <c r="AB95" i="27"/>
  <c r="AA95" i="27"/>
  <c r="X95" i="27"/>
  <c r="U95" i="27"/>
  <c r="T95" i="27"/>
  <c r="S95" i="27"/>
  <c r="R95" i="27"/>
  <c r="Q95" i="27"/>
  <c r="P95" i="27"/>
  <c r="O95" i="27"/>
  <c r="N95" i="27"/>
  <c r="M95" i="27"/>
  <c r="L95" i="27"/>
  <c r="K95" i="27"/>
  <c r="J95" i="27"/>
  <c r="Z95" i="27" s="1"/>
  <c r="I95" i="27"/>
  <c r="H95" i="27"/>
  <c r="Y95" i="27" s="1"/>
  <c r="G95" i="27"/>
  <c r="F95" i="27"/>
  <c r="E95" i="27"/>
  <c r="D95" i="27"/>
  <c r="W95" i="27" s="1"/>
  <c r="C95" i="27"/>
  <c r="B95" i="27"/>
  <c r="AK94" i="27"/>
  <c r="AI94" i="27"/>
  <c r="AG94" i="27"/>
  <c r="AE94" i="27"/>
  <c r="AD94" i="27"/>
  <c r="AC94" i="27"/>
  <c r="AB94" i="27"/>
  <c r="AA94" i="27"/>
  <c r="U94" i="27"/>
  <c r="T94" i="27"/>
  <c r="S94" i="27"/>
  <c r="R94" i="27"/>
  <c r="Q94" i="27"/>
  <c r="P94" i="27"/>
  <c r="O94" i="27"/>
  <c r="N94" i="27"/>
  <c r="M94" i="27"/>
  <c r="L94" i="27"/>
  <c r="K94" i="27"/>
  <c r="J94" i="27"/>
  <c r="Z94" i="27" s="1"/>
  <c r="I94" i="27"/>
  <c r="Y94" i="27" s="1"/>
  <c r="H94" i="27"/>
  <c r="G94" i="27"/>
  <c r="F94" i="27"/>
  <c r="X94" i="27" s="1"/>
  <c r="E94" i="27"/>
  <c r="W94" i="27" s="1"/>
  <c r="D94" i="27"/>
  <c r="C94" i="27"/>
  <c r="B94" i="27"/>
  <c r="AK93" i="27"/>
  <c r="AI93" i="27"/>
  <c r="AG93" i="27"/>
  <c r="AE93" i="27"/>
  <c r="AD93" i="27"/>
  <c r="AC93" i="27"/>
  <c r="AB93" i="27"/>
  <c r="AA93" i="27"/>
  <c r="W93" i="27"/>
  <c r="U93" i="27"/>
  <c r="T93" i="27"/>
  <c r="S93" i="27"/>
  <c r="R93" i="27"/>
  <c r="Q93" i="27"/>
  <c r="P93" i="27"/>
  <c r="O93" i="27"/>
  <c r="N93" i="27"/>
  <c r="M93" i="27"/>
  <c r="L93" i="27"/>
  <c r="K93" i="27"/>
  <c r="J93" i="27"/>
  <c r="Z93" i="27" s="1"/>
  <c r="I93" i="27"/>
  <c r="H93" i="27"/>
  <c r="Y93" i="27" s="1"/>
  <c r="G93" i="27"/>
  <c r="F93" i="27"/>
  <c r="X93" i="27" s="1"/>
  <c r="E93" i="27"/>
  <c r="D93" i="27"/>
  <c r="C93" i="27"/>
  <c r="B93" i="27"/>
  <c r="AK92" i="27"/>
  <c r="AI92" i="27"/>
  <c r="AG92" i="27"/>
  <c r="AE92" i="27"/>
  <c r="AD92" i="27"/>
  <c r="AC92" i="27"/>
  <c r="AB92" i="27"/>
  <c r="AA92" i="27"/>
  <c r="W92" i="27"/>
  <c r="U92" i="27"/>
  <c r="T92" i="27"/>
  <c r="S92" i="27"/>
  <c r="R92" i="27"/>
  <c r="Q92" i="27"/>
  <c r="P92" i="27"/>
  <c r="O92" i="27"/>
  <c r="N92" i="27"/>
  <c r="M92" i="27"/>
  <c r="L92" i="27"/>
  <c r="K92" i="27"/>
  <c r="J92" i="27"/>
  <c r="Z92" i="27" s="1"/>
  <c r="I92" i="27"/>
  <c r="H92" i="27"/>
  <c r="Y92" i="27" s="1"/>
  <c r="G92" i="27"/>
  <c r="X92" i="27" s="1"/>
  <c r="F92" i="27"/>
  <c r="E92" i="27"/>
  <c r="D92" i="27"/>
  <c r="C92" i="27"/>
  <c r="B92" i="27"/>
  <c r="AK91" i="27"/>
  <c r="AI91" i="27"/>
  <c r="AG91" i="27"/>
  <c r="AE91" i="27"/>
  <c r="AD91" i="27"/>
  <c r="AC91" i="27"/>
  <c r="AB91" i="27"/>
  <c r="AA91" i="27"/>
  <c r="X91" i="27"/>
  <c r="U91" i="27"/>
  <c r="T91" i="27"/>
  <c r="S91" i="27"/>
  <c r="R91" i="27"/>
  <c r="Q91" i="27"/>
  <c r="P91" i="27"/>
  <c r="O91" i="27"/>
  <c r="N91" i="27"/>
  <c r="M91" i="27"/>
  <c r="L91" i="27"/>
  <c r="K91" i="27"/>
  <c r="J91" i="27"/>
  <c r="Z91" i="27" s="1"/>
  <c r="I91" i="27"/>
  <c r="H91" i="27"/>
  <c r="Y91" i="27" s="1"/>
  <c r="G91" i="27"/>
  <c r="F91" i="27"/>
  <c r="E91" i="27"/>
  <c r="D91" i="27"/>
  <c r="W91" i="27" s="1"/>
  <c r="C91" i="27"/>
  <c r="B91" i="27"/>
  <c r="V91" i="27" s="1"/>
  <c r="AK90" i="27"/>
  <c r="AI90" i="27"/>
  <c r="AG90" i="27"/>
  <c r="AE90" i="27"/>
  <c r="AD90" i="27"/>
  <c r="AC90" i="27"/>
  <c r="AB90" i="27"/>
  <c r="AA90" i="27"/>
  <c r="X90" i="27"/>
  <c r="U90" i="27"/>
  <c r="T90" i="27"/>
  <c r="S90" i="27"/>
  <c r="R90" i="27"/>
  <c r="Q90" i="27"/>
  <c r="P90" i="27"/>
  <c r="O90" i="27"/>
  <c r="N90" i="27"/>
  <c r="M90" i="27"/>
  <c r="L90" i="27"/>
  <c r="K90" i="27"/>
  <c r="J90" i="27"/>
  <c r="Z90" i="27" s="1"/>
  <c r="I90" i="27"/>
  <c r="Y90" i="27" s="1"/>
  <c r="H90" i="27"/>
  <c r="G90" i="27"/>
  <c r="F90" i="27"/>
  <c r="E90" i="27"/>
  <c r="W90" i="27" s="1"/>
  <c r="D90" i="27"/>
  <c r="C90" i="27"/>
  <c r="B90" i="27"/>
  <c r="AK89" i="27"/>
  <c r="AI89" i="27"/>
  <c r="AG89" i="27"/>
  <c r="AE89" i="27"/>
  <c r="AD89" i="27"/>
  <c r="AC89" i="27"/>
  <c r="AB89" i="27"/>
  <c r="AA89" i="27"/>
  <c r="U89" i="27"/>
  <c r="T89" i="27"/>
  <c r="S89" i="27"/>
  <c r="R89" i="27"/>
  <c r="Q89" i="27"/>
  <c r="P89" i="27"/>
  <c r="O89" i="27"/>
  <c r="N89" i="27"/>
  <c r="M89" i="27"/>
  <c r="L89" i="27"/>
  <c r="K89" i="27"/>
  <c r="J89" i="27"/>
  <c r="Z89" i="27" s="1"/>
  <c r="I89" i="27"/>
  <c r="Y89" i="27" s="1"/>
  <c r="H89" i="27"/>
  <c r="G89" i="27"/>
  <c r="F89" i="27"/>
  <c r="X89" i="27" s="1"/>
  <c r="E89" i="27"/>
  <c r="D89" i="27"/>
  <c r="W89" i="27" s="1"/>
  <c r="C89" i="27"/>
  <c r="B89" i="27"/>
  <c r="AK88" i="27"/>
  <c r="AI88" i="27"/>
  <c r="AG88" i="27"/>
  <c r="AE88" i="27"/>
  <c r="AD88" i="27"/>
  <c r="AC88" i="27"/>
  <c r="AB88" i="27"/>
  <c r="AA88" i="27"/>
  <c r="W88" i="27"/>
  <c r="U88" i="27"/>
  <c r="T88" i="27"/>
  <c r="S88" i="27"/>
  <c r="R88" i="27"/>
  <c r="Q88" i="27"/>
  <c r="P88" i="27"/>
  <c r="O88" i="27"/>
  <c r="N88" i="27"/>
  <c r="M88" i="27"/>
  <c r="L88" i="27"/>
  <c r="K88" i="27"/>
  <c r="J88" i="27"/>
  <c r="Z88" i="27" s="1"/>
  <c r="I88" i="27"/>
  <c r="Y88" i="27" s="1"/>
  <c r="H88" i="27"/>
  <c r="G88" i="27"/>
  <c r="X88" i="27" s="1"/>
  <c r="F88" i="27"/>
  <c r="E88" i="27"/>
  <c r="D88" i="27"/>
  <c r="C88" i="27"/>
  <c r="B88" i="27"/>
  <c r="AK87" i="27"/>
  <c r="AI87" i="27"/>
  <c r="AG87" i="27"/>
  <c r="AE87" i="27"/>
  <c r="AD87" i="27"/>
  <c r="AC87" i="27"/>
  <c r="AB87" i="27"/>
  <c r="AA87" i="27"/>
  <c r="X87" i="27"/>
  <c r="U87" i="27"/>
  <c r="T87" i="27"/>
  <c r="S87" i="27"/>
  <c r="R87" i="27"/>
  <c r="Q87" i="27"/>
  <c r="P87" i="27"/>
  <c r="O87" i="27"/>
  <c r="N87" i="27"/>
  <c r="M87" i="27"/>
  <c r="L87" i="27"/>
  <c r="K87" i="27"/>
  <c r="J87" i="27"/>
  <c r="Z87" i="27" s="1"/>
  <c r="I87" i="27"/>
  <c r="H87" i="27"/>
  <c r="Y87" i="27" s="1"/>
  <c r="G87" i="27"/>
  <c r="F87" i="27"/>
  <c r="E87" i="27"/>
  <c r="D87" i="27"/>
  <c r="W87" i="27" s="1"/>
  <c r="C87" i="27"/>
  <c r="B87" i="27"/>
  <c r="AK86" i="27"/>
  <c r="AI86" i="27"/>
  <c r="AG86" i="27"/>
  <c r="AE86" i="27"/>
  <c r="AD86" i="27"/>
  <c r="AC86" i="27"/>
  <c r="AB86" i="27"/>
  <c r="AA86" i="27"/>
  <c r="U86" i="27"/>
  <c r="T86" i="27"/>
  <c r="S86" i="27"/>
  <c r="R86" i="27"/>
  <c r="Q86" i="27"/>
  <c r="P86" i="27"/>
  <c r="O86" i="27"/>
  <c r="N86" i="27"/>
  <c r="M86" i="27"/>
  <c r="L86" i="27"/>
  <c r="K86" i="27"/>
  <c r="J86" i="27"/>
  <c r="Z86" i="27" s="1"/>
  <c r="I86" i="27"/>
  <c r="Y86" i="27" s="1"/>
  <c r="H86" i="27"/>
  <c r="G86" i="27"/>
  <c r="F86" i="27"/>
  <c r="X86" i="27" s="1"/>
  <c r="E86" i="27"/>
  <c r="D86" i="27"/>
  <c r="W86" i="27" s="1"/>
  <c r="C86" i="27"/>
  <c r="B86" i="27"/>
  <c r="V86" i="27" s="1"/>
  <c r="AK85" i="27"/>
  <c r="AI85" i="27"/>
  <c r="AG85" i="27"/>
  <c r="AE85" i="27"/>
  <c r="AD85" i="27"/>
  <c r="AC85" i="27"/>
  <c r="AB85" i="27"/>
  <c r="AA85" i="27"/>
  <c r="W85" i="27"/>
  <c r="U85" i="27"/>
  <c r="T85" i="27"/>
  <c r="S85" i="27"/>
  <c r="R85" i="27"/>
  <c r="Q85" i="27"/>
  <c r="P85" i="27"/>
  <c r="O85" i="27"/>
  <c r="N85" i="27"/>
  <c r="M85" i="27"/>
  <c r="L85" i="27"/>
  <c r="K85" i="27"/>
  <c r="J85" i="27"/>
  <c r="Z85" i="27" s="1"/>
  <c r="I85" i="27"/>
  <c r="H85" i="27"/>
  <c r="Y85" i="27" s="1"/>
  <c r="G85" i="27"/>
  <c r="F85" i="27"/>
  <c r="X85" i="27" s="1"/>
  <c r="E85" i="27"/>
  <c r="D85" i="27"/>
  <c r="C85" i="27"/>
  <c r="B85" i="27"/>
  <c r="V85" i="27" s="1"/>
  <c r="AK84" i="27"/>
  <c r="AI84" i="27"/>
  <c r="AG84" i="27"/>
  <c r="AE84" i="27"/>
  <c r="AD84" i="27"/>
  <c r="AC84" i="27"/>
  <c r="AB84" i="27"/>
  <c r="AA84" i="27"/>
  <c r="W84" i="27"/>
  <c r="U84" i="27"/>
  <c r="T84" i="27"/>
  <c r="S84" i="27"/>
  <c r="R84" i="27"/>
  <c r="Q84" i="27"/>
  <c r="P84" i="27"/>
  <c r="O84" i="27"/>
  <c r="N84" i="27"/>
  <c r="M84" i="27"/>
  <c r="L84" i="27"/>
  <c r="K84" i="27"/>
  <c r="J84" i="27"/>
  <c r="Z84" i="27" s="1"/>
  <c r="I84" i="27"/>
  <c r="H84" i="27"/>
  <c r="Y84" i="27" s="1"/>
  <c r="G84" i="27"/>
  <c r="X84" i="27" s="1"/>
  <c r="F84" i="27"/>
  <c r="E84" i="27"/>
  <c r="D84" i="27"/>
  <c r="C84" i="27"/>
  <c r="V84" i="27" s="1"/>
  <c r="B84" i="27"/>
  <c r="AK83" i="27"/>
  <c r="AI83" i="27"/>
  <c r="AG83" i="27"/>
  <c r="AE83" i="27"/>
  <c r="AD83" i="27"/>
  <c r="AC83" i="27"/>
  <c r="AB83" i="27"/>
  <c r="AA83" i="27"/>
  <c r="X83" i="27"/>
  <c r="U83" i="27"/>
  <c r="T83" i="27"/>
  <c r="S83" i="27"/>
  <c r="R83" i="27"/>
  <c r="Q83" i="27"/>
  <c r="P83" i="27"/>
  <c r="O83" i="27"/>
  <c r="N83" i="27"/>
  <c r="M83" i="27"/>
  <c r="L83" i="27"/>
  <c r="K83" i="27"/>
  <c r="J83" i="27"/>
  <c r="Z83" i="27" s="1"/>
  <c r="I83" i="27"/>
  <c r="H83" i="27"/>
  <c r="Y83" i="27" s="1"/>
  <c r="G83" i="27"/>
  <c r="F83" i="27"/>
  <c r="E83" i="27"/>
  <c r="D83" i="27"/>
  <c r="W83" i="27" s="1"/>
  <c r="C83" i="27"/>
  <c r="B83" i="27"/>
  <c r="AK82" i="27"/>
  <c r="AI82" i="27"/>
  <c r="AG82" i="27"/>
  <c r="AE82" i="27"/>
  <c r="AD82" i="27"/>
  <c r="AC82" i="27"/>
  <c r="AB82" i="27"/>
  <c r="AA82" i="27"/>
  <c r="X82" i="27"/>
  <c r="U82" i="27"/>
  <c r="T82" i="27"/>
  <c r="S82" i="27"/>
  <c r="R82" i="27"/>
  <c r="Q82" i="27"/>
  <c r="P82" i="27"/>
  <c r="O82" i="27"/>
  <c r="N82" i="27"/>
  <c r="M82" i="27"/>
  <c r="L82" i="27"/>
  <c r="K82" i="27"/>
  <c r="J82" i="27"/>
  <c r="Z82" i="27" s="1"/>
  <c r="I82" i="27"/>
  <c r="Y82" i="27" s="1"/>
  <c r="H82" i="27"/>
  <c r="G82" i="27"/>
  <c r="F82" i="27"/>
  <c r="E82" i="27"/>
  <c r="W82" i="27" s="1"/>
  <c r="D82" i="27"/>
  <c r="C82" i="27"/>
  <c r="AK81" i="27"/>
  <c r="AI81" i="27"/>
  <c r="AG81" i="27"/>
  <c r="AE81" i="27"/>
  <c r="AD81" i="27"/>
  <c r="AC81" i="27"/>
  <c r="AB81" i="27"/>
  <c r="AA81" i="27"/>
  <c r="U81" i="27"/>
  <c r="T81" i="27"/>
  <c r="S81" i="27"/>
  <c r="R81" i="27"/>
  <c r="Q81" i="27"/>
  <c r="P81" i="27"/>
  <c r="O81" i="27"/>
  <c r="N81" i="27"/>
  <c r="M81" i="27"/>
  <c r="L81" i="27"/>
  <c r="K81" i="27"/>
  <c r="J81" i="27"/>
  <c r="Z81" i="27" s="1"/>
  <c r="I81" i="27"/>
  <c r="Y81" i="27" s="1"/>
  <c r="H81" i="27"/>
  <c r="G81" i="27"/>
  <c r="F81" i="27"/>
  <c r="X81" i="27" s="1"/>
  <c r="E81" i="27"/>
  <c r="D81" i="27"/>
  <c r="W81" i="27" s="1"/>
  <c r="C81" i="27"/>
  <c r="AK80" i="27"/>
  <c r="AI80" i="27"/>
  <c r="AG80" i="27"/>
  <c r="AE80" i="27"/>
  <c r="AD80" i="27"/>
  <c r="AC80" i="27"/>
  <c r="AB80" i="27"/>
  <c r="AA80" i="27"/>
  <c r="U80" i="27"/>
  <c r="T80" i="27"/>
  <c r="S80" i="27"/>
  <c r="R80" i="27"/>
  <c r="Q80" i="27"/>
  <c r="P80" i="27"/>
  <c r="O80" i="27"/>
  <c r="N80" i="27"/>
  <c r="M80" i="27"/>
  <c r="L80" i="27"/>
  <c r="K80" i="27"/>
  <c r="J80" i="27"/>
  <c r="Z80" i="27" s="1"/>
  <c r="I80" i="27"/>
  <c r="Y80" i="27" s="1"/>
  <c r="H80" i="27"/>
  <c r="G80" i="27"/>
  <c r="F80" i="27"/>
  <c r="X80" i="27" s="1"/>
  <c r="E80" i="27"/>
  <c r="D80" i="27"/>
  <c r="W80" i="27" s="1"/>
  <c r="C80" i="27"/>
  <c r="AK79" i="27"/>
  <c r="AI79" i="27"/>
  <c r="AG79" i="27"/>
  <c r="AE79" i="27"/>
  <c r="AD79" i="27"/>
  <c r="AC79" i="27"/>
  <c r="AB79" i="27"/>
  <c r="AA79" i="27"/>
  <c r="X79" i="27"/>
  <c r="U79" i="27"/>
  <c r="T79" i="27"/>
  <c r="S79" i="27"/>
  <c r="R79" i="27"/>
  <c r="Q79" i="27"/>
  <c r="P79" i="27"/>
  <c r="O79" i="27"/>
  <c r="N79" i="27"/>
  <c r="M79" i="27"/>
  <c r="L79" i="27"/>
  <c r="K79" i="27"/>
  <c r="J79" i="27"/>
  <c r="Z79" i="27" s="1"/>
  <c r="I79" i="27"/>
  <c r="H79" i="27"/>
  <c r="Y79" i="27" s="1"/>
  <c r="G79" i="27"/>
  <c r="F79" i="27"/>
  <c r="E79" i="27"/>
  <c r="D79" i="27"/>
  <c r="W79" i="27" s="1"/>
  <c r="C79" i="27"/>
  <c r="AK78" i="27"/>
  <c r="AI78" i="27"/>
  <c r="AG78" i="27"/>
  <c r="AE78" i="27"/>
  <c r="AD78" i="27"/>
  <c r="AC78" i="27"/>
  <c r="AB78" i="27"/>
  <c r="AA78" i="27"/>
  <c r="U78" i="27"/>
  <c r="T78" i="27"/>
  <c r="S78" i="27"/>
  <c r="R78" i="27"/>
  <c r="Q78" i="27"/>
  <c r="P78" i="27"/>
  <c r="O78" i="27"/>
  <c r="N78" i="27"/>
  <c r="M78" i="27"/>
  <c r="L78" i="27"/>
  <c r="K78" i="27"/>
  <c r="J78" i="27"/>
  <c r="Z78" i="27" s="1"/>
  <c r="I78" i="27"/>
  <c r="Y78" i="27" s="1"/>
  <c r="H78" i="27"/>
  <c r="G78" i="27"/>
  <c r="F78" i="27"/>
  <c r="X78" i="27" s="1"/>
  <c r="E78" i="27"/>
  <c r="W78" i="27" s="1"/>
  <c r="D78" i="27"/>
  <c r="C78" i="27"/>
  <c r="B78" i="27"/>
  <c r="V78" i="27" s="1"/>
  <c r="AK77" i="27"/>
  <c r="AI77" i="27"/>
  <c r="AG77" i="27"/>
  <c r="AE77" i="27"/>
  <c r="AD77" i="27"/>
  <c r="AC77" i="27"/>
  <c r="AB77" i="27"/>
  <c r="AA77" i="27"/>
  <c r="W77" i="27"/>
  <c r="U77" i="27"/>
  <c r="T77" i="27"/>
  <c r="S77" i="27"/>
  <c r="R77" i="27"/>
  <c r="Q77" i="27"/>
  <c r="P77" i="27"/>
  <c r="O77" i="27"/>
  <c r="N77" i="27"/>
  <c r="M77" i="27"/>
  <c r="L77" i="27"/>
  <c r="K77" i="27"/>
  <c r="J77" i="27"/>
  <c r="Z77" i="27" s="1"/>
  <c r="I77" i="27"/>
  <c r="H77" i="27"/>
  <c r="Y77" i="27" s="1"/>
  <c r="G77" i="27"/>
  <c r="F77" i="27"/>
  <c r="X77" i="27" s="1"/>
  <c r="E77" i="27"/>
  <c r="D77" i="27"/>
  <c r="C77" i="27"/>
  <c r="AK76" i="27"/>
  <c r="AI76" i="27"/>
  <c r="AG76" i="27"/>
  <c r="AE76" i="27"/>
  <c r="AD76" i="27"/>
  <c r="AC76" i="27"/>
  <c r="AB76" i="27"/>
  <c r="AA76" i="27"/>
  <c r="W76" i="27"/>
  <c r="U76" i="27"/>
  <c r="T76" i="27"/>
  <c r="S76" i="27"/>
  <c r="R76" i="27"/>
  <c r="Q76" i="27"/>
  <c r="P76" i="27"/>
  <c r="O76" i="27"/>
  <c r="N76" i="27"/>
  <c r="M76" i="27"/>
  <c r="L76" i="27"/>
  <c r="K76" i="27"/>
  <c r="J76" i="27"/>
  <c r="Z76" i="27" s="1"/>
  <c r="I76" i="27"/>
  <c r="H76" i="27"/>
  <c r="Y76" i="27" s="1"/>
  <c r="G76" i="27"/>
  <c r="X76" i="27" s="1"/>
  <c r="F76" i="27"/>
  <c r="E76" i="27"/>
  <c r="D76" i="27"/>
  <c r="C76" i="27"/>
  <c r="AK75" i="27"/>
  <c r="AI75" i="27"/>
  <c r="AG75" i="27"/>
  <c r="AE75" i="27"/>
  <c r="AD75" i="27"/>
  <c r="AC75" i="27"/>
  <c r="AB75" i="27"/>
  <c r="AA75" i="27"/>
  <c r="X75" i="27"/>
  <c r="U75" i="27"/>
  <c r="T75" i="27"/>
  <c r="S75" i="27"/>
  <c r="R75" i="27"/>
  <c r="Q75" i="27"/>
  <c r="P75" i="27"/>
  <c r="O75" i="27"/>
  <c r="N75" i="27"/>
  <c r="M75" i="27"/>
  <c r="L75" i="27"/>
  <c r="K75" i="27"/>
  <c r="J75" i="27"/>
  <c r="Z75" i="27" s="1"/>
  <c r="I75" i="27"/>
  <c r="H75" i="27"/>
  <c r="Y75" i="27" s="1"/>
  <c r="G75" i="27"/>
  <c r="F75" i="27"/>
  <c r="E75" i="27"/>
  <c r="D75" i="27"/>
  <c r="W75" i="27" s="1"/>
  <c r="C75" i="27"/>
  <c r="B75" i="27"/>
  <c r="AK74" i="27"/>
  <c r="AI74" i="27"/>
  <c r="AG74" i="27"/>
  <c r="AE74" i="27"/>
  <c r="AD74" i="27"/>
  <c r="AC74" i="27"/>
  <c r="AB74" i="27"/>
  <c r="AA74" i="27"/>
  <c r="X74" i="27"/>
  <c r="U74" i="27"/>
  <c r="T74" i="27"/>
  <c r="S74" i="27"/>
  <c r="R74" i="27"/>
  <c r="Q74" i="27"/>
  <c r="P74" i="27"/>
  <c r="O74" i="27"/>
  <c r="N74" i="27"/>
  <c r="M74" i="27"/>
  <c r="L74" i="27"/>
  <c r="K74" i="27"/>
  <c r="J74" i="27"/>
  <c r="Z74" i="27" s="1"/>
  <c r="I74" i="27"/>
  <c r="Y74" i="27" s="1"/>
  <c r="H74" i="27"/>
  <c r="G74" i="27"/>
  <c r="F74" i="27"/>
  <c r="E74" i="27"/>
  <c r="D74" i="27"/>
  <c r="W74" i="27" s="1"/>
  <c r="C74" i="27"/>
  <c r="AK73" i="27"/>
  <c r="AI73" i="27"/>
  <c r="AG73" i="27"/>
  <c r="AE73" i="27"/>
  <c r="AD73" i="27"/>
  <c r="AC73" i="27"/>
  <c r="AB73" i="27"/>
  <c r="AA73" i="27"/>
  <c r="U73" i="27"/>
  <c r="T73" i="27"/>
  <c r="S73" i="27"/>
  <c r="R73" i="27"/>
  <c r="Q73" i="27"/>
  <c r="P73" i="27"/>
  <c r="O73" i="27"/>
  <c r="N73" i="27"/>
  <c r="M73" i="27"/>
  <c r="L73" i="27"/>
  <c r="K73" i="27"/>
  <c r="J73" i="27"/>
  <c r="Z73" i="27" s="1"/>
  <c r="I73" i="27"/>
  <c r="Y73" i="27" s="1"/>
  <c r="H73" i="27"/>
  <c r="G73" i="27"/>
  <c r="F73" i="27"/>
  <c r="X73" i="27" s="1"/>
  <c r="E73" i="27"/>
  <c r="D73" i="27"/>
  <c r="W73" i="27" s="1"/>
  <c r="C73" i="27"/>
  <c r="B73" i="27"/>
  <c r="AK72" i="27"/>
  <c r="AI72" i="27"/>
  <c r="AG72" i="27"/>
  <c r="AE72" i="27"/>
  <c r="AD72" i="27"/>
  <c r="AC72" i="27"/>
  <c r="AB72" i="27"/>
  <c r="AA72" i="27"/>
  <c r="U72" i="27"/>
  <c r="T72" i="27"/>
  <c r="S72" i="27"/>
  <c r="R72" i="27"/>
  <c r="Q72" i="27"/>
  <c r="P72" i="27"/>
  <c r="O72" i="27"/>
  <c r="N72" i="27"/>
  <c r="M72" i="27"/>
  <c r="L72" i="27"/>
  <c r="K72" i="27"/>
  <c r="J72" i="27"/>
  <c r="Z72" i="27" s="1"/>
  <c r="I72" i="27"/>
  <c r="Y72" i="27" s="1"/>
  <c r="H72" i="27"/>
  <c r="G72" i="27"/>
  <c r="F72" i="27"/>
  <c r="X72" i="27" s="1"/>
  <c r="E72" i="27"/>
  <c r="D72" i="27"/>
  <c r="W72" i="27" s="1"/>
  <c r="C72" i="27"/>
  <c r="B72" i="27"/>
  <c r="AK71" i="27"/>
  <c r="AI71" i="27"/>
  <c r="AG71" i="27"/>
  <c r="AE71" i="27"/>
  <c r="AD71" i="27"/>
  <c r="AC71" i="27"/>
  <c r="AB71" i="27"/>
  <c r="AA71" i="27"/>
  <c r="X71" i="27"/>
  <c r="U71" i="27"/>
  <c r="T71" i="27"/>
  <c r="S71" i="27"/>
  <c r="R71" i="27"/>
  <c r="Q71" i="27"/>
  <c r="P71" i="27"/>
  <c r="O71" i="27"/>
  <c r="N71" i="27"/>
  <c r="M71" i="27"/>
  <c r="L71" i="27"/>
  <c r="K71" i="27"/>
  <c r="J71" i="27"/>
  <c r="Z71" i="27" s="1"/>
  <c r="I71" i="27"/>
  <c r="H71" i="27"/>
  <c r="Y71" i="27" s="1"/>
  <c r="G71" i="27"/>
  <c r="F71" i="27"/>
  <c r="E71" i="27"/>
  <c r="D71" i="27"/>
  <c r="W71" i="27" s="1"/>
  <c r="C71" i="27"/>
  <c r="B71" i="27"/>
  <c r="AK70" i="27"/>
  <c r="AI70" i="27"/>
  <c r="AG70" i="27"/>
  <c r="AE70" i="27"/>
  <c r="AD70" i="27"/>
  <c r="AC70" i="27"/>
  <c r="AB70" i="27"/>
  <c r="AA70" i="27"/>
  <c r="U70" i="27"/>
  <c r="T70" i="27"/>
  <c r="S70" i="27"/>
  <c r="R70" i="27"/>
  <c r="Q70" i="27"/>
  <c r="P70" i="27"/>
  <c r="O70" i="27"/>
  <c r="N70" i="27"/>
  <c r="M70" i="27"/>
  <c r="L70" i="27"/>
  <c r="K70" i="27"/>
  <c r="J70" i="27"/>
  <c r="Z70" i="27" s="1"/>
  <c r="I70" i="27"/>
  <c r="Y70" i="27" s="1"/>
  <c r="H70" i="27"/>
  <c r="G70" i="27"/>
  <c r="F70" i="27"/>
  <c r="X70" i="27" s="1"/>
  <c r="E70" i="27"/>
  <c r="W70" i="27" s="1"/>
  <c r="D70" i="27"/>
  <c r="C70" i="27"/>
  <c r="B70" i="27"/>
  <c r="V70" i="27" s="1"/>
  <c r="AK69" i="27"/>
  <c r="AI69" i="27"/>
  <c r="AG69" i="27"/>
  <c r="AE69" i="27"/>
  <c r="AD69" i="27"/>
  <c r="AC69" i="27"/>
  <c r="AB69" i="27"/>
  <c r="AA69" i="27"/>
  <c r="W69" i="27"/>
  <c r="U69" i="27"/>
  <c r="T69" i="27"/>
  <c r="S69" i="27"/>
  <c r="R69" i="27"/>
  <c r="Q69" i="27"/>
  <c r="P69" i="27"/>
  <c r="O69" i="27"/>
  <c r="N69" i="27"/>
  <c r="M69" i="27"/>
  <c r="L69" i="27"/>
  <c r="K69" i="27"/>
  <c r="J69" i="27"/>
  <c r="Z69" i="27" s="1"/>
  <c r="I69" i="27"/>
  <c r="H69" i="27"/>
  <c r="Y69" i="27" s="1"/>
  <c r="G69" i="27"/>
  <c r="F69" i="27"/>
  <c r="X69" i="27" s="1"/>
  <c r="E69" i="27"/>
  <c r="D69" i="27"/>
  <c r="C69" i="27"/>
  <c r="B69" i="27"/>
  <c r="AK68" i="27"/>
  <c r="AI68" i="27"/>
  <c r="AG68" i="27"/>
  <c r="AE68" i="27"/>
  <c r="AD68" i="27"/>
  <c r="AC68" i="27"/>
  <c r="AB68" i="27"/>
  <c r="AA68" i="27"/>
  <c r="W68" i="27"/>
  <c r="U68" i="27"/>
  <c r="T68" i="27"/>
  <c r="S68" i="27"/>
  <c r="R68" i="27"/>
  <c r="Q68" i="27"/>
  <c r="P68" i="27"/>
  <c r="O68" i="27"/>
  <c r="N68" i="27"/>
  <c r="M68" i="27"/>
  <c r="L68" i="27"/>
  <c r="K68" i="27"/>
  <c r="J68" i="27"/>
  <c r="Z68" i="27" s="1"/>
  <c r="I68" i="27"/>
  <c r="H68" i="27"/>
  <c r="Y68" i="27" s="1"/>
  <c r="G68" i="27"/>
  <c r="X68" i="27" s="1"/>
  <c r="F68" i="27"/>
  <c r="E68" i="27"/>
  <c r="D68" i="27"/>
  <c r="C68" i="27"/>
  <c r="B68" i="27"/>
  <c r="AK67" i="27"/>
  <c r="AI67" i="27"/>
  <c r="AG67" i="27"/>
  <c r="AE67" i="27"/>
  <c r="AD67" i="27"/>
  <c r="AC67" i="27"/>
  <c r="AB67" i="27"/>
  <c r="AA67" i="27"/>
  <c r="X67" i="27"/>
  <c r="U67" i="27"/>
  <c r="T67" i="27"/>
  <c r="S67" i="27"/>
  <c r="R67" i="27"/>
  <c r="Q67" i="27"/>
  <c r="P67" i="27"/>
  <c r="O67" i="27"/>
  <c r="N67" i="27"/>
  <c r="M67" i="27"/>
  <c r="L67" i="27"/>
  <c r="K67" i="27"/>
  <c r="J67" i="27"/>
  <c r="Z67" i="27" s="1"/>
  <c r="I67" i="27"/>
  <c r="H67" i="27"/>
  <c r="Y67" i="27" s="1"/>
  <c r="G67" i="27"/>
  <c r="F67" i="27"/>
  <c r="E67" i="27"/>
  <c r="D67" i="27"/>
  <c r="W67" i="27" s="1"/>
  <c r="C67" i="27"/>
  <c r="B67" i="27"/>
  <c r="AK66" i="27"/>
  <c r="AI66" i="27"/>
  <c r="AG66" i="27"/>
  <c r="AE66" i="27"/>
  <c r="AD66" i="27"/>
  <c r="AC66" i="27"/>
  <c r="AB66" i="27"/>
  <c r="AA66" i="27"/>
  <c r="X66" i="27"/>
  <c r="U66" i="27"/>
  <c r="T66" i="27"/>
  <c r="S66" i="27"/>
  <c r="R66" i="27"/>
  <c r="Q66" i="27"/>
  <c r="P66" i="27"/>
  <c r="O66" i="27"/>
  <c r="N66" i="27"/>
  <c r="M66" i="27"/>
  <c r="L66" i="27"/>
  <c r="K66" i="27"/>
  <c r="J66" i="27"/>
  <c r="Z66" i="27" s="1"/>
  <c r="I66" i="27"/>
  <c r="Y66" i="27" s="1"/>
  <c r="H66" i="27"/>
  <c r="G66" i="27"/>
  <c r="F66" i="27"/>
  <c r="E66" i="27"/>
  <c r="D66" i="27"/>
  <c r="W66" i="27" s="1"/>
  <c r="C66" i="27"/>
  <c r="B66" i="27"/>
  <c r="AK65" i="27"/>
  <c r="AI65" i="27"/>
  <c r="AG65" i="27"/>
  <c r="AE65" i="27"/>
  <c r="AD65" i="27"/>
  <c r="AC65" i="27"/>
  <c r="AB65" i="27"/>
  <c r="AA65" i="27"/>
  <c r="U65" i="27"/>
  <c r="T65" i="27"/>
  <c r="S65" i="27"/>
  <c r="R65" i="27"/>
  <c r="Q65" i="27"/>
  <c r="P65" i="27"/>
  <c r="O65" i="27"/>
  <c r="N65" i="27"/>
  <c r="M65" i="27"/>
  <c r="L65" i="27"/>
  <c r="K65" i="27"/>
  <c r="J65" i="27"/>
  <c r="Z65" i="27" s="1"/>
  <c r="I65" i="27"/>
  <c r="Y65" i="27" s="1"/>
  <c r="H65" i="27"/>
  <c r="G65" i="27"/>
  <c r="F65" i="27"/>
  <c r="X65" i="27" s="1"/>
  <c r="E65" i="27"/>
  <c r="D65" i="27"/>
  <c r="W65" i="27" s="1"/>
  <c r="C65" i="27"/>
  <c r="B65" i="27"/>
  <c r="V65" i="27" s="1"/>
  <c r="AK64" i="27"/>
  <c r="AI64" i="27"/>
  <c r="AG64" i="27"/>
  <c r="AE64" i="27"/>
  <c r="AD64" i="27"/>
  <c r="AC64" i="27"/>
  <c r="AB64" i="27"/>
  <c r="AA64" i="27"/>
  <c r="W64" i="27"/>
  <c r="U64" i="27"/>
  <c r="T64" i="27"/>
  <c r="S64" i="27"/>
  <c r="R64" i="27"/>
  <c r="Q64" i="27"/>
  <c r="P64" i="27"/>
  <c r="O64" i="27"/>
  <c r="N64" i="27"/>
  <c r="M64" i="27"/>
  <c r="L64" i="27"/>
  <c r="K64" i="27"/>
  <c r="J64" i="27"/>
  <c r="Z64" i="27" s="1"/>
  <c r="I64" i="27"/>
  <c r="Y64" i="27" s="1"/>
  <c r="H64" i="27"/>
  <c r="G64" i="27"/>
  <c r="F64" i="27"/>
  <c r="X64" i="27" s="1"/>
  <c r="E64" i="27"/>
  <c r="D64" i="27"/>
  <c r="C64" i="27"/>
  <c r="B64" i="27"/>
  <c r="AK63" i="27"/>
  <c r="AI63" i="27"/>
  <c r="AG63" i="27"/>
  <c r="AE63" i="27"/>
  <c r="AD63" i="27"/>
  <c r="AC63" i="27"/>
  <c r="AB63" i="27"/>
  <c r="AA63" i="27"/>
  <c r="X63" i="27"/>
  <c r="U63" i="27"/>
  <c r="T63" i="27"/>
  <c r="S63" i="27"/>
  <c r="R63" i="27"/>
  <c r="Q63" i="27"/>
  <c r="P63" i="27"/>
  <c r="O63" i="27"/>
  <c r="N63" i="27"/>
  <c r="M63" i="27"/>
  <c r="L63" i="27"/>
  <c r="K63" i="27"/>
  <c r="J63" i="27"/>
  <c r="Z63" i="27" s="1"/>
  <c r="I63" i="27"/>
  <c r="H63" i="27"/>
  <c r="Y63" i="27" s="1"/>
  <c r="G63" i="27"/>
  <c r="F63" i="27"/>
  <c r="E63" i="27"/>
  <c r="D63" i="27"/>
  <c r="W63" i="27" s="1"/>
  <c r="C63" i="27"/>
  <c r="B63" i="27"/>
  <c r="V63" i="27" s="1"/>
  <c r="AK62" i="27"/>
  <c r="AI62" i="27"/>
  <c r="AG62" i="27"/>
  <c r="AE62" i="27"/>
  <c r="AD62" i="27"/>
  <c r="AC62" i="27"/>
  <c r="AB62" i="27"/>
  <c r="AA62" i="27"/>
  <c r="U62" i="27"/>
  <c r="T62" i="27"/>
  <c r="S62" i="27"/>
  <c r="R62" i="27"/>
  <c r="Q62" i="27"/>
  <c r="P62" i="27"/>
  <c r="O62" i="27"/>
  <c r="N62" i="27"/>
  <c r="M62" i="27"/>
  <c r="L62" i="27"/>
  <c r="K62" i="27"/>
  <c r="J62" i="27"/>
  <c r="Z62" i="27" s="1"/>
  <c r="I62" i="27"/>
  <c r="Y62" i="27" s="1"/>
  <c r="H62" i="27"/>
  <c r="G62" i="27"/>
  <c r="F62" i="27"/>
  <c r="X62" i="27" s="1"/>
  <c r="E62" i="27"/>
  <c r="W62" i="27" s="1"/>
  <c r="D62" i="27"/>
  <c r="C62" i="27"/>
  <c r="B62" i="27"/>
  <c r="V62" i="27" s="1"/>
  <c r="AK61" i="27"/>
  <c r="AI61" i="27"/>
  <c r="AG61" i="27"/>
  <c r="AE61" i="27"/>
  <c r="AD61" i="27"/>
  <c r="AC61" i="27"/>
  <c r="AB61" i="27"/>
  <c r="AA61" i="27"/>
  <c r="W61" i="27"/>
  <c r="V61" i="27"/>
  <c r="U61" i="27"/>
  <c r="T61" i="27"/>
  <c r="S61" i="27"/>
  <c r="R61" i="27"/>
  <c r="Q61" i="27"/>
  <c r="P61" i="27"/>
  <c r="O61" i="27"/>
  <c r="N61" i="27"/>
  <c r="M61" i="27"/>
  <c r="L61" i="27"/>
  <c r="K61" i="27"/>
  <c r="J61" i="27"/>
  <c r="Z61" i="27" s="1"/>
  <c r="I61" i="27"/>
  <c r="H61" i="27"/>
  <c r="Y61" i="27" s="1"/>
  <c r="G61" i="27"/>
  <c r="F61" i="27"/>
  <c r="X61" i="27" s="1"/>
  <c r="E61" i="27"/>
  <c r="D61" i="27"/>
  <c r="C61" i="27"/>
  <c r="B61" i="27"/>
  <c r="AK60" i="27"/>
  <c r="AI60" i="27"/>
  <c r="AG60" i="27"/>
  <c r="AE60" i="27"/>
  <c r="AD60" i="27"/>
  <c r="AC60" i="27"/>
  <c r="AB60" i="27"/>
  <c r="AA60" i="27"/>
  <c r="W60" i="27"/>
  <c r="U60" i="27"/>
  <c r="T60" i="27"/>
  <c r="S60" i="27"/>
  <c r="R60" i="27"/>
  <c r="Q60" i="27"/>
  <c r="P60" i="27"/>
  <c r="O60" i="27"/>
  <c r="N60" i="27"/>
  <c r="M60" i="27"/>
  <c r="L60" i="27"/>
  <c r="K60" i="27"/>
  <c r="J60" i="27"/>
  <c r="Z60" i="27" s="1"/>
  <c r="I60" i="27"/>
  <c r="H60" i="27"/>
  <c r="Y60" i="27" s="1"/>
  <c r="G60" i="27"/>
  <c r="X60" i="27" s="1"/>
  <c r="F60" i="27"/>
  <c r="E60" i="27"/>
  <c r="D60" i="27"/>
  <c r="C60" i="27"/>
  <c r="B60" i="27"/>
  <c r="AK59" i="27"/>
  <c r="AI59" i="27"/>
  <c r="AG59" i="27"/>
  <c r="AE59" i="27"/>
  <c r="AD59" i="27"/>
  <c r="AC59" i="27"/>
  <c r="AB59" i="27"/>
  <c r="AA59" i="27"/>
  <c r="X59" i="27"/>
  <c r="U59" i="27"/>
  <c r="T59" i="27"/>
  <c r="S59" i="27"/>
  <c r="R59" i="27"/>
  <c r="Q59" i="27"/>
  <c r="P59" i="27"/>
  <c r="O59" i="27"/>
  <c r="N59" i="27"/>
  <c r="M59" i="27"/>
  <c r="L59" i="27"/>
  <c r="K59" i="27"/>
  <c r="J59" i="27"/>
  <c r="Z59" i="27" s="1"/>
  <c r="I59" i="27"/>
  <c r="H59" i="27"/>
  <c r="Y59" i="27" s="1"/>
  <c r="G59" i="27"/>
  <c r="F59" i="27"/>
  <c r="E59" i="27"/>
  <c r="D59" i="27"/>
  <c r="W59" i="27" s="1"/>
  <c r="C59" i="27"/>
  <c r="B59" i="27"/>
  <c r="V59" i="27" s="1"/>
  <c r="AK58" i="27"/>
  <c r="AI58" i="27"/>
  <c r="AG58" i="27"/>
  <c r="AE58" i="27"/>
  <c r="AD58" i="27"/>
  <c r="AC58" i="27"/>
  <c r="AB58" i="27"/>
  <c r="AA58" i="27"/>
  <c r="X58" i="27"/>
  <c r="U58" i="27"/>
  <c r="T58" i="27"/>
  <c r="S58" i="27"/>
  <c r="R58" i="27"/>
  <c r="Q58" i="27"/>
  <c r="P58" i="27"/>
  <c r="O58" i="27"/>
  <c r="N58" i="27"/>
  <c r="M58" i="27"/>
  <c r="L58" i="27"/>
  <c r="K58" i="27"/>
  <c r="J58" i="27"/>
  <c r="Z58" i="27" s="1"/>
  <c r="I58" i="27"/>
  <c r="Y58" i="27" s="1"/>
  <c r="H58" i="27"/>
  <c r="G58" i="27"/>
  <c r="F58" i="27"/>
  <c r="E58" i="27"/>
  <c r="D58" i="27"/>
  <c r="W58" i="27" s="1"/>
  <c r="C58" i="27"/>
  <c r="B58" i="27"/>
  <c r="V58" i="27" s="1"/>
  <c r="AK57" i="27"/>
  <c r="AI57" i="27"/>
  <c r="AG57" i="27"/>
  <c r="AE57" i="27"/>
  <c r="AD57" i="27"/>
  <c r="AC57" i="27"/>
  <c r="AB57" i="27"/>
  <c r="AA57" i="27"/>
  <c r="U57" i="27"/>
  <c r="T57" i="27"/>
  <c r="S57" i="27"/>
  <c r="R57" i="27"/>
  <c r="Q57" i="27"/>
  <c r="P57" i="27"/>
  <c r="O57" i="27"/>
  <c r="N57" i="27"/>
  <c r="M57" i="27"/>
  <c r="L57" i="27"/>
  <c r="K57" i="27"/>
  <c r="J57" i="27"/>
  <c r="Z57" i="27" s="1"/>
  <c r="I57" i="27"/>
  <c r="Y57" i="27" s="1"/>
  <c r="H57" i="27"/>
  <c r="G57" i="27"/>
  <c r="F57" i="27"/>
  <c r="X57" i="27" s="1"/>
  <c r="E57" i="27"/>
  <c r="D57" i="27"/>
  <c r="W57" i="27" s="1"/>
  <c r="C57" i="27"/>
  <c r="B57" i="27"/>
  <c r="AK56" i="27"/>
  <c r="AI56" i="27"/>
  <c r="AG56" i="27"/>
  <c r="AE56" i="27"/>
  <c r="AD56" i="27"/>
  <c r="AC56" i="27"/>
  <c r="AB56" i="27"/>
  <c r="AA56" i="27"/>
  <c r="W56" i="27"/>
  <c r="U56" i="27"/>
  <c r="T56" i="27"/>
  <c r="S56" i="27"/>
  <c r="R56" i="27"/>
  <c r="Q56" i="27"/>
  <c r="P56" i="27"/>
  <c r="O56" i="27"/>
  <c r="N56" i="27"/>
  <c r="M56" i="27"/>
  <c r="L56" i="27"/>
  <c r="K56" i="27"/>
  <c r="J56" i="27"/>
  <c r="Z56" i="27" s="1"/>
  <c r="I56" i="27"/>
  <c r="Y56" i="27" s="1"/>
  <c r="H56" i="27"/>
  <c r="G56" i="27"/>
  <c r="F56" i="27"/>
  <c r="X56" i="27" s="1"/>
  <c r="E56" i="27"/>
  <c r="D56" i="27"/>
  <c r="C56" i="27"/>
  <c r="V56" i="27" s="1"/>
  <c r="B56" i="27"/>
  <c r="AK55" i="27"/>
  <c r="AI55" i="27"/>
  <c r="AG55" i="27"/>
  <c r="AE55" i="27"/>
  <c r="AD55" i="27"/>
  <c r="AC55" i="27"/>
  <c r="AB55" i="27"/>
  <c r="AA55" i="27"/>
  <c r="X55" i="27"/>
  <c r="V55" i="27"/>
  <c r="U55" i="27"/>
  <c r="T55" i="27"/>
  <c r="S55" i="27"/>
  <c r="R55" i="27"/>
  <c r="Q55" i="27"/>
  <c r="P55" i="27"/>
  <c r="O55" i="27"/>
  <c r="N55" i="27"/>
  <c r="M55" i="27"/>
  <c r="L55" i="27"/>
  <c r="K55" i="27"/>
  <c r="J55" i="27"/>
  <c r="Z55" i="27" s="1"/>
  <c r="I55" i="27"/>
  <c r="H55" i="27"/>
  <c r="Y55" i="27" s="1"/>
  <c r="G55" i="27"/>
  <c r="F55" i="27"/>
  <c r="E55" i="27"/>
  <c r="D55" i="27"/>
  <c r="W55" i="27" s="1"/>
  <c r="C55" i="27"/>
  <c r="B55" i="27"/>
  <c r="AK54" i="27"/>
  <c r="AI54" i="27"/>
  <c r="AG54" i="27"/>
  <c r="AE54" i="27"/>
  <c r="AD54" i="27"/>
  <c r="AC54" i="27"/>
  <c r="AB54" i="27"/>
  <c r="AA54" i="27"/>
  <c r="U54" i="27"/>
  <c r="T54" i="27"/>
  <c r="S54" i="27"/>
  <c r="R54" i="27"/>
  <c r="Q54" i="27"/>
  <c r="P54" i="27"/>
  <c r="O54" i="27"/>
  <c r="N54" i="27"/>
  <c r="M54" i="27"/>
  <c r="L54" i="27"/>
  <c r="K54" i="27"/>
  <c r="J54" i="27"/>
  <c r="Z54" i="27" s="1"/>
  <c r="I54" i="27"/>
  <c r="Y54" i="27" s="1"/>
  <c r="H54" i="27"/>
  <c r="G54" i="27"/>
  <c r="F54" i="27"/>
  <c r="X54" i="27" s="1"/>
  <c r="E54" i="27"/>
  <c r="W54" i="27" s="1"/>
  <c r="D54" i="27"/>
  <c r="C54" i="27"/>
  <c r="B54" i="27"/>
  <c r="V54" i="27" s="1"/>
  <c r="AK53" i="27"/>
  <c r="AI53" i="27"/>
  <c r="AG53" i="27"/>
  <c r="AE53" i="27"/>
  <c r="AD53" i="27"/>
  <c r="AC53" i="27"/>
  <c r="AB53" i="27"/>
  <c r="AA53" i="27"/>
  <c r="W53" i="27"/>
  <c r="U53" i="27"/>
  <c r="T53" i="27"/>
  <c r="S53" i="27"/>
  <c r="R53" i="27"/>
  <c r="Q53" i="27"/>
  <c r="P53" i="27"/>
  <c r="O53" i="27"/>
  <c r="N53" i="27"/>
  <c r="M53" i="27"/>
  <c r="L53" i="27"/>
  <c r="K53" i="27"/>
  <c r="J53" i="27"/>
  <c r="Z53" i="27" s="1"/>
  <c r="I53" i="27"/>
  <c r="H53" i="27"/>
  <c r="Y53" i="27" s="1"/>
  <c r="G53" i="27"/>
  <c r="F53" i="27"/>
  <c r="X53" i="27" s="1"/>
  <c r="E53" i="27"/>
  <c r="D53" i="27"/>
  <c r="C53" i="27"/>
  <c r="B53" i="27"/>
  <c r="V53" i="27" s="1"/>
  <c r="AK52" i="27"/>
  <c r="AI52" i="27"/>
  <c r="AG52" i="27"/>
  <c r="AE52" i="27"/>
  <c r="AD52" i="27"/>
  <c r="AC52" i="27"/>
  <c r="AB52" i="27"/>
  <c r="AA52" i="27"/>
  <c r="W52" i="27"/>
  <c r="U52" i="27"/>
  <c r="T52" i="27"/>
  <c r="S52" i="27"/>
  <c r="R52" i="27"/>
  <c r="Q52" i="27"/>
  <c r="P52" i="27"/>
  <c r="O52" i="27"/>
  <c r="N52" i="27"/>
  <c r="M52" i="27"/>
  <c r="L52" i="27"/>
  <c r="K52" i="27"/>
  <c r="J52" i="27"/>
  <c r="Z52" i="27" s="1"/>
  <c r="I52" i="27"/>
  <c r="H52" i="27"/>
  <c r="Y52" i="27" s="1"/>
  <c r="G52" i="27"/>
  <c r="X52" i="27" s="1"/>
  <c r="F52" i="27"/>
  <c r="E52" i="27"/>
  <c r="D52" i="27"/>
  <c r="C52" i="27"/>
  <c r="B52" i="27"/>
  <c r="V52" i="27" s="1"/>
  <c r="AK51" i="27"/>
  <c r="AI51" i="27"/>
  <c r="AG51" i="27"/>
  <c r="AE51" i="27"/>
  <c r="AD51" i="27"/>
  <c r="AC51" i="27"/>
  <c r="AB51" i="27"/>
  <c r="AA51" i="27"/>
  <c r="X51" i="27"/>
  <c r="U51" i="27"/>
  <c r="T51" i="27"/>
  <c r="S51" i="27"/>
  <c r="R51" i="27"/>
  <c r="Q51" i="27"/>
  <c r="P51" i="27"/>
  <c r="O51" i="27"/>
  <c r="N51" i="27"/>
  <c r="M51" i="27"/>
  <c r="L51" i="27"/>
  <c r="K51" i="27"/>
  <c r="J51" i="27"/>
  <c r="Z51" i="27" s="1"/>
  <c r="I51" i="27"/>
  <c r="H51" i="27"/>
  <c r="Y51" i="27" s="1"/>
  <c r="G51" i="27"/>
  <c r="F51" i="27"/>
  <c r="E51" i="27"/>
  <c r="D51" i="27"/>
  <c r="W51" i="27" s="1"/>
  <c r="C51" i="27"/>
  <c r="B51" i="27"/>
  <c r="AK50" i="27"/>
  <c r="AI50" i="27"/>
  <c r="AG50" i="27"/>
  <c r="AE50" i="27"/>
  <c r="AD50" i="27"/>
  <c r="AC50" i="27"/>
  <c r="AB50" i="27"/>
  <c r="AA50" i="27"/>
  <c r="X50" i="27"/>
  <c r="U50" i="27"/>
  <c r="T50" i="27"/>
  <c r="S50" i="27"/>
  <c r="R50" i="27"/>
  <c r="Q50" i="27"/>
  <c r="P50" i="27"/>
  <c r="O50" i="27"/>
  <c r="N50" i="27"/>
  <c r="M50" i="27"/>
  <c r="L50" i="27"/>
  <c r="K50" i="27"/>
  <c r="J50" i="27"/>
  <c r="Z50" i="27" s="1"/>
  <c r="I50" i="27"/>
  <c r="Y50" i="27" s="1"/>
  <c r="H50" i="27"/>
  <c r="G50" i="27"/>
  <c r="F50" i="27"/>
  <c r="E50" i="27"/>
  <c r="D50" i="27"/>
  <c r="W50" i="27" s="1"/>
  <c r="C50" i="27"/>
  <c r="B50" i="27"/>
  <c r="V50" i="27" s="1"/>
  <c r="AK49" i="27"/>
  <c r="AI49" i="27"/>
  <c r="AG49" i="27"/>
  <c r="AE49" i="27"/>
  <c r="AD49" i="27"/>
  <c r="AC49" i="27"/>
  <c r="AB49" i="27"/>
  <c r="AA49" i="27"/>
  <c r="U49" i="27"/>
  <c r="T49" i="27"/>
  <c r="S49" i="27"/>
  <c r="R49" i="27"/>
  <c r="Q49" i="27"/>
  <c r="P49" i="27"/>
  <c r="O49" i="27"/>
  <c r="N49" i="27"/>
  <c r="M49" i="27"/>
  <c r="L49" i="27"/>
  <c r="K49" i="27"/>
  <c r="J49" i="27"/>
  <c r="Z49" i="27" s="1"/>
  <c r="I49" i="27"/>
  <c r="Y49" i="27" s="1"/>
  <c r="H49" i="27"/>
  <c r="G49" i="27"/>
  <c r="F49" i="27"/>
  <c r="X49" i="27" s="1"/>
  <c r="E49" i="27"/>
  <c r="D49" i="27"/>
  <c r="W49" i="27" s="1"/>
  <c r="C49" i="27"/>
  <c r="B49" i="27"/>
  <c r="V49" i="27" s="1"/>
  <c r="AK48" i="27"/>
  <c r="AI48" i="27"/>
  <c r="AG48" i="27"/>
  <c r="AE48" i="27"/>
  <c r="AD48" i="27"/>
  <c r="AC48" i="27"/>
  <c r="AB48" i="27"/>
  <c r="AA48" i="27"/>
  <c r="W48" i="27"/>
  <c r="U48" i="27"/>
  <c r="T48" i="27"/>
  <c r="S48" i="27"/>
  <c r="R48" i="27"/>
  <c r="Q48" i="27"/>
  <c r="P48" i="27"/>
  <c r="O48" i="27"/>
  <c r="N48" i="27"/>
  <c r="M48" i="27"/>
  <c r="L48" i="27"/>
  <c r="K48" i="27"/>
  <c r="J48" i="27"/>
  <c r="Z48" i="27" s="1"/>
  <c r="I48" i="27"/>
  <c r="Y48" i="27" s="1"/>
  <c r="H48" i="27"/>
  <c r="G48" i="27"/>
  <c r="F48" i="27"/>
  <c r="X48" i="27" s="1"/>
  <c r="E48" i="27"/>
  <c r="D48" i="27"/>
  <c r="C48" i="27"/>
  <c r="B48" i="27"/>
  <c r="AK47" i="27"/>
  <c r="AI47" i="27"/>
  <c r="AG47" i="27"/>
  <c r="AE47" i="27"/>
  <c r="AD47" i="27"/>
  <c r="AC47" i="27"/>
  <c r="AB47" i="27"/>
  <c r="AA47" i="27"/>
  <c r="X47" i="27"/>
  <c r="U47" i="27"/>
  <c r="T47" i="27"/>
  <c r="S47" i="27"/>
  <c r="R47" i="27"/>
  <c r="Q47" i="27"/>
  <c r="P47" i="27"/>
  <c r="O47" i="27"/>
  <c r="N47" i="27"/>
  <c r="M47" i="27"/>
  <c r="L47" i="27"/>
  <c r="K47" i="27"/>
  <c r="J47" i="27"/>
  <c r="Z47" i="27" s="1"/>
  <c r="I47" i="27"/>
  <c r="H47" i="27"/>
  <c r="Y47" i="27" s="1"/>
  <c r="G47" i="27"/>
  <c r="F47" i="27"/>
  <c r="E47" i="27"/>
  <c r="D47" i="27"/>
  <c r="W47" i="27" s="1"/>
  <c r="C47" i="27"/>
  <c r="B47" i="27"/>
  <c r="V47" i="27" s="1"/>
  <c r="AK46" i="27"/>
  <c r="AI46" i="27"/>
  <c r="AG46" i="27"/>
  <c r="AE46" i="27"/>
  <c r="AD46" i="27"/>
  <c r="AC46" i="27"/>
  <c r="AB46" i="27"/>
  <c r="AA46" i="27"/>
  <c r="U46" i="27"/>
  <c r="T46" i="27"/>
  <c r="S46" i="27"/>
  <c r="R46" i="27"/>
  <c r="Q46" i="27"/>
  <c r="P46" i="27"/>
  <c r="O46" i="27"/>
  <c r="N46" i="27"/>
  <c r="M46" i="27"/>
  <c r="L46" i="27"/>
  <c r="K46" i="27"/>
  <c r="J46" i="27"/>
  <c r="Z46" i="27" s="1"/>
  <c r="I46" i="27"/>
  <c r="Y46" i="27" s="1"/>
  <c r="H46" i="27"/>
  <c r="G46" i="27"/>
  <c r="F46" i="27"/>
  <c r="X46" i="27" s="1"/>
  <c r="E46" i="27"/>
  <c r="W46" i="27" s="1"/>
  <c r="D46" i="27"/>
  <c r="C46" i="27"/>
  <c r="B46" i="27"/>
  <c r="AK45" i="27"/>
  <c r="AI45" i="27"/>
  <c r="AG45" i="27"/>
  <c r="AE45" i="27"/>
  <c r="AD45" i="27"/>
  <c r="AC45" i="27"/>
  <c r="AB45" i="27"/>
  <c r="AA45" i="27"/>
  <c r="W45" i="27"/>
  <c r="U45" i="27"/>
  <c r="T45" i="27"/>
  <c r="S45" i="27"/>
  <c r="R45" i="27"/>
  <c r="Q45" i="27"/>
  <c r="P45" i="27"/>
  <c r="O45" i="27"/>
  <c r="N45" i="27"/>
  <c r="M45" i="27"/>
  <c r="L45" i="27"/>
  <c r="K45" i="27"/>
  <c r="J45" i="27"/>
  <c r="Z45" i="27" s="1"/>
  <c r="I45" i="27"/>
  <c r="H45" i="27"/>
  <c r="Y45" i="27" s="1"/>
  <c r="G45" i="27"/>
  <c r="F45" i="27"/>
  <c r="X45" i="27" s="1"/>
  <c r="E45" i="27"/>
  <c r="D45" i="27"/>
  <c r="C45" i="27"/>
  <c r="B45" i="27"/>
  <c r="AK44" i="27"/>
  <c r="AI44" i="27"/>
  <c r="AG44" i="27"/>
  <c r="AE44" i="27"/>
  <c r="AD44" i="27"/>
  <c r="AC44" i="27"/>
  <c r="AB44" i="27"/>
  <c r="AA44" i="27"/>
  <c r="W44" i="27"/>
  <c r="U44" i="27"/>
  <c r="T44" i="27"/>
  <c r="S44" i="27"/>
  <c r="R44" i="27"/>
  <c r="Q44" i="27"/>
  <c r="P44" i="27"/>
  <c r="O44" i="27"/>
  <c r="N44" i="27"/>
  <c r="M44" i="27"/>
  <c r="L44" i="27"/>
  <c r="K44" i="27"/>
  <c r="J44" i="27"/>
  <c r="Z44" i="27" s="1"/>
  <c r="I44" i="27"/>
  <c r="H44" i="27"/>
  <c r="Y44" i="27" s="1"/>
  <c r="G44" i="27"/>
  <c r="X44" i="27" s="1"/>
  <c r="F44" i="27"/>
  <c r="E44" i="27"/>
  <c r="D44" i="27"/>
  <c r="C44" i="27"/>
  <c r="B44" i="27"/>
  <c r="V44" i="27" s="1"/>
  <c r="AK43" i="27"/>
  <c r="AI43" i="27"/>
  <c r="AG43" i="27"/>
  <c r="AE43" i="27"/>
  <c r="AD43" i="27"/>
  <c r="AC43" i="27"/>
  <c r="AB43" i="27"/>
  <c r="AA43" i="27"/>
  <c r="X43" i="27"/>
  <c r="U43" i="27"/>
  <c r="T43" i="27"/>
  <c r="S43" i="27"/>
  <c r="R43" i="27"/>
  <c r="Q43" i="27"/>
  <c r="P43" i="27"/>
  <c r="O43" i="27"/>
  <c r="N43" i="27"/>
  <c r="M43" i="27"/>
  <c r="L43" i="27"/>
  <c r="K43" i="27"/>
  <c r="J43" i="27"/>
  <c r="Z43" i="27" s="1"/>
  <c r="I43" i="27"/>
  <c r="H43" i="27"/>
  <c r="Y43" i="27" s="1"/>
  <c r="G43" i="27"/>
  <c r="F43" i="27"/>
  <c r="E43" i="27"/>
  <c r="D43" i="27"/>
  <c r="W43" i="27" s="1"/>
  <c r="C43" i="27"/>
  <c r="B43" i="27"/>
  <c r="V43" i="27" s="1"/>
  <c r="AK42" i="27"/>
  <c r="AI42" i="27"/>
  <c r="AG42" i="27"/>
  <c r="AE42" i="27"/>
  <c r="AD42" i="27"/>
  <c r="AC42" i="27"/>
  <c r="AB42" i="27"/>
  <c r="AA42" i="27"/>
  <c r="Y42" i="27"/>
  <c r="X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2" i="27" s="1"/>
  <c r="I42" i="27"/>
  <c r="H42" i="27"/>
  <c r="G42" i="27"/>
  <c r="F42" i="27"/>
  <c r="E42" i="27"/>
  <c r="D42" i="27"/>
  <c r="W42" i="27" s="1"/>
  <c r="C42" i="27"/>
  <c r="B42" i="27"/>
  <c r="AK41" i="27"/>
  <c r="AI41" i="27"/>
  <c r="AG41" i="27"/>
  <c r="AE41" i="27"/>
  <c r="AD41" i="27"/>
  <c r="AC41" i="27"/>
  <c r="AB41" i="27"/>
  <c r="AA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1" i="27" s="1"/>
  <c r="I41" i="27"/>
  <c r="Y41" i="27" s="1"/>
  <c r="H41" i="27"/>
  <c r="G41" i="27"/>
  <c r="F41" i="27"/>
  <c r="X41" i="27" s="1"/>
  <c r="E41" i="27"/>
  <c r="D41" i="27"/>
  <c r="W41" i="27" s="1"/>
  <c r="C41" i="27"/>
  <c r="AK40" i="27"/>
  <c r="AI40" i="27"/>
  <c r="AG40" i="27"/>
  <c r="AE40" i="27"/>
  <c r="AD40" i="27"/>
  <c r="AC40" i="27"/>
  <c r="AB40" i="27"/>
  <c r="AA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40" i="27" s="1"/>
  <c r="I40" i="27"/>
  <c r="Y40" i="27" s="1"/>
  <c r="H40" i="27"/>
  <c r="G40" i="27"/>
  <c r="F40" i="27"/>
  <c r="X40" i="27" s="1"/>
  <c r="E40" i="27"/>
  <c r="D40" i="27"/>
  <c r="W40" i="27" s="1"/>
  <c r="C40" i="27"/>
  <c r="V40" i="27" s="1"/>
  <c r="B40" i="27"/>
  <c r="AK39" i="27"/>
  <c r="AI39" i="27"/>
  <c r="AG39" i="27"/>
  <c r="AE39" i="27"/>
  <c r="AD39" i="27"/>
  <c r="AC39" i="27"/>
  <c r="AB39" i="27"/>
  <c r="AA39" i="27"/>
  <c r="X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9" i="27" s="1"/>
  <c r="I39" i="27"/>
  <c r="H39" i="27"/>
  <c r="Y39" i="27" s="1"/>
  <c r="G39" i="27"/>
  <c r="F39" i="27"/>
  <c r="E39" i="27"/>
  <c r="D39" i="27"/>
  <c r="W39" i="27" s="1"/>
  <c r="C39" i="27"/>
  <c r="AK38" i="27"/>
  <c r="AI38" i="27"/>
  <c r="AG38" i="27"/>
  <c r="AE38" i="27"/>
  <c r="AD38" i="27"/>
  <c r="AC38" i="27"/>
  <c r="AB38" i="27"/>
  <c r="AA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8" i="27" s="1"/>
  <c r="I38" i="27"/>
  <c r="Y38" i="27" s="1"/>
  <c r="H38" i="27"/>
  <c r="G38" i="27"/>
  <c r="F38" i="27"/>
  <c r="X38" i="27" s="1"/>
  <c r="E38" i="27"/>
  <c r="W38" i="27" s="1"/>
  <c r="D38" i="27"/>
  <c r="C38" i="27"/>
  <c r="AK37" i="27"/>
  <c r="AI37" i="27"/>
  <c r="AG37" i="27"/>
  <c r="AE37" i="27"/>
  <c r="AD37" i="27"/>
  <c r="AC37" i="27"/>
  <c r="AB37" i="27"/>
  <c r="AA37" i="27"/>
  <c r="W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7" i="27" s="1"/>
  <c r="I37" i="27"/>
  <c r="H37" i="27"/>
  <c r="Y37" i="27" s="1"/>
  <c r="G37" i="27"/>
  <c r="F37" i="27"/>
  <c r="X37" i="27" s="1"/>
  <c r="E37" i="27"/>
  <c r="D37" i="27"/>
  <c r="C37" i="27"/>
  <c r="B37" i="27"/>
  <c r="AK36" i="27"/>
  <c r="AI36" i="27"/>
  <c r="AG36" i="27"/>
  <c r="AE36" i="27"/>
  <c r="AD36" i="27"/>
  <c r="AC36" i="27"/>
  <c r="AB36" i="27"/>
  <c r="AA36" i="27"/>
  <c r="W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6" i="27" s="1"/>
  <c r="I36" i="27"/>
  <c r="H36" i="27"/>
  <c r="Y36" i="27" s="1"/>
  <c r="G36" i="27"/>
  <c r="X36" i="27" s="1"/>
  <c r="F36" i="27"/>
  <c r="E36" i="27"/>
  <c r="D36" i="27"/>
  <c r="C36" i="27"/>
  <c r="B36" i="27"/>
  <c r="AK35" i="27"/>
  <c r="AI35" i="27"/>
  <c r="AG35" i="27"/>
  <c r="AE35" i="27"/>
  <c r="AD35" i="27"/>
  <c r="AC35" i="27"/>
  <c r="AB35" i="27"/>
  <c r="AA35" i="27"/>
  <c r="X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Z35" i="27" s="1"/>
  <c r="I35" i="27"/>
  <c r="H35" i="27"/>
  <c r="Y35" i="27" s="1"/>
  <c r="G35" i="27"/>
  <c r="F35" i="27"/>
  <c r="E35" i="27"/>
  <c r="D35" i="27"/>
  <c r="W35" i="27" s="1"/>
  <c r="C35" i="27"/>
  <c r="B35" i="27"/>
  <c r="V35" i="27" s="1"/>
  <c r="AK34" i="27"/>
  <c r="AI34" i="27"/>
  <c r="AG34" i="27"/>
  <c r="AE34" i="27"/>
  <c r="AD34" i="27"/>
  <c r="AC34" i="27"/>
  <c r="AB34" i="27"/>
  <c r="AA34" i="27"/>
  <c r="X34" i="27"/>
  <c r="U34" i="27"/>
  <c r="T34" i="27"/>
  <c r="S34" i="27"/>
  <c r="R34" i="27"/>
  <c r="Q34" i="27"/>
  <c r="P34" i="27"/>
  <c r="O34" i="27"/>
  <c r="N34" i="27"/>
  <c r="M34" i="27"/>
  <c r="L34" i="27"/>
  <c r="K34" i="27"/>
  <c r="J34" i="27"/>
  <c r="Z34" i="27" s="1"/>
  <c r="I34" i="27"/>
  <c r="Y34" i="27" s="1"/>
  <c r="H34" i="27"/>
  <c r="G34" i="27"/>
  <c r="F34" i="27"/>
  <c r="E34" i="27"/>
  <c r="D34" i="27"/>
  <c r="W34" i="27" s="1"/>
  <c r="C34" i="27"/>
  <c r="B34" i="27"/>
  <c r="V34" i="27" s="1"/>
  <c r="AK33" i="27"/>
  <c r="AI33" i="27"/>
  <c r="AG33" i="27"/>
  <c r="AE33" i="27"/>
  <c r="AD33" i="27"/>
  <c r="AC33" i="27"/>
  <c r="AB33" i="27"/>
  <c r="AA33" i="27"/>
  <c r="U33" i="27"/>
  <c r="T33" i="27"/>
  <c r="S33" i="27"/>
  <c r="R33" i="27"/>
  <c r="Q33" i="27"/>
  <c r="P33" i="27"/>
  <c r="O33" i="27"/>
  <c r="N33" i="27"/>
  <c r="M33" i="27"/>
  <c r="L33" i="27"/>
  <c r="K33" i="27"/>
  <c r="J33" i="27"/>
  <c r="Z33" i="27" s="1"/>
  <c r="I33" i="27"/>
  <c r="Y33" i="27" s="1"/>
  <c r="H33" i="27"/>
  <c r="G33" i="27"/>
  <c r="F33" i="27"/>
  <c r="X33" i="27" s="1"/>
  <c r="E33" i="27"/>
  <c r="D33" i="27"/>
  <c r="W33" i="27" s="1"/>
  <c r="C33" i="27"/>
  <c r="B33" i="27"/>
  <c r="AK32" i="27"/>
  <c r="AI32" i="27"/>
  <c r="AG32" i="27"/>
  <c r="AE32" i="27"/>
  <c r="AD32" i="27"/>
  <c r="AC32" i="27"/>
  <c r="AB32" i="27"/>
  <c r="AA32" i="27"/>
  <c r="U32" i="27"/>
  <c r="T32" i="27"/>
  <c r="S32" i="27"/>
  <c r="R32" i="27"/>
  <c r="Q32" i="27"/>
  <c r="P32" i="27"/>
  <c r="O32" i="27"/>
  <c r="N32" i="27"/>
  <c r="M32" i="27"/>
  <c r="L32" i="27"/>
  <c r="K32" i="27"/>
  <c r="J32" i="27"/>
  <c r="Z32" i="27" s="1"/>
  <c r="I32" i="27"/>
  <c r="Y32" i="27" s="1"/>
  <c r="H32" i="27"/>
  <c r="G32" i="27"/>
  <c r="F32" i="27"/>
  <c r="X32" i="27" s="1"/>
  <c r="E32" i="27"/>
  <c r="D32" i="27"/>
  <c r="W32" i="27" s="1"/>
  <c r="C32" i="27"/>
  <c r="B32" i="27"/>
  <c r="V32" i="27" s="1"/>
  <c r="AK31" i="27"/>
  <c r="AI31" i="27"/>
  <c r="AG31" i="27"/>
  <c r="AE31" i="27"/>
  <c r="AD31" i="27"/>
  <c r="AC31" i="27"/>
  <c r="AB31" i="27"/>
  <c r="AA31" i="27"/>
  <c r="U31" i="27"/>
  <c r="T31" i="27"/>
  <c r="S31" i="27"/>
  <c r="R31" i="27"/>
  <c r="Q31" i="27"/>
  <c r="P31" i="27"/>
  <c r="O31" i="27"/>
  <c r="N31" i="27"/>
  <c r="M31" i="27"/>
  <c r="L31" i="27"/>
  <c r="K31" i="27"/>
  <c r="J31" i="27"/>
  <c r="Z31" i="27" s="1"/>
  <c r="I31" i="27"/>
  <c r="H31" i="27"/>
  <c r="Y31" i="27" s="1"/>
  <c r="G31" i="27"/>
  <c r="F31" i="27"/>
  <c r="X31" i="27" s="1"/>
  <c r="E31" i="27"/>
  <c r="D31" i="27"/>
  <c r="W31" i="27" s="1"/>
  <c r="C31" i="27"/>
  <c r="B31" i="27"/>
  <c r="AK30" i="27"/>
  <c r="AI30" i="27"/>
  <c r="AG30" i="27"/>
  <c r="AE30" i="27"/>
  <c r="AD30" i="27"/>
  <c r="AC30" i="27"/>
  <c r="AB30" i="27"/>
  <c r="AA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Z30" i="27" s="1"/>
  <c r="I30" i="27"/>
  <c r="Y30" i="27" s="1"/>
  <c r="H30" i="27"/>
  <c r="G30" i="27"/>
  <c r="F30" i="27"/>
  <c r="X30" i="27" s="1"/>
  <c r="E30" i="27"/>
  <c r="W30" i="27" s="1"/>
  <c r="D30" i="27"/>
  <c r="C30" i="27"/>
  <c r="B30" i="27"/>
  <c r="V30" i="27" s="1"/>
  <c r="AK29" i="27"/>
  <c r="AI29" i="27"/>
  <c r="AG29" i="27"/>
  <c r="AE29" i="27"/>
  <c r="AD29" i="27"/>
  <c r="AC29" i="27"/>
  <c r="AB29" i="27"/>
  <c r="AA29" i="27"/>
  <c r="W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Z29" i="27" s="1"/>
  <c r="I29" i="27"/>
  <c r="H29" i="27"/>
  <c r="Y29" i="27" s="1"/>
  <c r="G29" i="27"/>
  <c r="F29" i="27"/>
  <c r="X29" i="27" s="1"/>
  <c r="E29" i="27"/>
  <c r="D29" i="27"/>
  <c r="C29" i="27"/>
  <c r="B29" i="27"/>
  <c r="V29" i="27" s="1"/>
  <c r="AK28" i="27"/>
  <c r="AI28" i="27"/>
  <c r="AG28" i="27"/>
  <c r="AE28" i="27"/>
  <c r="AD28" i="27"/>
  <c r="AC28" i="27"/>
  <c r="AB28" i="27"/>
  <c r="AA28" i="27"/>
  <c r="W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Z28" i="27" s="1"/>
  <c r="I28" i="27"/>
  <c r="H28" i="27"/>
  <c r="Y28" i="27" s="1"/>
  <c r="G28" i="27"/>
  <c r="X28" i="27" s="1"/>
  <c r="F28" i="27"/>
  <c r="E28" i="27"/>
  <c r="D28" i="27"/>
  <c r="C28" i="27"/>
  <c r="B28" i="27"/>
  <c r="AR22" i="27"/>
  <c r="AQ22" i="27"/>
  <c r="AM22" i="27"/>
  <c r="AS22" i="27" s="1"/>
  <c r="AR21" i="27"/>
  <c r="AQ21" i="27"/>
  <c r="AM21" i="27"/>
  <c r="AS21" i="27" s="1"/>
  <c r="AR20" i="27"/>
  <c r="AQ20" i="27"/>
  <c r="AM20" i="27"/>
  <c r="AS20" i="27" s="1"/>
  <c r="AR19" i="27"/>
  <c r="AQ19" i="27"/>
  <c r="AM19" i="27"/>
  <c r="AS19" i="27" s="1"/>
  <c r="AR18" i="27"/>
  <c r="AQ18" i="27"/>
  <c r="AM18" i="27"/>
  <c r="AS18" i="27" s="1"/>
  <c r="AR17" i="27"/>
  <c r="AQ17" i="27"/>
  <c r="AM17" i="27"/>
  <c r="AS17" i="27" s="1"/>
  <c r="AR16" i="27"/>
  <c r="AQ16" i="27"/>
  <c r="AM16" i="27"/>
  <c r="AS16" i="27" s="1"/>
  <c r="AR15" i="27"/>
  <c r="AQ15" i="27"/>
  <c r="AM15" i="27"/>
  <c r="AS15" i="27" s="1"/>
  <c r="AR14" i="27"/>
  <c r="AQ14" i="27"/>
  <c r="AM14" i="27"/>
  <c r="AS14" i="27" s="1"/>
  <c r="AR13" i="27"/>
  <c r="AQ13" i="27"/>
  <c r="AM13" i="27"/>
  <c r="AS13" i="27" s="1"/>
  <c r="AR12" i="27"/>
  <c r="AQ12" i="27"/>
  <c r="AM12" i="27"/>
  <c r="AS12" i="27" s="1"/>
  <c r="AR11" i="27"/>
  <c r="AQ11" i="27"/>
  <c r="AM11" i="27"/>
  <c r="AS11" i="27" s="1"/>
  <c r="AR10" i="27"/>
  <c r="AQ10" i="27"/>
  <c r="AM10" i="27"/>
  <c r="AS10" i="27" s="1"/>
  <c r="AR9" i="27"/>
  <c r="AQ9" i="27"/>
  <c r="AM9" i="27"/>
  <c r="AS9" i="27" s="1"/>
  <c r="AR8" i="27"/>
  <c r="AQ8" i="27"/>
  <c r="AM8" i="27"/>
  <c r="AS8" i="27" s="1"/>
  <c r="AR7" i="27"/>
  <c r="AQ7" i="27"/>
  <c r="AM7" i="27"/>
  <c r="AS7" i="27" s="1"/>
  <c r="AR6" i="27"/>
  <c r="AQ6" i="27"/>
  <c r="AM6" i="27"/>
  <c r="AS6" i="27" s="1"/>
  <c r="AR5" i="27"/>
  <c r="AQ5" i="27"/>
  <c r="AM5" i="27"/>
  <c r="AS5" i="27" s="1"/>
  <c r="AR4" i="27"/>
  <c r="AQ4" i="27"/>
  <c r="AM4" i="27"/>
  <c r="AS4" i="27" s="1"/>
  <c r="AD15" i="26"/>
  <c r="AE15" i="26" s="1"/>
  <c r="AE19" i="26" s="1"/>
  <c r="AA15" i="26"/>
  <c r="AB15" i="26" s="1"/>
  <c r="AB19" i="26" s="1"/>
  <c r="X15" i="26"/>
  <c r="Y15" i="26" s="1"/>
  <c r="Y19" i="26" s="1"/>
  <c r="U15" i="26"/>
  <c r="V15" i="26" s="1"/>
  <c r="V19" i="26" s="1"/>
  <c r="R15" i="26"/>
  <c r="S15" i="26" s="1"/>
  <c r="S19" i="26" s="1"/>
  <c r="O15" i="26"/>
  <c r="P15" i="26" s="1"/>
  <c r="P19" i="26" s="1"/>
  <c r="L15" i="26"/>
  <c r="M15" i="26" s="1"/>
  <c r="M19" i="26" s="1"/>
  <c r="I15" i="26"/>
  <c r="J15" i="26" s="1"/>
  <c r="J19" i="26" s="1"/>
  <c r="F15" i="26"/>
  <c r="G15" i="26" s="1"/>
  <c r="G19" i="26" s="1"/>
  <c r="C15" i="26"/>
  <c r="D15" i="26" s="1"/>
  <c r="D19" i="26" s="1"/>
  <c r="AF19" i="26" l="1"/>
  <c r="AE18" i="26"/>
  <c r="P18" i="26"/>
  <c r="V18" i="26"/>
  <c r="V16" i="26"/>
  <c r="J18" i="26"/>
  <c r="Y18" i="26"/>
  <c r="G18" i="26"/>
  <c r="M18" i="26"/>
  <c r="AB18" i="26"/>
  <c r="D18" i="26"/>
  <c r="S18" i="26"/>
  <c r="Y16" i="26"/>
  <c r="G16" i="26"/>
  <c r="J16" i="26"/>
  <c r="M16" i="26"/>
  <c r="P16" i="26"/>
  <c r="AB16" i="26"/>
  <c r="S16" i="26"/>
  <c r="AB17" i="26"/>
  <c r="D17" i="26"/>
  <c r="S17" i="26"/>
  <c r="J17" i="26"/>
  <c r="D3" i="20"/>
  <c r="D16" i="26"/>
  <c r="AE16" i="26"/>
  <c r="Y17" i="26"/>
  <c r="AE17" i="26"/>
  <c r="P17" i="26"/>
  <c r="G17" i="26"/>
  <c r="V17" i="26"/>
  <c r="V25" i="26" s="1"/>
  <c r="M17" i="26"/>
  <c r="T76" i="20"/>
  <c r="R76" i="20"/>
  <c r="P76" i="20"/>
  <c r="N76" i="20"/>
  <c r="L76" i="20"/>
  <c r="J76" i="20"/>
  <c r="H76" i="20"/>
  <c r="F76" i="20"/>
  <c r="D76" i="20"/>
  <c r="B76" i="20"/>
  <c r="AF20" i="26"/>
  <c r="V31" i="27"/>
  <c r="V33" i="27"/>
  <c r="V57" i="27"/>
  <c r="V67" i="27"/>
  <c r="V72" i="27"/>
  <c r="V89" i="27"/>
  <c r="V94" i="27"/>
  <c r="V104" i="27"/>
  <c r="V112" i="27"/>
  <c r="V38" i="27"/>
  <c r="V76" i="27"/>
  <c r="V28" i="27"/>
  <c r="V51" i="27"/>
  <c r="V64" i="27"/>
  <c r="V69" i="27"/>
  <c r="V81" i="27"/>
  <c r="V37" i="27"/>
  <c r="V46" i="27"/>
  <c r="V66" i="27"/>
  <c r="V71" i="27"/>
  <c r="V83" i="27"/>
  <c r="V88" i="27"/>
  <c r="V93" i="27"/>
  <c r="V111" i="27"/>
  <c r="V73" i="27"/>
  <c r="V75" i="27"/>
  <c r="V90" i="27"/>
  <c r="V36" i="27"/>
  <c r="V42" i="27"/>
  <c r="V45" i="27"/>
  <c r="V60" i="27"/>
  <c r="V97" i="27"/>
  <c r="V102" i="27"/>
  <c r="V108" i="27"/>
  <c r="V68" i="27"/>
  <c r="V87" i="27"/>
  <c r="V92" i="27"/>
  <c r="B39" i="27"/>
  <c r="V39" i="27" s="1"/>
  <c r="V48" i="27"/>
  <c r="B113" i="27"/>
  <c r="V113" i="27" s="1"/>
  <c r="B77" i="27"/>
  <c r="V77" i="27" s="1"/>
  <c r="B80" i="27"/>
  <c r="V80" i="27" s="1"/>
  <c r="B82" i="27"/>
  <c r="V82" i="27" s="1"/>
  <c r="B41" i="27"/>
  <c r="V41" i="27" s="1"/>
  <c r="B74" i="27"/>
  <c r="V74" i="27" s="1"/>
  <c r="B115" i="27"/>
  <c r="V115" i="27" s="1"/>
  <c r="B118" i="27"/>
  <c r="V118" i="27" s="1"/>
  <c r="B121" i="27"/>
  <c r="V121" i="27" s="1"/>
  <c r="B123" i="27"/>
  <c r="V123" i="27" s="1"/>
  <c r="B126" i="27"/>
  <c r="V126" i="27" s="1"/>
  <c r="B79" i="27"/>
  <c r="V79" i="27" s="1"/>
  <c r="V95" i="27"/>
  <c r="V100" i="27"/>
  <c r="B117" i="27"/>
  <c r="V117" i="27" s="1"/>
  <c r="B125" i="27"/>
  <c r="V125" i="27" s="1"/>
  <c r="B114" i="27"/>
  <c r="V114" i="27" s="1"/>
  <c r="B120" i="27"/>
  <c r="V120" i="27" s="1"/>
  <c r="V128" i="27"/>
  <c r="S25" i="26"/>
  <c r="J25" i="26"/>
  <c r="D25" i="26" l="1"/>
  <c r="P25" i="26"/>
  <c r="AE25" i="26"/>
  <c r="M25" i="26"/>
  <c r="Y25" i="26"/>
  <c r="AB25" i="26"/>
  <c r="AF18" i="26"/>
  <c r="AF16" i="26"/>
  <c r="AF17" i="26"/>
  <c r="B84" i="25"/>
  <c r="B79" i="25"/>
  <c r="B45" i="25"/>
  <c r="B42" i="25"/>
  <c r="AS5" i="25"/>
  <c r="AS6" i="25"/>
  <c r="AS7" i="25"/>
  <c r="AS8" i="25"/>
  <c r="AS9" i="25"/>
  <c r="AS10" i="25"/>
  <c r="AS11" i="25"/>
  <c r="AS12" i="25"/>
  <c r="AS13" i="25"/>
  <c r="AS14" i="25"/>
  <c r="AS15" i="25"/>
  <c r="AS16" i="25"/>
  <c r="AS17" i="25"/>
  <c r="AS18" i="25"/>
  <c r="AS19" i="25"/>
  <c r="AS20" i="25"/>
  <c r="AS21" i="25"/>
  <c r="AS22" i="25"/>
  <c r="AS4" i="25"/>
  <c r="AM5" i="25"/>
  <c r="AM6" i="25"/>
  <c r="AM7" i="25"/>
  <c r="AM8" i="25"/>
  <c r="AM9" i="25"/>
  <c r="AM10" i="25"/>
  <c r="AM11" i="25"/>
  <c r="AM12" i="25"/>
  <c r="AM13" i="25"/>
  <c r="AM14" i="25"/>
  <c r="AM15" i="25"/>
  <c r="AM16" i="25"/>
  <c r="AM17" i="25"/>
  <c r="AM18" i="25"/>
  <c r="AM19" i="25"/>
  <c r="AM20" i="25"/>
  <c r="AM21" i="25"/>
  <c r="AM22" i="25"/>
  <c r="AM4" i="25"/>
  <c r="J2" i="11"/>
  <c r="C124" i="25"/>
  <c r="C109" i="25"/>
  <c r="C107" i="25"/>
  <c r="C102" i="25"/>
  <c r="C95" i="25"/>
  <c r="C83" i="25"/>
  <c r="C80" i="25"/>
  <c r="C63" i="25"/>
  <c r="C46" i="25"/>
  <c r="C28" i="25"/>
  <c r="AR5" i="25"/>
  <c r="AR6" i="25"/>
  <c r="AR7" i="25"/>
  <c r="AR8" i="25"/>
  <c r="AR9" i="25"/>
  <c r="AR10" i="25"/>
  <c r="AR11" i="25"/>
  <c r="AR12" i="25"/>
  <c r="AR13" i="25"/>
  <c r="AR14" i="25"/>
  <c r="AR15" i="25"/>
  <c r="AR16" i="25"/>
  <c r="AR17" i="25"/>
  <c r="AR18" i="25"/>
  <c r="AR19" i="25"/>
  <c r="AR20" i="25"/>
  <c r="AR21" i="25"/>
  <c r="AR22" i="25"/>
  <c r="AR4" i="25"/>
  <c r="AQ5" i="25"/>
  <c r="AQ6" i="25"/>
  <c r="AQ7" i="25"/>
  <c r="AQ8" i="25"/>
  <c r="AQ9" i="25"/>
  <c r="AQ10" i="25"/>
  <c r="AQ11" i="25"/>
  <c r="AQ12" i="25"/>
  <c r="AQ13" i="25"/>
  <c r="AQ14" i="25"/>
  <c r="AQ15" i="25"/>
  <c r="AQ16" i="25"/>
  <c r="AQ17" i="25"/>
  <c r="AQ18" i="25"/>
  <c r="AQ19" i="25"/>
  <c r="AQ20" i="25"/>
  <c r="AQ21" i="25"/>
  <c r="AQ22" i="25"/>
  <c r="AQ4" i="25"/>
  <c r="AK128" i="25"/>
  <c r="AI128" i="25"/>
  <c r="AG128" i="25"/>
  <c r="AE128" i="25"/>
  <c r="AD128" i="25"/>
  <c r="AC128" i="25"/>
  <c r="AB128" i="25"/>
  <c r="AA128" i="25"/>
  <c r="U128" i="25"/>
  <c r="T128" i="25"/>
  <c r="S128" i="25"/>
  <c r="R128" i="25"/>
  <c r="Q128" i="25"/>
  <c r="P128" i="25"/>
  <c r="O128" i="25"/>
  <c r="N128" i="25"/>
  <c r="M128" i="25"/>
  <c r="L128" i="25"/>
  <c r="K128" i="25"/>
  <c r="J128" i="25"/>
  <c r="Z128" i="25" s="1"/>
  <c r="I128" i="25"/>
  <c r="H128" i="25"/>
  <c r="G128" i="25"/>
  <c r="F128" i="25"/>
  <c r="X128" i="25" s="1"/>
  <c r="E128" i="25"/>
  <c r="D128" i="25"/>
  <c r="W128" i="25" s="1"/>
  <c r="C128" i="25"/>
  <c r="B128" i="25"/>
  <c r="V128" i="25" s="1"/>
  <c r="AK127" i="25"/>
  <c r="AI127" i="25"/>
  <c r="AG127" i="25"/>
  <c r="AE127" i="25"/>
  <c r="AD127" i="25"/>
  <c r="AC127" i="25"/>
  <c r="AB127" i="25"/>
  <c r="AA127" i="25"/>
  <c r="U127" i="25"/>
  <c r="T127" i="25"/>
  <c r="S127" i="25"/>
  <c r="R127" i="25"/>
  <c r="Q127" i="25"/>
  <c r="P127" i="25"/>
  <c r="O127" i="25"/>
  <c r="N127" i="25"/>
  <c r="M127" i="25"/>
  <c r="L127" i="25"/>
  <c r="K127" i="25"/>
  <c r="J127" i="25"/>
  <c r="Z127" i="25" s="1"/>
  <c r="I127" i="25"/>
  <c r="H127" i="25"/>
  <c r="G127" i="25"/>
  <c r="F127" i="25"/>
  <c r="E127" i="25"/>
  <c r="D127" i="25"/>
  <c r="C127" i="25"/>
  <c r="B127" i="25"/>
  <c r="AK126" i="25"/>
  <c r="AI126" i="25"/>
  <c r="AG126" i="25"/>
  <c r="AE126" i="25"/>
  <c r="AD126" i="25"/>
  <c r="AC126" i="25"/>
  <c r="AB126" i="25"/>
  <c r="AA126" i="25"/>
  <c r="U126" i="25"/>
  <c r="T126" i="25"/>
  <c r="S126" i="25"/>
  <c r="R126" i="25"/>
  <c r="Q126" i="25"/>
  <c r="P126" i="25"/>
  <c r="O126" i="25"/>
  <c r="N126" i="25"/>
  <c r="M126" i="25"/>
  <c r="L126" i="25"/>
  <c r="K126" i="25"/>
  <c r="J126" i="25"/>
  <c r="I126" i="25"/>
  <c r="H126" i="25"/>
  <c r="G126" i="25"/>
  <c r="F126" i="25"/>
  <c r="X126" i="25" s="1"/>
  <c r="E126" i="25"/>
  <c r="D126" i="25"/>
  <c r="B126" i="25"/>
  <c r="AK125" i="25"/>
  <c r="AI125" i="25"/>
  <c r="AG125" i="25"/>
  <c r="AE125" i="25"/>
  <c r="AD125" i="25"/>
  <c r="AC125" i="25"/>
  <c r="AB125" i="25"/>
  <c r="AA125" i="25"/>
  <c r="U125" i="25"/>
  <c r="T125" i="25"/>
  <c r="S125" i="25"/>
  <c r="R125" i="25"/>
  <c r="Q125" i="25"/>
  <c r="P125" i="25"/>
  <c r="O125" i="25"/>
  <c r="N125" i="25"/>
  <c r="M125" i="25"/>
  <c r="L125" i="25"/>
  <c r="K125" i="25"/>
  <c r="J125" i="25"/>
  <c r="Z125" i="25" s="1"/>
  <c r="I125" i="25"/>
  <c r="Y125" i="25" s="1"/>
  <c r="H125" i="25"/>
  <c r="G125" i="25"/>
  <c r="F125" i="25"/>
  <c r="E125" i="25"/>
  <c r="D125" i="25"/>
  <c r="C125" i="25"/>
  <c r="B125" i="25"/>
  <c r="AK124" i="25"/>
  <c r="AI124" i="25"/>
  <c r="AG124" i="25"/>
  <c r="AE124" i="25"/>
  <c r="AD124" i="25"/>
  <c r="AC124" i="25"/>
  <c r="AB124" i="25"/>
  <c r="AA124" i="25"/>
  <c r="U124" i="25"/>
  <c r="T124" i="25"/>
  <c r="S124" i="25"/>
  <c r="R124" i="25"/>
  <c r="Q124" i="25"/>
  <c r="P124" i="25"/>
  <c r="O124" i="25"/>
  <c r="N124" i="25"/>
  <c r="M124" i="25"/>
  <c r="L124" i="25"/>
  <c r="K124" i="25"/>
  <c r="J124" i="25"/>
  <c r="I124" i="25"/>
  <c r="Y124" i="25" s="1"/>
  <c r="H124" i="25"/>
  <c r="G124" i="25"/>
  <c r="F124" i="25"/>
  <c r="X124" i="25" s="1"/>
  <c r="E124" i="25"/>
  <c r="D124" i="25"/>
  <c r="B124" i="25"/>
  <c r="V124" i="25" s="1"/>
  <c r="AK123" i="25"/>
  <c r="AI123" i="25"/>
  <c r="AG123" i="25"/>
  <c r="AE123" i="25"/>
  <c r="AD123" i="25"/>
  <c r="AC123" i="25"/>
  <c r="AB123" i="25"/>
  <c r="AA123" i="25"/>
  <c r="U123" i="25"/>
  <c r="T123" i="25"/>
  <c r="S123" i="25"/>
  <c r="R123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X123" i="25" s="1"/>
  <c r="E123" i="25"/>
  <c r="D123" i="25"/>
  <c r="B123" i="25"/>
  <c r="AK122" i="25"/>
  <c r="AI122" i="25"/>
  <c r="AG122" i="25"/>
  <c r="AE122" i="25"/>
  <c r="AD122" i="25"/>
  <c r="AC122" i="25"/>
  <c r="AB122" i="25"/>
  <c r="AA122" i="25"/>
  <c r="U122" i="25"/>
  <c r="T122" i="25"/>
  <c r="S122" i="25"/>
  <c r="R122" i="25"/>
  <c r="Q122" i="25"/>
  <c r="P122" i="25"/>
  <c r="O122" i="25"/>
  <c r="N122" i="25"/>
  <c r="M122" i="25"/>
  <c r="L122" i="25"/>
  <c r="K122" i="25"/>
  <c r="J122" i="25"/>
  <c r="Z122" i="25" s="1"/>
  <c r="I122" i="25"/>
  <c r="H122" i="25"/>
  <c r="G122" i="25"/>
  <c r="F122" i="25"/>
  <c r="E122" i="25"/>
  <c r="D122" i="25"/>
  <c r="W122" i="25" s="1"/>
  <c r="B122" i="25"/>
  <c r="AK121" i="25"/>
  <c r="AI121" i="25"/>
  <c r="AG121" i="25"/>
  <c r="AE121" i="25"/>
  <c r="AD121" i="25"/>
  <c r="AC121" i="25"/>
  <c r="AB121" i="25"/>
  <c r="AA121" i="25"/>
  <c r="U121" i="25"/>
  <c r="T121" i="25"/>
  <c r="S121" i="25"/>
  <c r="R121" i="25"/>
  <c r="Q121" i="25"/>
  <c r="P121" i="25"/>
  <c r="O121" i="25"/>
  <c r="N121" i="25"/>
  <c r="M121" i="25"/>
  <c r="L121" i="25"/>
  <c r="K121" i="25"/>
  <c r="J121" i="25"/>
  <c r="I121" i="25"/>
  <c r="H121" i="25"/>
  <c r="G121" i="25"/>
  <c r="F121" i="25"/>
  <c r="E121" i="25"/>
  <c r="D121" i="25"/>
  <c r="C121" i="25"/>
  <c r="B121" i="25"/>
  <c r="AK120" i="25"/>
  <c r="AI120" i="25"/>
  <c r="AG120" i="25"/>
  <c r="AE120" i="25"/>
  <c r="AD120" i="25"/>
  <c r="AC120" i="25"/>
  <c r="AB120" i="25"/>
  <c r="AA120" i="25"/>
  <c r="U120" i="25"/>
  <c r="T120" i="25"/>
  <c r="S120" i="25"/>
  <c r="R120" i="25"/>
  <c r="Q120" i="25"/>
  <c r="P120" i="25"/>
  <c r="O120" i="25"/>
  <c r="N120" i="25"/>
  <c r="M120" i="25"/>
  <c r="L120" i="25"/>
  <c r="K120" i="25"/>
  <c r="J120" i="25"/>
  <c r="Z120" i="25" s="1"/>
  <c r="I120" i="25"/>
  <c r="H120" i="25"/>
  <c r="G120" i="25"/>
  <c r="F120" i="25"/>
  <c r="E120" i="25"/>
  <c r="D120" i="25"/>
  <c r="C120" i="25"/>
  <c r="B120" i="25"/>
  <c r="AK119" i="25"/>
  <c r="AI119" i="25"/>
  <c r="AG119" i="25"/>
  <c r="AE119" i="25"/>
  <c r="AD119" i="25"/>
  <c r="AC119" i="25"/>
  <c r="AB119" i="25"/>
  <c r="AA119" i="25"/>
  <c r="U119" i="25"/>
  <c r="T119" i="25"/>
  <c r="S119" i="25"/>
  <c r="R119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D119" i="25"/>
  <c r="C119" i="25"/>
  <c r="B119" i="25"/>
  <c r="AK118" i="25"/>
  <c r="AI118" i="25"/>
  <c r="AG118" i="25"/>
  <c r="AE118" i="25"/>
  <c r="AD118" i="25"/>
  <c r="AC118" i="25"/>
  <c r="AB118" i="25"/>
  <c r="AA118" i="25"/>
  <c r="U118" i="25"/>
  <c r="T118" i="25"/>
  <c r="S118" i="25"/>
  <c r="R118" i="25"/>
  <c r="Q118" i="25"/>
  <c r="P118" i="25"/>
  <c r="O118" i="25"/>
  <c r="N118" i="25"/>
  <c r="M118" i="25"/>
  <c r="L118" i="25"/>
  <c r="K118" i="25"/>
  <c r="J118" i="25"/>
  <c r="Z118" i="25" s="1"/>
  <c r="I118" i="25"/>
  <c r="H118" i="25"/>
  <c r="G118" i="25"/>
  <c r="F118" i="25"/>
  <c r="E118" i="25"/>
  <c r="D118" i="25"/>
  <c r="C118" i="25"/>
  <c r="B118" i="25"/>
  <c r="AK117" i="25"/>
  <c r="AI117" i="25"/>
  <c r="AG117" i="25"/>
  <c r="AE117" i="25"/>
  <c r="AD117" i="25"/>
  <c r="AC117" i="25"/>
  <c r="AB117" i="25"/>
  <c r="AA117" i="25"/>
  <c r="U117" i="25"/>
  <c r="T117" i="25"/>
  <c r="S117" i="25"/>
  <c r="R117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X117" i="25" s="1"/>
  <c r="E117" i="25"/>
  <c r="D117" i="25"/>
  <c r="B117" i="25"/>
  <c r="AK116" i="25"/>
  <c r="AI116" i="25"/>
  <c r="AG116" i="25"/>
  <c r="AE116" i="25"/>
  <c r="AD116" i="25"/>
  <c r="AC116" i="25"/>
  <c r="AB116" i="25"/>
  <c r="AA116" i="25"/>
  <c r="U116" i="25"/>
  <c r="T116" i="25"/>
  <c r="S116" i="25"/>
  <c r="R116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D116" i="25"/>
  <c r="C116" i="25"/>
  <c r="B116" i="25"/>
  <c r="AK115" i="25"/>
  <c r="AI115" i="25"/>
  <c r="AG115" i="25"/>
  <c r="AE115" i="25"/>
  <c r="AD115" i="25"/>
  <c r="AC115" i="25"/>
  <c r="AB115" i="25"/>
  <c r="AA115" i="25"/>
  <c r="U115" i="25"/>
  <c r="T115" i="25"/>
  <c r="S115" i="25"/>
  <c r="R115" i="25"/>
  <c r="Q115" i="25"/>
  <c r="P115" i="25"/>
  <c r="O115" i="25"/>
  <c r="N115" i="25"/>
  <c r="M115" i="25"/>
  <c r="L115" i="25"/>
  <c r="K115" i="25"/>
  <c r="J115" i="25"/>
  <c r="Z115" i="25" s="1"/>
  <c r="I115" i="25"/>
  <c r="H115" i="25"/>
  <c r="G115" i="25"/>
  <c r="F115" i="25"/>
  <c r="E115" i="25"/>
  <c r="D115" i="25"/>
  <c r="C115" i="25"/>
  <c r="B115" i="25"/>
  <c r="AK114" i="25"/>
  <c r="AI114" i="25"/>
  <c r="AG114" i="25"/>
  <c r="AE114" i="25"/>
  <c r="AD114" i="25"/>
  <c r="AC114" i="25"/>
  <c r="AB114" i="25"/>
  <c r="AA114" i="25"/>
  <c r="U114" i="25"/>
  <c r="T114" i="25"/>
  <c r="S114" i="25"/>
  <c r="R114" i="25"/>
  <c r="Q114" i="25"/>
  <c r="P114" i="25"/>
  <c r="O114" i="25"/>
  <c r="N114" i="25"/>
  <c r="M114" i="25"/>
  <c r="L114" i="25"/>
  <c r="K114" i="25"/>
  <c r="J114" i="25"/>
  <c r="I114" i="25"/>
  <c r="H114" i="25"/>
  <c r="G114" i="25"/>
  <c r="F114" i="25"/>
  <c r="X114" i="25" s="1"/>
  <c r="E114" i="25"/>
  <c r="D114" i="25"/>
  <c r="C114" i="25"/>
  <c r="B114" i="25"/>
  <c r="AK113" i="25"/>
  <c r="AI113" i="25"/>
  <c r="AG113" i="25"/>
  <c r="AE113" i="25"/>
  <c r="AD113" i="25"/>
  <c r="AC113" i="25"/>
  <c r="AB113" i="25"/>
  <c r="AA113" i="25"/>
  <c r="U113" i="25"/>
  <c r="T113" i="25"/>
  <c r="S113" i="25"/>
  <c r="R113" i="25"/>
  <c r="Q113" i="25"/>
  <c r="P113" i="25"/>
  <c r="O113" i="25"/>
  <c r="N113" i="25"/>
  <c r="M113" i="25"/>
  <c r="L113" i="25"/>
  <c r="K113" i="25"/>
  <c r="J113" i="25"/>
  <c r="Z113" i="25" s="1"/>
  <c r="I113" i="25"/>
  <c r="H113" i="25"/>
  <c r="G113" i="25"/>
  <c r="F113" i="25"/>
  <c r="E113" i="25"/>
  <c r="D113" i="25"/>
  <c r="B113" i="25"/>
  <c r="AK112" i="25"/>
  <c r="AI112" i="25"/>
  <c r="AG112" i="25"/>
  <c r="AE112" i="25"/>
  <c r="AD112" i="25"/>
  <c r="AC112" i="25"/>
  <c r="AB112" i="25"/>
  <c r="AA112" i="25"/>
  <c r="U112" i="25"/>
  <c r="T112" i="25"/>
  <c r="S112" i="25"/>
  <c r="R112" i="25"/>
  <c r="Q112" i="25"/>
  <c r="P112" i="25"/>
  <c r="O112" i="25"/>
  <c r="N112" i="25"/>
  <c r="M112" i="25"/>
  <c r="L112" i="25"/>
  <c r="K112" i="25"/>
  <c r="J112" i="25"/>
  <c r="I112" i="25"/>
  <c r="H112" i="25"/>
  <c r="Y112" i="25" s="1"/>
  <c r="G112" i="25"/>
  <c r="F112" i="25"/>
  <c r="E112" i="25"/>
  <c r="D112" i="25"/>
  <c r="C112" i="25"/>
  <c r="B112" i="25"/>
  <c r="AK111" i="25"/>
  <c r="AI111" i="25"/>
  <c r="AG111" i="25"/>
  <c r="AE111" i="25"/>
  <c r="AD111" i="25"/>
  <c r="AC111" i="25"/>
  <c r="AB111" i="25"/>
  <c r="AA111" i="25"/>
  <c r="U111" i="25"/>
  <c r="T111" i="25"/>
  <c r="S111" i="25"/>
  <c r="R111" i="25"/>
  <c r="Q111" i="25"/>
  <c r="P111" i="25"/>
  <c r="O111" i="25"/>
  <c r="N111" i="25"/>
  <c r="M111" i="25"/>
  <c r="L111" i="25"/>
  <c r="K111" i="25"/>
  <c r="J111" i="25"/>
  <c r="I111" i="25"/>
  <c r="Y111" i="25" s="1"/>
  <c r="H111" i="25"/>
  <c r="G111" i="25"/>
  <c r="F111" i="25"/>
  <c r="E111" i="25"/>
  <c r="D111" i="25"/>
  <c r="C111" i="25"/>
  <c r="B111" i="25"/>
  <c r="AK110" i="25"/>
  <c r="AI110" i="25"/>
  <c r="AG110" i="25"/>
  <c r="AE110" i="25"/>
  <c r="AD110" i="25"/>
  <c r="AC110" i="25"/>
  <c r="AB110" i="25"/>
  <c r="AA110" i="25"/>
  <c r="U110" i="25"/>
  <c r="T110" i="25"/>
  <c r="S110" i="25"/>
  <c r="R110" i="25"/>
  <c r="Q110" i="25"/>
  <c r="P110" i="25"/>
  <c r="O110" i="25"/>
  <c r="N110" i="25"/>
  <c r="M110" i="25"/>
  <c r="L110" i="25"/>
  <c r="K110" i="25"/>
  <c r="J110" i="25"/>
  <c r="I110" i="25"/>
  <c r="H110" i="25"/>
  <c r="Y110" i="25" s="1"/>
  <c r="G110" i="25"/>
  <c r="F110" i="25"/>
  <c r="E110" i="25"/>
  <c r="D110" i="25"/>
  <c r="C110" i="25"/>
  <c r="B110" i="25"/>
  <c r="AK109" i="25"/>
  <c r="AI109" i="25"/>
  <c r="AG109" i="25"/>
  <c r="AE109" i="25"/>
  <c r="AD109" i="25"/>
  <c r="AC109" i="25"/>
  <c r="AB109" i="25"/>
  <c r="AA109" i="25"/>
  <c r="U109" i="25"/>
  <c r="T109" i="25"/>
  <c r="S109" i="25"/>
  <c r="R109" i="25"/>
  <c r="Q109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D109" i="25"/>
  <c r="W109" i="25" s="1"/>
  <c r="B109" i="25"/>
  <c r="V109" i="25" s="1"/>
  <c r="AK108" i="25"/>
  <c r="AI108" i="25"/>
  <c r="AG108" i="25"/>
  <c r="AE108" i="25"/>
  <c r="AD108" i="25"/>
  <c r="AC108" i="25"/>
  <c r="AB108" i="25"/>
  <c r="AA108" i="25"/>
  <c r="U108" i="25"/>
  <c r="T108" i="25"/>
  <c r="S108" i="25"/>
  <c r="R108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B108" i="25"/>
  <c r="AK107" i="25"/>
  <c r="AI107" i="25"/>
  <c r="AG107" i="25"/>
  <c r="AE107" i="25"/>
  <c r="AD107" i="25"/>
  <c r="AC107" i="25"/>
  <c r="AB107" i="25"/>
  <c r="AA107" i="25"/>
  <c r="U107" i="25"/>
  <c r="T107" i="25"/>
  <c r="S107" i="25"/>
  <c r="R107" i="25"/>
  <c r="Q107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D107" i="25"/>
  <c r="B107" i="25"/>
  <c r="AK106" i="25"/>
  <c r="AI106" i="25"/>
  <c r="AG106" i="25"/>
  <c r="AE106" i="25"/>
  <c r="AD106" i="25"/>
  <c r="AC106" i="25"/>
  <c r="AB106" i="25"/>
  <c r="AA106" i="25"/>
  <c r="Y106" i="25"/>
  <c r="U106" i="25"/>
  <c r="T106" i="25"/>
  <c r="S106" i="25"/>
  <c r="R106" i="25"/>
  <c r="Q106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B106" i="25"/>
  <c r="AK105" i="25"/>
  <c r="AI105" i="25"/>
  <c r="AG105" i="25"/>
  <c r="AE105" i="25"/>
  <c r="AD105" i="25"/>
  <c r="AC105" i="25"/>
  <c r="AB105" i="25"/>
  <c r="AA105" i="25"/>
  <c r="U105" i="25"/>
  <c r="T105" i="25"/>
  <c r="S105" i="25"/>
  <c r="R105" i="25"/>
  <c r="Q105" i="25"/>
  <c r="P105" i="25"/>
  <c r="O105" i="25"/>
  <c r="N105" i="25"/>
  <c r="M105" i="25"/>
  <c r="L105" i="25"/>
  <c r="K105" i="25"/>
  <c r="J105" i="25"/>
  <c r="Z105" i="25" s="1"/>
  <c r="I105" i="25"/>
  <c r="H105" i="25"/>
  <c r="G105" i="25"/>
  <c r="F105" i="25"/>
  <c r="E105" i="25"/>
  <c r="D105" i="25"/>
  <c r="B105" i="25"/>
  <c r="AK104" i="25"/>
  <c r="AI104" i="25"/>
  <c r="AG104" i="25"/>
  <c r="AE104" i="25"/>
  <c r="AD104" i="25"/>
  <c r="AC104" i="25"/>
  <c r="AB104" i="25"/>
  <c r="AA104" i="25"/>
  <c r="U104" i="25"/>
  <c r="T104" i="25"/>
  <c r="S104" i="25"/>
  <c r="R104" i="25"/>
  <c r="Q104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D104" i="25"/>
  <c r="B104" i="25"/>
  <c r="AK103" i="25"/>
  <c r="AI103" i="25"/>
  <c r="AG103" i="25"/>
  <c r="AE103" i="25"/>
  <c r="AD103" i="25"/>
  <c r="AC103" i="25"/>
  <c r="AB103" i="25"/>
  <c r="AA103" i="25"/>
  <c r="U103" i="25"/>
  <c r="T103" i="25"/>
  <c r="S103" i="25"/>
  <c r="R103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B103" i="25"/>
  <c r="AK102" i="25"/>
  <c r="AI102" i="25"/>
  <c r="AG102" i="25"/>
  <c r="AE102" i="25"/>
  <c r="AD102" i="25"/>
  <c r="AC102" i="25"/>
  <c r="AB102" i="25"/>
  <c r="AA102" i="25"/>
  <c r="U102" i="25"/>
  <c r="T102" i="25"/>
  <c r="S102" i="25"/>
  <c r="R102" i="25"/>
  <c r="Q102" i="25"/>
  <c r="P102" i="25"/>
  <c r="O102" i="25"/>
  <c r="N102" i="25"/>
  <c r="M102" i="25"/>
  <c r="L102" i="25"/>
  <c r="K102" i="25"/>
  <c r="J102" i="25"/>
  <c r="I102" i="25"/>
  <c r="H102" i="25"/>
  <c r="G102" i="25"/>
  <c r="X102" i="25" s="1"/>
  <c r="F102" i="25"/>
  <c r="E102" i="25"/>
  <c r="D102" i="25"/>
  <c r="B102" i="25"/>
  <c r="AK101" i="25"/>
  <c r="AI101" i="25"/>
  <c r="AG101" i="25"/>
  <c r="AE101" i="25"/>
  <c r="AD101" i="25"/>
  <c r="AC101" i="25"/>
  <c r="AB101" i="25"/>
  <c r="AA101" i="25"/>
  <c r="U101" i="25"/>
  <c r="T101" i="25"/>
  <c r="S101" i="25"/>
  <c r="R101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AK100" i="25"/>
  <c r="AI100" i="25"/>
  <c r="AG100" i="25"/>
  <c r="AE100" i="25"/>
  <c r="AD100" i="25"/>
  <c r="AC100" i="25"/>
  <c r="AB100" i="25"/>
  <c r="AA100" i="25"/>
  <c r="U100" i="25"/>
  <c r="T100" i="25"/>
  <c r="S100" i="25"/>
  <c r="R100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B100" i="25"/>
  <c r="AK99" i="25"/>
  <c r="AI99" i="25"/>
  <c r="AG99" i="25"/>
  <c r="AE99" i="25"/>
  <c r="AD99" i="25"/>
  <c r="AC99" i="25"/>
  <c r="AB99" i="25"/>
  <c r="AA99" i="25"/>
  <c r="U99" i="25"/>
  <c r="T99" i="25"/>
  <c r="S99" i="25"/>
  <c r="R99" i="25"/>
  <c r="Q99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B99" i="25"/>
  <c r="AK98" i="25"/>
  <c r="AI98" i="25"/>
  <c r="AG98" i="25"/>
  <c r="AE98" i="25"/>
  <c r="AD98" i="25"/>
  <c r="AC98" i="25"/>
  <c r="AB98" i="25"/>
  <c r="AA98" i="25"/>
  <c r="U98" i="25"/>
  <c r="T98" i="25"/>
  <c r="S98" i="25"/>
  <c r="R98" i="25"/>
  <c r="Q98" i="25"/>
  <c r="P98" i="25"/>
  <c r="O98" i="25"/>
  <c r="N98" i="25"/>
  <c r="M98" i="25"/>
  <c r="L98" i="25"/>
  <c r="K98" i="25"/>
  <c r="J98" i="25"/>
  <c r="I98" i="25"/>
  <c r="H98" i="25"/>
  <c r="Y98" i="25" s="1"/>
  <c r="G98" i="25"/>
  <c r="F98" i="25"/>
  <c r="E98" i="25"/>
  <c r="D98" i="25"/>
  <c r="C98" i="25"/>
  <c r="B98" i="25"/>
  <c r="AK97" i="25"/>
  <c r="AI97" i="25"/>
  <c r="AG97" i="25"/>
  <c r="AE97" i="25"/>
  <c r="AD97" i="25"/>
  <c r="AC97" i="25"/>
  <c r="AB97" i="25"/>
  <c r="AA97" i="25"/>
  <c r="U97" i="25"/>
  <c r="T97" i="25"/>
  <c r="S97" i="25"/>
  <c r="R97" i="25"/>
  <c r="Q97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W97" i="25" s="1"/>
  <c r="B97" i="25"/>
  <c r="AK96" i="25"/>
  <c r="AI96" i="25"/>
  <c r="AG96" i="25"/>
  <c r="AE96" i="25"/>
  <c r="AD96" i="25"/>
  <c r="AC96" i="25"/>
  <c r="AB96" i="25"/>
  <c r="AA96" i="25"/>
  <c r="U96" i="25"/>
  <c r="T96" i="25"/>
  <c r="S96" i="25"/>
  <c r="R96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B96" i="25"/>
  <c r="AK95" i="25"/>
  <c r="AI95" i="25"/>
  <c r="AG95" i="25"/>
  <c r="AE95" i="25"/>
  <c r="AD95" i="25"/>
  <c r="AC95" i="25"/>
  <c r="AB95" i="25"/>
  <c r="AA95" i="25"/>
  <c r="U95" i="25"/>
  <c r="T95" i="25"/>
  <c r="S95" i="25"/>
  <c r="R95" i="25"/>
  <c r="Q95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B95" i="25"/>
  <c r="AK94" i="25"/>
  <c r="AI94" i="25"/>
  <c r="AG94" i="25"/>
  <c r="AE94" i="25"/>
  <c r="AD94" i="25"/>
  <c r="AC94" i="25"/>
  <c r="AB94" i="25"/>
  <c r="AA94" i="25"/>
  <c r="U94" i="25"/>
  <c r="T94" i="25"/>
  <c r="S94" i="25"/>
  <c r="R94" i="25"/>
  <c r="Q94" i="25"/>
  <c r="P94" i="25"/>
  <c r="O94" i="25"/>
  <c r="N94" i="25"/>
  <c r="M94" i="25"/>
  <c r="L94" i="25"/>
  <c r="K94" i="25"/>
  <c r="J94" i="25"/>
  <c r="I94" i="25"/>
  <c r="H94" i="25"/>
  <c r="G94" i="25"/>
  <c r="F94" i="25"/>
  <c r="E94" i="25"/>
  <c r="D94" i="25"/>
  <c r="B94" i="25"/>
  <c r="AK93" i="25"/>
  <c r="AI93" i="25"/>
  <c r="AG93" i="25"/>
  <c r="AE93" i="25"/>
  <c r="AD93" i="25"/>
  <c r="AC93" i="25"/>
  <c r="AB93" i="25"/>
  <c r="AA93" i="25"/>
  <c r="U93" i="25"/>
  <c r="T93" i="25"/>
  <c r="S93" i="25"/>
  <c r="R93" i="25"/>
  <c r="Q93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D93" i="25"/>
  <c r="C93" i="25"/>
  <c r="B93" i="25"/>
  <c r="AK92" i="25"/>
  <c r="AI92" i="25"/>
  <c r="AG92" i="25"/>
  <c r="AE92" i="25"/>
  <c r="AD92" i="25"/>
  <c r="AC92" i="25"/>
  <c r="AB92" i="25"/>
  <c r="AA92" i="25"/>
  <c r="U92" i="25"/>
  <c r="T92" i="25"/>
  <c r="S92" i="25"/>
  <c r="R92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B92" i="25"/>
  <c r="AK91" i="25"/>
  <c r="AI91" i="25"/>
  <c r="AG91" i="25"/>
  <c r="AE91" i="25"/>
  <c r="AD91" i="25"/>
  <c r="AC91" i="25"/>
  <c r="AB91" i="25"/>
  <c r="AA91" i="25"/>
  <c r="U91" i="25"/>
  <c r="T91" i="25"/>
  <c r="S91" i="25"/>
  <c r="R91" i="25"/>
  <c r="Q91" i="25"/>
  <c r="P91" i="25"/>
  <c r="O91" i="25"/>
  <c r="N91" i="25"/>
  <c r="M91" i="25"/>
  <c r="L91" i="25"/>
  <c r="K91" i="25"/>
  <c r="J91" i="25"/>
  <c r="I91" i="25"/>
  <c r="H91" i="25"/>
  <c r="Y91" i="25" s="1"/>
  <c r="G91" i="25"/>
  <c r="F91" i="25"/>
  <c r="E91" i="25"/>
  <c r="D91" i="25"/>
  <c r="C91" i="25"/>
  <c r="B91" i="25"/>
  <c r="AK90" i="25"/>
  <c r="AI90" i="25"/>
  <c r="AG90" i="25"/>
  <c r="AE90" i="25"/>
  <c r="AD90" i="25"/>
  <c r="AC90" i="25"/>
  <c r="AB90" i="25"/>
  <c r="AA90" i="25"/>
  <c r="U90" i="25"/>
  <c r="T90" i="25"/>
  <c r="S90" i="25"/>
  <c r="R90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W90" i="25" s="1"/>
  <c r="C90" i="25"/>
  <c r="B90" i="25"/>
  <c r="AK89" i="25"/>
  <c r="AI89" i="25"/>
  <c r="AG89" i="25"/>
  <c r="AE89" i="25"/>
  <c r="AD89" i="25"/>
  <c r="AC89" i="25"/>
  <c r="AB89" i="25"/>
  <c r="AA89" i="25"/>
  <c r="U89" i="25"/>
  <c r="T89" i="25"/>
  <c r="S89" i="25"/>
  <c r="R89" i="25"/>
  <c r="Q89" i="25"/>
  <c r="P89" i="25"/>
  <c r="O89" i="25"/>
  <c r="N89" i="25"/>
  <c r="M89" i="25"/>
  <c r="L89" i="25"/>
  <c r="K89" i="25"/>
  <c r="J89" i="25"/>
  <c r="I89" i="25"/>
  <c r="H89" i="25"/>
  <c r="Y89" i="25" s="1"/>
  <c r="G89" i="25"/>
  <c r="F89" i="25"/>
  <c r="E89" i="25"/>
  <c r="D89" i="25"/>
  <c r="C89" i="25"/>
  <c r="B89" i="25"/>
  <c r="AK88" i="25"/>
  <c r="AI88" i="25"/>
  <c r="AG88" i="25"/>
  <c r="AE88" i="25"/>
  <c r="AD88" i="25"/>
  <c r="AC88" i="25"/>
  <c r="AB88" i="25"/>
  <c r="AA88" i="25"/>
  <c r="U88" i="25"/>
  <c r="T88" i="25"/>
  <c r="S88" i="25"/>
  <c r="R88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W88" i="25" s="1"/>
  <c r="C88" i="25"/>
  <c r="B88" i="25"/>
  <c r="AK87" i="25"/>
  <c r="AI87" i="25"/>
  <c r="AG87" i="25"/>
  <c r="AE87" i="25"/>
  <c r="AD87" i="25"/>
  <c r="AC87" i="25"/>
  <c r="AB87" i="25"/>
  <c r="AA87" i="25"/>
  <c r="U87" i="25"/>
  <c r="T87" i="25"/>
  <c r="S87" i="25"/>
  <c r="R87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B87" i="25"/>
  <c r="AK86" i="25"/>
  <c r="AI86" i="25"/>
  <c r="AG86" i="25"/>
  <c r="AE86" i="25"/>
  <c r="AD86" i="25"/>
  <c r="AC86" i="25"/>
  <c r="AB86" i="25"/>
  <c r="AA86" i="25"/>
  <c r="U86" i="25"/>
  <c r="T86" i="25"/>
  <c r="S86" i="25"/>
  <c r="R86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AK85" i="25"/>
  <c r="AI85" i="25"/>
  <c r="AG85" i="25"/>
  <c r="AE85" i="25"/>
  <c r="AD85" i="25"/>
  <c r="AC85" i="25"/>
  <c r="AB85" i="25"/>
  <c r="AA85" i="25"/>
  <c r="U85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D85" i="25"/>
  <c r="C85" i="25"/>
  <c r="AK84" i="25"/>
  <c r="AI84" i="25"/>
  <c r="AG84" i="25"/>
  <c r="AE84" i="25"/>
  <c r="AD84" i="25"/>
  <c r="AC84" i="25"/>
  <c r="AB84" i="25"/>
  <c r="AA84" i="25"/>
  <c r="U84" i="25"/>
  <c r="T84" i="25"/>
  <c r="S84" i="25"/>
  <c r="R84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AK83" i="25"/>
  <c r="AI83" i="25"/>
  <c r="AG83" i="25"/>
  <c r="AE83" i="25"/>
  <c r="AD83" i="25"/>
  <c r="AC83" i="25"/>
  <c r="AB83" i="25"/>
  <c r="AA83" i="25"/>
  <c r="U83" i="25"/>
  <c r="T83" i="25"/>
  <c r="S83" i="25"/>
  <c r="R83" i="25"/>
  <c r="Q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AK82" i="25"/>
  <c r="AI82" i="25"/>
  <c r="AG82" i="25"/>
  <c r="AE82" i="25"/>
  <c r="AD82" i="25"/>
  <c r="AC82" i="25"/>
  <c r="AB82" i="25"/>
  <c r="AA82" i="25"/>
  <c r="U82" i="25"/>
  <c r="T82" i="25"/>
  <c r="S82" i="25"/>
  <c r="R82" i="25"/>
  <c r="Q82" i="25"/>
  <c r="P82" i="25"/>
  <c r="O82" i="25"/>
  <c r="N82" i="25"/>
  <c r="M82" i="25"/>
  <c r="L82" i="25"/>
  <c r="K82" i="25"/>
  <c r="J82" i="25"/>
  <c r="Z82" i="25" s="1"/>
  <c r="I82" i="25"/>
  <c r="H82" i="25"/>
  <c r="G82" i="25"/>
  <c r="F82" i="25"/>
  <c r="E82" i="25"/>
  <c r="D82" i="25"/>
  <c r="C82" i="25"/>
  <c r="B82" i="25"/>
  <c r="AK81" i="25"/>
  <c r="AI81" i="25"/>
  <c r="AG81" i="25"/>
  <c r="AE81" i="25"/>
  <c r="AD81" i="25"/>
  <c r="AC81" i="25"/>
  <c r="AB81" i="25"/>
  <c r="AA81" i="25"/>
  <c r="U81" i="25"/>
  <c r="T81" i="25"/>
  <c r="S81" i="25"/>
  <c r="R81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AK80" i="25"/>
  <c r="AI80" i="25"/>
  <c r="AG80" i="25"/>
  <c r="AE80" i="25"/>
  <c r="AD80" i="25"/>
  <c r="AC80" i="25"/>
  <c r="AB80" i="25"/>
  <c r="AA80" i="25"/>
  <c r="U80" i="25"/>
  <c r="T80" i="25"/>
  <c r="S80" i="25"/>
  <c r="R80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AK79" i="25"/>
  <c r="AI79" i="25"/>
  <c r="AG79" i="25"/>
  <c r="AE79" i="25"/>
  <c r="AD79" i="25"/>
  <c r="AC79" i="25"/>
  <c r="AB79" i="25"/>
  <c r="AA79" i="25"/>
  <c r="U79" i="25"/>
  <c r="T79" i="25"/>
  <c r="S79" i="25"/>
  <c r="R79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AK78" i="25"/>
  <c r="AI78" i="25"/>
  <c r="AG78" i="25"/>
  <c r="AE78" i="25"/>
  <c r="AD78" i="25"/>
  <c r="AC78" i="25"/>
  <c r="AB78" i="25"/>
  <c r="AA78" i="25"/>
  <c r="U78" i="25"/>
  <c r="T78" i="25"/>
  <c r="S78" i="25"/>
  <c r="R78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AK77" i="25"/>
  <c r="AI77" i="25"/>
  <c r="AG77" i="25"/>
  <c r="AE77" i="25"/>
  <c r="AD77" i="25"/>
  <c r="AC77" i="25"/>
  <c r="AB77" i="25"/>
  <c r="AA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V77" i="25" s="1"/>
  <c r="AK76" i="25"/>
  <c r="AI76" i="25"/>
  <c r="AG76" i="25"/>
  <c r="AE76" i="25"/>
  <c r="AD76" i="25"/>
  <c r="AC76" i="25"/>
  <c r="AB76" i="25"/>
  <c r="AA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X76" i="25" s="1"/>
  <c r="E76" i="25"/>
  <c r="D76" i="25"/>
  <c r="C76" i="25"/>
  <c r="B76" i="25"/>
  <c r="V76" i="25" s="1"/>
  <c r="AK75" i="25"/>
  <c r="AI75" i="25"/>
  <c r="AG75" i="25"/>
  <c r="AE75" i="25"/>
  <c r="AD75" i="25"/>
  <c r="AC75" i="25"/>
  <c r="AB75" i="25"/>
  <c r="AA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Z75" i="25" s="1"/>
  <c r="I75" i="25"/>
  <c r="H75" i="25"/>
  <c r="Y75" i="25" s="1"/>
  <c r="G75" i="25"/>
  <c r="F75" i="25"/>
  <c r="X75" i="25" s="1"/>
  <c r="E75" i="25"/>
  <c r="D75" i="25"/>
  <c r="C75" i="25"/>
  <c r="B75" i="25"/>
  <c r="AK74" i="25"/>
  <c r="AI74" i="25"/>
  <c r="AG74" i="25"/>
  <c r="AE74" i="25"/>
  <c r="AD74" i="25"/>
  <c r="AC74" i="25"/>
  <c r="AB74" i="25"/>
  <c r="AA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X74" i="25" s="1"/>
  <c r="E74" i="25"/>
  <c r="D74" i="25"/>
  <c r="W74" i="25" s="1"/>
  <c r="C74" i="25"/>
  <c r="B74" i="25"/>
  <c r="AK73" i="25"/>
  <c r="AI73" i="25"/>
  <c r="AG73" i="25"/>
  <c r="AE73" i="25"/>
  <c r="AD73" i="25"/>
  <c r="AC73" i="25"/>
  <c r="AB73" i="25"/>
  <c r="AA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Z73" i="25" s="1"/>
  <c r="I73" i="25"/>
  <c r="H73" i="25"/>
  <c r="Y73" i="25" s="1"/>
  <c r="G73" i="25"/>
  <c r="F73" i="25"/>
  <c r="E73" i="25"/>
  <c r="D73" i="25"/>
  <c r="C73" i="25"/>
  <c r="B73" i="25"/>
  <c r="AK72" i="25"/>
  <c r="AI72" i="25"/>
  <c r="AG72" i="25"/>
  <c r="AE72" i="25"/>
  <c r="AD72" i="25"/>
  <c r="AC72" i="25"/>
  <c r="AB72" i="25"/>
  <c r="AA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X72" i="25" s="1"/>
  <c r="E72" i="25"/>
  <c r="D72" i="25"/>
  <c r="C72" i="25"/>
  <c r="B72" i="25"/>
  <c r="AK71" i="25"/>
  <c r="AI71" i="25"/>
  <c r="AG71" i="25"/>
  <c r="AE71" i="25"/>
  <c r="AD71" i="25"/>
  <c r="AC71" i="25"/>
  <c r="AB71" i="25"/>
  <c r="AA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Z71" i="25" s="1"/>
  <c r="I71" i="25"/>
  <c r="H71" i="25"/>
  <c r="G71" i="25"/>
  <c r="F71" i="25"/>
  <c r="E71" i="25"/>
  <c r="D71" i="25"/>
  <c r="C71" i="25"/>
  <c r="B71" i="25"/>
  <c r="AK70" i="25"/>
  <c r="AI70" i="25"/>
  <c r="AG70" i="25"/>
  <c r="AE70" i="25"/>
  <c r="AD70" i="25"/>
  <c r="AC70" i="25"/>
  <c r="AB70" i="25"/>
  <c r="AA70" i="25"/>
  <c r="U70" i="25"/>
  <c r="T70" i="25"/>
  <c r="S70" i="25"/>
  <c r="R70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B70" i="25"/>
  <c r="AK69" i="25"/>
  <c r="AI69" i="25"/>
  <c r="AG69" i="25"/>
  <c r="AE69" i="25"/>
  <c r="AD69" i="25"/>
  <c r="AC69" i="25"/>
  <c r="AB69" i="25"/>
  <c r="AA69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Z69" i="25" s="1"/>
  <c r="I69" i="25"/>
  <c r="H69" i="25"/>
  <c r="G69" i="25"/>
  <c r="F69" i="25"/>
  <c r="E69" i="25"/>
  <c r="D69" i="25"/>
  <c r="C69" i="25"/>
  <c r="B69" i="25"/>
  <c r="AK68" i="25"/>
  <c r="AI68" i="25"/>
  <c r="AG68" i="25"/>
  <c r="AE68" i="25"/>
  <c r="AD68" i="25"/>
  <c r="AC68" i="25"/>
  <c r="AB68" i="25"/>
  <c r="AA68" i="25"/>
  <c r="U68" i="25"/>
  <c r="T68" i="25"/>
  <c r="S68" i="25"/>
  <c r="R68" i="25"/>
  <c r="Q68" i="25"/>
  <c r="P68" i="25"/>
  <c r="O68" i="25"/>
  <c r="N68" i="25"/>
  <c r="M68" i="25"/>
  <c r="L68" i="25"/>
  <c r="K68" i="25"/>
  <c r="J68" i="25"/>
  <c r="Z68" i="25" s="1"/>
  <c r="I68" i="25"/>
  <c r="H68" i="25"/>
  <c r="G68" i="25"/>
  <c r="F68" i="25"/>
  <c r="X68" i="25" s="1"/>
  <c r="E68" i="25"/>
  <c r="D68" i="25"/>
  <c r="C68" i="25"/>
  <c r="B68" i="25"/>
  <c r="AK67" i="25"/>
  <c r="AI67" i="25"/>
  <c r="AG67" i="25"/>
  <c r="AE67" i="25"/>
  <c r="AD67" i="25"/>
  <c r="AC67" i="25"/>
  <c r="AB67" i="25"/>
  <c r="AA67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Z67" i="25" s="1"/>
  <c r="I67" i="25"/>
  <c r="H67" i="25"/>
  <c r="G67" i="25"/>
  <c r="F67" i="25"/>
  <c r="X67" i="25" s="1"/>
  <c r="E67" i="25"/>
  <c r="D67" i="25"/>
  <c r="C67" i="25"/>
  <c r="B67" i="25"/>
  <c r="AK66" i="25"/>
  <c r="AI66" i="25"/>
  <c r="AG66" i="25"/>
  <c r="AE66" i="25"/>
  <c r="AD66" i="25"/>
  <c r="AC66" i="25"/>
  <c r="AB66" i="25"/>
  <c r="AA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Z66" i="25" s="1"/>
  <c r="I66" i="25"/>
  <c r="H66" i="25"/>
  <c r="G66" i="25"/>
  <c r="F66" i="25"/>
  <c r="X66" i="25" s="1"/>
  <c r="E66" i="25"/>
  <c r="D66" i="25"/>
  <c r="B66" i="25"/>
  <c r="AK65" i="25"/>
  <c r="AI65" i="25"/>
  <c r="AG65" i="25"/>
  <c r="AE65" i="25"/>
  <c r="AD65" i="25"/>
  <c r="AC65" i="25"/>
  <c r="AB65" i="25"/>
  <c r="AA65" i="25"/>
  <c r="U65" i="25"/>
  <c r="T65" i="25"/>
  <c r="S65" i="25"/>
  <c r="R65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B65" i="25"/>
  <c r="AK64" i="25"/>
  <c r="AI64" i="25"/>
  <c r="AG64" i="25"/>
  <c r="AE64" i="25"/>
  <c r="AD64" i="25"/>
  <c r="AC64" i="25"/>
  <c r="AB64" i="25"/>
  <c r="AA64" i="25"/>
  <c r="U64" i="25"/>
  <c r="T64" i="25"/>
  <c r="S64" i="25"/>
  <c r="R64" i="25"/>
  <c r="Q64" i="25"/>
  <c r="P64" i="25"/>
  <c r="O64" i="25"/>
  <c r="N64" i="25"/>
  <c r="M64" i="25"/>
  <c r="L64" i="25"/>
  <c r="K64" i="25"/>
  <c r="J64" i="25"/>
  <c r="I64" i="25"/>
  <c r="H64" i="25"/>
  <c r="Y64" i="25" s="1"/>
  <c r="G64" i="25"/>
  <c r="F64" i="25"/>
  <c r="E64" i="25"/>
  <c r="D64" i="25"/>
  <c r="B64" i="25"/>
  <c r="AK63" i="25"/>
  <c r="AI63" i="25"/>
  <c r="AG63" i="25"/>
  <c r="AE63" i="25"/>
  <c r="AD63" i="25"/>
  <c r="AC63" i="25"/>
  <c r="AB63" i="25"/>
  <c r="AA63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B63" i="25"/>
  <c r="AK62" i="25"/>
  <c r="AI62" i="25"/>
  <c r="AG62" i="25"/>
  <c r="AE62" i="25"/>
  <c r="AD62" i="25"/>
  <c r="AC62" i="25"/>
  <c r="AB62" i="25"/>
  <c r="AA62" i="25"/>
  <c r="U62" i="25"/>
  <c r="T62" i="25"/>
  <c r="S62" i="25"/>
  <c r="R62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B62" i="25"/>
  <c r="AK61" i="25"/>
  <c r="AI61" i="25"/>
  <c r="AG61" i="25"/>
  <c r="AE61" i="25"/>
  <c r="AD61" i="25"/>
  <c r="AC61" i="25"/>
  <c r="AB61" i="25"/>
  <c r="AA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Z61" i="25" s="1"/>
  <c r="I61" i="25"/>
  <c r="H61" i="25"/>
  <c r="G61" i="25"/>
  <c r="F61" i="25"/>
  <c r="E61" i="25"/>
  <c r="D61" i="25"/>
  <c r="C61" i="25"/>
  <c r="B61" i="25"/>
  <c r="AK60" i="25"/>
  <c r="AI60" i="25"/>
  <c r="AG60" i="25"/>
  <c r="AE60" i="25"/>
  <c r="AD60" i="25"/>
  <c r="AC60" i="25"/>
  <c r="AB60" i="25"/>
  <c r="AA60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X60" i="25" s="1"/>
  <c r="E60" i="25"/>
  <c r="D60" i="25"/>
  <c r="C60" i="25"/>
  <c r="B60" i="25"/>
  <c r="AK59" i="25"/>
  <c r="AI59" i="25"/>
  <c r="AG59" i="25"/>
  <c r="AE59" i="25"/>
  <c r="AD59" i="25"/>
  <c r="AC59" i="25"/>
  <c r="AB59" i="25"/>
  <c r="AA59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X59" i="25" s="1"/>
  <c r="E59" i="25"/>
  <c r="D59" i="25"/>
  <c r="W59" i="25" s="1"/>
  <c r="C59" i="25"/>
  <c r="B59" i="25"/>
  <c r="AK58" i="25"/>
  <c r="AI58" i="25"/>
  <c r="AG58" i="25"/>
  <c r="AE58" i="25"/>
  <c r="AD58" i="25"/>
  <c r="AC58" i="25"/>
  <c r="AB58" i="25"/>
  <c r="AA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Y58" i="25" s="1"/>
  <c r="G58" i="25"/>
  <c r="F58" i="25"/>
  <c r="X58" i="25" s="1"/>
  <c r="E58" i="25"/>
  <c r="D58" i="25"/>
  <c r="C58" i="25"/>
  <c r="B58" i="25"/>
  <c r="AK57" i="25"/>
  <c r="AI57" i="25"/>
  <c r="AG57" i="25"/>
  <c r="AE57" i="25"/>
  <c r="AD57" i="25"/>
  <c r="AC57" i="25"/>
  <c r="AB57" i="25"/>
  <c r="AA57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Z57" i="25" s="1"/>
  <c r="I57" i="25"/>
  <c r="H57" i="25"/>
  <c r="G57" i="25"/>
  <c r="F57" i="25"/>
  <c r="E57" i="25"/>
  <c r="D57" i="25"/>
  <c r="W57" i="25" s="1"/>
  <c r="C57" i="25"/>
  <c r="B57" i="25"/>
  <c r="AK56" i="25"/>
  <c r="AI56" i="25"/>
  <c r="AG56" i="25"/>
  <c r="AE56" i="25"/>
  <c r="AD56" i="25"/>
  <c r="AC56" i="25"/>
  <c r="AB56" i="25"/>
  <c r="AA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Z56" i="25" s="1"/>
  <c r="I56" i="25"/>
  <c r="H56" i="25"/>
  <c r="Y56" i="25" s="1"/>
  <c r="G56" i="25"/>
  <c r="F56" i="25"/>
  <c r="E56" i="25"/>
  <c r="D56" i="25"/>
  <c r="C56" i="25"/>
  <c r="B56" i="25"/>
  <c r="AK55" i="25"/>
  <c r="AI55" i="25"/>
  <c r="AG55" i="25"/>
  <c r="AE55" i="25"/>
  <c r="AD55" i="25"/>
  <c r="AC55" i="25"/>
  <c r="AB55" i="25"/>
  <c r="AA55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Y55" i="25" s="1"/>
  <c r="H55" i="25"/>
  <c r="G55" i="25"/>
  <c r="F55" i="25"/>
  <c r="X55" i="25" s="1"/>
  <c r="E55" i="25"/>
  <c r="D55" i="25"/>
  <c r="W55" i="25" s="1"/>
  <c r="C55" i="25"/>
  <c r="B55" i="25"/>
  <c r="AK54" i="25"/>
  <c r="AI54" i="25"/>
  <c r="AG54" i="25"/>
  <c r="AE54" i="25"/>
  <c r="AD54" i="25"/>
  <c r="AC54" i="25"/>
  <c r="AB54" i="25"/>
  <c r="AA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Z54" i="25" s="1"/>
  <c r="I54" i="25"/>
  <c r="H54" i="25"/>
  <c r="Y54" i="25" s="1"/>
  <c r="G54" i="25"/>
  <c r="F54" i="25"/>
  <c r="E54" i="25"/>
  <c r="D54" i="25"/>
  <c r="C54" i="25"/>
  <c r="B54" i="25"/>
  <c r="AK53" i="25"/>
  <c r="AI53" i="25"/>
  <c r="AG53" i="25"/>
  <c r="AE53" i="25"/>
  <c r="AD53" i="25"/>
  <c r="AC53" i="25"/>
  <c r="AB53" i="25"/>
  <c r="AA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Y53" i="25" s="1"/>
  <c r="H53" i="25"/>
  <c r="G53" i="25"/>
  <c r="F53" i="25"/>
  <c r="X53" i="25" s="1"/>
  <c r="E53" i="25"/>
  <c r="D53" i="25"/>
  <c r="C53" i="25"/>
  <c r="B53" i="25"/>
  <c r="AK52" i="25"/>
  <c r="AI52" i="25"/>
  <c r="AG52" i="25"/>
  <c r="AE52" i="25"/>
  <c r="AD52" i="25"/>
  <c r="AC52" i="25"/>
  <c r="AB52" i="25"/>
  <c r="AA52" i="25"/>
  <c r="U52" i="25"/>
  <c r="T52" i="25"/>
  <c r="S52" i="25"/>
  <c r="R52" i="25"/>
  <c r="Q52" i="25"/>
  <c r="P52" i="25"/>
  <c r="O52" i="25"/>
  <c r="N52" i="25"/>
  <c r="M52" i="25"/>
  <c r="L52" i="25"/>
  <c r="K52" i="25"/>
  <c r="J52" i="25"/>
  <c r="Z52" i="25" s="1"/>
  <c r="I52" i="25"/>
  <c r="H52" i="25"/>
  <c r="G52" i="25"/>
  <c r="F52" i="25"/>
  <c r="E52" i="25"/>
  <c r="D52" i="25"/>
  <c r="C52" i="25"/>
  <c r="B52" i="25"/>
  <c r="AK51" i="25"/>
  <c r="AI51" i="25"/>
  <c r="AG51" i="25"/>
  <c r="AE51" i="25"/>
  <c r="AD51" i="25"/>
  <c r="AC51" i="25"/>
  <c r="AB51" i="25"/>
  <c r="AA51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X51" i="25" s="1"/>
  <c r="E51" i="25"/>
  <c r="D51" i="25"/>
  <c r="W51" i="25" s="1"/>
  <c r="C51" i="25"/>
  <c r="B51" i="25"/>
  <c r="AK50" i="25"/>
  <c r="AI50" i="25"/>
  <c r="AG50" i="25"/>
  <c r="AE50" i="25"/>
  <c r="AD50" i="25"/>
  <c r="AC50" i="25"/>
  <c r="AB50" i="25"/>
  <c r="AA50" i="25"/>
  <c r="U50" i="25"/>
  <c r="T50" i="25"/>
  <c r="S50" i="25"/>
  <c r="R50" i="25"/>
  <c r="Q50" i="25"/>
  <c r="P50" i="25"/>
  <c r="O50" i="25"/>
  <c r="N50" i="25"/>
  <c r="M50" i="25"/>
  <c r="L50" i="25"/>
  <c r="K50" i="25"/>
  <c r="J50" i="25"/>
  <c r="Z50" i="25" s="1"/>
  <c r="I50" i="25"/>
  <c r="H50" i="25"/>
  <c r="Y50" i="25" s="1"/>
  <c r="G50" i="25"/>
  <c r="F50" i="25"/>
  <c r="E50" i="25"/>
  <c r="D50" i="25"/>
  <c r="C50" i="25"/>
  <c r="B50" i="25"/>
  <c r="AK49" i="25"/>
  <c r="AI49" i="25"/>
  <c r="AG49" i="25"/>
  <c r="AE49" i="25"/>
  <c r="AD49" i="25"/>
  <c r="AC49" i="25"/>
  <c r="AB49" i="25"/>
  <c r="AA49" i="25"/>
  <c r="U49" i="25"/>
  <c r="T49" i="25"/>
  <c r="S49" i="25"/>
  <c r="R49" i="25"/>
  <c r="Q49" i="25"/>
  <c r="P49" i="25"/>
  <c r="O49" i="25"/>
  <c r="N49" i="25"/>
  <c r="M49" i="25"/>
  <c r="L49" i="25"/>
  <c r="K49" i="25"/>
  <c r="J49" i="25"/>
  <c r="Z49" i="25" s="1"/>
  <c r="I49" i="25"/>
  <c r="H49" i="25"/>
  <c r="G49" i="25"/>
  <c r="F49" i="25"/>
  <c r="E49" i="25"/>
  <c r="D49" i="25"/>
  <c r="C49" i="25"/>
  <c r="B49" i="25"/>
  <c r="AK48" i="25"/>
  <c r="AI48" i="25"/>
  <c r="AG48" i="25"/>
  <c r="AE48" i="25"/>
  <c r="AD48" i="25"/>
  <c r="AC48" i="25"/>
  <c r="AB48" i="25"/>
  <c r="AA48" i="25"/>
  <c r="U48" i="25"/>
  <c r="T48" i="25"/>
  <c r="S48" i="25"/>
  <c r="R48" i="25"/>
  <c r="Q48" i="25"/>
  <c r="P48" i="25"/>
  <c r="O48" i="25"/>
  <c r="N48" i="25"/>
  <c r="M48" i="25"/>
  <c r="L48" i="25"/>
  <c r="K48" i="25"/>
  <c r="J48" i="25"/>
  <c r="I48" i="25"/>
  <c r="H48" i="25"/>
  <c r="G48" i="25"/>
  <c r="F48" i="25"/>
  <c r="X48" i="25" s="1"/>
  <c r="E48" i="25"/>
  <c r="D48" i="25"/>
  <c r="C48" i="25"/>
  <c r="B48" i="25"/>
  <c r="AK47" i="25"/>
  <c r="AI47" i="25"/>
  <c r="AG47" i="25"/>
  <c r="AE47" i="25"/>
  <c r="AD47" i="25"/>
  <c r="AC47" i="25"/>
  <c r="AB47" i="25"/>
  <c r="AA47" i="25"/>
  <c r="U47" i="25"/>
  <c r="T47" i="25"/>
  <c r="S47" i="25"/>
  <c r="R47" i="25"/>
  <c r="Q47" i="25"/>
  <c r="P47" i="25"/>
  <c r="O47" i="25"/>
  <c r="N47" i="25"/>
  <c r="M47" i="25"/>
  <c r="L47" i="25"/>
  <c r="K47" i="25"/>
  <c r="J47" i="25"/>
  <c r="Z47" i="25" s="1"/>
  <c r="I47" i="25"/>
  <c r="H47" i="25"/>
  <c r="G47" i="25"/>
  <c r="F47" i="25"/>
  <c r="E47" i="25"/>
  <c r="D47" i="25"/>
  <c r="W47" i="25" s="1"/>
  <c r="AK46" i="25"/>
  <c r="AI46" i="25"/>
  <c r="AG46" i="25"/>
  <c r="AE46" i="25"/>
  <c r="AD46" i="25"/>
  <c r="AC46" i="25"/>
  <c r="AB46" i="25"/>
  <c r="AA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AK45" i="25"/>
  <c r="AI45" i="25"/>
  <c r="AG45" i="25"/>
  <c r="AE45" i="25"/>
  <c r="AD45" i="25"/>
  <c r="AC45" i="25"/>
  <c r="AB45" i="25"/>
  <c r="AA45" i="25"/>
  <c r="U45" i="25"/>
  <c r="T45" i="25"/>
  <c r="S45" i="25"/>
  <c r="R45" i="25"/>
  <c r="Q45" i="25"/>
  <c r="P45" i="25"/>
  <c r="O45" i="25"/>
  <c r="N45" i="25"/>
  <c r="M45" i="25"/>
  <c r="L45" i="25"/>
  <c r="K45" i="25"/>
  <c r="J45" i="25"/>
  <c r="Z45" i="25" s="1"/>
  <c r="I45" i="25"/>
  <c r="H45" i="25"/>
  <c r="G45" i="25"/>
  <c r="F45" i="25"/>
  <c r="E45" i="25"/>
  <c r="D45" i="25"/>
  <c r="AK44" i="25"/>
  <c r="AI44" i="25"/>
  <c r="AG44" i="25"/>
  <c r="AE44" i="25"/>
  <c r="AD44" i="25"/>
  <c r="AC44" i="25"/>
  <c r="AB44" i="25"/>
  <c r="AA44" i="25"/>
  <c r="U44" i="25"/>
  <c r="T44" i="25"/>
  <c r="S44" i="25"/>
  <c r="R44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AK43" i="25"/>
  <c r="AI43" i="25"/>
  <c r="AG43" i="25"/>
  <c r="AE43" i="25"/>
  <c r="AD43" i="25"/>
  <c r="AC43" i="25"/>
  <c r="AB43" i="25"/>
  <c r="AA43" i="25"/>
  <c r="U43" i="25"/>
  <c r="T43" i="25"/>
  <c r="S43" i="25"/>
  <c r="R43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B43" i="25"/>
  <c r="AK42" i="25"/>
  <c r="AI42" i="25"/>
  <c r="AG42" i="25"/>
  <c r="AE42" i="25"/>
  <c r="AD42" i="25"/>
  <c r="AC42" i="25"/>
  <c r="AB42" i="25"/>
  <c r="AA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2" i="25" s="1"/>
  <c r="I42" i="25"/>
  <c r="H42" i="25"/>
  <c r="G42" i="25"/>
  <c r="F42" i="25"/>
  <c r="X42" i="25" s="1"/>
  <c r="E42" i="25"/>
  <c r="D42" i="25"/>
  <c r="W42" i="25" s="1"/>
  <c r="C42" i="25"/>
  <c r="AK41" i="25"/>
  <c r="AI41" i="25"/>
  <c r="AG41" i="25"/>
  <c r="AE41" i="25"/>
  <c r="AD41" i="25"/>
  <c r="AC41" i="25"/>
  <c r="AB41" i="25"/>
  <c r="AA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1" i="25" s="1"/>
  <c r="I41" i="25"/>
  <c r="H41" i="25"/>
  <c r="G41" i="25"/>
  <c r="F41" i="25"/>
  <c r="E41" i="25"/>
  <c r="D41" i="25"/>
  <c r="C41" i="25"/>
  <c r="B41" i="25"/>
  <c r="AK40" i="25"/>
  <c r="AI40" i="25"/>
  <c r="AG40" i="25"/>
  <c r="AE40" i="25"/>
  <c r="AD40" i="25"/>
  <c r="AC40" i="25"/>
  <c r="AB40" i="25"/>
  <c r="AA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I40" i="25"/>
  <c r="H40" i="25"/>
  <c r="G40" i="25"/>
  <c r="F40" i="25"/>
  <c r="X40" i="25" s="1"/>
  <c r="E40" i="25"/>
  <c r="D40" i="25"/>
  <c r="C40" i="25"/>
  <c r="AK39" i="25"/>
  <c r="AI39" i="25"/>
  <c r="AG39" i="25"/>
  <c r="AE39" i="25"/>
  <c r="AD39" i="25"/>
  <c r="AC39" i="25"/>
  <c r="AB39" i="25"/>
  <c r="AA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9" i="25" s="1"/>
  <c r="I39" i="25"/>
  <c r="H39" i="25"/>
  <c r="G39" i="25"/>
  <c r="F39" i="25"/>
  <c r="E39" i="25"/>
  <c r="D39" i="25"/>
  <c r="C39" i="25"/>
  <c r="B39" i="25"/>
  <c r="AK38" i="25"/>
  <c r="AI38" i="25"/>
  <c r="AG38" i="25"/>
  <c r="AE38" i="25"/>
  <c r="AD38" i="25"/>
  <c r="AC38" i="25"/>
  <c r="AB38" i="25"/>
  <c r="AA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X38" i="25" s="1"/>
  <c r="E38" i="25"/>
  <c r="D38" i="25"/>
  <c r="C38" i="25"/>
  <c r="AK37" i="25"/>
  <c r="AI37" i="25"/>
  <c r="AG37" i="25"/>
  <c r="AE37" i="25"/>
  <c r="AD37" i="25"/>
  <c r="AC37" i="25"/>
  <c r="AB37" i="25"/>
  <c r="AA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AK36" i="25"/>
  <c r="AI36" i="25"/>
  <c r="AG36" i="25"/>
  <c r="AE36" i="25"/>
  <c r="AD36" i="25"/>
  <c r="AC36" i="25"/>
  <c r="AB36" i="25"/>
  <c r="AA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AK35" i="25"/>
  <c r="AI35" i="25"/>
  <c r="AG35" i="25"/>
  <c r="AE35" i="25"/>
  <c r="AD35" i="25"/>
  <c r="AC35" i="25"/>
  <c r="AB35" i="25"/>
  <c r="AA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Z35" i="25" s="1"/>
  <c r="I35" i="25"/>
  <c r="H35" i="25"/>
  <c r="G35" i="25"/>
  <c r="F35" i="25"/>
  <c r="E35" i="25"/>
  <c r="D35" i="25"/>
  <c r="C35" i="25"/>
  <c r="B35" i="25"/>
  <c r="AK34" i="25"/>
  <c r="AI34" i="25"/>
  <c r="AG34" i="25"/>
  <c r="AE34" i="25"/>
  <c r="AD34" i="25"/>
  <c r="AC34" i="25"/>
  <c r="AB34" i="25"/>
  <c r="AA34" i="25"/>
  <c r="U34" i="25"/>
  <c r="T34" i="25"/>
  <c r="S34" i="25"/>
  <c r="R34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X34" i="25" s="1"/>
  <c r="E34" i="25"/>
  <c r="D34" i="25"/>
  <c r="C34" i="25"/>
  <c r="B34" i="25"/>
  <c r="AK33" i="25"/>
  <c r="AI33" i="25"/>
  <c r="AG33" i="25"/>
  <c r="AE33" i="25"/>
  <c r="AD33" i="25"/>
  <c r="AC33" i="25"/>
  <c r="AB33" i="25"/>
  <c r="AA33" i="25"/>
  <c r="U33" i="25"/>
  <c r="T33" i="25"/>
  <c r="S33" i="25"/>
  <c r="R33" i="25"/>
  <c r="Q33" i="25"/>
  <c r="P33" i="25"/>
  <c r="O33" i="25"/>
  <c r="N33" i="25"/>
  <c r="M33" i="25"/>
  <c r="L33" i="25"/>
  <c r="K33" i="25"/>
  <c r="J33" i="25"/>
  <c r="Z33" i="25" s="1"/>
  <c r="I33" i="25"/>
  <c r="H33" i="25"/>
  <c r="G33" i="25"/>
  <c r="F33" i="25"/>
  <c r="E33" i="25"/>
  <c r="D33" i="25"/>
  <c r="C33" i="25"/>
  <c r="B33" i="25"/>
  <c r="AK32" i="25"/>
  <c r="AI32" i="25"/>
  <c r="AG32" i="25"/>
  <c r="AE32" i="25"/>
  <c r="AD32" i="25"/>
  <c r="AC32" i="25"/>
  <c r="AB32" i="25"/>
  <c r="AA32" i="25"/>
  <c r="U32" i="25"/>
  <c r="T32" i="25"/>
  <c r="S32" i="25"/>
  <c r="R32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X32" i="25" s="1"/>
  <c r="E32" i="25"/>
  <c r="D32" i="25"/>
  <c r="C32" i="25"/>
  <c r="B32" i="25"/>
  <c r="AK31" i="25"/>
  <c r="AI31" i="25"/>
  <c r="AG31" i="25"/>
  <c r="AE31" i="25"/>
  <c r="AD31" i="25"/>
  <c r="AC31" i="25"/>
  <c r="AB31" i="25"/>
  <c r="AA31" i="25"/>
  <c r="U31" i="25"/>
  <c r="T31" i="25"/>
  <c r="S31" i="25"/>
  <c r="R31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AK30" i="25"/>
  <c r="AI30" i="25"/>
  <c r="AG30" i="25"/>
  <c r="AE30" i="25"/>
  <c r="AD30" i="25"/>
  <c r="AC30" i="25"/>
  <c r="AB30" i="25"/>
  <c r="AA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X30" i="25" s="1"/>
  <c r="E30" i="25"/>
  <c r="D30" i="25"/>
  <c r="C30" i="25"/>
  <c r="B30" i="25"/>
  <c r="AK29" i="25"/>
  <c r="AI29" i="25"/>
  <c r="AG29" i="25"/>
  <c r="AE29" i="25"/>
  <c r="AD29" i="25"/>
  <c r="AC29" i="25"/>
  <c r="AB29" i="25"/>
  <c r="AA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AK28" i="25"/>
  <c r="AI28" i="25"/>
  <c r="AG28" i="25"/>
  <c r="AE28" i="25"/>
  <c r="AD28" i="25"/>
  <c r="AC28" i="25"/>
  <c r="AB28" i="25"/>
  <c r="AA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B28" i="25"/>
  <c r="V28" i="25" s="1"/>
  <c r="D10" i="20"/>
  <c r="D9" i="20"/>
  <c r="D8" i="20"/>
  <c r="D7" i="20"/>
  <c r="G10" i="20"/>
  <c r="G9" i="20"/>
  <c r="G8" i="20"/>
  <c r="G7" i="20"/>
  <c r="J10" i="20"/>
  <c r="J9" i="20"/>
  <c r="J8" i="20"/>
  <c r="J7" i="20"/>
  <c r="M10" i="20"/>
  <c r="M9" i="20"/>
  <c r="M8" i="20"/>
  <c r="M7" i="20"/>
  <c r="P10" i="20"/>
  <c r="P9" i="20"/>
  <c r="P8" i="20"/>
  <c r="P7" i="20"/>
  <c r="S10" i="20"/>
  <c r="S9" i="20"/>
  <c r="S8" i="20"/>
  <c r="S7" i="20"/>
  <c r="V10" i="20"/>
  <c r="V9" i="20"/>
  <c r="V8" i="20"/>
  <c r="V7" i="20"/>
  <c r="Y10" i="20"/>
  <c r="Y9" i="20"/>
  <c r="Y8" i="20"/>
  <c r="Y7" i="20"/>
  <c r="AB8" i="20"/>
  <c r="AB9" i="20"/>
  <c r="AB10" i="20"/>
  <c r="AB7" i="20"/>
  <c r="AJ45" i="21"/>
  <c r="AK45" i="21" s="1"/>
  <c r="AF45" i="21"/>
  <c r="AG45" i="21" s="1"/>
  <c r="AB45" i="21"/>
  <c r="AC45" i="21" s="1"/>
  <c r="X45" i="21"/>
  <c r="Y45" i="21" s="1"/>
  <c r="T45" i="21"/>
  <c r="U45" i="21" s="1"/>
  <c r="P45" i="21"/>
  <c r="Q45" i="21" s="1"/>
  <c r="L45" i="21"/>
  <c r="M45" i="21" s="1"/>
  <c r="D45" i="21"/>
  <c r="E45" i="21" s="1"/>
  <c r="AJ44" i="21"/>
  <c r="AK44" i="21" s="1"/>
  <c r="AF44" i="21"/>
  <c r="AG44" i="21" s="1"/>
  <c r="AB44" i="21"/>
  <c r="AC44" i="21" s="1"/>
  <c r="X44" i="21"/>
  <c r="Y44" i="21" s="1"/>
  <c r="T44" i="21"/>
  <c r="U44" i="21" s="1"/>
  <c r="P44" i="21"/>
  <c r="Q44" i="21" s="1"/>
  <c r="L44" i="21"/>
  <c r="M44" i="21" s="1"/>
  <c r="D44" i="21"/>
  <c r="E44" i="21" s="1"/>
  <c r="AJ43" i="21"/>
  <c r="AK43" i="21" s="1"/>
  <c r="AF43" i="21"/>
  <c r="AG43" i="21" s="1"/>
  <c r="AB43" i="21"/>
  <c r="AC43" i="21" s="1"/>
  <c r="X43" i="21"/>
  <c r="Y43" i="21" s="1"/>
  <c r="T43" i="21"/>
  <c r="U43" i="21" s="1"/>
  <c r="P43" i="21"/>
  <c r="Q43" i="21" s="1"/>
  <c r="L43" i="21"/>
  <c r="M43" i="21" s="1"/>
  <c r="D43" i="21"/>
  <c r="E43" i="21" s="1"/>
  <c r="AJ40" i="21"/>
  <c r="AK40" i="21" s="1"/>
  <c r="AF40" i="21"/>
  <c r="AG40" i="21" s="1"/>
  <c r="AB40" i="21"/>
  <c r="AC40" i="21" s="1"/>
  <c r="X40" i="21"/>
  <c r="Y40" i="21" s="1"/>
  <c r="T40" i="21"/>
  <c r="U40" i="21" s="1"/>
  <c r="P40" i="21"/>
  <c r="Q40" i="21" s="1"/>
  <c r="L40" i="21"/>
  <c r="M40" i="21" s="1"/>
  <c r="D40" i="21"/>
  <c r="E40" i="21" s="1"/>
  <c r="AJ39" i="21"/>
  <c r="AK39" i="21" s="1"/>
  <c r="AF39" i="21"/>
  <c r="AG39" i="21" s="1"/>
  <c r="AB39" i="21"/>
  <c r="AC39" i="21" s="1"/>
  <c r="X39" i="21"/>
  <c r="Y39" i="21" s="1"/>
  <c r="T39" i="21"/>
  <c r="U39" i="21" s="1"/>
  <c r="P39" i="21"/>
  <c r="Q39" i="21" s="1"/>
  <c r="L39" i="21"/>
  <c r="M39" i="21" s="1"/>
  <c r="D39" i="21"/>
  <c r="E39" i="21" s="1"/>
  <c r="AJ38" i="21"/>
  <c r="AK38" i="21" s="1"/>
  <c r="AF38" i="21"/>
  <c r="AG38" i="21" s="1"/>
  <c r="AB38" i="21"/>
  <c r="AC38" i="21" s="1"/>
  <c r="X38" i="21"/>
  <c r="Y38" i="21" s="1"/>
  <c r="T38" i="21"/>
  <c r="U38" i="21" s="1"/>
  <c r="P38" i="21"/>
  <c r="Q38" i="21" s="1"/>
  <c r="L38" i="21"/>
  <c r="M38" i="21" s="1"/>
  <c r="D38" i="21"/>
  <c r="E38" i="21" s="1"/>
  <c r="AJ35" i="21"/>
  <c r="AK35" i="21" s="1"/>
  <c r="AF35" i="21"/>
  <c r="AG35" i="21" s="1"/>
  <c r="AB35" i="21"/>
  <c r="AC35" i="21" s="1"/>
  <c r="X35" i="21"/>
  <c r="Y35" i="21" s="1"/>
  <c r="T35" i="21"/>
  <c r="U35" i="21" s="1"/>
  <c r="P35" i="21"/>
  <c r="Q35" i="21" s="1"/>
  <c r="L35" i="21"/>
  <c r="M35" i="21" s="1"/>
  <c r="D35" i="21"/>
  <c r="E35" i="21" s="1"/>
  <c r="AJ34" i="21"/>
  <c r="AK34" i="21" s="1"/>
  <c r="AF34" i="21"/>
  <c r="AG34" i="21" s="1"/>
  <c r="AB34" i="21"/>
  <c r="AC34" i="21" s="1"/>
  <c r="X34" i="21"/>
  <c r="Y34" i="21" s="1"/>
  <c r="T34" i="21"/>
  <c r="U34" i="21" s="1"/>
  <c r="P34" i="21"/>
  <c r="Q34" i="21" s="1"/>
  <c r="L34" i="21"/>
  <c r="M34" i="21" s="1"/>
  <c r="D34" i="21"/>
  <c r="E34" i="21" s="1"/>
  <c r="AJ33" i="21"/>
  <c r="AK33" i="21" s="1"/>
  <c r="AF33" i="21"/>
  <c r="AG33" i="21" s="1"/>
  <c r="AB33" i="21"/>
  <c r="AC33" i="21" s="1"/>
  <c r="X33" i="21"/>
  <c r="Y33" i="21" s="1"/>
  <c r="T33" i="21"/>
  <c r="U33" i="21" s="1"/>
  <c r="P33" i="21"/>
  <c r="Q33" i="21" s="1"/>
  <c r="L33" i="21"/>
  <c r="M33" i="21" s="1"/>
  <c r="D33" i="21"/>
  <c r="E33" i="21" s="1"/>
  <c r="AJ30" i="21"/>
  <c r="AK30" i="21" s="1"/>
  <c r="AF30" i="21"/>
  <c r="AG30" i="21" s="1"/>
  <c r="AB30" i="21"/>
  <c r="AC30" i="21" s="1"/>
  <c r="X30" i="21"/>
  <c r="Y30" i="21" s="1"/>
  <c r="T30" i="21"/>
  <c r="U30" i="21" s="1"/>
  <c r="P30" i="21"/>
  <c r="Q30" i="21" s="1"/>
  <c r="L30" i="21"/>
  <c r="M30" i="21" s="1"/>
  <c r="D30" i="21"/>
  <c r="E30" i="21" s="1"/>
  <c r="AJ29" i="21"/>
  <c r="AK29" i="21" s="1"/>
  <c r="AF29" i="21"/>
  <c r="AG29" i="21" s="1"/>
  <c r="AB29" i="21"/>
  <c r="AC29" i="21" s="1"/>
  <c r="X29" i="21"/>
  <c r="Y29" i="21" s="1"/>
  <c r="T29" i="21"/>
  <c r="U29" i="21" s="1"/>
  <c r="P29" i="21"/>
  <c r="Q29" i="21" s="1"/>
  <c r="L29" i="21"/>
  <c r="M29" i="21" s="1"/>
  <c r="D29" i="21"/>
  <c r="E29" i="21" s="1"/>
  <c r="AJ28" i="21"/>
  <c r="AK28" i="21" s="1"/>
  <c r="AF28" i="21"/>
  <c r="AG28" i="21" s="1"/>
  <c r="AB28" i="21"/>
  <c r="AC28" i="21" s="1"/>
  <c r="X28" i="21"/>
  <c r="Y28" i="21" s="1"/>
  <c r="T28" i="21"/>
  <c r="U28" i="21" s="1"/>
  <c r="P28" i="21"/>
  <c r="Q28" i="21" s="1"/>
  <c r="L28" i="21"/>
  <c r="M28" i="21" s="1"/>
  <c r="D28" i="21"/>
  <c r="E28" i="21" s="1"/>
  <c r="AJ25" i="21"/>
  <c r="AK25" i="21" s="1"/>
  <c r="AF25" i="21"/>
  <c r="AG25" i="21" s="1"/>
  <c r="AB25" i="21"/>
  <c r="AC25" i="21" s="1"/>
  <c r="X25" i="21"/>
  <c r="Y25" i="21" s="1"/>
  <c r="T25" i="21"/>
  <c r="U25" i="21" s="1"/>
  <c r="P25" i="21"/>
  <c r="Q25" i="21" s="1"/>
  <c r="L25" i="21"/>
  <c r="M25" i="21" s="1"/>
  <c r="D25" i="21"/>
  <c r="E25" i="21" s="1"/>
  <c r="AJ24" i="21"/>
  <c r="AK24" i="21" s="1"/>
  <c r="AF24" i="21"/>
  <c r="AG24" i="21" s="1"/>
  <c r="AB24" i="21"/>
  <c r="AC24" i="21" s="1"/>
  <c r="X24" i="21"/>
  <c r="Y24" i="21" s="1"/>
  <c r="T24" i="21"/>
  <c r="U24" i="21" s="1"/>
  <c r="P24" i="21"/>
  <c r="Q24" i="21" s="1"/>
  <c r="L24" i="21"/>
  <c r="M24" i="21" s="1"/>
  <c r="D24" i="21"/>
  <c r="E24" i="21" s="1"/>
  <c r="AJ23" i="21"/>
  <c r="AK23" i="21" s="1"/>
  <c r="AF23" i="21"/>
  <c r="AG23" i="21" s="1"/>
  <c r="AB23" i="21"/>
  <c r="AC23" i="21" s="1"/>
  <c r="X23" i="21"/>
  <c r="Y23" i="21" s="1"/>
  <c r="T23" i="21"/>
  <c r="U23" i="21" s="1"/>
  <c r="P23" i="21"/>
  <c r="Q23" i="21" s="1"/>
  <c r="L23" i="21"/>
  <c r="M23" i="21" s="1"/>
  <c r="D23" i="21"/>
  <c r="E23" i="21" s="1"/>
  <c r="AJ20" i="21"/>
  <c r="AK20" i="21" s="1"/>
  <c r="AF20" i="21"/>
  <c r="AG20" i="21" s="1"/>
  <c r="AB20" i="21"/>
  <c r="AC20" i="21" s="1"/>
  <c r="X20" i="21"/>
  <c r="Y20" i="21" s="1"/>
  <c r="T20" i="21"/>
  <c r="U20" i="21" s="1"/>
  <c r="P20" i="21"/>
  <c r="Q20" i="21" s="1"/>
  <c r="L20" i="21"/>
  <c r="M20" i="21" s="1"/>
  <c r="D20" i="21"/>
  <c r="E20" i="21" s="1"/>
  <c r="AJ19" i="21"/>
  <c r="AK19" i="21" s="1"/>
  <c r="AF19" i="21"/>
  <c r="AG19" i="21" s="1"/>
  <c r="AB19" i="21"/>
  <c r="AC19" i="21" s="1"/>
  <c r="X19" i="21"/>
  <c r="Y19" i="21" s="1"/>
  <c r="T19" i="21"/>
  <c r="U19" i="21" s="1"/>
  <c r="P19" i="21"/>
  <c r="Q19" i="21" s="1"/>
  <c r="L19" i="21"/>
  <c r="M19" i="21" s="1"/>
  <c r="D19" i="21"/>
  <c r="E19" i="21" s="1"/>
  <c r="AJ18" i="21"/>
  <c r="AK18" i="21" s="1"/>
  <c r="AF18" i="21"/>
  <c r="AG18" i="21" s="1"/>
  <c r="AB18" i="21"/>
  <c r="AC18" i="21" s="1"/>
  <c r="X18" i="21"/>
  <c r="Y18" i="21" s="1"/>
  <c r="T18" i="21"/>
  <c r="U18" i="21" s="1"/>
  <c r="P18" i="21"/>
  <c r="Q18" i="21" s="1"/>
  <c r="L18" i="21"/>
  <c r="M18" i="21" s="1"/>
  <c r="D18" i="21"/>
  <c r="E18" i="21" s="1"/>
  <c r="AJ15" i="21"/>
  <c r="AK15" i="21" s="1"/>
  <c r="AF15" i="21"/>
  <c r="AG15" i="21" s="1"/>
  <c r="AB15" i="21"/>
  <c r="AC15" i="21" s="1"/>
  <c r="X15" i="21"/>
  <c r="Y15" i="21" s="1"/>
  <c r="T15" i="21"/>
  <c r="U15" i="21" s="1"/>
  <c r="P15" i="21"/>
  <c r="Q15" i="21" s="1"/>
  <c r="L15" i="21"/>
  <c r="M15" i="21" s="1"/>
  <c r="D15" i="21"/>
  <c r="E15" i="21" s="1"/>
  <c r="AJ14" i="21"/>
  <c r="AK14" i="21" s="1"/>
  <c r="AF14" i="21"/>
  <c r="AG14" i="21" s="1"/>
  <c r="AB14" i="21"/>
  <c r="AC14" i="21" s="1"/>
  <c r="X14" i="21"/>
  <c r="Y14" i="21" s="1"/>
  <c r="T14" i="21"/>
  <c r="U14" i="21" s="1"/>
  <c r="P14" i="21"/>
  <c r="Q14" i="21" s="1"/>
  <c r="L14" i="21"/>
  <c r="M14" i="21" s="1"/>
  <c r="D14" i="21"/>
  <c r="E14" i="21" s="1"/>
  <c r="AJ13" i="21"/>
  <c r="AK13" i="21" s="1"/>
  <c r="AF13" i="21"/>
  <c r="AG13" i="21" s="1"/>
  <c r="AB13" i="21"/>
  <c r="AC13" i="21" s="1"/>
  <c r="X13" i="21"/>
  <c r="Y13" i="21" s="1"/>
  <c r="T13" i="21"/>
  <c r="U13" i="21" s="1"/>
  <c r="P13" i="21"/>
  <c r="Q13" i="21" s="1"/>
  <c r="L13" i="21"/>
  <c r="M13" i="21" s="1"/>
  <c r="D13" i="21"/>
  <c r="E13" i="21" s="1"/>
  <c r="J11" i="21"/>
  <c r="H11" i="21"/>
  <c r="AJ10" i="21"/>
  <c r="AK10" i="21" s="1"/>
  <c r="AF10" i="21"/>
  <c r="AG10" i="21" s="1"/>
  <c r="AB10" i="21"/>
  <c r="AC10" i="21" s="1"/>
  <c r="X10" i="21"/>
  <c r="Y10" i="21" s="1"/>
  <c r="T10" i="21"/>
  <c r="U10" i="21" s="1"/>
  <c r="P10" i="21"/>
  <c r="Q10" i="21" s="1"/>
  <c r="L10" i="21"/>
  <c r="M10" i="21" s="1"/>
  <c r="J10" i="21"/>
  <c r="H10" i="21"/>
  <c r="D10" i="21"/>
  <c r="E10" i="21" s="1"/>
  <c r="AJ9" i="21"/>
  <c r="AK9" i="21" s="1"/>
  <c r="AF9" i="21"/>
  <c r="AG9" i="21" s="1"/>
  <c r="AB9" i="21"/>
  <c r="AC9" i="21" s="1"/>
  <c r="X9" i="21"/>
  <c r="Y9" i="21" s="1"/>
  <c r="T9" i="21"/>
  <c r="U9" i="21" s="1"/>
  <c r="P9" i="21"/>
  <c r="Q9" i="21" s="1"/>
  <c r="L9" i="21"/>
  <c r="M9" i="21" s="1"/>
  <c r="J9" i="21"/>
  <c r="H9" i="21"/>
  <c r="D9" i="21"/>
  <c r="E9" i="21" s="1"/>
  <c r="AJ8" i="21"/>
  <c r="AK8" i="21" s="1"/>
  <c r="AF8" i="21"/>
  <c r="AG8" i="21" s="1"/>
  <c r="AB8" i="21"/>
  <c r="AC8" i="21" s="1"/>
  <c r="X8" i="21"/>
  <c r="Y8" i="21" s="1"/>
  <c r="T8" i="21"/>
  <c r="U8" i="21" s="1"/>
  <c r="P8" i="21"/>
  <c r="Q8" i="21" s="1"/>
  <c r="L8" i="21"/>
  <c r="M8" i="21" s="1"/>
  <c r="J8" i="21"/>
  <c r="H8" i="21"/>
  <c r="D8" i="21"/>
  <c r="E8" i="21" s="1"/>
  <c r="J7" i="21"/>
  <c r="H7" i="21"/>
  <c r="J6" i="21"/>
  <c r="H6" i="21"/>
  <c r="AJ5" i="21"/>
  <c r="AK5" i="21" s="1"/>
  <c r="AF5" i="21"/>
  <c r="AG5" i="21" s="1"/>
  <c r="AB5" i="21"/>
  <c r="AC5" i="21" s="1"/>
  <c r="X5" i="21"/>
  <c r="Y5" i="21" s="1"/>
  <c r="T5" i="21"/>
  <c r="U5" i="21" s="1"/>
  <c r="P5" i="21"/>
  <c r="Q5" i="21" s="1"/>
  <c r="L5" i="21"/>
  <c r="M5" i="21" s="1"/>
  <c r="J5" i="21"/>
  <c r="H5" i="21"/>
  <c r="D5" i="21"/>
  <c r="E5" i="21" s="1"/>
  <c r="AJ4" i="21"/>
  <c r="AK4" i="21" s="1"/>
  <c r="AF4" i="21"/>
  <c r="AG4" i="21" s="1"/>
  <c r="AB4" i="21"/>
  <c r="AC4" i="21" s="1"/>
  <c r="X4" i="21"/>
  <c r="Y4" i="21" s="1"/>
  <c r="T4" i="21"/>
  <c r="U4" i="21" s="1"/>
  <c r="P4" i="21"/>
  <c r="Q4" i="21" s="1"/>
  <c r="L4" i="21"/>
  <c r="M4" i="21" s="1"/>
  <c r="J4" i="21"/>
  <c r="H4" i="21"/>
  <c r="D4" i="21"/>
  <c r="E4" i="21" s="1"/>
  <c r="AJ3" i="21"/>
  <c r="AK3" i="21" s="1"/>
  <c r="AK47" i="21" s="1"/>
  <c r="AF3" i="21"/>
  <c r="AG3" i="21" s="1"/>
  <c r="AB3" i="21"/>
  <c r="AC3" i="21" s="1"/>
  <c r="X3" i="21"/>
  <c r="Y3" i="21" s="1"/>
  <c r="T3" i="21"/>
  <c r="U3" i="21" s="1"/>
  <c r="P3" i="21"/>
  <c r="Q3" i="21" s="1"/>
  <c r="L3" i="21"/>
  <c r="M3" i="21" s="1"/>
  <c r="J3" i="21"/>
  <c r="H3" i="21"/>
  <c r="D3" i="21"/>
  <c r="E3" i="21" s="1"/>
  <c r="B13" i="5"/>
  <c r="N5" i="20" a="1"/>
  <c r="W6" i="20" a="1"/>
  <c r="T5" i="20" a="1"/>
  <c r="Z6" i="20" a="1"/>
  <c r="E11" i="5" a="1"/>
  <c r="B4" i="20" a="1"/>
  <c r="B5" i="20" a="1"/>
  <c r="K5" i="20" a="1"/>
  <c r="H6" i="20" a="1"/>
  <c r="Q4" i="20" a="1"/>
  <c r="W3" i="20" a="1"/>
  <c r="Z4" i="20" a="1"/>
  <c r="N3" i="20" a="1"/>
  <c r="Z3" i="20" a="1"/>
  <c r="B3" i="20" a="1"/>
  <c r="T6" i="20" a="1"/>
  <c r="E3" i="20" a="1"/>
  <c r="N6" i="20" a="1"/>
  <c r="W5" i="20" a="1"/>
  <c r="E10" i="5" a="1"/>
  <c r="H5" i="20" a="1"/>
  <c r="W4" i="20" a="1"/>
  <c r="N4" i="20" a="1"/>
  <c r="H3" i="20" a="1"/>
  <c r="E6" i="20" a="1"/>
  <c r="Z5" i="20" a="1"/>
  <c r="E5" i="20" a="1"/>
  <c r="T4" i="20" a="1"/>
  <c r="K6" i="20" a="1"/>
  <c r="E4" i="20" a="1"/>
  <c r="E13" i="5" a="1"/>
  <c r="Q3" i="20" a="1"/>
  <c r="Q6" i="20" a="1"/>
  <c r="K3" i="20" a="1"/>
  <c r="Q5" i="20" a="1"/>
  <c r="T3" i="20" a="1"/>
  <c r="E12" i="5" a="1"/>
  <c r="H4" i="20" a="1"/>
  <c r="B6" i="20" a="1"/>
  <c r="K4" i="20" a="1"/>
  <c r="W81" i="25" l="1"/>
  <c r="W49" i="25"/>
  <c r="W53" i="25"/>
  <c r="W111" i="25"/>
  <c r="W56" i="25"/>
  <c r="W110" i="25"/>
  <c r="W112" i="25"/>
  <c r="G25" i="26"/>
  <c r="B46" i="25"/>
  <c r="V46" i="25" s="1"/>
  <c r="B80" i="25"/>
  <c r="B85" i="25"/>
  <c r="B44" i="25"/>
  <c r="B38" i="25"/>
  <c r="B40" i="25"/>
  <c r="V40" i="25" s="1"/>
  <c r="B78" i="25"/>
  <c r="B83" i="25"/>
  <c r="V83" i="25" s="1"/>
  <c r="B47" i="25"/>
  <c r="B81" i="25"/>
  <c r="B86" i="25"/>
  <c r="Z76" i="25"/>
  <c r="X77" i="25"/>
  <c r="Z81" i="25"/>
  <c r="X82" i="25"/>
  <c r="W85" i="25"/>
  <c r="X87" i="25"/>
  <c r="Z90" i="25"/>
  <c r="X91" i="25"/>
  <c r="Z97" i="25"/>
  <c r="X98" i="25"/>
  <c r="W101" i="25"/>
  <c r="X103" i="25"/>
  <c r="Y105" i="25"/>
  <c r="W108" i="25"/>
  <c r="Z109" i="25"/>
  <c r="Z111" i="25"/>
  <c r="X112" i="25"/>
  <c r="W117" i="25"/>
  <c r="Y118" i="25"/>
  <c r="Z124" i="25"/>
  <c r="X125" i="25"/>
  <c r="X39" i="25"/>
  <c r="X54" i="25"/>
  <c r="X56" i="25"/>
  <c r="W63" i="25"/>
  <c r="W78" i="25"/>
  <c r="X80" i="25"/>
  <c r="W94" i="25"/>
  <c r="X96" i="25"/>
  <c r="Z102" i="25"/>
  <c r="W104" i="25"/>
  <c r="X108" i="25"/>
  <c r="W113" i="25"/>
  <c r="W115" i="25"/>
  <c r="Z43" i="25"/>
  <c r="X44" i="25"/>
  <c r="Y46" i="25"/>
  <c r="Y80" i="25"/>
  <c r="X83" i="25"/>
  <c r="Y96" i="25"/>
  <c r="X99" i="25"/>
  <c r="X104" i="25"/>
  <c r="Z114" i="25"/>
  <c r="X115" i="25"/>
  <c r="Z116" i="25"/>
  <c r="Y119" i="25"/>
  <c r="X122" i="25"/>
  <c r="W29" i="25"/>
  <c r="Y30" i="25"/>
  <c r="W31" i="25"/>
  <c r="Y32" i="25"/>
  <c r="W37" i="25"/>
  <c r="Y38" i="25"/>
  <c r="W39" i="25"/>
  <c r="Y40" i="25"/>
  <c r="X45" i="25"/>
  <c r="W48" i="25"/>
  <c r="Y59" i="25"/>
  <c r="W60" i="25"/>
  <c r="Y61" i="25"/>
  <c r="W62" i="25"/>
  <c r="X64" i="25"/>
  <c r="W69" i="25"/>
  <c r="Y70" i="25"/>
  <c r="W71" i="25"/>
  <c r="Y72" i="25"/>
  <c r="W73" i="25"/>
  <c r="W82" i="25"/>
  <c r="X84" i="25"/>
  <c r="Y88" i="25"/>
  <c r="Y97" i="25"/>
  <c r="W98" i="25"/>
  <c r="X65" i="25"/>
  <c r="V107" i="25"/>
  <c r="W126" i="25"/>
  <c r="Y122" i="25"/>
  <c r="Y60" i="25"/>
  <c r="Y71" i="25"/>
  <c r="Y87" i="25"/>
  <c r="Y103" i="25"/>
  <c r="Y116" i="25"/>
  <c r="Y34" i="25"/>
  <c r="W43" i="25"/>
  <c r="Y44" i="25"/>
  <c r="Z77" i="25"/>
  <c r="W79" i="25"/>
  <c r="W84" i="25"/>
  <c r="Y85" i="25"/>
  <c r="Z87" i="25"/>
  <c r="X88" i="25"/>
  <c r="Z89" i="25"/>
  <c r="X90" i="25"/>
  <c r="Z91" i="25"/>
  <c r="X92" i="25"/>
  <c r="Z93" i="25"/>
  <c r="W95" i="25"/>
  <c r="V98" i="25"/>
  <c r="W100" i="25"/>
  <c r="Y101" i="25"/>
  <c r="Z103" i="25"/>
  <c r="X73" i="25"/>
  <c r="Y95" i="25"/>
  <c r="Z32" i="25"/>
  <c r="Z34" i="25"/>
  <c r="X35" i="25"/>
  <c r="Y42" i="25"/>
  <c r="X43" i="25"/>
  <c r="Z44" i="25"/>
  <c r="W46" i="25"/>
  <c r="W50" i="25"/>
  <c r="Y51" i="25"/>
  <c r="X57" i="25"/>
  <c r="Z65" i="25"/>
  <c r="Y78" i="25"/>
  <c r="Z80" i="25"/>
  <c r="Z96" i="25"/>
  <c r="Y99" i="25"/>
  <c r="Y104" i="25"/>
  <c r="X107" i="25"/>
  <c r="V108" i="25"/>
  <c r="Z108" i="25"/>
  <c r="X109" i="25"/>
  <c r="V110" i="25"/>
  <c r="Z110" i="25"/>
  <c r="X111" i="25"/>
  <c r="V112" i="25"/>
  <c r="Z112" i="25"/>
  <c r="Z123" i="25"/>
  <c r="X71" i="25"/>
  <c r="W28" i="25"/>
  <c r="W30" i="25"/>
  <c r="W32" i="25"/>
  <c r="W36" i="25"/>
  <c r="W38" i="25"/>
  <c r="W40" i="25"/>
  <c r="W44" i="25"/>
  <c r="Y45" i="25"/>
  <c r="X46" i="25"/>
  <c r="W65" i="25"/>
  <c r="Y66" i="25"/>
  <c r="Y74" i="25"/>
  <c r="Y76" i="25"/>
  <c r="Z83" i="25"/>
  <c r="Y86" i="25"/>
  <c r="Y90" i="25"/>
  <c r="W91" i="25"/>
  <c r="Y92" i="25"/>
  <c r="Z94" i="25"/>
  <c r="W96" i="25"/>
  <c r="Z99" i="25"/>
  <c r="X105" i="25"/>
  <c r="W106" i="25"/>
  <c r="Y107" i="25"/>
  <c r="Z117" i="25"/>
  <c r="Z119" i="25"/>
  <c r="X120" i="25"/>
  <c r="W125" i="25"/>
  <c r="X31" i="25"/>
  <c r="X62" i="25"/>
  <c r="Y68" i="25"/>
  <c r="X78" i="25"/>
  <c r="Y82" i="25"/>
  <c r="Y84" i="25"/>
  <c r="X94" i="25"/>
  <c r="Y100" i="25"/>
  <c r="X113" i="25"/>
  <c r="X119" i="25"/>
  <c r="X127" i="25"/>
  <c r="Y29" i="25"/>
  <c r="X33" i="25"/>
  <c r="Y36" i="25"/>
  <c r="Y48" i="25"/>
  <c r="X50" i="25"/>
  <c r="W52" i="25"/>
  <c r="W54" i="25"/>
  <c r="Z58" i="25"/>
  <c r="W61" i="25"/>
  <c r="Y62" i="25"/>
  <c r="Z64" i="25"/>
  <c r="X69" i="25"/>
  <c r="Z70" i="25"/>
  <c r="Z72" i="25"/>
  <c r="Z84" i="25"/>
  <c r="Z86" i="25"/>
  <c r="Z88" i="25"/>
  <c r="W89" i="25"/>
  <c r="Y94" i="25"/>
  <c r="Z98" i="25"/>
  <c r="Z100" i="25"/>
  <c r="X101" i="25"/>
  <c r="V102" i="25"/>
  <c r="Y109" i="25"/>
  <c r="Y113" i="25"/>
  <c r="W114" i="25"/>
  <c r="Y115" i="25"/>
  <c r="Y117" i="25"/>
  <c r="W120" i="25"/>
  <c r="X121" i="25"/>
  <c r="Y123" i="25"/>
  <c r="W124" i="25"/>
  <c r="Y127" i="25"/>
  <c r="X28" i="25"/>
  <c r="Z29" i="25"/>
  <c r="Y31" i="25"/>
  <c r="Y33" i="25"/>
  <c r="W34" i="25"/>
  <c r="Z36" i="25"/>
  <c r="X37" i="25"/>
  <c r="Z38" i="25"/>
  <c r="W41" i="25"/>
  <c r="W45" i="25"/>
  <c r="Z51" i="25"/>
  <c r="X63" i="25"/>
  <c r="W66" i="25"/>
  <c r="Y67" i="25"/>
  <c r="W77" i="25"/>
  <c r="X79" i="25"/>
  <c r="X81" i="25"/>
  <c r="X85" i="25"/>
  <c r="W93" i="25"/>
  <c r="X95" i="25"/>
  <c r="X97" i="25"/>
  <c r="W102" i="25"/>
  <c r="X106" i="25"/>
  <c r="Z107" i="25"/>
  <c r="W116" i="25"/>
  <c r="Y121" i="25"/>
  <c r="Z31" i="25"/>
  <c r="Y35" i="25"/>
  <c r="Z40" i="25"/>
  <c r="Z46" i="25"/>
  <c r="X47" i="25"/>
  <c r="Z48" i="25"/>
  <c r="X52" i="25"/>
  <c r="Z53" i="25"/>
  <c r="Z55" i="25"/>
  <c r="Y57" i="25"/>
  <c r="W58" i="25"/>
  <c r="Z60" i="25"/>
  <c r="X61" i="25"/>
  <c r="Z62" i="25"/>
  <c r="W64" i="25"/>
  <c r="Y65" i="25"/>
  <c r="W68" i="25"/>
  <c r="Y69" i="25"/>
  <c r="W70" i="25"/>
  <c r="W72" i="25"/>
  <c r="Z74" i="25"/>
  <c r="Z78" i="25"/>
  <c r="W80" i="25"/>
  <c r="Y81" i="25"/>
  <c r="Y83" i="25"/>
  <c r="W86" i="25"/>
  <c r="X89" i="25"/>
  <c r="Z92" i="25"/>
  <c r="X93" i="25"/>
  <c r="W105" i="25"/>
  <c r="W107" i="25"/>
  <c r="X110" i="25"/>
  <c r="X116" i="25"/>
  <c r="X118" i="25"/>
  <c r="Z121" i="25"/>
  <c r="Y126" i="25"/>
  <c r="Y28" i="25"/>
  <c r="Y37" i="25"/>
  <c r="X41" i="25"/>
  <c r="X49" i="25"/>
  <c r="Y63" i="25"/>
  <c r="Y79" i="25"/>
  <c r="X100" i="25"/>
  <c r="Z101" i="25"/>
  <c r="W103" i="25"/>
  <c r="W119" i="25"/>
  <c r="Y120" i="25"/>
  <c r="W123" i="25"/>
  <c r="W127" i="25"/>
  <c r="Y128" i="25"/>
  <c r="Z28" i="25"/>
  <c r="X29" i="25"/>
  <c r="Z30" i="25"/>
  <c r="W33" i="25"/>
  <c r="X36" i="25"/>
  <c r="Z37" i="25"/>
  <c r="Y39" i="25"/>
  <c r="Y41" i="25"/>
  <c r="Y43" i="25"/>
  <c r="Y47" i="25"/>
  <c r="Y49" i="25"/>
  <c r="Y52" i="25"/>
  <c r="Z59" i="25"/>
  <c r="Z63" i="25"/>
  <c r="W67" i="25"/>
  <c r="V69" i="25"/>
  <c r="X70" i="25"/>
  <c r="W76" i="25"/>
  <c r="Y77" i="25"/>
  <c r="Z79" i="25"/>
  <c r="Z85" i="25"/>
  <c r="X86" i="25"/>
  <c r="W87" i="25"/>
  <c r="W92" i="25"/>
  <c r="Y93" i="25"/>
  <c r="Z95" i="25"/>
  <c r="Y102" i="25"/>
  <c r="Z104" i="25"/>
  <c r="Z106" i="25"/>
  <c r="Y108" i="25"/>
  <c r="Y114" i="25"/>
  <c r="W121" i="25"/>
  <c r="Z126" i="25"/>
  <c r="V125" i="25"/>
  <c r="V37" i="25"/>
  <c r="V75" i="25"/>
  <c r="V29" i="25"/>
  <c r="V38" i="25"/>
  <c r="V85" i="25"/>
  <c r="V101" i="25"/>
  <c r="V30" i="25"/>
  <c r="V35" i="25"/>
  <c r="V67" i="25"/>
  <c r="W99" i="25"/>
  <c r="V34" i="25"/>
  <c r="V90" i="25"/>
  <c r="V61" i="25"/>
  <c r="V92" i="25"/>
  <c r="V111" i="25"/>
  <c r="W75" i="25"/>
  <c r="W118" i="25"/>
  <c r="V80" i="25"/>
  <c r="W83" i="25"/>
  <c r="W35" i="25"/>
  <c r="V59" i="25"/>
  <c r="V95" i="25"/>
  <c r="V51" i="25"/>
  <c r="V127" i="25"/>
  <c r="V32" i="25"/>
  <c r="V68" i="25"/>
  <c r="V73" i="25"/>
  <c r="V89" i="25"/>
  <c r="V50" i="25"/>
  <c r="V58" i="25"/>
  <c r="V115" i="25"/>
  <c r="V53" i="25"/>
  <c r="V55" i="25"/>
  <c r="V63" i="25"/>
  <c r="V70" i="25"/>
  <c r="V72" i="25"/>
  <c r="V82" i="25"/>
  <c r="V88" i="25"/>
  <c r="V91" i="25"/>
  <c r="V119" i="25"/>
  <c r="V31" i="25"/>
  <c r="V39" i="25"/>
  <c r="V42" i="25"/>
  <c r="V49" i="25"/>
  <c r="V57" i="25"/>
  <c r="V60" i="25"/>
  <c r="V93" i="25"/>
  <c r="V114" i="25"/>
  <c r="V121" i="25"/>
  <c r="V52" i="25"/>
  <c r="V33" i="25"/>
  <c r="V36" i="25"/>
  <c r="V41" i="25"/>
  <c r="V44" i="25"/>
  <c r="V54" i="25"/>
  <c r="V56" i="25"/>
  <c r="V62" i="25"/>
  <c r="V71" i="25"/>
  <c r="V74" i="25"/>
  <c r="V116" i="25"/>
  <c r="V118" i="25"/>
  <c r="V120" i="25"/>
  <c r="C45" i="25"/>
  <c r="V45" i="25" s="1"/>
  <c r="C65" i="25"/>
  <c r="V65" i="25" s="1"/>
  <c r="C86" i="25"/>
  <c r="V86" i="25" s="1"/>
  <c r="C97" i="25"/>
  <c r="V97" i="25" s="1"/>
  <c r="C103" i="25"/>
  <c r="V103" i="25" s="1"/>
  <c r="C106" i="25"/>
  <c r="V106" i="25" s="1"/>
  <c r="C123" i="25"/>
  <c r="V123" i="25" s="1"/>
  <c r="C126" i="25"/>
  <c r="V126" i="25" s="1"/>
  <c r="C47" i="25"/>
  <c r="V47" i="25" s="1"/>
  <c r="C64" i="25"/>
  <c r="V64" i="25" s="1"/>
  <c r="C79" i="25"/>
  <c r="V79" i="25" s="1"/>
  <c r="C94" i="25"/>
  <c r="V94" i="25" s="1"/>
  <c r="C96" i="25"/>
  <c r="V96" i="25" s="1"/>
  <c r="C100" i="25"/>
  <c r="V100" i="25" s="1"/>
  <c r="C105" i="25"/>
  <c r="V105" i="25" s="1"/>
  <c r="C117" i="25"/>
  <c r="V117" i="25" s="1"/>
  <c r="C122" i="25"/>
  <c r="V122" i="25" s="1"/>
  <c r="C81" i="25"/>
  <c r="V81" i="25" s="1"/>
  <c r="C87" i="25"/>
  <c r="V87" i="25" s="1"/>
  <c r="C99" i="25"/>
  <c r="V99" i="25" s="1"/>
  <c r="C104" i="25"/>
  <c r="V104" i="25" s="1"/>
  <c r="C113" i="25"/>
  <c r="V113" i="25" s="1"/>
  <c r="C66" i="25"/>
  <c r="V66" i="25" s="1"/>
  <c r="C84" i="25"/>
  <c r="V84" i="25" s="1"/>
  <c r="C43" i="25"/>
  <c r="V43" i="25" s="1"/>
  <c r="V48" i="25"/>
  <c r="C78" i="25"/>
  <c r="V78" i="25" s="1"/>
  <c r="M47" i="21"/>
  <c r="Q47" i="21"/>
  <c r="U47" i="21"/>
  <c r="Y47" i="21"/>
  <c r="AC47" i="21"/>
  <c r="E47" i="21"/>
  <c r="AG47" i="21"/>
  <c r="K4" i="20"/>
  <c r="M4" i="20" s="1"/>
  <c r="W3" i="20"/>
  <c r="Y3" i="20" s="1"/>
  <c r="T4" i="20"/>
  <c r="V4" i="20" s="1"/>
  <c r="Q5" i="20"/>
  <c r="S5" i="20" s="1"/>
  <c r="N6" i="20"/>
  <c r="P6" i="20" s="1"/>
  <c r="H3" i="20"/>
  <c r="J3" i="20" s="1"/>
  <c r="E4" i="20"/>
  <c r="G4" i="20" s="1"/>
  <c r="B5" i="20"/>
  <c r="D5" i="20" s="1"/>
  <c r="Z5" i="20"/>
  <c r="AB5" i="20" s="1"/>
  <c r="W6" i="20"/>
  <c r="Y6" i="20" s="1"/>
  <c r="N3" i="20"/>
  <c r="P3" i="20" s="1"/>
  <c r="Q3" i="20"/>
  <c r="S3" i="20" s="1"/>
  <c r="N4" i="20"/>
  <c r="P4" i="20" s="1"/>
  <c r="K5" i="20"/>
  <c r="M5" i="20" s="1"/>
  <c r="H6" i="20"/>
  <c r="J6" i="20" s="1"/>
  <c r="B3" i="20"/>
  <c r="Z3" i="20"/>
  <c r="AB3" i="20" s="1"/>
  <c r="W4" i="20"/>
  <c r="Y4" i="20" s="1"/>
  <c r="T5" i="20"/>
  <c r="V5" i="20" s="1"/>
  <c r="Q6" i="20"/>
  <c r="S6" i="20" s="1"/>
  <c r="K3" i="20"/>
  <c r="M3" i="20" s="1"/>
  <c r="H4" i="20"/>
  <c r="J4" i="20" s="1"/>
  <c r="E5" i="20"/>
  <c r="G5" i="20" s="1"/>
  <c r="B6" i="20"/>
  <c r="D6" i="20" s="1"/>
  <c r="Z6" i="20"/>
  <c r="AB6" i="20" s="1"/>
  <c r="E6" i="20"/>
  <c r="G6" i="20" s="1"/>
  <c r="T3" i="20"/>
  <c r="V3" i="20" s="1"/>
  <c r="Q4" i="20"/>
  <c r="S4" i="20" s="1"/>
  <c r="N5" i="20"/>
  <c r="P5" i="20" s="1"/>
  <c r="K6" i="20"/>
  <c r="M6" i="20" s="1"/>
  <c r="H5" i="20"/>
  <c r="J5" i="20" s="1"/>
  <c r="E3" i="20"/>
  <c r="G3" i="20" s="1"/>
  <c r="B4" i="20"/>
  <c r="D4" i="20" s="1"/>
  <c r="Z4" i="20"/>
  <c r="AB4" i="20" s="1"/>
  <c r="W5" i="20"/>
  <c r="Y5" i="20" s="1"/>
  <c r="T6" i="20"/>
  <c r="V6" i="20" s="1"/>
  <c r="E12" i="5"/>
  <c r="E13" i="5"/>
  <c r="E11" i="5"/>
  <c r="E10" i="5"/>
  <c r="B12" i="5"/>
  <c r="B11" i="5"/>
  <c r="B10" i="5"/>
  <c r="B48" i="5" l="1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AJ45" i="16"/>
  <c r="AK45" i="16" s="1"/>
  <c r="AF45" i="16"/>
  <c r="AG45" i="16" s="1"/>
  <c r="AB45" i="16"/>
  <c r="AC45" i="16" s="1"/>
  <c r="X45" i="16"/>
  <c r="Y45" i="16" s="1"/>
  <c r="T45" i="16"/>
  <c r="U45" i="16" s="1"/>
  <c r="P45" i="16"/>
  <c r="Q45" i="16" s="1"/>
  <c r="L45" i="16"/>
  <c r="M45" i="16" s="1"/>
  <c r="D45" i="16"/>
  <c r="E45" i="16" s="1"/>
  <c r="AJ44" i="16"/>
  <c r="AK44" i="16" s="1"/>
  <c r="AF44" i="16"/>
  <c r="AG44" i="16" s="1"/>
  <c r="AB44" i="16"/>
  <c r="AC44" i="16" s="1"/>
  <c r="X44" i="16"/>
  <c r="Y44" i="16" s="1"/>
  <c r="T44" i="16"/>
  <c r="U44" i="16" s="1"/>
  <c r="P44" i="16"/>
  <c r="Q44" i="16" s="1"/>
  <c r="L44" i="16"/>
  <c r="M44" i="16" s="1"/>
  <c r="D44" i="16"/>
  <c r="E44" i="16" s="1"/>
  <c r="AJ43" i="16"/>
  <c r="AK43" i="16" s="1"/>
  <c r="AF43" i="16"/>
  <c r="AG43" i="16" s="1"/>
  <c r="AB43" i="16"/>
  <c r="AC43" i="16" s="1"/>
  <c r="X43" i="16"/>
  <c r="Y43" i="16" s="1"/>
  <c r="T43" i="16"/>
  <c r="U43" i="16" s="1"/>
  <c r="P43" i="16"/>
  <c r="Q43" i="16" s="1"/>
  <c r="L43" i="16"/>
  <c r="M43" i="16" s="1"/>
  <c r="D43" i="16"/>
  <c r="E43" i="16" s="1"/>
  <c r="AJ40" i="16"/>
  <c r="AK40" i="16" s="1"/>
  <c r="AF40" i="16"/>
  <c r="AG40" i="16" s="1"/>
  <c r="AB40" i="16"/>
  <c r="AC40" i="16" s="1"/>
  <c r="X40" i="16"/>
  <c r="Y40" i="16" s="1"/>
  <c r="T40" i="16"/>
  <c r="U40" i="16" s="1"/>
  <c r="P40" i="16"/>
  <c r="Q40" i="16" s="1"/>
  <c r="L40" i="16"/>
  <c r="M40" i="16" s="1"/>
  <c r="D40" i="16"/>
  <c r="E40" i="16" s="1"/>
  <c r="AJ39" i="16"/>
  <c r="AK39" i="16" s="1"/>
  <c r="AF39" i="16"/>
  <c r="AG39" i="16" s="1"/>
  <c r="AB39" i="16"/>
  <c r="AC39" i="16" s="1"/>
  <c r="X39" i="16"/>
  <c r="Y39" i="16" s="1"/>
  <c r="T39" i="16"/>
  <c r="U39" i="16" s="1"/>
  <c r="P39" i="16"/>
  <c r="Q39" i="16" s="1"/>
  <c r="L39" i="16"/>
  <c r="M39" i="16" s="1"/>
  <c r="D39" i="16"/>
  <c r="E39" i="16" s="1"/>
  <c r="AJ38" i="16"/>
  <c r="AK38" i="16" s="1"/>
  <c r="AF38" i="16"/>
  <c r="AG38" i="16" s="1"/>
  <c r="AB38" i="16"/>
  <c r="AC38" i="16" s="1"/>
  <c r="X38" i="16"/>
  <c r="Y38" i="16" s="1"/>
  <c r="T38" i="16"/>
  <c r="U38" i="16" s="1"/>
  <c r="P38" i="16"/>
  <c r="Q38" i="16" s="1"/>
  <c r="L38" i="16"/>
  <c r="M38" i="16" s="1"/>
  <c r="D38" i="16"/>
  <c r="E38" i="16" s="1"/>
  <c r="AJ35" i="16"/>
  <c r="AK35" i="16" s="1"/>
  <c r="AF35" i="16"/>
  <c r="AG35" i="16" s="1"/>
  <c r="AB35" i="16"/>
  <c r="AC35" i="16" s="1"/>
  <c r="X35" i="16"/>
  <c r="Y35" i="16" s="1"/>
  <c r="T35" i="16"/>
  <c r="U35" i="16" s="1"/>
  <c r="P35" i="16"/>
  <c r="Q35" i="16" s="1"/>
  <c r="L35" i="16"/>
  <c r="M35" i="16" s="1"/>
  <c r="D35" i="16"/>
  <c r="E35" i="16" s="1"/>
  <c r="AJ34" i="16"/>
  <c r="AK34" i="16" s="1"/>
  <c r="AF34" i="16"/>
  <c r="AG34" i="16" s="1"/>
  <c r="AB34" i="16"/>
  <c r="AC34" i="16" s="1"/>
  <c r="X34" i="16"/>
  <c r="Y34" i="16" s="1"/>
  <c r="T34" i="16"/>
  <c r="U34" i="16" s="1"/>
  <c r="P34" i="16"/>
  <c r="Q34" i="16" s="1"/>
  <c r="L34" i="16"/>
  <c r="M34" i="16" s="1"/>
  <c r="D34" i="16"/>
  <c r="E34" i="16" s="1"/>
  <c r="AJ33" i="16"/>
  <c r="AK33" i="16" s="1"/>
  <c r="AF33" i="16"/>
  <c r="AG33" i="16" s="1"/>
  <c r="AB33" i="16"/>
  <c r="AC33" i="16" s="1"/>
  <c r="X33" i="16"/>
  <c r="Y33" i="16" s="1"/>
  <c r="T33" i="16"/>
  <c r="U33" i="16" s="1"/>
  <c r="P33" i="16"/>
  <c r="Q33" i="16" s="1"/>
  <c r="L33" i="16"/>
  <c r="M33" i="16" s="1"/>
  <c r="D33" i="16"/>
  <c r="E33" i="16" s="1"/>
  <c r="AJ30" i="16"/>
  <c r="AK30" i="16" s="1"/>
  <c r="AF30" i="16"/>
  <c r="AG30" i="16" s="1"/>
  <c r="AB30" i="16"/>
  <c r="AC30" i="16" s="1"/>
  <c r="X30" i="16"/>
  <c r="Y30" i="16" s="1"/>
  <c r="T30" i="16"/>
  <c r="U30" i="16" s="1"/>
  <c r="P30" i="16"/>
  <c r="Q30" i="16" s="1"/>
  <c r="L30" i="16"/>
  <c r="M30" i="16" s="1"/>
  <c r="D30" i="16"/>
  <c r="E30" i="16" s="1"/>
  <c r="AJ29" i="16"/>
  <c r="AK29" i="16" s="1"/>
  <c r="AF29" i="16"/>
  <c r="AG29" i="16" s="1"/>
  <c r="AB29" i="16"/>
  <c r="AC29" i="16" s="1"/>
  <c r="X29" i="16"/>
  <c r="Y29" i="16" s="1"/>
  <c r="T29" i="16"/>
  <c r="U29" i="16" s="1"/>
  <c r="P29" i="16"/>
  <c r="Q29" i="16" s="1"/>
  <c r="L29" i="16"/>
  <c r="M29" i="16" s="1"/>
  <c r="D29" i="16"/>
  <c r="E29" i="16" s="1"/>
  <c r="AJ28" i="16"/>
  <c r="AK28" i="16" s="1"/>
  <c r="AF28" i="16"/>
  <c r="AG28" i="16" s="1"/>
  <c r="AB28" i="16"/>
  <c r="AC28" i="16" s="1"/>
  <c r="X28" i="16"/>
  <c r="Y28" i="16" s="1"/>
  <c r="T28" i="16"/>
  <c r="U28" i="16" s="1"/>
  <c r="P28" i="16"/>
  <c r="Q28" i="16" s="1"/>
  <c r="L28" i="16"/>
  <c r="M28" i="16" s="1"/>
  <c r="D28" i="16"/>
  <c r="E28" i="16" s="1"/>
  <c r="AJ25" i="16"/>
  <c r="AK25" i="16" s="1"/>
  <c r="AF25" i="16"/>
  <c r="AG25" i="16" s="1"/>
  <c r="AB25" i="16"/>
  <c r="AC25" i="16" s="1"/>
  <c r="X25" i="16"/>
  <c r="Y25" i="16" s="1"/>
  <c r="T25" i="16"/>
  <c r="U25" i="16" s="1"/>
  <c r="P25" i="16"/>
  <c r="Q25" i="16" s="1"/>
  <c r="L25" i="16"/>
  <c r="M25" i="16" s="1"/>
  <c r="D25" i="16"/>
  <c r="E25" i="16" s="1"/>
  <c r="AJ24" i="16"/>
  <c r="AK24" i="16" s="1"/>
  <c r="AF24" i="16"/>
  <c r="AG24" i="16" s="1"/>
  <c r="AB24" i="16"/>
  <c r="AC24" i="16" s="1"/>
  <c r="X24" i="16"/>
  <c r="Y24" i="16" s="1"/>
  <c r="T24" i="16"/>
  <c r="U24" i="16" s="1"/>
  <c r="P24" i="16"/>
  <c r="Q24" i="16" s="1"/>
  <c r="L24" i="16"/>
  <c r="M24" i="16" s="1"/>
  <c r="D24" i="16"/>
  <c r="E24" i="16" s="1"/>
  <c r="AJ23" i="16"/>
  <c r="AK23" i="16" s="1"/>
  <c r="AF23" i="16"/>
  <c r="AG23" i="16" s="1"/>
  <c r="AB23" i="16"/>
  <c r="AC23" i="16" s="1"/>
  <c r="X23" i="16"/>
  <c r="Y23" i="16" s="1"/>
  <c r="T23" i="16"/>
  <c r="U23" i="16" s="1"/>
  <c r="P23" i="16"/>
  <c r="Q23" i="16" s="1"/>
  <c r="L23" i="16"/>
  <c r="M23" i="16" s="1"/>
  <c r="D23" i="16"/>
  <c r="E23" i="16" s="1"/>
  <c r="AJ20" i="16"/>
  <c r="AK20" i="16" s="1"/>
  <c r="AF20" i="16"/>
  <c r="AG20" i="16" s="1"/>
  <c r="AB20" i="16"/>
  <c r="AC20" i="16" s="1"/>
  <c r="X20" i="16"/>
  <c r="Y20" i="16" s="1"/>
  <c r="T20" i="16"/>
  <c r="U20" i="16" s="1"/>
  <c r="P20" i="16"/>
  <c r="Q20" i="16" s="1"/>
  <c r="L20" i="16"/>
  <c r="M20" i="16" s="1"/>
  <c r="D20" i="16"/>
  <c r="E20" i="16" s="1"/>
  <c r="AJ19" i="16"/>
  <c r="AK19" i="16" s="1"/>
  <c r="AF19" i="16"/>
  <c r="AG19" i="16" s="1"/>
  <c r="AB19" i="16"/>
  <c r="AC19" i="16" s="1"/>
  <c r="X19" i="16"/>
  <c r="Y19" i="16" s="1"/>
  <c r="T19" i="16"/>
  <c r="U19" i="16" s="1"/>
  <c r="P19" i="16"/>
  <c r="Q19" i="16" s="1"/>
  <c r="L19" i="16"/>
  <c r="M19" i="16" s="1"/>
  <c r="D19" i="16"/>
  <c r="E19" i="16" s="1"/>
  <c r="AJ18" i="16"/>
  <c r="AK18" i="16" s="1"/>
  <c r="AF18" i="16"/>
  <c r="AG18" i="16" s="1"/>
  <c r="AB18" i="16"/>
  <c r="AC18" i="16" s="1"/>
  <c r="X18" i="16"/>
  <c r="Y18" i="16" s="1"/>
  <c r="T18" i="16"/>
  <c r="U18" i="16" s="1"/>
  <c r="P18" i="16"/>
  <c r="Q18" i="16" s="1"/>
  <c r="L18" i="16"/>
  <c r="M18" i="16" s="1"/>
  <c r="D18" i="16"/>
  <c r="E18" i="16" s="1"/>
  <c r="AJ15" i="16"/>
  <c r="AK15" i="16" s="1"/>
  <c r="AF15" i="16"/>
  <c r="AG15" i="16" s="1"/>
  <c r="AB15" i="16"/>
  <c r="AC15" i="16" s="1"/>
  <c r="X15" i="16"/>
  <c r="Y15" i="16" s="1"/>
  <c r="T15" i="16"/>
  <c r="U15" i="16" s="1"/>
  <c r="P15" i="16"/>
  <c r="Q15" i="16" s="1"/>
  <c r="L15" i="16"/>
  <c r="M15" i="16" s="1"/>
  <c r="D15" i="16"/>
  <c r="E15" i="16" s="1"/>
  <c r="AJ14" i="16"/>
  <c r="AK14" i="16" s="1"/>
  <c r="AF14" i="16"/>
  <c r="AG14" i="16" s="1"/>
  <c r="AB14" i="16"/>
  <c r="AC14" i="16" s="1"/>
  <c r="X14" i="16"/>
  <c r="Y14" i="16" s="1"/>
  <c r="T14" i="16"/>
  <c r="U14" i="16" s="1"/>
  <c r="P14" i="16"/>
  <c r="Q14" i="16" s="1"/>
  <c r="L14" i="16"/>
  <c r="M14" i="16" s="1"/>
  <c r="D14" i="16"/>
  <c r="E14" i="16" s="1"/>
  <c r="AJ13" i="16"/>
  <c r="AK13" i="16" s="1"/>
  <c r="AF13" i="16"/>
  <c r="AG13" i="16" s="1"/>
  <c r="AB13" i="16"/>
  <c r="AC13" i="16" s="1"/>
  <c r="X13" i="16"/>
  <c r="Y13" i="16" s="1"/>
  <c r="T13" i="16"/>
  <c r="U13" i="16" s="1"/>
  <c r="P13" i="16"/>
  <c r="Q13" i="16" s="1"/>
  <c r="L13" i="16"/>
  <c r="M13" i="16" s="1"/>
  <c r="D13" i="16"/>
  <c r="E13" i="16" s="1"/>
  <c r="J11" i="16"/>
  <c r="H11" i="16"/>
  <c r="AJ10" i="16"/>
  <c r="AK10" i="16" s="1"/>
  <c r="AF10" i="16"/>
  <c r="AG10" i="16" s="1"/>
  <c r="AB10" i="16"/>
  <c r="AC10" i="16" s="1"/>
  <c r="X10" i="16"/>
  <c r="Y10" i="16" s="1"/>
  <c r="T10" i="16"/>
  <c r="U10" i="16" s="1"/>
  <c r="P10" i="16"/>
  <c r="Q10" i="16" s="1"/>
  <c r="L10" i="16"/>
  <c r="M10" i="16" s="1"/>
  <c r="J10" i="16"/>
  <c r="H10" i="16"/>
  <c r="D10" i="16"/>
  <c r="E10" i="16" s="1"/>
  <c r="AJ9" i="16"/>
  <c r="AK9" i="16" s="1"/>
  <c r="AF9" i="16"/>
  <c r="AG9" i="16" s="1"/>
  <c r="AB9" i="16"/>
  <c r="AC9" i="16" s="1"/>
  <c r="X9" i="16"/>
  <c r="Y9" i="16" s="1"/>
  <c r="T9" i="16"/>
  <c r="U9" i="16" s="1"/>
  <c r="P9" i="16"/>
  <c r="Q9" i="16" s="1"/>
  <c r="L9" i="16"/>
  <c r="M9" i="16" s="1"/>
  <c r="J9" i="16"/>
  <c r="H9" i="16"/>
  <c r="D9" i="16"/>
  <c r="E9" i="16" s="1"/>
  <c r="AJ8" i="16"/>
  <c r="AK8" i="16" s="1"/>
  <c r="AF8" i="16"/>
  <c r="AG8" i="16" s="1"/>
  <c r="AB8" i="16"/>
  <c r="AC8" i="16" s="1"/>
  <c r="X8" i="16"/>
  <c r="Y8" i="16" s="1"/>
  <c r="T8" i="16"/>
  <c r="U8" i="16" s="1"/>
  <c r="P8" i="16"/>
  <c r="Q8" i="16" s="1"/>
  <c r="L8" i="16"/>
  <c r="M8" i="16" s="1"/>
  <c r="J8" i="16"/>
  <c r="H8" i="16"/>
  <c r="D8" i="16"/>
  <c r="E8" i="16" s="1"/>
  <c r="J7" i="16"/>
  <c r="H7" i="16"/>
  <c r="J6" i="16"/>
  <c r="H6" i="16"/>
  <c r="AJ5" i="16"/>
  <c r="AK5" i="16" s="1"/>
  <c r="AF5" i="16"/>
  <c r="AG5" i="16" s="1"/>
  <c r="AB5" i="16"/>
  <c r="AC5" i="16" s="1"/>
  <c r="X5" i="16"/>
  <c r="Y5" i="16" s="1"/>
  <c r="T5" i="16"/>
  <c r="U5" i="16" s="1"/>
  <c r="P5" i="16"/>
  <c r="Q5" i="16" s="1"/>
  <c r="L5" i="16"/>
  <c r="M5" i="16" s="1"/>
  <c r="J5" i="16"/>
  <c r="H5" i="16"/>
  <c r="D5" i="16"/>
  <c r="E5" i="16" s="1"/>
  <c r="AJ4" i="16"/>
  <c r="AK4" i="16" s="1"/>
  <c r="AF4" i="16"/>
  <c r="AG4" i="16" s="1"/>
  <c r="AB4" i="16"/>
  <c r="AC4" i="16" s="1"/>
  <c r="X4" i="16"/>
  <c r="Y4" i="16" s="1"/>
  <c r="T4" i="16"/>
  <c r="U4" i="16" s="1"/>
  <c r="P4" i="16"/>
  <c r="Q4" i="16" s="1"/>
  <c r="L4" i="16"/>
  <c r="M4" i="16" s="1"/>
  <c r="J4" i="16"/>
  <c r="H4" i="16"/>
  <c r="D4" i="16"/>
  <c r="E4" i="16" s="1"/>
  <c r="AJ3" i="16"/>
  <c r="AK3" i="16" s="1"/>
  <c r="AF3" i="16"/>
  <c r="AG3" i="16" s="1"/>
  <c r="AB3" i="16"/>
  <c r="AC3" i="16" s="1"/>
  <c r="X3" i="16"/>
  <c r="Y3" i="16" s="1"/>
  <c r="T3" i="16"/>
  <c r="U3" i="16" s="1"/>
  <c r="P3" i="16"/>
  <c r="Q3" i="16" s="1"/>
  <c r="L3" i="16"/>
  <c r="M3" i="16" s="1"/>
  <c r="M47" i="16" s="1"/>
  <c r="J3" i="16"/>
  <c r="H3" i="16"/>
  <c r="D3" i="16"/>
  <c r="E3" i="16" s="1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G92" i="11"/>
  <c r="G88" i="11"/>
  <c r="G81" i="11"/>
  <c r="G53" i="11"/>
  <c r="G66" i="11"/>
  <c r="G100" i="11"/>
  <c r="G98" i="11"/>
  <c r="G3" i="11"/>
  <c r="G47" i="11"/>
  <c r="G36" i="11"/>
  <c r="G61" i="11"/>
  <c r="G16" i="11"/>
  <c r="G93" i="11"/>
  <c r="G25" i="11"/>
  <c r="G95" i="11"/>
  <c r="G13" i="11"/>
  <c r="G14" i="11"/>
  <c r="G5" i="11"/>
  <c r="G40" i="11"/>
  <c r="G86" i="11"/>
  <c r="G96" i="11"/>
  <c r="G84" i="11"/>
  <c r="G72" i="11"/>
  <c r="G62" i="11"/>
  <c r="G60" i="11"/>
  <c r="G51" i="11"/>
  <c r="G52" i="11"/>
  <c r="G34" i="11"/>
  <c r="G27" i="11"/>
  <c r="G43" i="11"/>
  <c r="G2" i="11"/>
  <c r="G21" i="11"/>
  <c r="G59" i="11"/>
  <c r="G85" i="11"/>
  <c r="G56" i="11"/>
  <c r="G82" i="11"/>
  <c r="G37" i="11"/>
  <c r="G33" i="11"/>
  <c r="G70" i="11"/>
  <c r="G78" i="11"/>
  <c r="G102" i="11"/>
  <c r="G77" i="11"/>
  <c r="G87" i="11"/>
  <c r="G38" i="11"/>
  <c r="G26" i="11"/>
  <c r="G6" i="11"/>
  <c r="G18" i="11"/>
  <c r="G71" i="11"/>
  <c r="G15" i="11"/>
  <c r="G32" i="11"/>
  <c r="G22" i="11"/>
  <c r="G65" i="11"/>
  <c r="G24" i="11"/>
  <c r="G69" i="11"/>
  <c r="G99" i="11"/>
  <c r="G17" i="11"/>
  <c r="G12" i="11"/>
  <c r="G35" i="11"/>
  <c r="G79" i="11"/>
  <c r="G30" i="11"/>
  <c r="G54" i="11"/>
  <c r="G4" i="11"/>
  <c r="G7" i="11"/>
  <c r="G50" i="11"/>
  <c r="G11" i="11"/>
  <c r="G42" i="11"/>
  <c r="G39" i="11"/>
  <c r="G68" i="11"/>
  <c r="G91" i="11"/>
  <c r="G48" i="11"/>
  <c r="G89" i="11"/>
  <c r="G90" i="11"/>
  <c r="G80" i="11"/>
  <c r="G41" i="11"/>
  <c r="G76" i="11"/>
  <c r="G75" i="11"/>
  <c r="G49" i="11"/>
  <c r="G64" i="11"/>
  <c r="G23" i="11"/>
  <c r="G20" i="11"/>
  <c r="G58" i="11"/>
  <c r="G28" i="11"/>
  <c r="G8" i="11"/>
  <c r="G55" i="11"/>
  <c r="G57" i="11"/>
  <c r="G101" i="11"/>
  <c r="G29" i="11"/>
  <c r="G63" i="11"/>
  <c r="G45" i="11"/>
  <c r="G67" i="11"/>
  <c r="G74" i="11"/>
  <c r="G44" i="11"/>
  <c r="G83" i="11"/>
  <c r="G97" i="11"/>
  <c r="G73" i="11"/>
  <c r="G19" i="11"/>
  <c r="G9" i="11"/>
  <c r="G46" i="11"/>
  <c r="G10" i="11"/>
  <c r="G31" i="11"/>
  <c r="G94" i="11"/>
  <c r="AK47" i="16" l="1"/>
  <c r="AC47" i="16"/>
  <c r="U47" i="16"/>
  <c r="Y47" i="16"/>
  <c r="Q47" i="16"/>
  <c r="E47" i="16"/>
  <c r="AG47" i="16"/>
  <c r="B78" i="5" l="1"/>
  <c r="B79" i="5"/>
  <c r="B80" i="5"/>
  <c r="B81" i="5"/>
  <c r="B82" i="5"/>
  <c r="B83" i="5"/>
  <c r="B84" i="5"/>
  <c r="B85" i="5"/>
  <c r="B86" i="5"/>
  <c r="B87" i="5"/>
  <c r="AD128" i="9"/>
  <c r="AC128" i="9"/>
  <c r="AB128" i="9"/>
  <c r="W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Z128" i="9" s="1"/>
  <c r="I128" i="9"/>
  <c r="Y128" i="9" s="1"/>
  <c r="H128" i="9"/>
  <c r="G128" i="9"/>
  <c r="F128" i="9"/>
  <c r="X128" i="9" s="1"/>
  <c r="E128" i="9"/>
  <c r="D128" i="9"/>
  <c r="C128" i="9"/>
  <c r="B128" i="9"/>
  <c r="V128" i="9" s="1"/>
  <c r="AD127" i="9"/>
  <c r="AC127" i="9"/>
  <c r="AB127" i="9"/>
  <c r="Z127" i="9"/>
  <c r="W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Y127" i="9" s="1"/>
  <c r="G127" i="9"/>
  <c r="F127" i="9"/>
  <c r="X127" i="9" s="1"/>
  <c r="E127" i="9"/>
  <c r="D127" i="9"/>
  <c r="C127" i="9"/>
  <c r="B127" i="9"/>
  <c r="V127" i="9" s="1"/>
  <c r="AD126" i="9"/>
  <c r="AC126" i="9"/>
  <c r="AB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Z126" i="9" s="1"/>
  <c r="I126" i="9"/>
  <c r="Y126" i="9" s="1"/>
  <c r="H126" i="9"/>
  <c r="G126" i="9"/>
  <c r="F126" i="9"/>
  <c r="X126" i="9" s="1"/>
  <c r="E126" i="9"/>
  <c r="D126" i="9"/>
  <c r="C126" i="9"/>
  <c r="B126" i="9"/>
  <c r="AD125" i="9"/>
  <c r="AC125" i="9"/>
  <c r="AB125" i="9"/>
  <c r="Z125" i="9"/>
  <c r="W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Y125" i="9" s="1"/>
  <c r="H125" i="9"/>
  <c r="G125" i="9"/>
  <c r="F125" i="9"/>
  <c r="X125" i="9" s="1"/>
  <c r="E125" i="9"/>
  <c r="D125" i="9"/>
  <c r="C125" i="9"/>
  <c r="B125" i="9"/>
  <c r="V125" i="9" s="1"/>
  <c r="AD124" i="9"/>
  <c r="AC124" i="9"/>
  <c r="AB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Z124" i="9" s="1"/>
  <c r="I124" i="9"/>
  <c r="Y124" i="9" s="1"/>
  <c r="H124" i="9"/>
  <c r="G124" i="9"/>
  <c r="F124" i="9"/>
  <c r="X124" i="9" s="1"/>
  <c r="E124" i="9"/>
  <c r="D124" i="9"/>
  <c r="C124" i="9"/>
  <c r="B124" i="9"/>
  <c r="AD123" i="9"/>
  <c r="AC123" i="9"/>
  <c r="AB123" i="9"/>
  <c r="Z123" i="9"/>
  <c r="W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Y123" i="9" s="1"/>
  <c r="G123" i="9"/>
  <c r="F123" i="9"/>
  <c r="X123" i="9" s="1"/>
  <c r="E123" i="9"/>
  <c r="D123" i="9"/>
  <c r="C123" i="9"/>
  <c r="B123" i="9"/>
  <c r="V123" i="9" s="1"/>
  <c r="AD122" i="9"/>
  <c r="AC122" i="9"/>
  <c r="AB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Z122" i="9" s="1"/>
  <c r="I122" i="9"/>
  <c r="Y122" i="9" s="1"/>
  <c r="H122" i="9"/>
  <c r="G122" i="9"/>
  <c r="F122" i="9"/>
  <c r="X122" i="9" s="1"/>
  <c r="E122" i="9"/>
  <c r="D122" i="9"/>
  <c r="C122" i="9"/>
  <c r="B122" i="9"/>
  <c r="AD121" i="9"/>
  <c r="AC121" i="9"/>
  <c r="AB121" i="9"/>
  <c r="Z121" i="9"/>
  <c r="W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Y121" i="9" s="1"/>
  <c r="G121" i="9"/>
  <c r="F121" i="9"/>
  <c r="X121" i="9" s="1"/>
  <c r="E121" i="9"/>
  <c r="D121" i="9"/>
  <c r="C121" i="9"/>
  <c r="B121" i="9"/>
  <c r="V121" i="9" s="1"/>
  <c r="AD120" i="9"/>
  <c r="AC120" i="9"/>
  <c r="AB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Z120" i="9" s="1"/>
  <c r="I120" i="9"/>
  <c r="H120" i="9"/>
  <c r="Y120" i="9" s="1"/>
  <c r="G120" i="9"/>
  <c r="F120" i="9"/>
  <c r="X120" i="9" s="1"/>
  <c r="E120" i="9"/>
  <c r="D120" i="9"/>
  <c r="C120" i="9"/>
  <c r="B120" i="9"/>
  <c r="AD119" i="9"/>
  <c r="AC119" i="9"/>
  <c r="AB119" i="9"/>
  <c r="Z119" i="9"/>
  <c r="W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Y119" i="9" s="1"/>
  <c r="G119" i="9"/>
  <c r="F119" i="9"/>
  <c r="X119" i="9" s="1"/>
  <c r="E119" i="9"/>
  <c r="D119" i="9"/>
  <c r="C119" i="9"/>
  <c r="B119" i="9"/>
  <c r="V119" i="9" s="1"/>
  <c r="AD118" i="9"/>
  <c r="AC118" i="9"/>
  <c r="AB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Z118" i="9" s="1"/>
  <c r="I118" i="9"/>
  <c r="H118" i="9"/>
  <c r="Y118" i="9" s="1"/>
  <c r="G118" i="9"/>
  <c r="F118" i="9"/>
  <c r="X118" i="9" s="1"/>
  <c r="E118" i="9"/>
  <c r="D118" i="9"/>
  <c r="C118" i="9"/>
  <c r="B118" i="9"/>
  <c r="AD117" i="9"/>
  <c r="AC117" i="9"/>
  <c r="AB117" i="9"/>
  <c r="Z117" i="9"/>
  <c r="W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Y117" i="9" s="1"/>
  <c r="G117" i="9"/>
  <c r="F117" i="9"/>
  <c r="X117" i="9" s="1"/>
  <c r="E117" i="9"/>
  <c r="D117" i="9"/>
  <c r="C117" i="9"/>
  <c r="B117" i="9"/>
  <c r="V117" i="9" s="1"/>
  <c r="AD116" i="9"/>
  <c r="AC116" i="9"/>
  <c r="AB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Z116" i="9" s="1"/>
  <c r="I116" i="9"/>
  <c r="H116" i="9"/>
  <c r="Y116" i="9" s="1"/>
  <c r="G116" i="9"/>
  <c r="F116" i="9"/>
  <c r="X116" i="9" s="1"/>
  <c r="E116" i="9"/>
  <c r="D116" i="9"/>
  <c r="C116" i="9"/>
  <c r="B116" i="9"/>
  <c r="AD115" i="9"/>
  <c r="AC115" i="9"/>
  <c r="AB115" i="9"/>
  <c r="Z115" i="9"/>
  <c r="W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Y115" i="9" s="1"/>
  <c r="G115" i="9"/>
  <c r="F115" i="9"/>
  <c r="X115" i="9" s="1"/>
  <c r="E115" i="9"/>
  <c r="D115" i="9"/>
  <c r="C115" i="9"/>
  <c r="B115" i="9"/>
  <c r="V115" i="9" s="1"/>
  <c r="AD114" i="9"/>
  <c r="AC114" i="9"/>
  <c r="AB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Z114" i="9" s="1"/>
  <c r="I114" i="9"/>
  <c r="H114" i="9"/>
  <c r="Y114" i="9" s="1"/>
  <c r="G114" i="9"/>
  <c r="F114" i="9"/>
  <c r="X114" i="9" s="1"/>
  <c r="E114" i="9"/>
  <c r="D114" i="9"/>
  <c r="C114" i="9"/>
  <c r="B114" i="9"/>
  <c r="AD113" i="9"/>
  <c r="AC113" i="9"/>
  <c r="AB113" i="9"/>
  <c r="Z113" i="9"/>
  <c r="W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Y113" i="9" s="1"/>
  <c r="G113" i="9"/>
  <c r="F113" i="9"/>
  <c r="X113" i="9" s="1"/>
  <c r="E113" i="9"/>
  <c r="D113" i="9"/>
  <c r="C113" i="9"/>
  <c r="B113" i="9"/>
  <c r="V113" i="9" s="1"/>
  <c r="AD112" i="9"/>
  <c r="AC112" i="9"/>
  <c r="AB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Z112" i="9" s="1"/>
  <c r="I112" i="9"/>
  <c r="H112" i="9"/>
  <c r="Y112" i="9" s="1"/>
  <c r="G112" i="9"/>
  <c r="F112" i="9"/>
  <c r="X112" i="9" s="1"/>
  <c r="E112" i="9"/>
  <c r="D112" i="9"/>
  <c r="C112" i="9"/>
  <c r="B112" i="9"/>
  <c r="AD111" i="9"/>
  <c r="AC111" i="9"/>
  <c r="AB111" i="9"/>
  <c r="Z111" i="9"/>
  <c r="W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Y111" i="9" s="1"/>
  <c r="G111" i="9"/>
  <c r="F111" i="9"/>
  <c r="X111" i="9" s="1"/>
  <c r="E111" i="9"/>
  <c r="D111" i="9"/>
  <c r="C111" i="9"/>
  <c r="B111" i="9"/>
  <c r="V111" i="9" s="1"/>
  <c r="AD110" i="9"/>
  <c r="AC110" i="9"/>
  <c r="AB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Z110" i="9" s="1"/>
  <c r="I110" i="9"/>
  <c r="H110" i="9"/>
  <c r="Y110" i="9" s="1"/>
  <c r="G110" i="9"/>
  <c r="F110" i="9"/>
  <c r="X110" i="9" s="1"/>
  <c r="E110" i="9"/>
  <c r="D110" i="9"/>
  <c r="C110" i="9"/>
  <c r="B110" i="9"/>
  <c r="AD109" i="9"/>
  <c r="AC109" i="9"/>
  <c r="AB109" i="9"/>
  <c r="Z109" i="9"/>
  <c r="W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Y109" i="9" s="1"/>
  <c r="G109" i="9"/>
  <c r="F109" i="9"/>
  <c r="X109" i="9" s="1"/>
  <c r="E109" i="9"/>
  <c r="D109" i="9"/>
  <c r="C109" i="9"/>
  <c r="B109" i="9"/>
  <c r="V109" i="9" s="1"/>
  <c r="AD108" i="9"/>
  <c r="AC108" i="9"/>
  <c r="AB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Z108" i="9" s="1"/>
  <c r="I108" i="9"/>
  <c r="H108" i="9"/>
  <c r="Y108" i="9" s="1"/>
  <c r="G108" i="9"/>
  <c r="F108" i="9"/>
  <c r="X108" i="9" s="1"/>
  <c r="E108" i="9"/>
  <c r="D108" i="9"/>
  <c r="C108" i="9"/>
  <c r="B108" i="9"/>
  <c r="AD107" i="9"/>
  <c r="AC107" i="9"/>
  <c r="AB107" i="9"/>
  <c r="Z107" i="9"/>
  <c r="W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Y107" i="9" s="1"/>
  <c r="G107" i="9"/>
  <c r="F107" i="9"/>
  <c r="X107" i="9" s="1"/>
  <c r="E107" i="9"/>
  <c r="D107" i="9"/>
  <c r="C107" i="9"/>
  <c r="B107" i="9"/>
  <c r="V107" i="9" s="1"/>
  <c r="AD106" i="9"/>
  <c r="AC106" i="9"/>
  <c r="AB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Z106" i="9" s="1"/>
  <c r="I106" i="9"/>
  <c r="H106" i="9"/>
  <c r="Y106" i="9" s="1"/>
  <c r="G106" i="9"/>
  <c r="F106" i="9"/>
  <c r="X106" i="9" s="1"/>
  <c r="E106" i="9"/>
  <c r="D106" i="9"/>
  <c r="C106" i="9"/>
  <c r="B106" i="9"/>
  <c r="AD105" i="9"/>
  <c r="AC105" i="9"/>
  <c r="AB105" i="9"/>
  <c r="Z105" i="9"/>
  <c r="W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Y105" i="9" s="1"/>
  <c r="G105" i="9"/>
  <c r="X105" i="9" s="1"/>
  <c r="F105" i="9"/>
  <c r="E105" i="9"/>
  <c r="D105" i="9"/>
  <c r="C105" i="9"/>
  <c r="B105" i="9"/>
  <c r="V105" i="9" s="1"/>
  <c r="AD104" i="9"/>
  <c r="AC104" i="9"/>
  <c r="AB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Z104" i="9" s="1"/>
  <c r="I104" i="9"/>
  <c r="H104" i="9"/>
  <c r="Y104" i="9" s="1"/>
  <c r="G104" i="9"/>
  <c r="F104" i="9"/>
  <c r="X104" i="9" s="1"/>
  <c r="E104" i="9"/>
  <c r="D104" i="9"/>
  <c r="C104" i="9"/>
  <c r="B104" i="9"/>
  <c r="AD103" i="9"/>
  <c r="AC103" i="9"/>
  <c r="AB103" i="9"/>
  <c r="Z103" i="9"/>
  <c r="W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Y103" i="9" s="1"/>
  <c r="G103" i="9"/>
  <c r="X103" i="9" s="1"/>
  <c r="F103" i="9"/>
  <c r="E103" i="9"/>
  <c r="D103" i="9"/>
  <c r="C103" i="9"/>
  <c r="B103" i="9"/>
  <c r="V103" i="9" s="1"/>
  <c r="AD102" i="9"/>
  <c r="AC102" i="9"/>
  <c r="AB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Z102" i="9" s="1"/>
  <c r="I102" i="9"/>
  <c r="H102" i="9"/>
  <c r="Y102" i="9" s="1"/>
  <c r="G102" i="9"/>
  <c r="F102" i="9"/>
  <c r="X102" i="9" s="1"/>
  <c r="E102" i="9"/>
  <c r="D102" i="9"/>
  <c r="C102" i="9"/>
  <c r="B102" i="9"/>
  <c r="AD101" i="9"/>
  <c r="AC101" i="9"/>
  <c r="AB101" i="9"/>
  <c r="Z101" i="9"/>
  <c r="W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Y101" i="9" s="1"/>
  <c r="G101" i="9"/>
  <c r="F101" i="9"/>
  <c r="X101" i="9" s="1"/>
  <c r="E101" i="9"/>
  <c r="D101" i="9"/>
  <c r="C101" i="9"/>
  <c r="B101" i="9"/>
  <c r="V101" i="9" s="1"/>
  <c r="AD100" i="9"/>
  <c r="AC100" i="9"/>
  <c r="AB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Z100" i="9" s="1"/>
  <c r="I100" i="9"/>
  <c r="H100" i="9"/>
  <c r="Y100" i="9" s="1"/>
  <c r="G100" i="9"/>
  <c r="F100" i="9"/>
  <c r="X100" i="9" s="1"/>
  <c r="E100" i="9"/>
  <c r="D100" i="9"/>
  <c r="C100" i="9"/>
  <c r="B100" i="9"/>
  <c r="AD99" i="9"/>
  <c r="AC99" i="9"/>
  <c r="AB99" i="9"/>
  <c r="Z99" i="9"/>
  <c r="W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Y99" i="9" s="1"/>
  <c r="G99" i="9"/>
  <c r="F99" i="9"/>
  <c r="X99" i="9" s="1"/>
  <c r="E99" i="9"/>
  <c r="D99" i="9"/>
  <c r="C99" i="9"/>
  <c r="B99" i="9"/>
  <c r="V99" i="9" s="1"/>
  <c r="AD98" i="9"/>
  <c r="AC98" i="9"/>
  <c r="AB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Z98" i="9" s="1"/>
  <c r="I98" i="9"/>
  <c r="H98" i="9"/>
  <c r="Y98" i="9" s="1"/>
  <c r="G98" i="9"/>
  <c r="F98" i="9"/>
  <c r="X98" i="9" s="1"/>
  <c r="E98" i="9"/>
  <c r="D98" i="9"/>
  <c r="C98" i="9"/>
  <c r="B98" i="9"/>
  <c r="AD97" i="9"/>
  <c r="AC97" i="9"/>
  <c r="AB97" i="9"/>
  <c r="Z97" i="9"/>
  <c r="W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Y97" i="9" s="1"/>
  <c r="G97" i="9"/>
  <c r="X97" i="9" s="1"/>
  <c r="F97" i="9"/>
  <c r="E97" i="9"/>
  <c r="D97" i="9"/>
  <c r="C97" i="9"/>
  <c r="B97" i="9"/>
  <c r="V97" i="9" s="1"/>
  <c r="AD96" i="9"/>
  <c r="AC96" i="9"/>
  <c r="AB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Z96" i="9" s="1"/>
  <c r="I96" i="9"/>
  <c r="H96" i="9"/>
  <c r="Y96" i="9" s="1"/>
  <c r="G96" i="9"/>
  <c r="F96" i="9"/>
  <c r="X96" i="9" s="1"/>
  <c r="E96" i="9"/>
  <c r="W96" i="9" s="1"/>
  <c r="D96" i="9"/>
  <c r="C96" i="9"/>
  <c r="B96" i="9"/>
  <c r="AD95" i="9"/>
  <c r="AC95" i="9"/>
  <c r="AB95" i="9"/>
  <c r="W95" i="9"/>
  <c r="U95" i="9"/>
  <c r="T95" i="9"/>
  <c r="S95" i="9"/>
  <c r="R95" i="9"/>
  <c r="Q95" i="9"/>
  <c r="P95" i="9"/>
  <c r="O95" i="9"/>
  <c r="N95" i="9"/>
  <c r="M95" i="9"/>
  <c r="L95" i="9"/>
  <c r="K95" i="9"/>
  <c r="J95" i="9"/>
  <c r="Z95" i="9" s="1"/>
  <c r="I95" i="9"/>
  <c r="H95" i="9"/>
  <c r="Y95" i="9" s="1"/>
  <c r="G95" i="9"/>
  <c r="X95" i="9" s="1"/>
  <c r="F95" i="9"/>
  <c r="E95" i="9"/>
  <c r="D95" i="9"/>
  <c r="C95" i="9"/>
  <c r="B95" i="9"/>
  <c r="V95" i="9" s="1"/>
  <c r="AD94" i="9"/>
  <c r="AC94" i="9"/>
  <c r="AB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Z94" i="9" s="1"/>
  <c r="I94" i="9"/>
  <c r="H94" i="9"/>
  <c r="Y94" i="9" s="1"/>
  <c r="G94" i="9"/>
  <c r="F94" i="9"/>
  <c r="X94" i="9" s="1"/>
  <c r="E94" i="9"/>
  <c r="W94" i="9" s="1"/>
  <c r="D94" i="9"/>
  <c r="C94" i="9"/>
  <c r="B94" i="9"/>
  <c r="AD93" i="9"/>
  <c r="AC93" i="9"/>
  <c r="AB93" i="9"/>
  <c r="Z93" i="9"/>
  <c r="W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Y93" i="9" s="1"/>
  <c r="G93" i="9"/>
  <c r="X93" i="9" s="1"/>
  <c r="F93" i="9"/>
  <c r="E93" i="9"/>
  <c r="D93" i="9"/>
  <c r="C93" i="9"/>
  <c r="B93" i="9"/>
  <c r="V93" i="9" s="1"/>
  <c r="AD92" i="9"/>
  <c r="AC92" i="9"/>
  <c r="AB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Z92" i="9" s="1"/>
  <c r="I92" i="9"/>
  <c r="H92" i="9"/>
  <c r="Y92" i="9" s="1"/>
  <c r="G92" i="9"/>
  <c r="F92" i="9"/>
  <c r="X92" i="9" s="1"/>
  <c r="E92" i="9"/>
  <c r="W92" i="9" s="1"/>
  <c r="D92" i="9"/>
  <c r="C92" i="9"/>
  <c r="B92" i="9"/>
  <c r="AD91" i="9"/>
  <c r="AC91" i="9"/>
  <c r="AB91" i="9"/>
  <c r="W91" i="9"/>
  <c r="U91" i="9"/>
  <c r="T91" i="9"/>
  <c r="S91" i="9"/>
  <c r="R91" i="9"/>
  <c r="Q91" i="9"/>
  <c r="P91" i="9"/>
  <c r="O91" i="9"/>
  <c r="N91" i="9"/>
  <c r="M91" i="9"/>
  <c r="L91" i="9"/>
  <c r="K91" i="9"/>
  <c r="J91" i="9"/>
  <c r="Z91" i="9" s="1"/>
  <c r="I91" i="9"/>
  <c r="H91" i="9"/>
  <c r="Y91" i="9" s="1"/>
  <c r="G91" i="9"/>
  <c r="F91" i="9"/>
  <c r="X91" i="9" s="1"/>
  <c r="E91" i="9"/>
  <c r="D91" i="9"/>
  <c r="C91" i="9"/>
  <c r="B91" i="9"/>
  <c r="V91" i="9" s="1"/>
  <c r="AD90" i="9"/>
  <c r="AC90" i="9"/>
  <c r="AB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Z90" i="9" s="1"/>
  <c r="I90" i="9"/>
  <c r="H90" i="9"/>
  <c r="Y90" i="9" s="1"/>
  <c r="G90" i="9"/>
  <c r="F90" i="9"/>
  <c r="X90" i="9" s="1"/>
  <c r="E90" i="9"/>
  <c r="W90" i="9" s="1"/>
  <c r="D90" i="9"/>
  <c r="C90" i="9"/>
  <c r="B90" i="9"/>
  <c r="AD89" i="9"/>
  <c r="AC89" i="9"/>
  <c r="AB89" i="9"/>
  <c r="Z89" i="9"/>
  <c r="W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Y89" i="9" s="1"/>
  <c r="H89" i="9"/>
  <c r="G89" i="9"/>
  <c r="X89" i="9" s="1"/>
  <c r="F89" i="9"/>
  <c r="E89" i="9"/>
  <c r="D89" i="9"/>
  <c r="C89" i="9"/>
  <c r="B89" i="9"/>
  <c r="V89" i="9" s="1"/>
  <c r="AD88" i="9"/>
  <c r="AC88" i="9"/>
  <c r="AB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Z88" i="9" s="1"/>
  <c r="I88" i="9"/>
  <c r="H88" i="9"/>
  <c r="Y88" i="9" s="1"/>
  <c r="G88" i="9"/>
  <c r="F88" i="9"/>
  <c r="X88" i="9" s="1"/>
  <c r="E88" i="9"/>
  <c r="W88" i="9" s="1"/>
  <c r="D88" i="9"/>
  <c r="C88" i="9"/>
  <c r="B88" i="9"/>
  <c r="AD87" i="9"/>
  <c r="AC87" i="9"/>
  <c r="AB87" i="9"/>
  <c r="W87" i="9"/>
  <c r="U87" i="9"/>
  <c r="T87" i="9"/>
  <c r="S87" i="9"/>
  <c r="R87" i="9"/>
  <c r="Q87" i="9"/>
  <c r="P87" i="9"/>
  <c r="O87" i="9"/>
  <c r="N87" i="9"/>
  <c r="M87" i="9"/>
  <c r="L87" i="9"/>
  <c r="K87" i="9"/>
  <c r="J87" i="9"/>
  <c r="Z87" i="9" s="1"/>
  <c r="I87" i="9"/>
  <c r="Y87" i="9" s="1"/>
  <c r="H87" i="9"/>
  <c r="G87" i="9"/>
  <c r="X87" i="9" s="1"/>
  <c r="F87" i="9"/>
  <c r="E87" i="9"/>
  <c r="D87" i="9"/>
  <c r="C87" i="9"/>
  <c r="B87" i="9"/>
  <c r="V87" i="9" s="1"/>
  <c r="AD86" i="9"/>
  <c r="AC86" i="9"/>
  <c r="AB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Z86" i="9" s="1"/>
  <c r="I86" i="9"/>
  <c r="H86" i="9"/>
  <c r="Y86" i="9" s="1"/>
  <c r="G86" i="9"/>
  <c r="F86" i="9"/>
  <c r="X86" i="9" s="1"/>
  <c r="E86" i="9"/>
  <c r="W86" i="9" s="1"/>
  <c r="D86" i="9"/>
  <c r="C86" i="9"/>
  <c r="B86" i="9"/>
  <c r="AD85" i="9"/>
  <c r="AC85" i="9"/>
  <c r="AB85" i="9"/>
  <c r="Z85" i="9"/>
  <c r="W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Y85" i="9" s="1"/>
  <c r="H85" i="9"/>
  <c r="G85" i="9"/>
  <c r="X85" i="9" s="1"/>
  <c r="F85" i="9"/>
  <c r="E85" i="9"/>
  <c r="D85" i="9"/>
  <c r="C85" i="9"/>
  <c r="B85" i="9"/>
  <c r="V85" i="9" s="1"/>
  <c r="AD84" i="9"/>
  <c r="AC84" i="9"/>
  <c r="AB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Z84" i="9" s="1"/>
  <c r="I84" i="9"/>
  <c r="H84" i="9"/>
  <c r="Y84" i="9" s="1"/>
  <c r="G84" i="9"/>
  <c r="F84" i="9"/>
  <c r="X84" i="9" s="1"/>
  <c r="E84" i="9"/>
  <c r="W84" i="9" s="1"/>
  <c r="D84" i="9"/>
  <c r="C84" i="9"/>
  <c r="B84" i="9"/>
  <c r="AD83" i="9"/>
  <c r="AC83" i="9"/>
  <c r="AB83" i="9"/>
  <c r="W83" i="9"/>
  <c r="U83" i="9"/>
  <c r="T83" i="9"/>
  <c r="S83" i="9"/>
  <c r="R83" i="9"/>
  <c r="Q83" i="9"/>
  <c r="P83" i="9"/>
  <c r="O83" i="9"/>
  <c r="N83" i="9"/>
  <c r="M83" i="9"/>
  <c r="L83" i="9"/>
  <c r="K83" i="9"/>
  <c r="J83" i="9"/>
  <c r="Z83" i="9" s="1"/>
  <c r="I83" i="9"/>
  <c r="Y83" i="9" s="1"/>
  <c r="H83" i="9"/>
  <c r="G83" i="9"/>
  <c r="X83" i="9" s="1"/>
  <c r="F83" i="9"/>
  <c r="E83" i="9"/>
  <c r="D83" i="9"/>
  <c r="C83" i="9"/>
  <c r="B83" i="9"/>
  <c r="V83" i="9" s="1"/>
  <c r="AD82" i="9"/>
  <c r="AC82" i="9"/>
  <c r="AB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Z82" i="9" s="1"/>
  <c r="I82" i="9"/>
  <c r="H82" i="9"/>
  <c r="Y82" i="9" s="1"/>
  <c r="G82" i="9"/>
  <c r="F82" i="9"/>
  <c r="X82" i="9" s="1"/>
  <c r="E82" i="9"/>
  <c r="W82" i="9" s="1"/>
  <c r="D82" i="9"/>
  <c r="C82" i="9"/>
  <c r="B82" i="9"/>
  <c r="AD81" i="9"/>
  <c r="AC81" i="9"/>
  <c r="AB81" i="9"/>
  <c r="W81" i="9"/>
  <c r="U81" i="9"/>
  <c r="T81" i="9"/>
  <c r="S81" i="9"/>
  <c r="R81" i="9"/>
  <c r="Q81" i="9"/>
  <c r="P81" i="9"/>
  <c r="O81" i="9"/>
  <c r="N81" i="9"/>
  <c r="M81" i="9"/>
  <c r="L81" i="9"/>
  <c r="K81" i="9"/>
  <c r="J81" i="9"/>
  <c r="Z81" i="9" s="1"/>
  <c r="I81" i="9"/>
  <c r="Y81" i="9" s="1"/>
  <c r="H81" i="9"/>
  <c r="G81" i="9"/>
  <c r="X81" i="9" s="1"/>
  <c r="F81" i="9"/>
  <c r="E81" i="9"/>
  <c r="D81" i="9"/>
  <c r="C81" i="9"/>
  <c r="B81" i="9"/>
  <c r="V81" i="9" s="1"/>
  <c r="AD80" i="9"/>
  <c r="AC80" i="9"/>
  <c r="AB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Z80" i="9" s="1"/>
  <c r="I80" i="9"/>
  <c r="H80" i="9"/>
  <c r="Y80" i="9" s="1"/>
  <c r="G80" i="9"/>
  <c r="F80" i="9"/>
  <c r="X80" i="9" s="1"/>
  <c r="E80" i="9"/>
  <c r="W80" i="9" s="1"/>
  <c r="D80" i="9"/>
  <c r="C80" i="9"/>
  <c r="B80" i="9"/>
  <c r="AD79" i="9"/>
  <c r="AC79" i="9"/>
  <c r="AB79" i="9"/>
  <c r="U79" i="9"/>
  <c r="T79" i="9"/>
  <c r="S79" i="9"/>
  <c r="R79" i="9"/>
  <c r="Q79" i="9"/>
  <c r="P79" i="9"/>
  <c r="O79" i="9"/>
  <c r="N79" i="9"/>
  <c r="M79" i="9"/>
  <c r="L79" i="9"/>
  <c r="K79" i="9"/>
  <c r="J79" i="9"/>
  <c r="Z79" i="9" s="1"/>
  <c r="I79" i="9"/>
  <c r="Y79" i="9" s="1"/>
  <c r="H79" i="9"/>
  <c r="G79" i="9"/>
  <c r="X79" i="9" s="1"/>
  <c r="F79" i="9"/>
  <c r="E79" i="9"/>
  <c r="D79" i="9"/>
  <c r="W79" i="9" s="1"/>
  <c r="C79" i="9"/>
  <c r="B79" i="9"/>
  <c r="V79" i="9" s="1"/>
  <c r="AD78" i="9"/>
  <c r="AC78" i="9"/>
  <c r="AB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Z78" i="9" s="1"/>
  <c r="I78" i="9"/>
  <c r="H78" i="9"/>
  <c r="Y78" i="9" s="1"/>
  <c r="G78" i="9"/>
  <c r="F78" i="9"/>
  <c r="X78" i="9" s="1"/>
  <c r="E78" i="9"/>
  <c r="W78" i="9" s="1"/>
  <c r="D78" i="9"/>
  <c r="C78" i="9"/>
  <c r="B78" i="9"/>
  <c r="AD77" i="9"/>
  <c r="AC77" i="9"/>
  <c r="AB77" i="9"/>
  <c r="Z77" i="9"/>
  <c r="W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Y77" i="9" s="1"/>
  <c r="H77" i="9"/>
  <c r="G77" i="9"/>
  <c r="X77" i="9" s="1"/>
  <c r="F77" i="9"/>
  <c r="E77" i="9"/>
  <c r="D77" i="9"/>
  <c r="C77" i="9"/>
  <c r="B77" i="9"/>
  <c r="V77" i="9" s="1"/>
  <c r="AD76" i="9"/>
  <c r="AC76" i="9"/>
  <c r="AB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Z76" i="9" s="1"/>
  <c r="I76" i="9"/>
  <c r="H76" i="9"/>
  <c r="Y76" i="9" s="1"/>
  <c r="G76" i="9"/>
  <c r="F76" i="9"/>
  <c r="X76" i="9" s="1"/>
  <c r="E76" i="9"/>
  <c r="W76" i="9" s="1"/>
  <c r="D76" i="9"/>
  <c r="C76" i="9"/>
  <c r="B76" i="9"/>
  <c r="AD75" i="9"/>
  <c r="AC75" i="9"/>
  <c r="AB75" i="9"/>
  <c r="Z75" i="9"/>
  <c r="W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Y75" i="9" s="1"/>
  <c r="H75" i="9"/>
  <c r="G75" i="9"/>
  <c r="X75" i="9" s="1"/>
  <c r="F75" i="9"/>
  <c r="E75" i="9"/>
  <c r="D75" i="9"/>
  <c r="C75" i="9"/>
  <c r="B75" i="9"/>
  <c r="V75" i="9" s="1"/>
  <c r="AD74" i="9"/>
  <c r="AC74" i="9"/>
  <c r="AB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Z74" i="9" s="1"/>
  <c r="I74" i="9"/>
  <c r="H74" i="9"/>
  <c r="Y74" i="9" s="1"/>
  <c r="G74" i="9"/>
  <c r="F74" i="9"/>
  <c r="X74" i="9" s="1"/>
  <c r="E74" i="9"/>
  <c r="W74" i="9" s="1"/>
  <c r="D74" i="9"/>
  <c r="C74" i="9"/>
  <c r="B74" i="9"/>
  <c r="AD73" i="9"/>
  <c r="AC73" i="9"/>
  <c r="AB73" i="9"/>
  <c r="W73" i="9"/>
  <c r="U73" i="9"/>
  <c r="T73" i="9"/>
  <c r="S73" i="9"/>
  <c r="R73" i="9"/>
  <c r="Q73" i="9"/>
  <c r="P73" i="9"/>
  <c r="O73" i="9"/>
  <c r="N73" i="9"/>
  <c r="M73" i="9"/>
  <c r="L73" i="9"/>
  <c r="K73" i="9"/>
  <c r="J73" i="9"/>
  <c r="Z73" i="9" s="1"/>
  <c r="I73" i="9"/>
  <c r="Y73" i="9" s="1"/>
  <c r="H73" i="9"/>
  <c r="G73" i="9"/>
  <c r="X73" i="9" s="1"/>
  <c r="F73" i="9"/>
  <c r="E73" i="9"/>
  <c r="D73" i="9"/>
  <c r="C73" i="9"/>
  <c r="B73" i="9"/>
  <c r="V73" i="9" s="1"/>
  <c r="AD72" i="9"/>
  <c r="AC72" i="9"/>
  <c r="AB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Z72" i="9" s="1"/>
  <c r="I72" i="9"/>
  <c r="H72" i="9"/>
  <c r="Y72" i="9" s="1"/>
  <c r="G72" i="9"/>
  <c r="F72" i="9"/>
  <c r="X72" i="9" s="1"/>
  <c r="E72" i="9"/>
  <c r="W72" i="9" s="1"/>
  <c r="D72" i="9"/>
  <c r="C72" i="9"/>
  <c r="B72" i="9"/>
  <c r="AD71" i="9"/>
  <c r="AC71" i="9"/>
  <c r="AB71" i="9"/>
  <c r="Z71" i="9"/>
  <c r="W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Y71" i="9" s="1"/>
  <c r="H71" i="9"/>
  <c r="G71" i="9"/>
  <c r="X71" i="9" s="1"/>
  <c r="F71" i="9"/>
  <c r="E71" i="9"/>
  <c r="D71" i="9"/>
  <c r="C71" i="9"/>
  <c r="B71" i="9"/>
  <c r="V71" i="9" s="1"/>
  <c r="AD70" i="9"/>
  <c r="AC70" i="9"/>
  <c r="AB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Z70" i="9" s="1"/>
  <c r="I70" i="9"/>
  <c r="H70" i="9"/>
  <c r="Y70" i="9" s="1"/>
  <c r="G70" i="9"/>
  <c r="F70" i="9"/>
  <c r="X70" i="9" s="1"/>
  <c r="E70" i="9"/>
  <c r="W70" i="9" s="1"/>
  <c r="D70" i="9"/>
  <c r="C70" i="9"/>
  <c r="B70" i="9"/>
  <c r="AD69" i="9"/>
  <c r="AC69" i="9"/>
  <c r="AB69" i="9"/>
  <c r="Z69" i="9"/>
  <c r="W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Y69" i="9" s="1"/>
  <c r="H69" i="9"/>
  <c r="G69" i="9"/>
  <c r="X69" i="9" s="1"/>
  <c r="F69" i="9"/>
  <c r="E69" i="9"/>
  <c r="D69" i="9"/>
  <c r="C69" i="9"/>
  <c r="B69" i="9"/>
  <c r="V69" i="9" s="1"/>
  <c r="AD68" i="9"/>
  <c r="AC68" i="9"/>
  <c r="AB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Z68" i="9" s="1"/>
  <c r="I68" i="9"/>
  <c r="H68" i="9"/>
  <c r="Y68" i="9" s="1"/>
  <c r="G68" i="9"/>
  <c r="F68" i="9"/>
  <c r="X68" i="9" s="1"/>
  <c r="E68" i="9"/>
  <c r="W68" i="9" s="1"/>
  <c r="D68" i="9"/>
  <c r="C68" i="9"/>
  <c r="B68" i="9"/>
  <c r="AD67" i="9"/>
  <c r="AC67" i="9"/>
  <c r="AB67" i="9"/>
  <c r="W67" i="9"/>
  <c r="U67" i="9"/>
  <c r="T67" i="9"/>
  <c r="S67" i="9"/>
  <c r="R67" i="9"/>
  <c r="Q67" i="9"/>
  <c r="P67" i="9"/>
  <c r="O67" i="9"/>
  <c r="N67" i="9"/>
  <c r="M67" i="9"/>
  <c r="L67" i="9"/>
  <c r="K67" i="9"/>
  <c r="J67" i="9"/>
  <c r="Z67" i="9" s="1"/>
  <c r="I67" i="9"/>
  <c r="Y67" i="9" s="1"/>
  <c r="H67" i="9"/>
  <c r="G67" i="9"/>
  <c r="X67" i="9" s="1"/>
  <c r="F67" i="9"/>
  <c r="E67" i="9"/>
  <c r="D67" i="9"/>
  <c r="C67" i="9"/>
  <c r="B67" i="9"/>
  <c r="V67" i="9" s="1"/>
  <c r="AD66" i="9"/>
  <c r="AC66" i="9"/>
  <c r="AB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Z66" i="9" s="1"/>
  <c r="I66" i="9"/>
  <c r="H66" i="9"/>
  <c r="Y66" i="9" s="1"/>
  <c r="G66" i="9"/>
  <c r="F66" i="9"/>
  <c r="X66" i="9" s="1"/>
  <c r="E66" i="9"/>
  <c r="W66" i="9" s="1"/>
  <c r="D66" i="9"/>
  <c r="C66" i="9"/>
  <c r="B66" i="9"/>
  <c r="AD65" i="9"/>
  <c r="AC65" i="9"/>
  <c r="AB65" i="9"/>
  <c r="W65" i="9"/>
  <c r="U65" i="9"/>
  <c r="T65" i="9"/>
  <c r="S65" i="9"/>
  <c r="R65" i="9"/>
  <c r="Q65" i="9"/>
  <c r="P65" i="9"/>
  <c r="O65" i="9"/>
  <c r="N65" i="9"/>
  <c r="M65" i="9"/>
  <c r="L65" i="9"/>
  <c r="K65" i="9"/>
  <c r="J65" i="9"/>
  <c r="Z65" i="9" s="1"/>
  <c r="I65" i="9"/>
  <c r="Y65" i="9" s="1"/>
  <c r="H65" i="9"/>
  <c r="G65" i="9"/>
  <c r="X65" i="9" s="1"/>
  <c r="F65" i="9"/>
  <c r="E65" i="9"/>
  <c r="D65" i="9"/>
  <c r="C65" i="9"/>
  <c r="B65" i="9"/>
  <c r="V65" i="9" s="1"/>
  <c r="AD64" i="9"/>
  <c r="AC64" i="9"/>
  <c r="AB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Z64" i="9" s="1"/>
  <c r="I64" i="9"/>
  <c r="H64" i="9"/>
  <c r="Y64" i="9" s="1"/>
  <c r="G64" i="9"/>
  <c r="F64" i="9"/>
  <c r="X64" i="9" s="1"/>
  <c r="E64" i="9"/>
  <c r="W64" i="9" s="1"/>
  <c r="D64" i="9"/>
  <c r="C64" i="9"/>
  <c r="B64" i="9"/>
  <c r="AD63" i="9"/>
  <c r="AC63" i="9"/>
  <c r="AB63" i="9"/>
  <c r="W63" i="9"/>
  <c r="U63" i="9"/>
  <c r="T63" i="9"/>
  <c r="S63" i="9"/>
  <c r="R63" i="9"/>
  <c r="Q63" i="9"/>
  <c r="P63" i="9"/>
  <c r="O63" i="9"/>
  <c r="N63" i="9"/>
  <c r="M63" i="9"/>
  <c r="L63" i="9"/>
  <c r="K63" i="9"/>
  <c r="J63" i="9"/>
  <c r="Z63" i="9" s="1"/>
  <c r="I63" i="9"/>
  <c r="Y63" i="9" s="1"/>
  <c r="H63" i="9"/>
  <c r="G63" i="9"/>
  <c r="X63" i="9" s="1"/>
  <c r="F63" i="9"/>
  <c r="E63" i="9"/>
  <c r="D63" i="9"/>
  <c r="C63" i="9"/>
  <c r="B63" i="9"/>
  <c r="V63" i="9" s="1"/>
  <c r="AD62" i="9"/>
  <c r="AC62" i="9"/>
  <c r="AB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Z62" i="9" s="1"/>
  <c r="I62" i="9"/>
  <c r="H62" i="9"/>
  <c r="Y62" i="9" s="1"/>
  <c r="G62" i="9"/>
  <c r="F62" i="9"/>
  <c r="X62" i="9" s="1"/>
  <c r="E62" i="9"/>
  <c r="W62" i="9" s="1"/>
  <c r="D62" i="9"/>
  <c r="C62" i="9"/>
  <c r="B62" i="9"/>
  <c r="AD61" i="9"/>
  <c r="AC61" i="9"/>
  <c r="AB61" i="9"/>
  <c r="Z61" i="9"/>
  <c r="W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Y61" i="9" s="1"/>
  <c r="H61" i="9"/>
  <c r="G61" i="9"/>
  <c r="X61" i="9" s="1"/>
  <c r="F61" i="9"/>
  <c r="E61" i="9"/>
  <c r="D61" i="9"/>
  <c r="C61" i="9"/>
  <c r="B61" i="9"/>
  <c r="V61" i="9" s="1"/>
  <c r="AD60" i="9"/>
  <c r="AC60" i="9"/>
  <c r="AB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Z60" i="9" s="1"/>
  <c r="I60" i="9"/>
  <c r="H60" i="9"/>
  <c r="Y60" i="9" s="1"/>
  <c r="G60" i="9"/>
  <c r="F60" i="9"/>
  <c r="X60" i="9" s="1"/>
  <c r="E60" i="9"/>
  <c r="W60" i="9" s="1"/>
  <c r="D60" i="9"/>
  <c r="C60" i="9"/>
  <c r="B60" i="9"/>
  <c r="AD59" i="9"/>
  <c r="AC59" i="9"/>
  <c r="AB59" i="9"/>
  <c r="Z59" i="9"/>
  <c r="W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Y59" i="9" s="1"/>
  <c r="H59" i="9"/>
  <c r="G59" i="9"/>
  <c r="X59" i="9" s="1"/>
  <c r="F59" i="9"/>
  <c r="E59" i="9"/>
  <c r="D59" i="9"/>
  <c r="C59" i="9"/>
  <c r="B59" i="9"/>
  <c r="V59" i="9" s="1"/>
  <c r="AD58" i="9"/>
  <c r="AC58" i="9"/>
  <c r="AB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Z58" i="9" s="1"/>
  <c r="I58" i="9"/>
  <c r="H58" i="9"/>
  <c r="Y58" i="9" s="1"/>
  <c r="G58" i="9"/>
  <c r="F58" i="9"/>
  <c r="X58" i="9" s="1"/>
  <c r="E58" i="9"/>
  <c r="W58" i="9" s="1"/>
  <c r="D58" i="9"/>
  <c r="C58" i="9"/>
  <c r="B58" i="9"/>
  <c r="AD57" i="9"/>
  <c r="AC57" i="9"/>
  <c r="AB57" i="9"/>
  <c r="W57" i="9"/>
  <c r="U57" i="9"/>
  <c r="T57" i="9"/>
  <c r="S57" i="9"/>
  <c r="R57" i="9"/>
  <c r="Q57" i="9"/>
  <c r="P57" i="9"/>
  <c r="O57" i="9"/>
  <c r="N57" i="9"/>
  <c r="M57" i="9"/>
  <c r="L57" i="9"/>
  <c r="K57" i="9"/>
  <c r="J57" i="9"/>
  <c r="Z57" i="9" s="1"/>
  <c r="I57" i="9"/>
  <c r="Y57" i="9" s="1"/>
  <c r="H57" i="9"/>
  <c r="G57" i="9"/>
  <c r="X57" i="9" s="1"/>
  <c r="F57" i="9"/>
  <c r="E57" i="9"/>
  <c r="D57" i="9"/>
  <c r="C57" i="9"/>
  <c r="B57" i="9"/>
  <c r="V57" i="9" s="1"/>
  <c r="AD56" i="9"/>
  <c r="AC56" i="9"/>
  <c r="AB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Z56" i="9" s="1"/>
  <c r="I56" i="9"/>
  <c r="H56" i="9"/>
  <c r="Y56" i="9" s="1"/>
  <c r="G56" i="9"/>
  <c r="F56" i="9"/>
  <c r="X56" i="9" s="1"/>
  <c r="E56" i="9"/>
  <c r="W56" i="9" s="1"/>
  <c r="D56" i="9"/>
  <c r="C56" i="9"/>
  <c r="B56" i="9"/>
  <c r="AD55" i="9"/>
  <c r="AC55" i="9"/>
  <c r="AB55" i="9"/>
  <c r="Z55" i="9"/>
  <c r="W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Y55" i="9" s="1"/>
  <c r="H55" i="9"/>
  <c r="G55" i="9"/>
  <c r="X55" i="9" s="1"/>
  <c r="F55" i="9"/>
  <c r="E55" i="9"/>
  <c r="D55" i="9"/>
  <c r="C55" i="9"/>
  <c r="B55" i="9"/>
  <c r="V55" i="9" s="1"/>
  <c r="AD54" i="9"/>
  <c r="AC54" i="9"/>
  <c r="AB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Z54" i="9" s="1"/>
  <c r="I54" i="9"/>
  <c r="H54" i="9"/>
  <c r="Y54" i="9" s="1"/>
  <c r="G54" i="9"/>
  <c r="F54" i="9"/>
  <c r="X54" i="9" s="1"/>
  <c r="E54" i="9"/>
  <c r="W54" i="9" s="1"/>
  <c r="D54" i="9"/>
  <c r="C54" i="9"/>
  <c r="B54" i="9"/>
  <c r="AD53" i="9"/>
  <c r="AC53" i="9"/>
  <c r="AB53" i="9"/>
  <c r="Z53" i="9"/>
  <c r="W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Y53" i="9" s="1"/>
  <c r="H53" i="9"/>
  <c r="G53" i="9"/>
  <c r="X53" i="9" s="1"/>
  <c r="F53" i="9"/>
  <c r="E53" i="9"/>
  <c r="D53" i="9"/>
  <c r="C53" i="9"/>
  <c r="B53" i="9"/>
  <c r="V53" i="9" s="1"/>
  <c r="AD52" i="9"/>
  <c r="AC52" i="9"/>
  <c r="AB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Z52" i="9" s="1"/>
  <c r="I52" i="9"/>
  <c r="H52" i="9"/>
  <c r="Y52" i="9" s="1"/>
  <c r="G52" i="9"/>
  <c r="F52" i="9"/>
  <c r="X52" i="9" s="1"/>
  <c r="E52" i="9"/>
  <c r="W52" i="9" s="1"/>
  <c r="D52" i="9"/>
  <c r="C52" i="9"/>
  <c r="B52" i="9"/>
  <c r="AD51" i="9"/>
  <c r="AC51" i="9"/>
  <c r="AB51" i="9"/>
  <c r="Z51" i="9"/>
  <c r="W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Y51" i="9" s="1"/>
  <c r="H51" i="9"/>
  <c r="G51" i="9"/>
  <c r="X51" i="9" s="1"/>
  <c r="F51" i="9"/>
  <c r="E51" i="9"/>
  <c r="D51" i="9"/>
  <c r="C51" i="9"/>
  <c r="B51" i="9"/>
  <c r="V51" i="9" s="1"/>
  <c r="AD50" i="9"/>
  <c r="AC50" i="9"/>
  <c r="AB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Y50" i="9" s="1"/>
  <c r="G50" i="9"/>
  <c r="F50" i="9"/>
  <c r="X50" i="9" s="1"/>
  <c r="E50" i="9"/>
  <c r="W50" i="9" s="1"/>
  <c r="D50" i="9"/>
  <c r="C50" i="9"/>
  <c r="V50" i="9" s="1"/>
  <c r="B50" i="9"/>
  <c r="AD49" i="9"/>
  <c r="AC49" i="9"/>
  <c r="AB49" i="9"/>
  <c r="W49" i="9"/>
  <c r="U49" i="9"/>
  <c r="T49" i="9"/>
  <c r="S49" i="9"/>
  <c r="R49" i="9"/>
  <c r="Q49" i="9"/>
  <c r="P49" i="9"/>
  <c r="O49" i="9"/>
  <c r="N49" i="9"/>
  <c r="M49" i="9"/>
  <c r="L49" i="9"/>
  <c r="K49" i="9"/>
  <c r="J49" i="9"/>
  <c r="Z49" i="9" s="1"/>
  <c r="I49" i="9"/>
  <c r="Y49" i="9" s="1"/>
  <c r="H49" i="9"/>
  <c r="G49" i="9"/>
  <c r="X49" i="9" s="1"/>
  <c r="F49" i="9"/>
  <c r="E49" i="9"/>
  <c r="D49" i="9"/>
  <c r="C49" i="9"/>
  <c r="B49" i="9"/>
  <c r="V49" i="9" s="1"/>
  <c r="AD48" i="9"/>
  <c r="AC48" i="9"/>
  <c r="AB48" i="9"/>
  <c r="U48" i="9"/>
  <c r="T48" i="9"/>
  <c r="S48" i="9"/>
  <c r="R48" i="9"/>
  <c r="Q48" i="9"/>
  <c r="P48" i="9"/>
  <c r="O48" i="9"/>
  <c r="N48" i="9"/>
  <c r="M48" i="9"/>
  <c r="L48" i="9"/>
  <c r="K48" i="9"/>
  <c r="J48" i="9"/>
  <c r="Z48" i="9" s="1"/>
  <c r="I48" i="9"/>
  <c r="H48" i="9"/>
  <c r="Y48" i="9" s="1"/>
  <c r="G48" i="9"/>
  <c r="F48" i="9"/>
  <c r="E48" i="9"/>
  <c r="W48" i="9" s="1"/>
  <c r="D48" i="9"/>
  <c r="C48" i="9"/>
  <c r="V48" i="9" s="1"/>
  <c r="B48" i="9"/>
  <c r="AD47" i="9"/>
  <c r="AC47" i="9"/>
  <c r="AB47" i="9"/>
  <c r="U47" i="9"/>
  <c r="T47" i="9"/>
  <c r="S47" i="9"/>
  <c r="R47" i="9"/>
  <c r="Q47" i="9"/>
  <c r="P47" i="9"/>
  <c r="O47" i="9"/>
  <c r="N47" i="9"/>
  <c r="M47" i="9"/>
  <c r="L47" i="9"/>
  <c r="K47" i="9"/>
  <c r="Z47" i="9" s="1"/>
  <c r="J47" i="9"/>
  <c r="I47" i="9"/>
  <c r="H47" i="9"/>
  <c r="Y47" i="9" s="1"/>
  <c r="G47" i="9"/>
  <c r="X47" i="9" s="1"/>
  <c r="F47" i="9"/>
  <c r="E47" i="9"/>
  <c r="D47" i="9"/>
  <c r="W47" i="9" s="1"/>
  <c r="C47" i="9"/>
  <c r="B47" i="9"/>
  <c r="AD46" i="9"/>
  <c r="AC46" i="9"/>
  <c r="AB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Z46" i="9" s="1"/>
  <c r="I46" i="9"/>
  <c r="H46" i="9"/>
  <c r="Y46" i="9" s="1"/>
  <c r="G46" i="9"/>
  <c r="F46" i="9"/>
  <c r="X46" i="9" s="1"/>
  <c r="E46" i="9"/>
  <c r="D46" i="9"/>
  <c r="C46" i="9"/>
  <c r="B46" i="9"/>
  <c r="AD45" i="9"/>
  <c r="AC45" i="9"/>
  <c r="AB45" i="9"/>
  <c r="U45" i="9"/>
  <c r="T45" i="9"/>
  <c r="S45" i="9"/>
  <c r="R45" i="9"/>
  <c r="Q45" i="9"/>
  <c r="P45" i="9"/>
  <c r="O45" i="9"/>
  <c r="N45" i="9"/>
  <c r="M45" i="9"/>
  <c r="L45" i="9"/>
  <c r="K45" i="9"/>
  <c r="J45" i="9"/>
  <c r="Z45" i="9" s="1"/>
  <c r="I45" i="9"/>
  <c r="H45" i="9"/>
  <c r="Y45" i="9" s="1"/>
  <c r="G45" i="9"/>
  <c r="X45" i="9" s="1"/>
  <c r="F45" i="9"/>
  <c r="E45" i="9"/>
  <c r="W45" i="9" s="1"/>
  <c r="D45" i="9"/>
  <c r="C45" i="9"/>
  <c r="B45" i="9"/>
  <c r="V45" i="9" s="1"/>
  <c r="AD44" i="9"/>
  <c r="AC44" i="9"/>
  <c r="AB44" i="9"/>
  <c r="X44" i="9"/>
  <c r="U44" i="9"/>
  <c r="T44" i="9"/>
  <c r="S44" i="9"/>
  <c r="R44" i="9"/>
  <c r="Q44" i="9"/>
  <c r="P44" i="9"/>
  <c r="O44" i="9"/>
  <c r="N44" i="9"/>
  <c r="M44" i="9"/>
  <c r="L44" i="9"/>
  <c r="K44" i="9"/>
  <c r="J44" i="9"/>
  <c r="Z44" i="9" s="1"/>
  <c r="I44" i="9"/>
  <c r="H44" i="9"/>
  <c r="Y44" i="9" s="1"/>
  <c r="G44" i="9"/>
  <c r="F44" i="9"/>
  <c r="E44" i="9"/>
  <c r="D44" i="9"/>
  <c r="W44" i="9" s="1"/>
  <c r="C44" i="9"/>
  <c r="B44" i="9"/>
  <c r="V44" i="9" s="1"/>
  <c r="AD43" i="9"/>
  <c r="AC43" i="9"/>
  <c r="AB43" i="9"/>
  <c r="Y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Z43" i="9" s="1"/>
  <c r="I43" i="9"/>
  <c r="H43" i="9"/>
  <c r="G43" i="9"/>
  <c r="F43" i="9"/>
  <c r="X43" i="9" s="1"/>
  <c r="E43" i="9"/>
  <c r="D43" i="9"/>
  <c r="W43" i="9" s="1"/>
  <c r="C43" i="9"/>
  <c r="B43" i="9"/>
  <c r="AD42" i="9"/>
  <c r="AC42" i="9"/>
  <c r="AB42" i="9"/>
  <c r="X42" i="9"/>
  <c r="U42" i="9"/>
  <c r="T42" i="9"/>
  <c r="S42" i="9"/>
  <c r="R42" i="9"/>
  <c r="Q42" i="9"/>
  <c r="P42" i="9"/>
  <c r="O42" i="9"/>
  <c r="N42" i="9"/>
  <c r="M42" i="9"/>
  <c r="L42" i="9"/>
  <c r="K42" i="9"/>
  <c r="J42" i="9"/>
  <c r="Z42" i="9" s="1"/>
  <c r="I42" i="9"/>
  <c r="H42" i="9"/>
  <c r="Y42" i="9" s="1"/>
  <c r="G42" i="9"/>
  <c r="F42" i="9"/>
  <c r="E42" i="9"/>
  <c r="D42" i="9"/>
  <c r="W42" i="9" s="1"/>
  <c r="C42" i="9"/>
  <c r="B42" i="9"/>
  <c r="V42" i="9" s="1"/>
  <c r="AD41" i="9"/>
  <c r="AC41" i="9"/>
  <c r="AB41" i="9"/>
  <c r="Y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Z41" i="9" s="1"/>
  <c r="I41" i="9"/>
  <c r="H41" i="9"/>
  <c r="G41" i="9"/>
  <c r="F41" i="9"/>
  <c r="X41" i="9" s="1"/>
  <c r="E41" i="9"/>
  <c r="D41" i="9"/>
  <c r="W41" i="9" s="1"/>
  <c r="C41" i="9"/>
  <c r="B41" i="9"/>
  <c r="AD40" i="9"/>
  <c r="AC40" i="9"/>
  <c r="AB40" i="9"/>
  <c r="X40" i="9"/>
  <c r="U40" i="9"/>
  <c r="T40" i="9"/>
  <c r="S40" i="9"/>
  <c r="R40" i="9"/>
  <c r="Q40" i="9"/>
  <c r="P40" i="9"/>
  <c r="O40" i="9"/>
  <c r="N40" i="9"/>
  <c r="M40" i="9"/>
  <c r="L40" i="9"/>
  <c r="K40" i="9"/>
  <c r="J40" i="9"/>
  <c r="Z40" i="9" s="1"/>
  <c r="I40" i="9"/>
  <c r="H40" i="9"/>
  <c r="Y40" i="9" s="1"/>
  <c r="G40" i="9"/>
  <c r="F40" i="9"/>
  <c r="E40" i="9"/>
  <c r="D40" i="9"/>
  <c r="C40" i="9"/>
  <c r="B40" i="9"/>
  <c r="V40" i="9" s="1"/>
  <c r="AD39" i="9"/>
  <c r="AC39" i="9"/>
  <c r="AB39" i="9"/>
  <c r="Y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Z39" i="9" s="1"/>
  <c r="I39" i="9"/>
  <c r="H39" i="9"/>
  <c r="G39" i="9"/>
  <c r="F39" i="9"/>
  <c r="X39" i="9" s="1"/>
  <c r="E39" i="9"/>
  <c r="D39" i="9"/>
  <c r="W39" i="9" s="1"/>
  <c r="C39" i="9"/>
  <c r="B39" i="9"/>
  <c r="AD38" i="9"/>
  <c r="AC38" i="9"/>
  <c r="AB38" i="9"/>
  <c r="X38" i="9"/>
  <c r="U38" i="9"/>
  <c r="T38" i="9"/>
  <c r="S38" i="9"/>
  <c r="R38" i="9"/>
  <c r="Q38" i="9"/>
  <c r="P38" i="9"/>
  <c r="O38" i="9"/>
  <c r="N38" i="9"/>
  <c r="M38" i="9"/>
  <c r="L38" i="9"/>
  <c r="K38" i="9"/>
  <c r="J38" i="9"/>
  <c r="Z38" i="9" s="1"/>
  <c r="I38" i="9"/>
  <c r="H38" i="9"/>
  <c r="Y38" i="9" s="1"/>
  <c r="G38" i="9"/>
  <c r="F38" i="9"/>
  <c r="E38" i="9"/>
  <c r="D38" i="9"/>
  <c r="W38" i="9" s="1"/>
  <c r="C38" i="9"/>
  <c r="B38" i="9"/>
  <c r="V38" i="9" s="1"/>
  <c r="AD37" i="9"/>
  <c r="AC37" i="9"/>
  <c r="AB37" i="9"/>
  <c r="Y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Z37" i="9" s="1"/>
  <c r="I37" i="9"/>
  <c r="H37" i="9"/>
  <c r="G37" i="9"/>
  <c r="F37" i="9"/>
  <c r="X37" i="9" s="1"/>
  <c r="E37" i="9"/>
  <c r="D37" i="9"/>
  <c r="W37" i="9" s="1"/>
  <c r="C37" i="9"/>
  <c r="B37" i="9"/>
  <c r="AD36" i="9"/>
  <c r="AC36" i="9"/>
  <c r="AB36" i="9"/>
  <c r="X36" i="9"/>
  <c r="U36" i="9"/>
  <c r="T36" i="9"/>
  <c r="S36" i="9"/>
  <c r="R36" i="9"/>
  <c r="Q36" i="9"/>
  <c r="P36" i="9"/>
  <c r="O36" i="9"/>
  <c r="N36" i="9"/>
  <c r="M36" i="9"/>
  <c r="L36" i="9"/>
  <c r="K36" i="9"/>
  <c r="J36" i="9"/>
  <c r="Z36" i="9" s="1"/>
  <c r="I36" i="9"/>
  <c r="H36" i="9"/>
  <c r="Y36" i="9" s="1"/>
  <c r="G36" i="9"/>
  <c r="F36" i="9"/>
  <c r="E36" i="9"/>
  <c r="D36" i="9"/>
  <c r="W36" i="9" s="1"/>
  <c r="C36" i="9"/>
  <c r="B36" i="9"/>
  <c r="V36" i="9" s="1"/>
  <c r="AD35" i="9"/>
  <c r="AC35" i="9"/>
  <c r="AB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Z35" i="9" s="1"/>
  <c r="I35" i="9"/>
  <c r="Y35" i="9" s="1"/>
  <c r="H35" i="9"/>
  <c r="G35" i="9"/>
  <c r="F35" i="9"/>
  <c r="X35" i="9" s="1"/>
  <c r="E35" i="9"/>
  <c r="D35" i="9"/>
  <c r="W35" i="9" s="1"/>
  <c r="C35" i="9"/>
  <c r="B35" i="9"/>
  <c r="AD34" i="9"/>
  <c r="AC34" i="9"/>
  <c r="AB34" i="9"/>
  <c r="U34" i="9"/>
  <c r="T34" i="9"/>
  <c r="S34" i="9"/>
  <c r="R34" i="9"/>
  <c r="Q34" i="9"/>
  <c r="P34" i="9"/>
  <c r="O34" i="9"/>
  <c r="N34" i="9"/>
  <c r="M34" i="9"/>
  <c r="L34" i="9"/>
  <c r="K34" i="9"/>
  <c r="J34" i="9"/>
  <c r="Z34" i="9" s="1"/>
  <c r="I34" i="9"/>
  <c r="H34" i="9"/>
  <c r="Y34" i="9" s="1"/>
  <c r="G34" i="9"/>
  <c r="X34" i="9" s="1"/>
  <c r="F34" i="9"/>
  <c r="E34" i="9"/>
  <c r="D34" i="9"/>
  <c r="W34" i="9" s="1"/>
  <c r="C34" i="9"/>
  <c r="B34" i="9"/>
  <c r="V34" i="9" s="1"/>
  <c r="AD33" i="9"/>
  <c r="AC33" i="9"/>
  <c r="AB33" i="9"/>
  <c r="X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Z33" i="9" s="1"/>
  <c r="I33" i="9"/>
  <c r="Y33" i="9" s="1"/>
  <c r="H33" i="9"/>
  <c r="G33" i="9"/>
  <c r="F33" i="9"/>
  <c r="E33" i="9"/>
  <c r="D33" i="9"/>
  <c r="W33" i="9" s="1"/>
  <c r="C33" i="9"/>
  <c r="B33" i="9"/>
  <c r="AD32" i="9"/>
  <c r="AC32" i="9"/>
  <c r="AB32" i="9"/>
  <c r="X32" i="9"/>
  <c r="U32" i="9"/>
  <c r="T32" i="9"/>
  <c r="S32" i="9"/>
  <c r="R32" i="9"/>
  <c r="Q32" i="9"/>
  <c r="P32" i="9"/>
  <c r="O32" i="9"/>
  <c r="N32" i="9"/>
  <c r="M32" i="9"/>
  <c r="L32" i="9"/>
  <c r="K32" i="9"/>
  <c r="J32" i="9"/>
  <c r="Z32" i="9" s="1"/>
  <c r="I32" i="9"/>
  <c r="H32" i="9"/>
  <c r="Y32" i="9" s="1"/>
  <c r="G32" i="9"/>
  <c r="F32" i="9"/>
  <c r="E32" i="9"/>
  <c r="D32" i="9"/>
  <c r="C32" i="9"/>
  <c r="B32" i="9"/>
  <c r="V32" i="9" s="1"/>
  <c r="AD31" i="9"/>
  <c r="AC31" i="9"/>
  <c r="AB31" i="9"/>
  <c r="Y31" i="9"/>
  <c r="X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Z31" i="9" s="1"/>
  <c r="I31" i="9"/>
  <c r="H31" i="9"/>
  <c r="G31" i="9"/>
  <c r="F31" i="9"/>
  <c r="E31" i="9"/>
  <c r="D31" i="9"/>
  <c r="W31" i="9" s="1"/>
  <c r="C31" i="9"/>
  <c r="B31" i="9"/>
  <c r="AD30" i="9"/>
  <c r="AC30" i="9"/>
  <c r="AB30" i="9"/>
  <c r="X30" i="9"/>
  <c r="U30" i="9"/>
  <c r="T30" i="9"/>
  <c r="S30" i="9"/>
  <c r="R30" i="9"/>
  <c r="Q30" i="9"/>
  <c r="P30" i="9"/>
  <c r="O30" i="9"/>
  <c r="N30" i="9"/>
  <c r="M30" i="9"/>
  <c r="L30" i="9"/>
  <c r="K30" i="9"/>
  <c r="J30" i="9"/>
  <c r="Z30" i="9" s="1"/>
  <c r="I30" i="9"/>
  <c r="H30" i="9"/>
  <c r="Y30" i="9" s="1"/>
  <c r="G30" i="9"/>
  <c r="F30" i="9"/>
  <c r="E30" i="9"/>
  <c r="D30" i="9"/>
  <c r="W30" i="9" s="1"/>
  <c r="C30" i="9"/>
  <c r="B30" i="9"/>
  <c r="V30" i="9" s="1"/>
  <c r="AD29" i="9"/>
  <c r="AC29" i="9"/>
  <c r="AB29" i="9"/>
  <c r="Y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Z29" i="9" s="1"/>
  <c r="I29" i="9"/>
  <c r="H29" i="9"/>
  <c r="G29" i="9"/>
  <c r="F29" i="9"/>
  <c r="X29" i="9" s="1"/>
  <c r="E29" i="9"/>
  <c r="D29" i="9"/>
  <c r="W29" i="9" s="1"/>
  <c r="C29" i="9"/>
  <c r="B29" i="9"/>
  <c r="AD28" i="9"/>
  <c r="AC28" i="9"/>
  <c r="AB28" i="9"/>
  <c r="X28" i="9"/>
  <c r="U28" i="9"/>
  <c r="T28" i="9"/>
  <c r="S28" i="9"/>
  <c r="R28" i="9"/>
  <c r="Q28" i="9"/>
  <c r="P28" i="9"/>
  <c r="O28" i="9"/>
  <c r="N28" i="9"/>
  <c r="M28" i="9"/>
  <c r="L28" i="9"/>
  <c r="K28" i="9"/>
  <c r="J28" i="9"/>
  <c r="Z28" i="9" s="1"/>
  <c r="I28" i="9"/>
  <c r="H28" i="9"/>
  <c r="Y28" i="9" s="1"/>
  <c r="G28" i="9"/>
  <c r="F28" i="9"/>
  <c r="E28" i="9"/>
  <c r="D28" i="9"/>
  <c r="W28" i="9" s="1"/>
  <c r="C28" i="9"/>
  <c r="B28" i="9"/>
  <c r="V28" i="9" s="1"/>
  <c r="AA128" i="8"/>
  <c r="W128" i="8"/>
  <c r="V128" i="8"/>
  <c r="U128" i="8"/>
  <c r="T128" i="8"/>
  <c r="S128" i="8"/>
  <c r="R128" i="8"/>
  <c r="Q128" i="8"/>
  <c r="P128" i="8"/>
  <c r="O128" i="8"/>
  <c r="N128" i="8"/>
  <c r="M128" i="8"/>
  <c r="L128" i="8"/>
  <c r="K128" i="8"/>
  <c r="J128" i="8"/>
  <c r="Z128" i="8" s="1"/>
  <c r="I128" i="8"/>
  <c r="H128" i="8"/>
  <c r="Y128" i="8" s="1"/>
  <c r="G128" i="8"/>
  <c r="F128" i="8"/>
  <c r="E128" i="8"/>
  <c r="D128" i="8"/>
  <c r="C128" i="8"/>
  <c r="B128" i="8"/>
  <c r="AA127" i="8"/>
  <c r="Y127" i="8"/>
  <c r="X127" i="8"/>
  <c r="V127" i="8"/>
  <c r="U127" i="8"/>
  <c r="T127" i="8"/>
  <c r="S127" i="8"/>
  <c r="R127" i="8"/>
  <c r="Q127" i="8"/>
  <c r="P127" i="8"/>
  <c r="O127" i="8"/>
  <c r="N127" i="8"/>
  <c r="M127" i="8"/>
  <c r="L127" i="8"/>
  <c r="K127" i="8"/>
  <c r="J127" i="8"/>
  <c r="Z127" i="8" s="1"/>
  <c r="I127" i="8"/>
  <c r="H127" i="8"/>
  <c r="G127" i="8"/>
  <c r="F127" i="8"/>
  <c r="E127" i="8"/>
  <c r="D127" i="8"/>
  <c r="W127" i="8" s="1"/>
  <c r="C127" i="8"/>
  <c r="B127" i="8"/>
  <c r="AA126" i="8"/>
  <c r="X126" i="8"/>
  <c r="U126" i="8"/>
  <c r="T126" i="8"/>
  <c r="S126" i="8"/>
  <c r="R126" i="8"/>
  <c r="Q126" i="8"/>
  <c r="P126" i="8"/>
  <c r="O126" i="8"/>
  <c r="N126" i="8"/>
  <c r="M126" i="8"/>
  <c r="L126" i="8"/>
  <c r="K126" i="8"/>
  <c r="J126" i="8"/>
  <c r="Z126" i="8" s="1"/>
  <c r="I126" i="8"/>
  <c r="H126" i="8"/>
  <c r="Y126" i="8" s="1"/>
  <c r="G126" i="8"/>
  <c r="F126" i="8"/>
  <c r="E126" i="8"/>
  <c r="W126" i="8" s="1"/>
  <c r="D126" i="8"/>
  <c r="C126" i="8"/>
  <c r="B126" i="8"/>
  <c r="V126" i="8" s="1"/>
  <c r="AA125" i="8"/>
  <c r="U125" i="8"/>
  <c r="T125" i="8"/>
  <c r="S125" i="8"/>
  <c r="R125" i="8"/>
  <c r="Q125" i="8"/>
  <c r="P125" i="8"/>
  <c r="O125" i="8"/>
  <c r="N125" i="8"/>
  <c r="M125" i="8"/>
  <c r="L125" i="8"/>
  <c r="K125" i="8"/>
  <c r="J125" i="8"/>
  <c r="Z125" i="8" s="1"/>
  <c r="I125" i="8"/>
  <c r="H125" i="8"/>
  <c r="Y125" i="8" s="1"/>
  <c r="G125" i="8"/>
  <c r="F125" i="8"/>
  <c r="X125" i="8" s="1"/>
  <c r="E125" i="8"/>
  <c r="D125" i="8"/>
  <c r="W125" i="8" s="1"/>
  <c r="C125" i="8"/>
  <c r="B125" i="8"/>
  <c r="V125" i="8" s="1"/>
  <c r="AA124" i="8"/>
  <c r="W124" i="8"/>
  <c r="V124" i="8"/>
  <c r="U124" i="8"/>
  <c r="T124" i="8"/>
  <c r="S124" i="8"/>
  <c r="R124" i="8"/>
  <c r="Q124" i="8"/>
  <c r="P124" i="8"/>
  <c r="O124" i="8"/>
  <c r="N124" i="8"/>
  <c r="M124" i="8"/>
  <c r="L124" i="8"/>
  <c r="K124" i="8"/>
  <c r="J124" i="8"/>
  <c r="Z124" i="8" s="1"/>
  <c r="I124" i="8"/>
  <c r="H124" i="8"/>
  <c r="Y124" i="8" s="1"/>
  <c r="G124" i="8"/>
  <c r="F124" i="8"/>
  <c r="X124" i="8" s="1"/>
  <c r="E124" i="8"/>
  <c r="D124" i="8"/>
  <c r="C124" i="8"/>
  <c r="B124" i="8"/>
  <c r="AA123" i="8"/>
  <c r="X123" i="8"/>
  <c r="V123" i="8"/>
  <c r="U123" i="8"/>
  <c r="T123" i="8"/>
  <c r="S123" i="8"/>
  <c r="R123" i="8"/>
  <c r="Q123" i="8"/>
  <c r="P123" i="8"/>
  <c r="O123" i="8"/>
  <c r="N123" i="8"/>
  <c r="M123" i="8"/>
  <c r="L123" i="8"/>
  <c r="K123" i="8"/>
  <c r="J123" i="8"/>
  <c r="Z123" i="8" s="1"/>
  <c r="I123" i="8"/>
  <c r="Y123" i="8" s="1"/>
  <c r="H123" i="8"/>
  <c r="G123" i="8"/>
  <c r="F123" i="8"/>
  <c r="E123" i="8"/>
  <c r="D123" i="8"/>
  <c r="W123" i="8" s="1"/>
  <c r="C123" i="8"/>
  <c r="B123" i="8"/>
  <c r="AA122" i="8"/>
  <c r="U122" i="8"/>
  <c r="T122" i="8"/>
  <c r="S122" i="8"/>
  <c r="R122" i="8"/>
  <c r="Q122" i="8"/>
  <c r="P122" i="8"/>
  <c r="O122" i="8"/>
  <c r="N122" i="8"/>
  <c r="M122" i="8"/>
  <c r="L122" i="8"/>
  <c r="K122" i="8"/>
  <c r="J122" i="8"/>
  <c r="Z122" i="8" s="1"/>
  <c r="I122" i="8"/>
  <c r="H122" i="8"/>
  <c r="Y122" i="8" s="1"/>
  <c r="G122" i="8"/>
  <c r="F122" i="8"/>
  <c r="X122" i="8" s="1"/>
  <c r="E122" i="8"/>
  <c r="D122" i="8"/>
  <c r="W122" i="8" s="1"/>
  <c r="C122" i="8"/>
  <c r="B122" i="8"/>
  <c r="V122" i="8" s="1"/>
  <c r="AA121" i="8"/>
  <c r="U121" i="8"/>
  <c r="T121" i="8"/>
  <c r="S121" i="8"/>
  <c r="R121" i="8"/>
  <c r="Q121" i="8"/>
  <c r="P121" i="8"/>
  <c r="O121" i="8"/>
  <c r="N121" i="8"/>
  <c r="M121" i="8"/>
  <c r="L121" i="8"/>
  <c r="K121" i="8"/>
  <c r="J121" i="8"/>
  <c r="Z121" i="8" s="1"/>
  <c r="I121" i="8"/>
  <c r="H121" i="8"/>
  <c r="Y121" i="8" s="1"/>
  <c r="G121" i="8"/>
  <c r="F121" i="8"/>
  <c r="X121" i="8" s="1"/>
  <c r="E121" i="8"/>
  <c r="D121" i="8"/>
  <c r="W121" i="8" s="1"/>
  <c r="C121" i="8"/>
  <c r="B121" i="8"/>
  <c r="V121" i="8" s="1"/>
  <c r="AA120" i="8"/>
  <c r="W120" i="8"/>
  <c r="V120" i="8"/>
  <c r="U120" i="8"/>
  <c r="T120" i="8"/>
  <c r="S120" i="8"/>
  <c r="R120" i="8"/>
  <c r="Q120" i="8"/>
  <c r="P120" i="8"/>
  <c r="O120" i="8"/>
  <c r="N120" i="8"/>
  <c r="M120" i="8"/>
  <c r="L120" i="8"/>
  <c r="K120" i="8"/>
  <c r="J120" i="8"/>
  <c r="Z120" i="8" s="1"/>
  <c r="I120" i="8"/>
  <c r="H120" i="8"/>
  <c r="Y120" i="8" s="1"/>
  <c r="G120" i="8"/>
  <c r="F120" i="8"/>
  <c r="X120" i="8" s="1"/>
  <c r="E120" i="8"/>
  <c r="D120" i="8"/>
  <c r="C120" i="8"/>
  <c r="B120" i="8"/>
  <c r="AA119" i="8"/>
  <c r="X119" i="8"/>
  <c r="U119" i="8"/>
  <c r="T119" i="8"/>
  <c r="S119" i="8"/>
  <c r="R119" i="8"/>
  <c r="Q119" i="8"/>
  <c r="P119" i="8"/>
  <c r="O119" i="8"/>
  <c r="N119" i="8"/>
  <c r="M119" i="8"/>
  <c r="L119" i="8"/>
  <c r="K119" i="8"/>
  <c r="J119" i="8"/>
  <c r="Z119" i="8" s="1"/>
  <c r="I119" i="8"/>
  <c r="Y119" i="8" s="1"/>
  <c r="H119" i="8"/>
  <c r="G119" i="8"/>
  <c r="F119" i="8"/>
  <c r="E119" i="8"/>
  <c r="D119" i="8"/>
  <c r="W119" i="8" s="1"/>
  <c r="C119" i="8"/>
  <c r="B119" i="8"/>
  <c r="V119" i="8" s="1"/>
  <c r="AA118" i="8"/>
  <c r="U118" i="8"/>
  <c r="T118" i="8"/>
  <c r="S118" i="8"/>
  <c r="R118" i="8"/>
  <c r="Q118" i="8"/>
  <c r="P118" i="8"/>
  <c r="O118" i="8"/>
  <c r="N118" i="8"/>
  <c r="M118" i="8"/>
  <c r="L118" i="8"/>
  <c r="K118" i="8"/>
  <c r="J118" i="8"/>
  <c r="Z118" i="8" s="1"/>
  <c r="I118" i="8"/>
  <c r="H118" i="8"/>
  <c r="Y118" i="8" s="1"/>
  <c r="G118" i="8"/>
  <c r="F118" i="8"/>
  <c r="X118" i="8" s="1"/>
  <c r="E118" i="8"/>
  <c r="D118" i="8"/>
  <c r="W118" i="8" s="1"/>
  <c r="C118" i="8"/>
  <c r="B118" i="8"/>
  <c r="V118" i="8" s="1"/>
  <c r="AA117" i="8"/>
  <c r="U117" i="8"/>
  <c r="T117" i="8"/>
  <c r="S117" i="8"/>
  <c r="R117" i="8"/>
  <c r="Q117" i="8"/>
  <c r="P117" i="8"/>
  <c r="O117" i="8"/>
  <c r="N117" i="8"/>
  <c r="M117" i="8"/>
  <c r="L117" i="8"/>
  <c r="K117" i="8"/>
  <c r="J117" i="8"/>
  <c r="Z117" i="8" s="1"/>
  <c r="I117" i="8"/>
  <c r="H117" i="8"/>
  <c r="Y117" i="8" s="1"/>
  <c r="G117" i="8"/>
  <c r="F117" i="8"/>
  <c r="X117" i="8" s="1"/>
  <c r="E117" i="8"/>
  <c r="D117" i="8"/>
  <c r="W117" i="8" s="1"/>
  <c r="C117" i="8"/>
  <c r="B117" i="8"/>
  <c r="V117" i="8" s="1"/>
  <c r="AA116" i="8"/>
  <c r="W116" i="8"/>
  <c r="V116" i="8"/>
  <c r="U116" i="8"/>
  <c r="T116" i="8"/>
  <c r="S116" i="8"/>
  <c r="R116" i="8"/>
  <c r="Q116" i="8"/>
  <c r="P116" i="8"/>
  <c r="O116" i="8"/>
  <c r="N116" i="8"/>
  <c r="M116" i="8"/>
  <c r="L116" i="8"/>
  <c r="K116" i="8"/>
  <c r="J116" i="8"/>
  <c r="Z116" i="8" s="1"/>
  <c r="I116" i="8"/>
  <c r="H116" i="8"/>
  <c r="Y116" i="8" s="1"/>
  <c r="G116" i="8"/>
  <c r="F116" i="8"/>
  <c r="X116" i="8" s="1"/>
  <c r="E116" i="8"/>
  <c r="D116" i="8"/>
  <c r="C116" i="8"/>
  <c r="B116" i="8"/>
  <c r="AA115" i="8"/>
  <c r="X115" i="8"/>
  <c r="U115" i="8"/>
  <c r="T115" i="8"/>
  <c r="S115" i="8"/>
  <c r="R115" i="8"/>
  <c r="Q115" i="8"/>
  <c r="P115" i="8"/>
  <c r="O115" i="8"/>
  <c r="N115" i="8"/>
  <c r="M115" i="8"/>
  <c r="L115" i="8"/>
  <c r="K115" i="8"/>
  <c r="J115" i="8"/>
  <c r="Z115" i="8" s="1"/>
  <c r="I115" i="8"/>
  <c r="Y115" i="8" s="1"/>
  <c r="H115" i="8"/>
  <c r="G115" i="8"/>
  <c r="F115" i="8"/>
  <c r="E115" i="8"/>
  <c r="D115" i="8"/>
  <c r="W115" i="8" s="1"/>
  <c r="C115" i="8"/>
  <c r="B115" i="8"/>
  <c r="V115" i="8" s="1"/>
  <c r="AA114" i="8"/>
  <c r="U114" i="8"/>
  <c r="T114" i="8"/>
  <c r="S114" i="8"/>
  <c r="R114" i="8"/>
  <c r="Q114" i="8"/>
  <c r="P114" i="8"/>
  <c r="O114" i="8"/>
  <c r="N114" i="8"/>
  <c r="M114" i="8"/>
  <c r="L114" i="8"/>
  <c r="K114" i="8"/>
  <c r="J114" i="8"/>
  <c r="Z114" i="8" s="1"/>
  <c r="I114" i="8"/>
  <c r="H114" i="8"/>
  <c r="Y114" i="8" s="1"/>
  <c r="G114" i="8"/>
  <c r="F114" i="8"/>
  <c r="X114" i="8" s="1"/>
  <c r="E114" i="8"/>
  <c r="D114" i="8"/>
  <c r="W114" i="8" s="1"/>
  <c r="C114" i="8"/>
  <c r="B114" i="8"/>
  <c r="V114" i="8" s="1"/>
  <c r="AA113" i="8"/>
  <c r="U113" i="8"/>
  <c r="T113" i="8"/>
  <c r="S113" i="8"/>
  <c r="R113" i="8"/>
  <c r="Q113" i="8"/>
  <c r="P113" i="8"/>
  <c r="O113" i="8"/>
  <c r="N113" i="8"/>
  <c r="M113" i="8"/>
  <c r="L113" i="8"/>
  <c r="K113" i="8"/>
  <c r="J113" i="8"/>
  <c r="Z113" i="8" s="1"/>
  <c r="I113" i="8"/>
  <c r="H113" i="8"/>
  <c r="Y113" i="8" s="1"/>
  <c r="G113" i="8"/>
  <c r="F113" i="8"/>
  <c r="X113" i="8" s="1"/>
  <c r="E113" i="8"/>
  <c r="D113" i="8"/>
  <c r="W113" i="8" s="1"/>
  <c r="C113" i="8"/>
  <c r="B113" i="8"/>
  <c r="V113" i="8" s="1"/>
  <c r="AA112" i="8"/>
  <c r="W112" i="8"/>
  <c r="U112" i="8"/>
  <c r="T112" i="8"/>
  <c r="S112" i="8"/>
  <c r="R112" i="8"/>
  <c r="Q112" i="8"/>
  <c r="P112" i="8"/>
  <c r="O112" i="8"/>
  <c r="N112" i="8"/>
  <c r="M112" i="8"/>
  <c r="L112" i="8"/>
  <c r="K112" i="8"/>
  <c r="J112" i="8"/>
  <c r="Z112" i="8" s="1"/>
  <c r="I112" i="8"/>
  <c r="H112" i="8"/>
  <c r="Y112" i="8" s="1"/>
  <c r="G112" i="8"/>
  <c r="F112" i="8"/>
  <c r="X112" i="8" s="1"/>
  <c r="E112" i="8"/>
  <c r="D112" i="8"/>
  <c r="C112" i="8"/>
  <c r="V112" i="8" s="1"/>
  <c r="B112" i="8"/>
  <c r="AA111" i="8"/>
  <c r="X111" i="8"/>
  <c r="U111" i="8"/>
  <c r="T111" i="8"/>
  <c r="S111" i="8"/>
  <c r="R111" i="8"/>
  <c r="Q111" i="8"/>
  <c r="P111" i="8"/>
  <c r="O111" i="8"/>
  <c r="N111" i="8"/>
  <c r="M111" i="8"/>
  <c r="L111" i="8"/>
  <c r="K111" i="8"/>
  <c r="J111" i="8"/>
  <c r="Z111" i="8" s="1"/>
  <c r="I111" i="8"/>
  <c r="Y111" i="8" s="1"/>
  <c r="H111" i="8"/>
  <c r="G111" i="8"/>
  <c r="F111" i="8"/>
  <c r="E111" i="8"/>
  <c r="D111" i="8"/>
  <c r="W111" i="8" s="1"/>
  <c r="C111" i="8"/>
  <c r="B111" i="8"/>
  <c r="V111" i="8" s="1"/>
  <c r="AA110" i="8"/>
  <c r="U110" i="8"/>
  <c r="T110" i="8"/>
  <c r="S110" i="8"/>
  <c r="R110" i="8"/>
  <c r="Q110" i="8"/>
  <c r="P110" i="8"/>
  <c r="O110" i="8"/>
  <c r="N110" i="8"/>
  <c r="M110" i="8"/>
  <c r="L110" i="8"/>
  <c r="K110" i="8"/>
  <c r="J110" i="8"/>
  <c r="Z110" i="8" s="1"/>
  <c r="I110" i="8"/>
  <c r="H110" i="8"/>
  <c r="Y110" i="8" s="1"/>
  <c r="G110" i="8"/>
  <c r="F110" i="8"/>
  <c r="X110" i="8" s="1"/>
  <c r="E110" i="8"/>
  <c r="D110" i="8"/>
  <c r="W110" i="8" s="1"/>
  <c r="C110" i="8"/>
  <c r="B110" i="8"/>
  <c r="V110" i="8" s="1"/>
  <c r="AA109" i="8"/>
  <c r="U109" i="8"/>
  <c r="T109" i="8"/>
  <c r="S109" i="8"/>
  <c r="R109" i="8"/>
  <c r="Q109" i="8"/>
  <c r="P109" i="8"/>
  <c r="O109" i="8"/>
  <c r="N109" i="8"/>
  <c r="M109" i="8"/>
  <c r="L109" i="8"/>
  <c r="K109" i="8"/>
  <c r="J109" i="8"/>
  <c r="Z109" i="8" s="1"/>
  <c r="I109" i="8"/>
  <c r="H109" i="8"/>
  <c r="Y109" i="8" s="1"/>
  <c r="G109" i="8"/>
  <c r="F109" i="8"/>
  <c r="X109" i="8" s="1"/>
  <c r="E109" i="8"/>
  <c r="D109" i="8"/>
  <c r="W109" i="8" s="1"/>
  <c r="C109" i="8"/>
  <c r="B109" i="8"/>
  <c r="V109" i="8" s="1"/>
  <c r="AA108" i="8"/>
  <c r="W108" i="8"/>
  <c r="U108" i="8"/>
  <c r="T108" i="8"/>
  <c r="S108" i="8"/>
  <c r="R108" i="8"/>
  <c r="Q108" i="8"/>
  <c r="P108" i="8"/>
  <c r="O108" i="8"/>
  <c r="N108" i="8"/>
  <c r="M108" i="8"/>
  <c r="L108" i="8"/>
  <c r="K108" i="8"/>
  <c r="J108" i="8"/>
  <c r="Z108" i="8" s="1"/>
  <c r="I108" i="8"/>
  <c r="H108" i="8"/>
  <c r="Y108" i="8" s="1"/>
  <c r="G108" i="8"/>
  <c r="F108" i="8"/>
  <c r="X108" i="8" s="1"/>
  <c r="E108" i="8"/>
  <c r="D108" i="8"/>
  <c r="C108" i="8"/>
  <c r="B108" i="8"/>
  <c r="V108" i="8" s="1"/>
  <c r="AA107" i="8"/>
  <c r="Y107" i="8"/>
  <c r="U107" i="8"/>
  <c r="T107" i="8"/>
  <c r="S107" i="8"/>
  <c r="R107" i="8"/>
  <c r="Q107" i="8"/>
  <c r="P107" i="8"/>
  <c r="O107" i="8"/>
  <c r="N107" i="8"/>
  <c r="M107" i="8"/>
  <c r="L107" i="8"/>
  <c r="K107" i="8"/>
  <c r="J107" i="8"/>
  <c r="Z107" i="8" s="1"/>
  <c r="I107" i="8"/>
  <c r="H107" i="8"/>
  <c r="G107" i="8"/>
  <c r="F107" i="8"/>
  <c r="X107" i="8" s="1"/>
  <c r="E107" i="8"/>
  <c r="D107" i="8"/>
  <c r="W107" i="8" s="1"/>
  <c r="C107" i="8"/>
  <c r="B107" i="8"/>
  <c r="V107" i="8" s="1"/>
  <c r="AA106" i="8"/>
  <c r="U106" i="8"/>
  <c r="T106" i="8"/>
  <c r="S106" i="8"/>
  <c r="R106" i="8"/>
  <c r="Q106" i="8"/>
  <c r="P106" i="8"/>
  <c r="O106" i="8"/>
  <c r="N106" i="8"/>
  <c r="M106" i="8"/>
  <c r="L106" i="8"/>
  <c r="K106" i="8"/>
  <c r="J106" i="8"/>
  <c r="I106" i="8"/>
  <c r="H106" i="8"/>
  <c r="Y106" i="8" s="1"/>
  <c r="G106" i="8"/>
  <c r="F106" i="8"/>
  <c r="X106" i="8" s="1"/>
  <c r="E106" i="8"/>
  <c r="D106" i="8"/>
  <c r="W106" i="8" s="1"/>
  <c r="C106" i="8"/>
  <c r="B106" i="8"/>
  <c r="AA105" i="8"/>
  <c r="U105" i="8"/>
  <c r="T105" i="8"/>
  <c r="S105" i="8"/>
  <c r="R105" i="8"/>
  <c r="Q105" i="8"/>
  <c r="P105" i="8"/>
  <c r="O105" i="8"/>
  <c r="N105" i="8"/>
  <c r="M105" i="8"/>
  <c r="L105" i="8"/>
  <c r="K105" i="8"/>
  <c r="J105" i="8"/>
  <c r="Z105" i="8" s="1"/>
  <c r="I105" i="8"/>
  <c r="H105" i="8"/>
  <c r="Y105" i="8" s="1"/>
  <c r="G105" i="8"/>
  <c r="F105" i="8"/>
  <c r="X105" i="8" s="1"/>
  <c r="E105" i="8"/>
  <c r="D105" i="8"/>
  <c r="W105" i="8" s="1"/>
  <c r="C105" i="8"/>
  <c r="B105" i="8"/>
  <c r="V105" i="8" s="1"/>
  <c r="AA104" i="8"/>
  <c r="W104" i="8"/>
  <c r="U104" i="8"/>
  <c r="T104" i="8"/>
  <c r="S104" i="8"/>
  <c r="R104" i="8"/>
  <c r="Q104" i="8"/>
  <c r="P104" i="8"/>
  <c r="O104" i="8"/>
  <c r="N104" i="8"/>
  <c r="M104" i="8"/>
  <c r="L104" i="8"/>
  <c r="K104" i="8"/>
  <c r="J104" i="8"/>
  <c r="Z104" i="8" s="1"/>
  <c r="I104" i="8"/>
  <c r="H104" i="8"/>
  <c r="Y104" i="8" s="1"/>
  <c r="G104" i="8"/>
  <c r="F104" i="8"/>
  <c r="X104" i="8" s="1"/>
  <c r="E104" i="8"/>
  <c r="D104" i="8"/>
  <c r="C104" i="8"/>
  <c r="B104" i="8"/>
  <c r="V104" i="8" s="1"/>
  <c r="AA103" i="8"/>
  <c r="U103" i="8"/>
  <c r="T103" i="8"/>
  <c r="S103" i="8"/>
  <c r="R103" i="8"/>
  <c r="Q103" i="8"/>
  <c r="P103" i="8"/>
  <c r="O103" i="8"/>
  <c r="N103" i="8"/>
  <c r="M103" i="8"/>
  <c r="L103" i="8"/>
  <c r="K103" i="8"/>
  <c r="J103" i="8"/>
  <c r="Z103" i="8" s="1"/>
  <c r="I103" i="8"/>
  <c r="Y103" i="8" s="1"/>
  <c r="H103" i="8"/>
  <c r="G103" i="8"/>
  <c r="F103" i="8"/>
  <c r="X103" i="8" s="1"/>
  <c r="E103" i="8"/>
  <c r="D103" i="8"/>
  <c r="W103" i="8" s="1"/>
  <c r="C103" i="8"/>
  <c r="B103" i="8"/>
  <c r="V103" i="8" s="1"/>
  <c r="AA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Z102" i="8" s="1"/>
  <c r="I102" i="8"/>
  <c r="H102" i="8"/>
  <c r="Y102" i="8" s="1"/>
  <c r="G102" i="8"/>
  <c r="F102" i="8"/>
  <c r="X102" i="8" s="1"/>
  <c r="E102" i="8"/>
  <c r="D102" i="8"/>
  <c r="W102" i="8" s="1"/>
  <c r="C102" i="8"/>
  <c r="B102" i="8"/>
  <c r="V102" i="8" s="1"/>
  <c r="AA101" i="8"/>
  <c r="U101" i="8"/>
  <c r="T101" i="8"/>
  <c r="S101" i="8"/>
  <c r="R101" i="8"/>
  <c r="Q101" i="8"/>
  <c r="P101" i="8"/>
  <c r="O101" i="8"/>
  <c r="N101" i="8"/>
  <c r="M101" i="8"/>
  <c r="L101" i="8"/>
  <c r="K101" i="8"/>
  <c r="J101" i="8"/>
  <c r="Z101" i="8" s="1"/>
  <c r="I101" i="8"/>
  <c r="H101" i="8"/>
  <c r="Y101" i="8" s="1"/>
  <c r="G101" i="8"/>
  <c r="F101" i="8"/>
  <c r="X101" i="8" s="1"/>
  <c r="E101" i="8"/>
  <c r="D101" i="8"/>
  <c r="W101" i="8" s="1"/>
  <c r="C101" i="8"/>
  <c r="B101" i="8"/>
  <c r="V101" i="8" s="1"/>
  <c r="AA100" i="8"/>
  <c r="W100" i="8"/>
  <c r="U100" i="8"/>
  <c r="T100" i="8"/>
  <c r="S100" i="8"/>
  <c r="R100" i="8"/>
  <c r="Q100" i="8"/>
  <c r="P100" i="8"/>
  <c r="O100" i="8"/>
  <c r="N100" i="8"/>
  <c r="M100" i="8"/>
  <c r="L100" i="8"/>
  <c r="K100" i="8"/>
  <c r="J100" i="8"/>
  <c r="Z100" i="8" s="1"/>
  <c r="I100" i="8"/>
  <c r="H100" i="8"/>
  <c r="Y100" i="8" s="1"/>
  <c r="G100" i="8"/>
  <c r="F100" i="8"/>
  <c r="X100" i="8" s="1"/>
  <c r="E100" i="8"/>
  <c r="D100" i="8"/>
  <c r="C100" i="8"/>
  <c r="B100" i="8"/>
  <c r="V100" i="8" s="1"/>
  <c r="AA99" i="8"/>
  <c r="Y99" i="8"/>
  <c r="U99" i="8"/>
  <c r="T99" i="8"/>
  <c r="S99" i="8"/>
  <c r="R99" i="8"/>
  <c r="Q99" i="8"/>
  <c r="P99" i="8"/>
  <c r="O99" i="8"/>
  <c r="N99" i="8"/>
  <c r="M99" i="8"/>
  <c r="L99" i="8"/>
  <c r="K99" i="8"/>
  <c r="J99" i="8"/>
  <c r="Z99" i="8" s="1"/>
  <c r="I99" i="8"/>
  <c r="H99" i="8"/>
  <c r="G99" i="8"/>
  <c r="F99" i="8"/>
  <c r="X99" i="8" s="1"/>
  <c r="E99" i="8"/>
  <c r="D99" i="8"/>
  <c r="W99" i="8" s="1"/>
  <c r="C99" i="8"/>
  <c r="B99" i="8"/>
  <c r="V99" i="8" s="1"/>
  <c r="AA98" i="8"/>
  <c r="U98" i="8"/>
  <c r="T98" i="8"/>
  <c r="S98" i="8"/>
  <c r="R98" i="8"/>
  <c r="Q98" i="8"/>
  <c r="P98" i="8"/>
  <c r="O98" i="8"/>
  <c r="N98" i="8"/>
  <c r="M98" i="8"/>
  <c r="L98" i="8"/>
  <c r="K98" i="8"/>
  <c r="J98" i="8"/>
  <c r="I98" i="8"/>
  <c r="H98" i="8"/>
  <c r="Y98" i="8" s="1"/>
  <c r="G98" i="8"/>
  <c r="F98" i="8"/>
  <c r="X98" i="8" s="1"/>
  <c r="E98" i="8"/>
  <c r="D98" i="8"/>
  <c r="W98" i="8" s="1"/>
  <c r="C98" i="8"/>
  <c r="B98" i="8"/>
  <c r="AA97" i="8"/>
  <c r="U97" i="8"/>
  <c r="T97" i="8"/>
  <c r="S97" i="8"/>
  <c r="R97" i="8"/>
  <c r="Q97" i="8"/>
  <c r="P97" i="8"/>
  <c r="O97" i="8"/>
  <c r="N97" i="8"/>
  <c r="M97" i="8"/>
  <c r="L97" i="8"/>
  <c r="K97" i="8"/>
  <c r="J97" i="8"/>
  <c r="Z97" i="8" s="1"/>
  <c r="I97" i="8"/>
  <c r="H97" i="8"/>
  <c r="Y97" i="8" s="1"/>
  <c r="G97" i="8"/>
  <c r="F97" i="8"/>
  <c r="X97" i="8" s="1"/>
  <c r="E97" i="8"/>
  <c r="D97" i="8"/>
  <c r="W97" i="8" s="1"/>
  <c r="C97" i="8"/>
  <c r="B97" i="8"/>
  <c r="V97" i="8" s="1"/>
  <c r="AA96" i="8"/>
  <c r="W96" i="8"/>
  <c r="U96" i="8"/>
  <c r="T96" i="8"/>
  <c r="S96" i="8"/>
  <c r="R96" i="8"/>
  <c r="Q96" i="8"/>
  <c r="P96" i="8"/>
  <c r="O96" i="8"/>
  <c r="N96" i="8"/>
  <c r="M96" i="8"/>
  <c r="L96" i="8"/>
  <c r="K96" i="8"/>
  <c r="J96" i="8"/>
  <c r="Z96" i="8" s="1"/>
  <c r="I96" i="8"/>
  <c r="H96" i="8"/>
  <c r="Y96" i="8" s="1"/>
  <c r="G96" i="8"/>
  <c r="F96" i="8"/>
  <c r="X96" i="8" s="1"/>
  <c r="E96" i="8"/>
  <c r="D96" i="8"/>
  <c r="C96" i="8"/>
  <c r="B96" i="8"/>
  <c r="V96" i="8" s="1"/>
  <c r="AA95" i="8"/>
  <c r="Y95" i="8"/>
  <c r="U95" i="8"/>
  <c r="T95" i="8"/>
  <c r="S95" i="8"/>
  <c r="R95" i="8"/>
  <c r="Q95" i="8"/>
  <c r="P95" i="8"/>
  <c r="O95" i="8"/>
  <c r="N95" i="8"/>
  <c r="M95" i="8"/>
  <c r="L95" i="8"/>
  <c r="K95" i="8"/>
  <c r="J95" i="8"/>
  <c r="Z95" i="8" s="1"/>
  <c r="I95" i="8"/>
  <c r="H95" i="8"/>
  <c r="G95" i="8"/>
  <c r="F95" i="8"/>
  <c r="X95" i="8" s="1"/>
  <c r="E95" i="8"/>
  <c r="W95" i="8" s="1"/>
  <c r="D95" i="8"/>
  <c r="C95" i="8"/>
  <c r="B95" i="8"/>
  <c r="V95" i="8" s="1"/>
  <c r="AA94" i="8"/>
  <c r="U94" i="8"/>
  <c r="T94" i="8"/>
  <c r="S94" i="8"/>
  <c r="R94" i="8"/>
  <c r="Q94" i="8"/>
  <c r="P94" i="8"/>
  <c r="O94" i="8"/>
  <c r="N94" i="8"/>
  <c r="M94" i="8"/>
  <c r="L94" i="8"/>
  <c r="K94" i="8"/>
  <c r="J94" i="8"/>
  <c r="Z94" i="8" s="1"/>
  <c r="I94" i="8"/>
  <c r="H94" i="8"/>
  <c r="Y94" i="8" s="1"/>
  <c r="G94" i="8"/>
  <c r="F94" i="8"/>
  <c r="X94" i="8" s="1"/>
  <c r="E94" i="8"/>
  <c r="D94" i="8"/>
  <c r="W94" i="8" s="1"/>
  <c r="C94" i="8"/>
  <c r="B94" i="8"/>
  <c r="V94" i="8" s="1"/>
  <c r="AA93" i="8"/>
  <c r="U93" i="8"/>
  <c r="T93" i="8"/>
  <c r="S93" i="8"/>
  <c r="R93" i="8"/>
  <c r="Q93" i="8"/>
  <c r="P93" i="8"/>
  <c r="O93" i="8"/>
  <c r="N93" i="8"/>
  <c r="M93" i="8"/>
  <c r="L93" i="8"/>
  <c r="K93" i="8"/>
  <c r="J93" i="8"/>
  <c r="Z93" i="8" s="1"/>
  <c r="I93" i="8"/>
  <c r="H93" i="8"/>
  <c r="Y93" i="8" s="1"/>
  <c r="G93" i="8"/>
  <c r="F93" i="8"/>
  <c r="X93" i="8" s="1"/>
  <c r="E93" i="8"/>
  <c r="D93" i="8"/>
  <c r="W93" i="8" s="1"/>
  <c r="C93" i="8"/>
  <c r="B93" i="8"/>
  <c r="V93" i="8" s="1"/>
  <c r="AA92" i="8"/>
  <c r="W92" i="8"/>
  <c r="U92" i="8"/>
  <c r="T92" i="8"/>
  <c r="S92" i="8"/>
  <c r="R92" i="8"/>
  <c r="Q92" i="8"/>
  <c r="P92" i="8"/>
  <c r="O92" i="8"/>
  <c r="N92" i="8"/>
  <c r="M92" i="8"/>
  <c r="L92" i="8"/>
  <c r="K92" i="8"/>
  <c r="J92" i="8"/>
  <c r="Z92" i="8" s="1"/>
  <c r="I92" i="8"/>
  <c r="H92" i="8"/>
  <c r="Y92" i="8" s="1"/>
  <c r="G92" i="8"/>
  <c r="F92" i="8"/>
  <c r="X92" i="8" s="1"/>
  <c r="E92" i="8"/>
  <c r="D92" i="8"/>
  <c r="C92" i="8"/>
  <c r="B92" i="8"/>
  <c r="V92" i="8" s="1"/>
  <c r="AA91" i="8"/>
  <c r="Y91" i="8"/>
  <c r="U91" i="8"/>
  <c r="T91" i="8"/>
  <c r="S91" i="8"/>
  <c r="R91" i="8"/>
  <c r="Q91" i="8"/>
  <c r="P91" i="8"/>
  <c r="O91" i="8"/>
  <c r="N91" i="8"/>
  <c r="M91" i="8"/>
  <c r="L91" i="8"/>
  <c r="K91" i="8"/>
  <c r="J91" i="8"/>
  <c r="Z91" i="8" s="1"/>
  <c r="I91" i="8"/>
  <c r="H91" i="8"/>
  <c r="G91" i="8"/>
  <c r="F91" i="8"/>
  <c r="X91" i="8" s="1"/>
  <c r="E91" i="8"/>
  <c r="W91" i="8" s="1"/>
  <c r="D91" i="8"/>
  <c r="C91" i="8"/>
  <c r="B91" i="8"/>
  <c r="V91" i="8" s="1"/>
  <c r="AA90" i="8"/>
  <c r="U90" i="8"/>
  <c r="T90" i="8"/>
  <c r="S90" i="8"/>
  <c r="R90" i="8"/>
  <c r="Q90" i="8"/>
  <c r="P90" i="8"/>
  <c r="O90" i="8"/>
  <c r="N90" i="8"/>
  <c r="M90" i="8"/>
  <c r="L90" i="8"/>
  <c r="K90" i="8"/>
  <c r="J90" i="8"/>
  <c r="I90" i="8"/>
  <c r="H90" i="8"/>
  <c r="Y90" i="8" s="1"/>
  <c r="G90" i="8"/>
  <c r="X90" i="8" s="1"/>
  <c r="F90" i="8"/>
  <c r="E90" i="8"/>
  <c r="D90" i="8"/>
  <c r="W90" i="8" s="1"/>
  <c r="C90" i="8"/>
  <c r="B90" i="8"/>
  <c r="AA89" i="8"/>
  <c r="U89" i="8"/>
  <c r="T89" i="8"/>
  <c r="S89" i="8"/>
  <c r="R89" i="8"/>
  <c r="Q89" i="8"/>
  <c r="P89" i="8"/>
  <c r="O89" i="8"/>
  <c r="N89" i="8"/>
  <c r="M89" i="8"/>
  <c r="L89" i="8"/>
  <c r="K89" i="8"/>
  <c r="J89" i="8"/>
  <c r="Z89" i="8" s="1"/>
  <c r="I89" i="8"/>
  <c r="H89" i="8"/>
  <c r="Y89" i="8" s="1"/>
  <c r="G89" i="8"/>
  <c r="F89" i="8"/>
  <c r="X89" i="8" s="1"/>
  <c r="E89" i="8"/>
  <c r="D89" i="8"/>
  <c r="W89" i="8" s="1"/>
  <c r="C89" i="8"/>
  <c r="B89" i="8"/>
  <c r="V89" i="8" s="1"/>
  <c r="AA88" i="8"/>
  <c r="W88" i="8"/>
  <c r="U88" i="8"/>
  <c r="T88" i="8"/>
  <c r="S88" i="8"/>
  <c r="R88" i="8"/>
  <c r="Q88" i="8"/>
  <c r="P88" i="8"/>
  <c r="O88" i="8"/>
  <c r="N88" i="8"/>
  <c r="M88" i="8"/>
  <c r="L88" i="8"/>
  <c r="K88" i="8"/>
  <c r="J88" i="8"/>
  <c r="Z88" i="8" s="1"/>
  <c r="I88" i="8"/>
  <c r="H88" i="8"/>
  <c r="Y88" i="8" s="1"/>
  <c r="G88" i="8"/>
  <c r="F88" i="8"/>
  <c r="X88" i="8" s="1"/>
  <c r="E88" i="8"/>
  <c r="D88" i="8"/>
  <c r="C88" i="8"/>
  <c r="V88" i="8" s="1"/>
  <c r="B88" i="8"/>
  <c r="AA87" i="8"/>
  <c r="U87" i="8"/>
  <c r="T87" i="8"/>
  <c r="S87" i="8"/>
  <c r="R87" i="8"/>
  <c r="Q87" i="8"/>
  <c r="P87" i="8"/>
  <c r="O87" i="8"/>
  <c r="N87" i="8"/>
  <c r="M87" i="8"/>
  <c r="L87" i="8"/>
  <c r="K87" i="8"/>
  <c r="J87" i="8"/>
  <c r="Z87" i="8" s="1"/>
  <c r="I87" i="8"/>
  <c r="Y87" i="8" s="1"/>
  <c r="H87" i="8"/>
  <c r="G87" i="8"/>
  <c r="F87" i="8"/>
  <c r="X87" i="8" s="1"/>
  <c r="E87" i="8"/>
  <c r="W87" i="8" s="1"/>
  <c r="D87" i="8"/>
  <c r="C87" i="8"/>
  <c r="B87" i="8"/>
  <c r="V87" i="8" s="1"/>
  <c r="AA86" i="8"/>
  <c r="U86" i="8"/>
  <c r="T86" i="8"/>
  <c r="S86" i="8"/>
  <c r="R86" i="8"/>
  <c r="Q86" i="8"/>
  <c r="P86" i="8"/>
  <c r="O86" i="8"/>
  <c r="N86" i="8"/>
  <c r="M86" i="8"/>
  <c r="L86" i="8"/>
  <c r="K86" i="8"/>
  <c r="J86" i="8"/>
  <c r="I86" i="8"/>
  <c r="H86" i="8"/>
  <c r="Y86" i="8" s="1"/>
  <c r="G86" i="8"/>
  <c r="X86" i="8" s="1"/>
  <c r="F86" i="8"/>
  <c r="E86" i="8"/>
  <c r="D86" i="8"/>
  <c r="W86" i="8" s="1"/>
  <c r="C86" i="8"/>
  <c r="B86" i="8"/>
  <c r="AA85" i="8"/>
  <c r="U85" i="8"/>
  <c r="T85" i="8"/>
  <c r="S85" i="8"/>
  <c r="R85" i="8"/>
  <c r="Q85" i="8"/>
  <c r="P85" i="8"/>
  <c r="O85" i="8"/>
  <c r="N85" i="8"/>
  <c r="M85" i="8"/>
  <c r="L85" i="8"/>
  <c r="K85" i="8"/>
  <c r="J85" i="8"/>
  <c r="Z85" i="8" s="1"/>
  <c r="I85" i="8"/>
  <c r="Y85" i="8" s="1"/>
  <c r="H85" i="8"/>
  <c r="G85" i="8"/>
  <c r="F85" i="8"/>
  <c r="X85" i="8" s="1"/>
  <c r="E85" i="8"/>
  <c r="D85" i="8"/>
  <c r="W85" i="8" s="1"/>
  <c r="C85" i="8"/>
  <c r="B85" i="8"/>
  <c r="V85" i="8" s="1"/>
  <c r="AA84" i="8"/>
  <c r="W84" i="8"/>
  <c r="U84" i="8"/>
  <c r="T84" i="8"/>
  <c r="S84" i="8"/>
  <c r="R84" i="8"/>
  <c r="Q84" i="8"/>
  <c r="P84" i="8"/>
  <c r="O84" i="8"/>
  <c r="N84" i="8"/>
  <c r="M84" i="8"/>
  <c r="L84" i="8"/>
  <c r="K84" i="8"/>
  <c r="J84" i="8"/>
  <c r="Z84" i="8" s="1"/>
  <c r="I84" i="8"/>
  <c r="H84" i="8"/>
  <c r="Y84" i="8" s="1"/>
  <c r="G84" i="8"/>
  <c r="F84" i="8"/>
  <c r="X84" i="8" s="1"/>
  <c r="E84" i="8"/>
  <c r="D84" i="8"/>
  <c r="C84" i="8"/>
  <c r="V84" i="8" s="1"/>
  <c r="B84" i="8"/>
  <c r="AA83" i="8"/>
  <c r="Y83" i="8"/>
  <c r="W83" i="8"/>
  <c r="U83" i="8"/>
  <c r="T83" i="8"/>
  <c r="S83" i="8"/>
  <c r="R83" i="8"/>
  <c r="Q83" i="8"/>
  <c r="P83" i="8"/>
  <c r="O83" i="8"/>
  <c r="N83" i="8"/>
  <c r="M83" i="8"/>
  <c r="L83" i="8"/>
  <c r="K83" i="8"/>
  <c r="J83" i="8"/>
  <c r="Z83" i="8" s="1"/>
  <c r="I83" i="8"/>
  <c r="H83" i="8"/>
  <c r="G83" i="8"/>
  <c r="X83" i="8" s="1"/>
  <c r="F83" i="8"/>
  <c r="E83" i="8"/>
  <c r="D83" i="8"/>
  <c r="C83" i="8"/>
  <c r="B83" i="8"/>
  <c r="V83" i="8" s="1"/>
  <c r="AA82" i="8"/>
  <c r="U82" i="8"/>
  <c r="T82" i="8"/>
  <c r="S82" i="8"/>
  <c r="R82" i="8"/>
  <c r="Q82" i="8"/>
  <c r="P82" i="8"/>
  <c r="O82" i="8"/>
  <c r="N82" i="8"/>
  <c r="M82" i="8"/>
  <c r="L82" i="8"/>
  <c r="K82" i="8"/>
  <c r="J82" i="8"/>
  <c r="Z82" i="8" s="1"/>
  <c r="I82" i="8"/>
  <c r="Y82" i="8" s="1"/>
  <c r="H82" i="8"/>
  <c r="G82" i="8"/>
  <c r="X82" i="8" s="1"/>
  <c r="F82" i="8"/>
  <c r="E82" i="8"/>
  <c r="D82" i="8"/>
  <c r="W82" i="8" s="1"/>
  <c r="C82" i="8"/>
  <c r="B82" i="8"/>
  <c r="V82" i="8" s="1"/>
  <c r="AA81" i="8"/>
  <c r="U81" i="8"/>
  <c r="T81" i="8"/>
  <c r="S81" i="8"/>
  <c r="R81" i="8"/>
  <c r="Q81" i="8"/>
  <c r="P81" i="8"/>
  <c r="O81" i="8"/>
  <c r="N81" i="8"/>
  <c r="M81" i="8"/>
  <c r="L81" i="8"/>
  <c r="K81" i="8"/>
  <c r="J81" i="8"/>
  <c r="Z81" i="8" s="1"/>
  <c r="I81" i="8"/>
  <c r="Y81" i="8" s="1"/>
  <c r="H81" i="8"/>
  <c r="G81" i="8"/>
  <c r="F81" i="8"/>
  <c r="X81" i="8" s="1"/>
  <c r="E81" i="8"/>
  <c r="D81" i="8"/>
  <c r="C81" i="8"/>
  <c r="B81" i="8"/>
  <c r="V81" i="8" s="1"/>
  <c r="AA80" i="8"/>
  <c r="W80" i="8"/>
  <c r="V80" i="8"/>
  <c r="U80" i="8"/>
  <c r="T80" i="8"/>
  <c r="S80" i="8"/>
  <c r="R80" i="8"/>
  <c r="Q80" i="8"/>
  <c r="P80" i="8"/>
  <c r="O80" i="8"/>
  <c r="N80" i="8"/>
  <c r="M80" i="8"/>
  <c r="L80" i="8"/>
  <c r="K80" i="8"/>
  <c r="J80" i="8"/>
  <c r="Z80" i="8" s="1"/>
  <c r="I80" i="8"/>
  <c r="H80" i="8"/>
  <c r="Y80" i="8" s="1"/>
  <c r="G80" i="8"/>
  <c r="F80" i="8"/>
  <c r="X80" i="8" s="1"/>
  <c r="E80" i="8"/>
  <c r="D80" i="8"/>
  <c r="C80" i="8"/>
  <c r="B80" i="8"/>
  <c r="AA79" i="8"/>
  <c r="Y79" i="8"/>
  <c r="W79" i="8"/>
  <c r="U79" i="8"/>
  <c r="T79" i="8"/>
  <c r="S79" i="8"/>
  <c r="R79" i="8"/>
  <c r="Q79" i="8"/>
  <c r="P79" i="8"/>
  <c r="O79" i="8"/>
  <c r="N79" i="8"/>
  <c r="M79" i="8"/>
  <c r="L79" i="8"/>
  <c r="K79" i="8"/>
  <c r="J79" i="8"/>
  <c r="Z79" i="8" s="1"/>
  <c r="I79" i="8"/>
  <c r="H79" i="8"/>
  <c r="G79" i="8"/>
  <c r="X79" i="8" s="1"/>
  <c r="F79" i="8"/>
  <c r="E79" i="8"/>
  <c r="D79" i="8"/>
  <c r="C79" i="8"/>
  <c r="B79" i="8"/>
  <c r="V79" i="8" s="1"/>
  <c r="AA78" i="8"/>
  <c r="U78" i="8"/>
  <c r="T78" i="8"/>
  <c r="S78" i="8"/>
  <c r="R78" i="8"/>
  <c r="Q78" i="8"/>
  <c r="P78" i="8"/>
  <c r="O78" i="8"/>
  <c r="N78" i="8"/>
  <c r="M78" i="8"/>
  <c r="L78" i="8"/>
  <c r="K78" i="8"/>
  <c r="J78" i="8"/>
  <c r="Z78" i="8" s="1"/>
  <c r="I78" i="8"/>
  <c r="Y78" i="8" s="1"/>
  <c r="H78" i="8"/>
  <c r="G78" i="8"/>
  <c r="X78" i="8" s="1"/>
  <c r="F78" i="8"/>
  <c r="E78" i="8"/>
  <c r="D78" i="8"/>
  <c r="W78" i="8" s="1"/>
  <c r="C78" i="8"/>
  <c r="B78" i="8"/>
  <c r="V78" i="8" s="1"/>
  <c r="AA77" i="8"/>
  <c r="U77" i="8"/>
  <c r="T77" i="8"/>
  <c r="S77" i="8"/>
  <c r="R77" i="8"/>
  <c r="Q77" i="8"/>
  <c r="P77" i="8"/>
  <c r="O77" i="8"/>
  <c r="N77" i="8"/>
  <c r="M77" i="8"/>
  <c r="L77" i="8"/>
  <c r="K77" i="8"/>
  <c r="J77" i="8"/>
  <c r="Z77" i="8" s="1"/>
  <c r="I77" i="8"/>
  <c r="Y77" i="8" s="1"/>
  <c r="H77" i="8"/>
  <c r="G77" i="8"/>
  <c r="F77" i="8"/>
  <c r="X77" i="8" s="1"/>
  <c r="E77" i="8"/>
  <c r="D77" i="8"/>
  <c r="C77" i="8"/>
  <c r="B77" i="8"/>
  <c r="V77" i="8" s="1"/>
  <c r="AA76" i="8"/>
  <c r="W76" i="8"/>
  <c r="V76" i="8"/>
  <c r="U76" i="8"/>
  <c r="T76" i="8"/>
  <c r="S76" i="8"/>
  <c r="R76" i="8"/>
  <c r="Q76" i="8"/>
  <c r="P76" i="8"/>
  <c r="O76" i="8"/>
  <c r="N76" i="8"/>
  <c r="M76" i="8"/>
  <c r="L76" i="8"/>
  <c r="K76" i="8"/>
  <c r="J76" i="8"/>
  <c r="Z76" i="8" s="1"/>
  <c r="I76" i="8"/>
  <c r="H76" i="8"/>
  <c r="Y76" i="8" s="1"/>
  <c r="G76" i="8"/>
  <c r="F76" i="8"/>
  <c r="X76" i="8" s="1"/>
  <c r="E76" i="8"/>
  <c r="D76" i="8"/>
  <c r="C76" i="8"/>
  <c r="B76" i="8"/>
  <c r="AA75" i="8"/>
  <c r="Y75" i="8"/>
  <c r="W75" i="8"/>
  <c r="U75" i="8"/>
  <c r="T75" i="8"/>
  <c r="S75" i="8"/>
  <c r="R75" i="8"/>
  <c r="Q75" i="8"/>
  <c r="P75" i="8"/>
  <c r="O75" i="8"/>
  <c r="N75" i="8"/>
  <c r="M75" i="8"/>
  <c r="L75" i="8"/>
  <c r="K75" i="8"/>
  <c r="J75" i="8"/>
  <c r="Z75" i="8" s="1"/>
  <c r="I75" i="8"/>
  <c r="H75" i="8"/>
  <c r="G75" i="8"/>
  <c r="X75" i="8" s="1"/>
  <c r="F75" i="8"/>
  <c r="E75" i="8"/>
  <c r="D75" i="8"/>
  <c r="C75" i="8"/>
  <c r="B75" i="8"/>
  <c r="V75" i="8" s="1"/>
  <c r="AA74" i="8"/>
  <c r="U74" i="8"/>
  <c r="T74" i="8"/>
  <c r="S74" i="8"/>
  <c r="R74" i="8"/>
  <c r="Q74" i="8"/>
  <c r="P74" i="8"/>
  <c r="O74" i="8"/>
  <c r="N74" i="8"/>
  <c r="M74" i="8"/>
  <c r="L74" i="8"/>
  <c r="K74" i="8"/>
  <c r="J74" i="8"/>
  <c r="Z74" i="8" s="1"/>
  <c r="I74" i="8"/>
  <c r="Y74" i="8" s="1"/>
  <c r="H74" i="8"/>
  <c r="G74" i="8"/>
  <c r="X74" i="8" s="1"/>
  <c r="F74" i="8"/>
  <c r="E74" i="8"/>
  <c r="D74" i="8"/>
  <c r="W74" i="8" s="1"/>
  <c r="C74" i="8"/>
  <c r="B74" i="8"/>
  <c r="V74" i="8" s="1"/>
  <c r="AA73" i="8"/>
  <c r="U73" i="8"/>
  <c r="T73" i="8"/>
  <c r="S73" i="8"/>
  <c r="R73" i="8"/>
  <c r="Q73" i="8"/>
  <c r="P73" i="8"/>
  <c r="O73" i="8"/>
  <c r="N73" i="8"/>
  <c r="M73" i="8"/>
  <c r="L73" i="8"/>
  <c r="K73" i="8"/>
  <c r="J73" i="8"/>
  <c r="Z73" i="8" s="1"/>
  <c r="I73" i="8"/>
  <c r="Y73" i="8" s="1"/>
  <c r="H73" i="8"/>
  <c r="G73" i="8"/>
  <c r="F73" i="8"/>
  <c r="X73" i="8" s="1"/>
  <c r="E73" i="8"/>
  <c r="D73" i="8"/>
  <c r="C73" i="8"/>
  <c r="B73" i="8"/>
  <c r="V73" i="8" s="1"/>
  <c r="AA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Z72" i="8" s="1"/>
  <c r="I72" i="8"/>
  <c r="H72" i="8"/>
  <c r="Y72" i="8" s="1"/>
  <c r="G72" i="8"/>
  <c r="F72" i="8"/>
  <c r="X72" i="8" s="1"/>
  <c r="E72" i="8"/>
  <c r="D72" i="8"/>
  <c r="C72" i="8"/>
  <c r="B72" i="8"/>
  <c r="AA71" i="8"/>
  <c r="Y71" i="8"/>
  <c r="W71" i="8"/>
  <c r="U71" i="8"/>
  <c r="T71" i="8"/>
  <c r="S71" i="8"/>
  <c r="R71" i="8"/>
  <c r="Q71" i="8"/>
  <c r="P71" i="8"/>
  <c r="O71" i="8"/>
  <c r="N71" i="8"/>
  <c r="M71" i="8"/>
  <c r="L71" i="8"/>
  <c r="K71" i="8"/>
  <c r="J71" i="8"/>
  <c r="Z71" i="8" s="1"/>
  <c r="I71" i="8"/>
  <c r="H71" i="8"/>
  <c r="G71" i="8"/>
  <c r="X71" i="8" s="1"/>
  <c r="F71" i="8"/>
  <c r="E71" i="8"/>
  <c r="D71" i="8"/>
  <c r="C71" i="8"/>
  <c r="B71" i="8"/>
  <c r="V71" i="8" s="1"/>
  <c r="AA70" i="8"/>
  <c r="U70" i="8"/>
  <c r="T70" i="8"/>
  <c r="S70" i="8"/>
  <c r="R70" i="8"/>
  <c r="Q70" i="8"/>
  <c r="P70" i="8"/>
  <c r="O70" i="8"/>
  <c r="N70" i="8"/>
  <c r="M70" i="8"/>
  <c r="L70" i="8"/>
  <c r="K70" i="8"/>
  <c r="J70" i="8"/>
  <c r="Z70" i="8" s="1"/>
  <c r="I70" i="8"/>
  <c r="Y70" i="8" s="1"/>
  <c r="H70" i="8"/>
  <c r="G70" i="8"/>
  <c r="X70" i="8" s="1"/>
  <c r="F70" i="8"/>
  <c r="E70" i="8"/>
  <c r="D70" i="8"/>
  <c r="W70" i="8" s="1"/>
  <c r="C70" i="8"/>
  <c r="B70" i="8"/>
  <c r="V70" i="8" s="1"/>
  <c r="AA69" i="8"/>
  <c r="U69" i="8"/>
  <c r="T69" i="8"/>
  <c r="S69" i="8"/>
  <c r="R69" i="8"/>
  <c r="Q69" i="8"/>
  <c r="P69" i="8"/>
  <c r="O69" i="8"/>
  <c r="N69" i="8"/>
  <c r="M69" i="8"/>
  <c r="L69" i="8"/>
  <c r="K69" i="8"/>
  <c r="J69" i="8"/>
  <c r="Z69" i="8" s="1"/>
  <c r="I69" i="8"/>
  <c r="Y69" i="8" s="1"/>
  <c r="H69" i="8"/>
  <c r="G69" i="8"/>
  <c r="F69" i="8"/>
  <c r="X69" i="8" s="1"/>
  <c r="E69" i="8"/>
  <c r="D69" i="8"/>
  <c r="C69" i="8"/>
  <c r="B69" i="8"/>
  <c r="V69" i="8" s="1"/>
  <c r="AA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Z68" i="8" s="1"/>
  <c r="I68" i="8"/>
  <c r="H68" i="8"/>
  <c r="Y68" i="8" s="1"/>
  <c r="G68" i="8"/>
  <c r="F68" i="8"/>
  <c r="X68" i="8" s="1"/>
  <c r="E68" i="8"/>
  <c r="D68" i="8"/>
  <c r="C68" i="8"/>
  <c r="B68" i="8"/>
  <c r="AA67" i="8"/>
  <c r="Y67" i="8"/>
  <c r="W67" i="8"/>
  <c r="U67" i="8"/>
  <c r="T67" i="8"/>
  <c r="S67" i="8"/>
  <c r="R67" i="8"/>
  <c r="Q67" i="8"/>
  <c r="P67" i="8"/>
  <c r="O67" i="8"/>
  <c r="N67" i="8"/>
  <c r="M67" i="8"/>
  <c r="L67" i="8"/>
  <c r="K67" i="8"/>
  <c r="J67" i="8"/>
  <c r="Z67" i="8" s="1"/>
  <c r="I67" i="8"/>
  <c r="H67" i="8"/>
  <c r="G67" i="8"/>
  <c r="X67" i="8" s="1"/>
  <c r="F67" i="8"/>
  <c r="E67" i="8"/>
  <c r="D67" i="8"/>
  <c r="C67" i="8"/>
  <c r="B67" i="8"/>
  <c r="V67" i="8" s="1"/>
  <c r="AA66" i="8"/>
  <c r="U66" i="8"/>
  <c r="T66" i="8"/>
  <c r="S66" i="8"/>
  <c r="R66" i="8"/>
  <c r="Q66" i="8"/>
  <c r="P66" i="8"/>
  <c r="O66" i="8"/>
  <c r="N66" i="8"/>
  <c r="M66" i="8"/>
  <c r="L66" i="8"/>
  <c r="K66" i="8"/>
  <c r="J66" i="8"/>
  <c r="Z66" i="8" s="1"/>
  <c r="I66" i="8"/>
  <c r="Y66" i="8" s="1"/>
  <c r="H66" i="8"/>
  <c r="G66" i="8"/>
  <c r="X66" i="8" s="1"/>
  <c r="F66" i="8"/>
  <c r="E66" i="8"/>
  <c r="D66" i="8"/>
  <c r="W66" i="8" s="1"/>
  <c r="C66" i="8"/>
  <c r="B66" i="8"/>
  <c r="V66" i="8" s="1"/>
  <c r="AA65" i="8"/>
  <c r="U65" i="8"/>
  <c r="T65" i="8"/>
  <c r="S65" i="8"/>
  <c r="R65" i="8"/>
  <c r="Q65" i="8"/>
  <c r="P65" i="8"/>
  <c r="O65" i="8"/>
  <c r="N65" i="8"/>
  <c r="M65" i="8"/>
  <c r="L65" i="8"/>
  <c r="K65" i="8"/>
  <c r="J65" i="8"/>
  <c r="Z65" i="8" s="1"/>
  <c r="I65" i="8"/>
  <c r="Y65" i="8" s="1"/>
  <c r="H65" i="8"/>
  <c r="G65" i="8"/>
  <c r="F65" i="8"/>
  <c r="X65" i="8" s="1"/>
  <c r="E65" i="8"/>
  <c r="D65" i="8"/>
  <c r="C65" i="8"/>
  <c r="B65" i="8"/>
  <c r="V65" i="8" s="1"/>
  <c r="AA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Z64" i="8" s="1"/>
  <c r="I64" i="8"/>
  <c r="H64" i="8"/>
  <c r="Y64" i="8" s="1"/>
  <c r="G64" i="8"/>
  <c r="F64" i="8"/>
  <c r="X64" i="8" s="1"/>
  <c r="E64" i="8"/>
  <c r="D64" i="8"/>
  <c r="C64" i="8"/>
  <c r="B64" i="8"/>
  <c r="AA63" i="8"/>
  <c r="Y63" i="8"/>
  <c r="W63" i="8"/>
  <c r="U63" i="8"/>
  <c r="T63" i="8"/>
  <c r="S63" i="8"/>
  <c r="R63" i="8"/>
  <c r="Q63" i="8"/>
  <c r="P63" i="8"/>
  <c r="O63" i="8"/>
  <c r="N63" i="8"/>
  <c r="M63" i="8"/>
  <c r="L63" i="8"/>
  <c r="K63" i="8"/>
  <c r="J63" i="8"/>
  <c r="Z63" i="8" s="1"/>
  <c r="I63" i="8"/>
  <c r="H63" i="8"/>
  <c r="G63" i="8"/>
  <c r="X63" i="8" s="1"/>
  <c r="F63" i="8"/>
  <c r="E63" i="8"/>
  <c r="D63" i="8"/>
  <c r="C63" i="8"/>
  <c r="B63" i="8"/>
  <c r="V63" i="8" s="1"/>
  <c r="AA62" i="8"/>
  <c r="U62" i="8"/>
  <c r="T62" i="8"/>
  <c r="S62" i="8"/>
  <c r="R62" i="8"/>
  <c r="Q62" i="8"/>
  <c r="P62" i="8"/>
  <c r="O62" i="8"/>
  <c r="N62" i="8"/>
  <c r="M62" i="8"/>
  <c r="L62" i="8"/>
  <c r="K62" i="8"/>
  <c r="J62" i="8"/>
  <c r="Z62" i="8" s="1"/>
  <c r="I62" i="8"/>
  <c r="Y62" i="8" s="1"/>
  <c r="H62" i="8"/>
  <c r="G62" i="8"/>
  <c r="F62" i="8"/>
  <c r="X62" i="8" s="1"/>
  <c r="E62" i="8"/>
  <c r="D62" i="8"/>
  <c r="W62" i="8" s="1"/>
  <c r="C62" i="8"/>
  <c r="B62" i="8"/>
  <c r="V62" i="8" s="1"/>
  <c r="AA61" i="8"/>
  <c r="U61" i="8"/>
  <c r="T61" i="8"/>
  <c r="S61" i="8"/>
  <c r="R61" i="8"/>
  <c r="Q61" i="8"/>
  <c r="P61" i="8"/>
  <c r="O61" i="8"/>
  <c r="N61" i="8"/>
  <c r="M61" i="8"/>
  <c r="L61" i="8"/>
  <c r="K61" i="8"/>
  <c r="J61" i="8"/>
  <c r="Z61" i="8" s="1"/>
  <c r="I61" i="8"/>
  <c r="H61" i="8"/>
  <c r="Y61" i="8" s="1"/>
  <c r="G61" i="8"/>
  <c r="F61" i="8"/>
  <c r="X61" i="8" s="1"/>
  <c r="E61" i="8"/>
  <c r="D61" i="8"/>
  <c r="C61" i="8"/>
  <c r="B61" i="8"/>
  <c r="V61" i="8" s="1"/>
  <c r="AA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Z60" i="8" s="1"/>
  <c r="I60" i="8"/>
  <c r="H60" i="8"/>
  <c r="Y60" i="8" s="1"/>
  <c r="G60" i="8"/>
  <c r="F60" i="8"/>
  <c r="X60" i="8" s="1"/>
  <c r="E60" i="8"/>
  <c r="D60" i="8"/>
  <c r="C60" i="8"/>
  <c r="B60" i="8"/>
  <c r="AA59" i="8"/>
  <c r="Y59" i="8"/>
  <c r="W59" i="8"/>
  <c r="U59" i="8"/>
  <c r="T59" i="8"/>
  <c r="S59" i="8"/>
  <c r="R59" i="8"/>
  <c r="Q59" i="8"/>
  <c r="P59" i="8"/>
  <c r="O59" i="8"/>
  <c r="N59" i="8"/>
  <c r="M59" i="8"/>
  <c r="L59" i="8"/>
  <c r="K59" i="8"/>
  <c r="J59" i="8"/>
  <c r="Z59" i="8" s="1"/>
  <c r="I59" i="8"/>
  <c r="H59" i="8"/>
  <c r="G59" i="8"/>
  <c r="X59" i="8" s="1"/>
  <c r="F59" i="8"/>
  <c r="E59" i="8"/>
  <c r="D59" i="8"/>
  <c r="C59" i="8"/>
  <c r="B59" i="8"/>
  <c r="V59" i="8" s="1"/>
  <c r="AA58" i="8"/>
  <c r="U58" i="8"/>
  <c r="T58" i="8"/>
  <c r="S58" i="8"/>
  <c r="R58" i="8"/>
  <c r="Q58" i="8"/>
  <c r="P58" i="8"/>
  <c r="O58" i="8"/>
  <c r="N58" i="8"/>
  <c r="M58" i="8"/>
  <c r="L58" i="8"/>
  <c r="K58" i="8"/>
  <c r="J58" i="8"/>
  <c r="Z58" i="8" s="1"/>
  <c r="I58" i="8"/>
  <c r="Y58" i="8" s="1"/>
  <c r="H58" i="8"/>
  <c r="G58" i="8"/>
  <c r="F58" i="8"/>
  <c r="X58" i="8" s="1"/>
  <c r="E58" i="8"/>
  <c r="D58" i="8"/>
  <c r="W58" i="8" s="1"/>
  <c r="C58" i="8"/>
  <c r="B58" i="8"/>
  <c r="V58" i="8" s="1"/>
  <c r="AA57" i="8"/>
  <c r="U57" i="8"/>
  <c r="T57" i="8"/>
  <c r="S57" i="8"/>
  <c r="R57" i="8"/>
  <c r="Q57" i="8"/>
  <c r="P57" i="8"/>
  <c r="O57" i="8"/>
  <c r="N57" i="8"/>
  <c r="M57" i="8"/>
  <c r="L57" i="8"/>
  <c r="K57" i="8"/>
  <c r="J57" i="8"/>
  <c r="Z57" i="8" s="1"/>
  <c r="I57" i="8"/>
  <c r="H57" i="8"/>
  <c r="Y57" i="8" s="1"/>
  <c r="G57" i="8"/>
  <c r="F57" i="8"/>
  <c r="X57" i="8" s="1"/>
  <c r="E57" i="8"/>
  <c r="D57" i="8"/>
  <c r="C57" i="8"/>
  <c r="B57" i="8"/>
  <c r="V57" i="8" s="1"/>
  <c r="AA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Z56" i="8" s="1"/>
  <c r="I56" i="8"/>
  <c r="H56" i="8"/>
  <c r="Y56" i="8" s="1"/>
  <c r="G56" i="8"/>
  <c r="F56" i="8"/>
  <c r="X56" i="8" s="1"/>
  <c r="E56" i="8"/>
  <c r="D56" i="8"/>
  <c r="C56" i="8"/>
  <c r="B56" i="8"/>
  <c r="AA55" i="8"/>
  <c r="Y55" i="8"/>
  <c r="W55" i="8"/>
  <c r="U55" i="8"/>
  <c r="T55" i="8"/>
  <c r="S55" i="8"/>
  <c r="R55" i="8"/>
  <c r="Q55" i="8"/>
  <c r="P55" i="8"/>
  <c r="O55" i="8"/>
  <c r="N55" i="8"/>
  <c r="M55" i="8"/>
  <c r="L55" i="8"/>
  <c r="K55" i="8"/>
  <c r="J55" i="8"/>
  <c r="Z55" i="8" s="1"/>
  <c r="I55" i="8"/>
  <c r="H55" i="8"/>
  <c r="G55" i="8"/>
  <c r="X55" i="8" s="1"/>
  <c r="F55" i="8"/>
  <c r="E55" i="8"/>
  <c r="D55" i="8"/>
  <c r="C55" i="8"/>
  <c r="B55" i="8"/>
  <c r="V55" i="8" s="1"/>
  <c r="AA54" i="8"/>
  <c r="U54" i="8"/>
  <c r="T54" i="8"/>
  <c r="S54" i="8"/>
  <c r="R54" i="8"/>
  <c r="Q54" i="8"/>
  <c r="P54" i="8"/>
  <c r="O54" i="8"/>
  <c r="N54" i="8"/>
  <c r="M54" i="8"/>
  <c r="L54" i="8"/>
  <c r="K54" i="8"/>
  <c r="J54" i="8"/>
  <c r="Z54" i="8" s="1"/>
  <c r="I54" i="8"/>
  <c r="Y54" i="8" s="1"/>
  <c r="H54" i="8"/>
  <c r="G54" i="8"/>
  <c r="F54" i="8"/>
  <c r="X54" i="8" s="1"/>
  <c r="E54" i="8"/>
  <c r="D54" i="8"/>
  <c r="W54" i="8" s="1"/>
  <c r="C54" i="8"/>
  <c r="B54" i="8"/>
  <c r="V54" i="8" s="1"/>
  <c r="AA53" i="8"/>
  <c r="U53" i="8"/>
  <c r="T53" i="8"/>
  <c r="S53" i="8"/>
  <c r="R53" i="8"/>
  <c r="Q53" i="8"/>
  <c r="P53" i="8"/>
  <c r="O53" i="8"/>
  <c r="N53" i="8"/>
  <c r="M53" i="8"/>
  <c r="L53" i="8"/>
  <c r="K53" i="8"/>
  <c r="J53" i="8"/>
  <c r="Z53" i="8" s="1"/>
  <c r="I53" i="8"/>
  <c r="H53" i="8"/>
  <c r="Y53" i="8" s="1"/>
  <c r="G53" i="8"/>
  <c r="F53" i="8"/>
  <c r="X53" i="8" s="1"/>
  <c r="E53" i="8"/>
  <c r="D53" i="8"/>
  <c r="W53" i="8" s="1"/>
  <c r="C53" i="8"/>
  <c r="B53" i="8"/>
  <c r="V53" i="8" s="1"/>
  <c r="AA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Z52" i="8" s="1"/>
  <c r="I52" i="8"/>
  <c r="H52" i="8"/>
  <c r="Y52" i="8" s="1"/>
  <c r="G52" i="8"/>
  <c r="F52" i="8"/>
  <c r="X52" i="8" s="1"/>
  <c r="E52" i="8"/>
  <c r="D52" i="8"/>
  <c r="C52" i="8"/>
  <c r="B52" i="8"/>
  <c r="AA51" i="8"/>
  <c r="Y51" i="8"/>
  <c r="X51" i="8"/>
  <c r="W51" i="8"/>
  <c r="U51" i="8"/>
  <c r="T51" i="8"/>
  <c r="S51" i="8"/>
  <c r="R51" i="8"/>
  <c r="Q51" i="8"/>
  <c r="P51" i="8"/>
  <c r="O51" i="8"/>
  <c r="N51" i="8"/>
  <c r="M51" i="8"/>
  <c r="L51" i="8"/>
  <c r="K51" i="8"/>
  <c r="J51" i="8"/>
  <c r="Z51" i="8" s="1"/>
  <c r="I51" i="8"/>
  <c r="H51" i="8"/>
  <c r="G51" i="8"/>
  <c r="F51" i="8"/>
  <c r="E51" i="8"/>
  <c r="D51" i="8"/>
  <c r="C51" i="8"/>
  <c r="B51" i="8"/>
  <c r="V51" i="8" s="1"/>
  <c r="AA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Y50" i="8" s="1"/>
  <c r="H50" i="8"/>
  <c r="G50" i="8"/>
  <c r="F50" i="8"/>
  <c r="X50" i="8" s="1"/>
  <c r="E50" i="8"/>
  <c r="D50" i="8"/>
  <c r="W50" i="8" s="1"/>
  <c r="C50" i="8"/>
  <c r="B50" i="8"/>
  <c r="AA49" i="8"/>
  <c r="U49" i="8"/>
  <c r="T49" i="8"/>
  <c r="S49" i="8"/>
  <c r="R49" i="8"/>
  <c r="Q49" i="8"/>
  <c r="P49" i="8"/>
  <c r="O49" i="8"/>
  <c r="N49" i="8"/>
  <c r="M49" i="8"/>
  <c r="L49" i="8"/>
  <c r="K49" i="8"/>
  <c r="J49" i="8"/>
  <c r="Z49" i="8" s="1"/>
  <c r="I49" i="8"/>
  <c r="H49" i="8"/>
  <c r="Y49" i="8" s="1"/>
  <c r="G49" i="8"/>
  <c r="F49" i="8"/>
  <c r="X49" i="8" s="1"/>
  <c r="E49" i="8"/>
  <c r="D49" i="8"/>
  <c r="W49" i="8" s="1"/>
  <c r="C49" i="8"/>
  <c r="B49" i="8"/>
  <c r="V49" i="8" s="1"/>
  <c r="AA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Z48" i="8" s="1"/>
  <c r="I48" i="8"/>
  <c r="H48" i="8"/>
  <c r="Y48" i="8" s="1"/>
  <c r="G48" i="8"/>
  <c r="F48" i="8"/>
  <c r="E48" i="8"/>
  <c r="D48" i="8"/>
  <c r="C48" i="8"/>
  <c r="B48" i="8"/>
  <c r="AA47" i="8"/>
  <c r="W47" i="8"/>
  <c r="U47" i="8"/>
  <c r="T47" i="8"/>
  <c r="S47" i="8"/>
  <c r="R47" i="8"/>
  <c r="Q47" i="8"/>
  <c r="P47" i="8"/>
  <c r="O47" i="8"/>
  <c r="N47" i="8"/>
  <c r="M47" i="8"/>
  <c r="L47" i="8"/>
  <c r="K47" i="8"/>
  <c r="J47" i="8"/>
  <c r="Z47" i="8" s="1"/>
  <c r="I47" i="8"/>
  <c r="Y47" i="8" s="1"/>
  <c r="H47" i="8"/>
  <c r="G47" i="8"/>
  <c r="X47" i="8" s="1"/>
  <c r="F47" i="8"/>
  <c r="E47" i="8"/>
  <c r="D47" i="8"/>
  <c r="C47" i="8"/>
  <c r="B47" i="8"/>
  <c r="V47" i="8" s="1"/>
  <c r="AA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Y46" i="8" s="1"/>
  <c r="H46" i="8"/>
  <c r="G46" i="8"/>
  <c r="F46" i="8"/>
  <c r="X46" i="8" s="1"/>
  <c r="E46" i="8"/>
  <c r="D46" i="8"/>
  <c r="W46" i="8" s="1"/>
  <c r="C46" i="8"/>
  <c r="B46" i="8"/>
  <c r="AA45" i="8"/>
  <c r="U45" i="8"/>
  <c r="T45" i="8"/>
  <c r="S45" i="8"/>
  <c r="R45" i="8"/>
  <c r="Q45" i="8"/>
  <c r="P45" i="8"/>
  <c r="O45" i="8"/>
  <c r="N45" i="8"/>
  <c r="M45" i="8"/>
  <c r="L45" i="8"/>
  <c r="K45" i="8"/>
  <c r="J45" i="8"/>
  <c r="Z45" i="8" s="1"/>
  <c r="I45" i="8"/>
  <c r="H45" i="8"/>
  <c r="Y45" i="8" s="1"/>
  <c r="G45" i="8"/>
  <c r="F45" i="8"/>
  <c r="X45" i="8" s="1"/>
  <c r="E45" i="8"/>
  <c r="D45" i="8"/>
  <c r="W45" i="8" s="1"/>
  <c r="C45" i="8"/>
  <c r="V45" i="8" s="1"/>
  <c r="B45" i="8"/>
  <c r="AA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Y44" i="8" s="1"/>
  <c r="H44" i="8"/>
  <c r="G44" i="8"/>
  <c r="F44" i="8"/>
  <c r="X44" i="8" s="1"/>
  <c r="E44" i="8"/>
  <c r="W44" i="8" s="1"/>
  <c r="D44" i="8"/>
  <c r="C44" i="8"/>
  <c r="V44" i="8" s="1"/>
  <c r="B44" i="8"/>
  <c r="AA43" i="8"/>
  <c r="U43" i="8"/>
  <c r="T43" i="8"/>
  <c r="S43" i="8"/>
  <c r="R43" i="8"/>
  <c r="Q43" i="8"/>
  <c r="P43" i="8"/>
  <c r="O43" i="8"/>
  <c r="N43" i="8"/>
  <c r="M43" i="8"/>
  <c r="L43" i="8"/>
  <c r="K43" i="8"/>
  <c r="J43" i="8"/>
  <c r="Z43" i="8" s="1"/>
  <c r="I43" i="8"/>
  <c r="H43" i="8"/>
  <c r="Y43" i="8" s="1"/>
  <c r="G43" i="8"/>
  <c r="F43" i="8"/>
  <c r="X43" i="8" s="1"/>
  <c r="E43" i="8"/>
  <c r="D43" i="8"/>
  <c r="W43" i="8" s="1"/>
  <c r="C43" i="8"/>
  <c r="B43" i="8"/>
  <c r="V43" i="8" s="1"/>
  <c r="AA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Z42" i="8" s="1"/>
  <c r="I42" i="8"/>
  <c r="H42" i="8"/>
  <c r="Y42" i="8" s="1"/>
  <c r="G42" i="8"/>
  <c r="F42" i="8"/>
  <c r="X42" i="8" s="1"/>
  <c r="E42" i="8"/>
  <c r="D42" i="8"/>
  <c r="C42" i="8"/>
  <c r="B42" i="8"/>
  <c r="AA41" i="8"/>
  <c r="X41" i="8"/>
  <c r="U41" i="8"/>
  <c r="T41" i="8"/>
  <c r="S41" i="8"/>
  <c r="R41" i="8"/>
  <c r="Q41" i="8"/>
  <c r="P41" i="8"/>
  <c r="O41" i="8"/>
  <c r="N41" i="8"/>
  <c r="M41" i="8"/>
  <c r="L41" i="8"/>
  <c r="K41" i="8"/>
  <c r="J41" i="8"/>
  <c r="Z41" i="8" s="1"/>
  <c r="I41" i="8"/>
  <c r="H41" i="8"/>
  <c r="Y41" i="8" s="1"/>
  <c r="G41" i="8"/>
  <c r="F41" i="8"/>
  <c r="E41" i="8"/>
  <c r="D41" i="8"/>
  <c r="W41" i="8" s="1"/>
  <c r="C41" i="8"/>
  <c r="B41" i="8"/>
  <c r="V41" i="8" s="1"/>
  <c r="AA40" i="8"/>
  <c r="U40" i="8"/>
  <c r="T40" i="8"/>
  <c r="S40" i="8"/>
  <c r="R40" i="8"/>
  <c r="Q40" i="8"/>
  <c r="P40" i="8"/>
  <c r="O40" i="8"/>
  <c r="N40" i="8"/>
  <c r="M40" i="8"/>
  <c r="L40" i="8"/>
  <c r="K40" i="8"/>
  <c r="J40" i="8"/>
  <c r="Z40" i="8" s="1"/>
  <c r="I40" i="8"/>
  <c r="H40" i="8"/>
  <c r="Y40" i="8" s="1"/>
  <c r="G40" i="8"/>
  <c r="F40" i="8"/>
  <c r="X40" i="8" s="1"/>
  <c r="E40" i="8"/>
  <c r="D40" i="8"/>
  <c r="W40" i="8" s="1"/>
  <c r="C40" i="8"/>
  <c r="B40" i="8"/>
  <c r="V40" i="8" s="1"/>
  <c r="AA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Z39" i="8" s="1"/>
  <c r="I39" i="8"/>
  <c r="H39" i="8"/>
  <c r="Y39" i="8" s="1"/>
  <c r="G39" i="8"/>
  <c r="F39" i="8"/>
  <c r="X39" i="8" s="1"/>
  <c r="E39" i="8"/>
  <c r="D39" i="8"/>
  <c r="W39" i="8" s="1"/>
  <c r="C39" i="8"/>
  <c r="B39" i="8"/>
  <c r="AA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Z38" i="8" s="1"/>
  <c r="I38" i="8"/>
  <c r="H38" i="8"/>
  <c r="Y38" i="8" s="1"/>
  <c r="G38" i="8"/>
  <c r="F38" i="8"/>
  <c r="X38" i="8" s="1"/>
  <c r="E38" i="8"/>
  <c r="D38" i="8"/>
  <c r="C38" i="8"/>
  <c r="B38" i="8"/>
  <c r="AA37" i="8"/>
  <c r="X37" i="8"/>
  <c r="U37" i="8"/>
  <c r="T37" i="8"/>
  <c r="S37" i="8"/>
  <c r="R37" i="8"/>
  <c r="Q37" i="8"/>
  <c r="P37" i="8"/>
  <c r="O37" i="8"/>
  <c r="N37" i="8"/>
  <c r="M37" i="8"/>
  <c r="L37" i="8"/>
  <c r="K37" i="8"/>
  <c r="J37" i="8"/>
  <c r="Z37" i="8" s="1"/>
  <c r="I37" i="8"/>
  <c r="H37" i="8"/>
  <c r="Y37" i="8" s="1"/>
  <c r="G37" i="8"/>
  <c r="F37" i="8"/>
  <c r="E37" i="8"/>
  <c r="D37" i="8"/>
  <c r="W37" i="8" s="1"/>
  <c r="C37" i="8"/>
  <c r="B37" i="8"/>
  <c r="V37" i="8" s="1"/>
  <c r="AA36" i="8"/>
  <c r="U36" i="8"/>
  <c r="T36" i="8"/>
  <c r="S36" i="8"/>
  <c r="R36" i="8"/>
  <c r="Q36" i="8"/>
  <c r="P36" i="8"/>
  <c r="O36" i="8"/>
  <c r="N36" i="8"/>
  <c r="M36" i="8"/>
  <c r="L36" i="8"/>
  <c r="K36" i="8"/>
  <c r="J36" i="8"/>
  <c r="Z36" i="8" s="1"/>
  <c r="I36" i="8"/>
  <c r="H36" i="8"/>
  <c r="Y36" i="8" s="1"/>
  <c r="G36" i="8"/>
  <c r="F36" i="8"/>
  <c r="X36" i="8" s="1"/>
  <c r="E36" i="8"/>
  <c r="D36" i="8"/>
  <c r="W36" i="8" s="1"/>
  <c r="C36" i="8"/>
  <c r="B36" i="8"/>
  <c r="V36" i="8" s="1"/>
  <c r="AA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Z35" i="8" s="1"/>
  <c r="I35" i="8"/>
  <c r="H35" i="8"/>
  <c r="Y35" i="8" s="1"/>
  <c r="G35" i="8"/>
  <c r="F35" i="8"/>
  <c r="X35" i="8" s="1"/>
  <c r="E35" i="8"/>
  <c r="D35" i="8"/>
  <c r="W35" i="8" s="1"/>
  <c r="C35" i="8"/>
  <c r="B35" i="8"/>
  <c r="AA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Z34" i="8" s="1"/>
  <c r="I34" i="8"/>
  <c r="H34" i="8"/>
  <c r="Y34" i="8" s="1"/>
  <c r="G34" i="8"/>
  <c r="F34" i="8"/>
  <c r="X34" i="8" s="1"/>
  <c r="E34" i="8"/>
  <c r="D34" i="8"/>
  <c r="C34" i="8"/>
  <c r="B34" i="8"/>
  <c r="AA33" i="8"/>
  <c r="X33" i="8"/>
  <c r="U33" i="8"/>
  <c r="T33" i="8"/>
  <c r="S33" i="8"/>
  <c r="R33" i="8"/>
  <c r="Q33" i="8"/>
  <c r="P33" i="8"/>
  <c r="O33" i="8"/>
  <c r="N33" i="8"/>
  <c r="M33" i="8"/>
  <c r="L33" i="8"/>
  <c r="K33" i="8"/>
  <c r="J33" i="8"/>
  <c r="Z33" i="8" s="1"/>
  <c r="I33" i="8"/>
  <c r="H33" i="8"/>
  <c r="Y33" i="8" s="1"/>
  <c r="G33" i="8"/>
  <c r="F33" i="8"/>
  <c r="E33" i="8"/>
  <c r="D33" i="8"/>
  <c r="W33" i="8" s="1"/>
  <c r="C33" i="8"/>
  <c r="B33" i="8"/>
  <c r="V33" i="8" s="1"/>
  <c r="AA32" i="8"/>
  <c r="U32" i="8"/>
  <c r="T32" i="8"/>
  <c r="S32" i="8"/>
  <c r="R32" i="8"/>
  <c r="Q32" i="8"/>
  <c r="P32" i="8"/>
  <c r="O32" i="8"/>
  <c r="N32" i="8"/>
  <c r="M32" i="8"/>
  <c r="L32" i="8"/>
  <c r="K32" i="8"/>
  <c r="J32" i="8"/>
  <c r="Z32" i="8" s="1"/>
  <c r="I32" i="8"/>
  <c r="H32" i="8"/>
  <c r="Y32" i="8" s="1"/>
  <c r="G32" i="8"/>
  <c r="F32" i="8"/>
  <c r="X32" i="8" s="1"/>
  <c r="E32" i="8"/>
  <c r="D32" i="8"/>
  <c r="W32" i="8" s="1"/>
  <c r="C32" i="8"/>
  <c r="B32" i="8"/>
  <c r="V32" i="8" s="1"/>
  <c r="AA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Z31" i="8" s="1"/>
  <c r="I31" i="8"/>
  <c r="H31" i="8"/>
  <c r="Y31" i="8" s="1"/>
  <c r="G31" i="8"/>
  <c r="F31" i="8"/>
  <c r="X31" i="8" s="1"/>
  <c r="E31" i="8"/>
  <c r="D31" i="8"/>
  <c r="W31" i="8" s="1"/>
  <c r="C31" i="8"/>
  <c r="B31" i="8"/>
  <c r="AA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Z30" i="8" s="1"/>
  <c r="I30" i="8"/>
  <c r="H30" i="8"/>
  <c r="Y30" i="8" s="1"/>
  <c r="G30" i="8"/>
  <c r="F30" i="8"/>
  <c r="X30" i="8" s="1"/>
  <c r="E30" i="8"/>
  <c r="D30" i="8"/>
  <c r="C30" i="8"/>
  <c r="B30" i="8"/>
  <c r="AA29" i="8"/>
  <c r="X29" i="8"/>
  <c r="U29" i="8"/>
  <c r="T29" i="8"/>
  <c r="S29" i="8"/>
  <c r="R29" i="8"/>
  <c r="Q29" i="8"/>
  <c r="P29" i="8"/>
  <c r="O29" i="8"/>
  <c r="N29" i="8"/>
  <c r="M29" i="8"/>
  <c r="L29" i="8"/>
  <c r="K29" i="8"/>
  <c r="J29" i="8"/>
  <c r="Z29" i="8" s="1"/>
  <c r="I29" i="8"/>
  <c r="H29" i="8"/>
  <c r="Y29" i="8" s="1"/>
  <c r="G29" i="8"/>
  <c r="F29" i="8"/>
  <c r="E29" i="8"/>
  <c r="D29" i="8"/>
  <c r="W29" i="8" s="1"/>
  <c r="C29" i="8"/>
  <c r="B29" i="8"/>
  <c r="V29" i="8" s="1"/>
  <c r="AA28" i="8"/>
  <c r="U28" i="8"/>
  <c r="T28" i="8"/>
  <c r="S28" i="8"/>
  <c r="R28" i="8"/>
  <c r="Q28" i="8"/>
  <c r="P28" i="8"/>
  <c r="O28" i="8"/>
  <c r="N28" i="8"/>
  <c r="M28" i="8"/>
  <c r="L28" i="8"/>
  <c r="K28" i="8"/>
  <c r="J28" i="8"/>
  <c r="Z28" i="8" s="1"/>
  <c r="I28" i="8"/>
  <c r="H28" i="8"/>
  <c r="Y28" i="8" s="1"/>
  <c r="G28" i="8"/>
  <c r="F28" i="8"/>
  <c r="X28" i="8" s="1"/>
  <c r="E28" i="8"/>
  <c r="D28" i="8"/>
  <c r="W28" i="8" s="1"/>
  <c r="C28" i="8"/>
  <c r="B28" i="8"/>
  <c r="V28" i="8" s="1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AJ45" i="2"/>
  <c r="AK45" i="2" s="1"/>
  <c r="AF45" i="2"/>
  <c r="AG45" i="2" s="1"/>
  <c r="AB45" i="2"/>
  <c r="AC45" i="2" s="1"/>
  <c r="Y45" i="2"/>
  <c r="X45" i="2"/>
  <c r="T45" i="2"/>
  <c r="U45" i="2" s="1"/>
  <c r="P45" i="2"/>
  <c r="Q45" i="2" s="1"/>
  <c r="L45" i="2"/>
  <c r="M45" i="2" s="1"/>
  <c r="E45" i="2"/>
  <c r="D45" i="2"/>
  <c r="AJ44" i="2"/>
  <c r="AK44" i="2" s="1"/>
  <c r="AF44" i="2"/>
  <c r="AG44" i="2" s="1"/>
  <c r="AB44" i="2"/>
  <c r="AC44" i="2" s="1"/>
  <c r="Y44" i="2"/>
  <c r="X44" i="2"/>
  <c r="T44" i="2"/>
  <c r="U44" i="2" s="1"/>
  <c r="P44" i="2"/>
  <c r="Q44" i="2" s="1"/>
  <c r="L44" i="2"/>
  <c r="M44" i="2" s="1"/>
  <c r="E44" i="2"/>
  <c r="D44" i="2"/>
  <c r="AJ43" i="2"/>
  <c r="AK43" i="2" s="1"/>
  <c r="AF43" i="2"/>
  <c r="AG43" i="2" s="1"/>
  <c r="AB43" i="2"/>
  <c r="AC43" i="2" s="1"/>
  <c r="Y43" i="2"/>
  <c r="X43" i="2"/>
  <c r="T43" i="2"/>
  <c r="U43" i="2" s="1"/>
  <c r="P43" i="2"/>
  <c r="Q43" i="2" s="1"/>
  <c r="L43" i="2"/>
  <c r="M43" i="2" s="1"/>
  <c r="E43" i="2"/>
  <c r="D43" i="2"/>
  <c r="AJ40" i="2"/>
  <c r="AK40" i="2" s="1"/>
  <c r="AF40" i="2"/>
  <c r="AG40" i="2" s="1"/>
  <c r="AB40" i="2"/>
  <c r="AC40" i="2" s="1"/>
  <c r="Y40" i="2"/>
  <c r="X40" i="2"/>
  <c r="T40" i="2"/>
  <c r="U40" i="2" s="1"/>
  <c r="P40" i="2"/>
  <c r="Q40" i="2" s="1"/>
  <c r="L40" i="2"/>
  <c r="M40" i="2" s="1"/>
  <c r="E40" i="2"/>
  <c r="D40" i="2"/>
  <c r="AJ39" i="2"/>
  <c r="AK39" i="2" s="1"/>
  <c r="AF39" i="2"/>
  <c r="AG39" i="2" s="1"/>
  <c r="AB39" i="2"/>
  <c r="AC39" i="2" s="1"/>
  <c r="Y39" i="2"/>
  <c r="X39" i="2"/>
  <c r="T39" i="2"/>
  <c r="U39" i="2" s="1"/>
  <c r="P39" i="2"/>
  <c r="Q39" i="2" s="1"/>
  <c r="L39" i="2"/>
  <c r="M39" i="2" s="1"/>
  <c r="E39" i="2"/>
  <c r="D39" i="2"/>
  <c r="AJ38" i="2"/>
  <c r="AK38" i="2" s="1"/>
  <c r="AF38" i="2"/>
  <c r="AG38" i="2" s="1"/>
  <c r="AB38" i="2"/>
  <c r="AC38" i="2" s="1"/>
  <c r="Y38" i="2"/>
  <c r="X38" i="2"/>
  <c r="T38" i="2"/>
  <c r="U38" i="2" s="1"/>
  <c r="P38" i="2"/>
  <c r="Q38" i="2" s="1"/>
  <c r="L38" i="2"/>
  <c r="M38" i="2" s="1"/>
  <c r="E38" i="2"/>
  <c r="D38" i="2"/>
  <c r="AJ35" i="2"/>
  <c r="AK35" i="2" s="1"/>
  <c r="AF35" i="2"/>
  <c r="AG35" i="2" s="1"/>
  <c r="AB35" i="2"/>
  <c r="AC35" i="2" s="1"/>
  <c r="Y35" i="2"/>
  <c r="X35" i="2"/>
  <c r="T35" i="2"/>
  <c r="U35" i="2" s="1"/>
  <c r="P35" i="2"/>
  <c r="Q35" i="2" s="1"/>
  <c r="L35" i="2"/>
  <c r="M35" i="2" s="1"/>
  <c r="E35" i="2"/>
  <c r="D35" i="2"/>
  <c r="AJ34" i="2"/>
  <c r="AK34" i="2" s="1"/>
  <c r="AF34" i="2"/>
  <c r="AG34" i="2" s="1"/>
  <c r="AB34" i="2"/>
  <c r="AC34" i="2" s="1"/>
  <c r="Y34" i="2"/>
  <c r="X34" i="2"/>
  <c r="T34" i="2"/>
  <c r="U34" i="2" s="1"/>
  <c r="P34" i="2"/>
  <c r="Q34" i="2" s="1"/>
  <c r="L34" i="2"/>
  <c r="M34" i="2" s="1"/>
  <c r="E34" i="2"/>
  <c r="D34" i="2"/>
  <c r="AJ33" i="2"/>
  <c r="AK33" i="2" s="1"/>
  <c r="AF33" i="2"/>
  <c r="AG33" i="2" s="1"/>
  <c r="AB33" i="2"/>
  <c r="AC33" i="2" s="1"/>
  <c r="Y33" i="2"/>
  <c r="X33" i="2"/>
  <c r="T33" i="2"/>
  <c r="U33" i="2" s="1"/>
  <c r="P33" i="2"/>
  <c r="Q33" i="2" s="1"/>
  <c r="L33" i="2"/>
  <c r="M33" i="2" s="1"/>
  <c r="E33" i="2"/>
  <c r="D33" i="2"/>
  <c r="AJ30" i="2"/>
  <c r="AK30" i="2" s="1"/>
  <c r="AF30" i="2"/>
  <c r="AG30" i="2" s="1"/>
  <c r="AB30" i="2"/>
  <c r="AC30" i="2" s="1"/>
  <c r="Y30" i="2"/>
  <c r="X30" i="2"/>
  <c r="T30" i="2"/>
  <c r="U30" i="2" s="1"/>
  <c r="P30" i="2"/>
  <c r="Q30" i="2" s="1"/>
  <c r="L30" i="2"/>
  <c r="M30" i="2" s="1"/>
  <c r="E30" i="2"/>
  <c r="D30" i="2"/>
  <c r="AJ29" i="2"/>
  <c r="AK29" i="2" s="1"/>
  <c r="AF29" i="2"/>
  <c r="AG29" i="2" s="1"/>
  <c r="AB29" i="2"/>
  <c r="AC29" i="2" s="1"/>
  <c r="Y29" i="2"/>
  <c r="X29" i="2"/>
  <c r="T29" i="2"/>
  <c r="U29" i="2" s="1"/>
  <c r="P29" i="2"/>
  <c r="Q29" i="2" s="1"/>
  <c r="L29" i="2"/>
  <c r="M29" i="2" s="1"/>
  <c r="E29" i="2"/>
  <c r="D29" i="2"/>
  <c r="AJ28" i="2"/>
  <c r="AK28" i="2" s="1"/>
  <c r="AF28" i="2"/>
  <c r="AG28" i="2" s="1"/>
  <c r="AB28" i="2"/>
  <c r="AC28" i="2" s="1"/>
  <c r="Y28" i="2"/>
  <c r="X28" i="2"/>
  <c r="T28" i="2"/>
  <c r="U28" i="2" s="1"/>
  <c r="P28" i="2"/>
  <c r="Q28" i="2" s="1"/>
  <c r="L28" i="2"/>
  <c r="M28" i="2" s="1"/>
  <c r="E28" i="2"/>
  <c r="D28" i="2"/>
  <c r="AJ25" i="2"/>
  <c r="AK25" i="2" s="1"/>
  <c r="AF25" i="2"/>
  <c r="AG25" i="2" s="1"/>
  <c r="AB25" i="2"/>
  <c r="AC25" i="2" s="1"/>
  <c r="Y25" i="2"/>
  <c r="X25" i="2"/>
  <c r="T25" i="2"/>
  <c r="U25" i="2" s="1"/>
  <c r="P25" i="2"/>
  <c r="Q25" i="2" s="1"/>
  <c r="L25" i="2"/>
  <c r="M25" i="2" s="1"/>
  <c r="D25" i="2"/>
  <c r="E25" i="2" s="1"/>
  <c r="AJ24" i="2"/>
  <c r="AK24" i="2" s="1"/>
  <c r="AF24" i="2"/>
  <c r="AG24" i="2" s="1"/>
  <c r="AB24" i="2"/>
  <c r="AC24" i="2" s="1"/>
  <c r="X24" i="2"/>
  <c r="Y24" i="2" s="1"/>
  <c r="U24" i="2"/>
  <c r="T24" i="2"/>
  <c r="P24" i="2"/>
  <c r="Q24" i="2" s="1"/>
  <c r="L24" i="2"/>
  <c r="M24" i="2" s="1"/>
  <c r="D24" i="2"/>
  <c r="E24" i="2" s="1"/>
  <c r="AJ23" i="2"/>
  <c r="AK23" i="2" s="1"/>
  <c r="AG23" i="2"/>
  <c r="AF23" i="2"/>
  <c r="AB23" i="2"/>
  <c r="AC23" i="2" s="1"/>
  <c r="X23" i="2"/>
  <c r="Y23" i="2" s="1"/>
  <c r="T23" i="2"/>
  <c r="U23" i="2" s="1"/>
  <c r="Q23" i="2"/>
  <c r="P23" i="2"/>
  <c r="L23" i="2"/>
  <c r="M23" i="2" s="1"/>
  <c r="D23" i="2"/>
  <c r="E23" i="2" s="1"/>
  <c r="AJ20" i="2"/>
  <c r="AK20" i="2" s="1"/>
  <c r="AG20" i="2"/>
  <c r="AF20" i="2"/>
  <c r="AB20" i="2"/>
  <c r="AC20" i="2" s="1"/>
  <c r="X20" i="2"/>
  <c r="Y20" i="2" s="1"/>
  <c r="T20" i="2"/>
  <c r="U20" i="2" s="1"/>
  <c r="Q20" i="2"/>
  <c r="P20" i="2"/>
  <c r="L20" i="2"/>
  <c r="M20" i="2" s="1"/>
  <c r="D20" i="2"/>
  <c r="E20" i="2" s="1"/>
  <c r="AJ19" i="2"/>
  <c r="AK19" i="2" s="1"/>
  <c r="AG19" i="2"/>
  <c r="AF19" i="2"/>
  <c r="AB19" i="2"/>
  <c r="AC19" i="2" s="1"/>
  <c r="X19" i="2"/>
  <c r="Y19" i="2" s="1"/>
  <c r="T19" i="2"/>
  <c r="U19" i="2" s="1"/>
  <c r="Q19" i="2"/>
  <c r="P19" i="2"/>
  <c r="L19" i="2"/>
  <c r="M19" i="2" s="1"/>
  <c r="D19" i="2"/>
  <c r="E19" i="2" s="1"/>
  <c r="AJ18" i="2"/>
  <c r="AK18" i="2" s="1"/>
  <c r="AG18" i="2"/>
  <c r="AF18" i="2"/>
  <c r="AB18" i="2"/>
  <c r="AC18" i="2" s="1"/>
  <c r="X18" i="2"/>
  <c r="Y18" i="2" s="1"/>
  <c r="T18" i="2"/>
  <c r="U18" i="2" s="1"/>
  <c r="Q18" i="2"/>
  <c r="P18" i="2"/>
  <c r="L18" i="2"/>
  <c r="M18" i="2" s="1"/>
  <c r="D18" i="2"/>
  <c r="E18" i="2" s="1"/>
  <c r="AJ15" i="2"/>
  <c r="AK15" i="2" s="1"/>
  <c r="AG15" i="2"/>
  <c r="AF15" i="2"/>
  <c r="AB15" i="2"/>
  <c r="AC15" i="2" s="1"/>
  <c r="X15" i="2"/>
  <c r="Y15" i="2" s="1"/>
  <c r="T15" i="2"/>
  <c r="U15" i="2" s="1"/>
  <c r="Q15" i="2"/>
  <c r="P15" i="2"/>
  <c r="L15" i="2"/>
  <c r="M15" i="2" s="1"/>
  <c r="D15" i="2"/>
  <c r="E15" i="2" s="1"/>
  <c r="AJ14" i="2"/>
  <c r="AK14" i="2" s="1"/>
  <c r="AG14" i="2"/>
  <c r="AF14" i="2"/>
  <c r="AB14" i="2"/>
  <c r="AC14" i="2" s="1"/>
  <c r="X14" i="2"/>
  <c r="Y14" i="2" s="1"/>
  <c r="T14" i="2"/>
  <c r="U14" i="2" s="1"/>
  <c r="Q14" i="2"/>
  <c r="P14" i="2"/>
  <c r="L14" i="2"/>
  <c r="M14" i="2" s="1"/>
  <c r="D14" i="2"/>
  <c r="E14" i="2" s="1"/>
  <c r="AJ13" i="2"/>
  <c r="AK13" i="2" s="1"/>
  <c r="AG13" i="2"/>
  <c r="AF13" i="2"/>
  <c r="AB13" i="2"/>
  <c r="AC13" i="2" s="1"/>
  <c r="X13" i="2"/>
  <c r="Y13" i="2" s="1"/>
  <c r="T13" i="2"/>
  <c r="U13" i="2" s="1"/>
  <c r="Q13" i="2"/>
  <c r="P13" i="2"/>
  <c r="L13" i="2"/>
  <c r="M13" i="2" s="1"/>
  <c r="D13" i="2"/>
  <c r="E13" i="2" s="1"/>
  <c r="J11" i="2"/>
  <c r="H11" i="2"/>
  <c r="AK10" i="2"/>
  <c r="AJ10" i="2"/>
  <c r="AF10" i="2"/>
  <c r="AG10" i="2" s="1"/>
  <c r="AB10" i="2"/>
  <c r="AC10" i="2" s="1"/>
  <c r="X10" i="2"/>
  <c r="Y10" i="2" s="1"/>
  <c r="U10" i="2"/>
  <c r="T10" i="2"/>
  <c r="P10" i="2"/>
  <c r="Q10" i="2" s="1"/>
  <c r="L10" i="2"/>
  <c r="M10" i="2" s="1"/>
  <c r="J10" i="2"/>
  <c r="H10" i="2"/>
  <c r="E10" i="2"/>
  <c r="D10" i="2"/>
  <c r="AJ9" i="2"/>
  <c r="AK9" i="2" s="1"/>
  <c r="AF9" i="2"/>
  <c r="AG9" i="2" s="1"/>
  <c r="AB9" i="2"/>
  <c r="AC9" i="2" s="1"/>
  <c r="Y9" i="2"/>
  <c r="X9" i="2"/>
  <c r="T9" i="2"/>
  <c r="U9" i="2" s="1"/>
  <c r="P9" i="2"/>
  <c r="Q9" i="2" s="1"/>
  <c r="L9" i="2"/>
  <c r="M9" i="2" s="1"/>
  <c r="J9" i="2"/>
  <c r="H9" i="2"/>
  <c r="D9" i="2"/>
  <c r="E9" i="2" s="1"/>
  <c r="AJ8" i="2"/>
  <c r="AK8" i="2" s="1"/>
  <c r="AF8" i="2"/>
  <c r="AG8" i="2" s="1"/>
  <c r="AC8" i="2"/>
  <c r="AB8" i="2"/>
  <c r="X8" i="2"/>
  <c r="Y8" i="2" s="1"/>
  <c r="T8" i="2"/>
  <c r="U8" i="2" s="1"/>
  <c r="P8" i="2"/>
  <c r="Q8" i="2" s="1"/>
  <c r="M8" i="2"/>
  <c r="L8" i="2"/>
  <c r="J8" i="2"/>
  <c r="H8" i="2"/>
  <c r="D8" i="2"/>
  <c r="E8" i="2" s="1"/>
  <c r="J7" i="2"/>
  <c r="H7" i="2"/>
  <c r="J6" i="2"/>
  <c r="H6" i="2"/>
  <c r="AJ5" i="2"/>
  <c r="AK5" i="2" s="1"/>
  <c r="AF5" i="2"/>
  <c r="AG5" i="2" s="1"/>
  <c r="AB5" i="2"/>
  <c r="AC5" i="2" s="1"/>
  <c r="Y5" i="2"/>
  <c r="X5" i="2"/>
  <c r="T5" i="2"/>
  <c r="U5" i="2" s="1"/>
  <c r="P5" i="2"/>
  <c r="Q5" i="2" s="1"/>
  <c r="L5" i="2"/>
  <c r="M5" i="2" s="1"/>
  <c r="J5" i="2"/>
  <c r="H5" i="2"/>
  <c r="D5" i="2"/>
  <c r="E5" i="2" s="1"/>
  <c r="AJ4" i="2"/>
  <c r="AK4" i="2" s="1"/>
  <c r="AF4" i="2"/>
  <c r="AG4" i="2" s="1"/>
  <c r="AC4" i="2"/>
  <c r="AB4" i="2"/>
  <c r="X4" i="2"/>
  <c r="Y4" i="2" s="1"/>
  <c r="T4" i="2"/>
  <c r="U4" i="2" s="1"/>
  <c r="P4" i="2"/>
  <c r="Q4" i="2" s="1"/>
  <c r="M4" i="2"/>
  <c r="L4" i="2"/>
  <c r="J4" i="2"/>
  <c r="H4" i="2"/>
  <c r="D4" i="2"/>
  <c r="E4" i="2" s="1"/>
  <c r="AJ3" i="2"/>
  <c r="AK3" i="2" s="1"/>
  <c r="AG3" i="2"/>
  <c r="AF3" i="2"/>
  <c r="AB3" i="2"/>
  <c r="AC3" i="2" s="1"/>
  <c r="X3" i="2"/>
  <c r="Y3" i="2" s="1"/>
  <c r="T3" i="2"/>
  <c r="U3" i="2" s="1"/>
  <c r="P3" i="2"/>
  <c r="Q3" i="2" s="1"/>
  <c r="Q47" i="2" s="1"/>
  <c r="L3" i="2"/>
  <c r="M3" i="2" s="1"/>
  <c r="M47" i="2" s="1"/>
  <c r="J3" i="2"/>
  <c r="H3" i="2"/>
  <c r="D3" i="2"/>
  <c r="E3" i="2" s="1"/>
  <c r="AK47" i="2" l="1"/>
  <c r="U47" i="2"/>
  <c r="Y47" i="2"/>
  <c r="E47" i="2"/>
  <c r="AC47" i="2"/>
  <c r="AG47" i="2"/>
  <c r="W57" i="8"/>
  <c r="W61" i="8"/>
  <c r="W65" i="8"/>
  <c r="W69" i="8"/>
  <c r="W73" i="8"/>
  <c r="W77" i="8"/>
  <c r="W81" i="8"/>
  <c r="V90" i="8"/>
  <c r="Z90" i="8"/>
  <c r="V106" i="8"/>
  <c r="Z106" i="8"/>
  <c r="X128" i="8"/>
  <c r="W32" i="9"/>
  <c r="V46" i="8"/>
  <c r="Z46" i="8"/>
  <c r="X48" i="8"/>
  <c r="V50" i="8"/>
  <c r="Z50" i="8"/>
  <c r="V86" i="8"/>
  <c r="Z86" i="8"/>
  <c r="Z44" i="8"/>
  <c r="V98" i="8"/>
  <c r="Z98" i="8"/>
  <c r="W40" i="9"/>
  <c r="Z50" i="9"/>
  <c r="X48" i="9"/>
  <c r="V47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<sst xmlns="http://schemas.openxmlformats.org/spreadsheetml/2006/main" count="1616" uniqueCount="371">
  <si>
    <t>Edad</t>
  </si>
  <si>
    <t>Pais</t>
  </si>
  <si>
    <t>F0</t>
  </si>
  <si>
    <t>F1</t>
  </si>
  <si>
    <t>F2</t>
  </si>
  <si>
    <t>F3</t>
  </si>
  <si>
    <t>CC</t>
  </si>
  <si>
    <t>Costos</t>
  </si>
  <si>
    <t>4WeekDAA</t>
  </si>
  <si>
    <t>DxHCV</t>
  </si>
  <si>
    <t>Assesment</t>
  </si>
  <si>
    <t>F0-f2</t>
  </si>
  <si>
    <t>f3</t>
  </si>
  <si>
    <t>DC</t>
  </si>
  <si>
    <t>LC</t>
  </si>
  <si>
    <t>G1</t>
  </si>
  <si>
    <t>G2</t>
  </si>
  <si>
    <t>G3</t>
  </si>
  <si>
    <t>O</t>
  </si>
  <si>
    <t>TABLA POR AÑO</t>
  </si>
  <si>
    <t>REPORTE</t>
  </si>
  <si>
    <t>AB</t>
  </si>
  <si>
    <t>AC</t>
  </si>
  <si>
    <t>E</t>
  </si>
  <si>
    <t>AD</t>
  </si>
  <si>
    <t>OLD_INDIA B</t>
  </si>
  <si>
    <t>OLD_INDIA V</t>
  </si>
  <si>
    <t>INDIA_B</t>
  </si>
  <si>
    <t>B</t>
  </si>
  <si>
    <t>LDR cada 10.000</t>
  </si>
  <si>
    <t>DC  cada 10.000</t>
  </si>
  <si>
    <t>HCC cada 10.000</t>
  </si>
  <si>
    <t>LDR:</t>
  </si>
  <si>
    <t>DC:</t>
  </si>
  <si>
    <t>HCC:</t>
  </si>
  <si>
    <t>CICLO</t>
  </si>
  <si>
    <t>AÑO</t>
  </si>
  <si>
    <t>F4</t>
  </si>
  <si>
    <t>DC1</t>
  </si>
  <si>
    <t>HCC</t>
  </si>
  <si>
    <t>LDR</t>
  </si>
  <si>
    <t>BM</t>
  </si>
  <si>
    <t>TOTAL</t>
  </si>
  <si>
    <t>Dim2</t>
  </si>
  <si>
    <t>First Tooltip</t>
  </si>
  <si>
    <t>&lt;1 year</t>
  </si>
  <si>
    <t>1-4 years</t>
  </si>
  <si>
    <t>5-9 years</t>
  </si>
  <si>
    <t>10-14 years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</si>
  <si>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</si>
  <si>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</si>
  <si>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</si>
  <si>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</si>
  <si>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</si>
  <si>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</si>
  <si>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</si>
  <si>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</si>
  <si>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</si>
  <si>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</si>
  <si>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65-69 years</t>
  </si>
  <si>
    <t>70-74 years</t>
  </si>
  <si>
    <t>75-79 years</t>
  </si>
  <si>
    <t>80-84 years</t>
  </si>
  <si>
    <t>85+ years</t>
  </si>
  <si>
    <t>HOMBRE</t>
  </si>
  <si>
    <t>MUJER</t>
  </si>
  <si>
    <t>M</t>
  </si>
  <si>
    <t>F</t>
  </si>
  <si>
    <t>Promedio 2019</t>
  </si>
  <si>
    <t>Promedio 2015</t>
  </si>
  <si>
    <t>Promedio 2010</t>
  </si>
  <si>
    <t>Promedio 2005</t>
  </si>
  <si>
    <t>Promedio 2000</t>
  </si>
  <si>
    <t>Promedio P 2019</t>
  </si>
  <si>
    <t>Promedio P 2015</t>
  </si>
  <si>
    <t>Promedio P 2010</t>
  </si>
  <si>
    <t>Promedio P 2005</t>
  </si>
  <si>
    <t>Promedio P 2000</t>
  </si>
  <si>
    <t>SEXO 2019</t>
  </si>
  <si>
    <t>Costo sin tratameitno:</t>
  </si>
  <si>
    <t>India</t>
  </si>
  <si>
    <t>ModMR_0</t>
  </si>
  <si>
    <t>ModMR_1</t>
  </si>
  <si>
    <t>ModMR_2</t>
  </si>
  <si>
    <t>ModMR_3</t>
  </si>
  <si>
    <t>ModMR_4</t>
  </si>
  <si>
    <t>ModMR_5</t>
  </si>
  <si>
    <t>ModMR_6</t>
  </si>
  <si>
    <t>ModMR_7</t>
  </si>
  <si>
    <t>ModMR_8</t>
  </si>
  <si>
    <t>ModMR_9</t>
  </si>
  <si>
    <t>ModMR_10</t>
  </si>
  <si>
    <t>ModMR_11</t>
  </si>
  <si>
    <t>ModMR_12</t>
  </si>
  <si>
    <t>ModMR_13</t>
  </si>
  <si>
    <t>ModMR_14</t>
  </si>
  <si>
    <t>ModMR_15</t>
  </si>
  <si>
    <t>ModMR_16</t>
  </si>
  <si>
    <t>ModMR_17</t>
  </si>
  <si>
    <t>ModMR_18</t>
  </si>
  <si>
    <t>ModMR_19</t>
  </si>
  <si>
    <t>ModMR_20</t>
  </si>
  <si>
    <t>ModMR_21</t>
  </si>
  <si>
    <t>ModMR_22</t>
  </si>
  <si>
    <t>ModMR_23</t>
  </si>
  <si>
    <t>ModMR_24</t>
  </si>
  <si>
    <t>ModMR_25</t>
  </si>
  <si>
    <t>ModMR_26</t>
  </si>
  <si>
    <t>ModMR_27</t>
  </si>
  <si>
    <t>ModMR_28</t>
  </si>
  <si>
    <t>ModMR_29</t>
  </si>
  <si>
    <t>ModMR_30</t>
  </si>
  <si>
    <t>ModMR_31</t>
  </si>
  <si>
    <t>ModMR_32</t>
  </si>
  <si>
    <t>ModMR_33</t>
  </si>
  <si>
    <t>ModMR_34</t>
  </si>
  <si>
    <t>ModMR_35</t>
  </si>
  <si>
    <t>ModMR_36</t>
  </si>
  <si>
    <t>ModMR_37</t>
  </si>
  <si>
    <t>ModMR_38</t>
  </si>
  <si>
    <t>ModMR_39</t>
  </si>
  <si>
    <t>ModMR_40</t>
  </si>
  <si>
    <t>ModMR_41</t>
  </si>
  <si>
    <t>ModMR_42</t>
  </si>
  <si>
    <t>ModMR_43</t>
  </si>
  <si>
    <t>ModMR_44</t>
  </si>
  <si>
    <t>ModMR_45</t>
  </si>
  <si>
    <t>ModMR_46</t>
  </si>
  <si>
    <t>ModMR_47</t>
  </si>
  <si>
    <t>ModMR_48</t>
  </si>
  <si>
    <t>ModMR_49</t>
  </si>
  <si>
    <t>ModMR_50</t>
  </si>
  <si>
    <t>ModMR_51</t>
  </si>
  <si>
    <t>ModMR_52</t>
  </si>
  <si>
    <t>ModMR_53</t>
  </si>
  <si>
    <t>ModMR_54</t>
  </si>
  <si>
    <t>ModMR_55</t>
  </si>
  <si>
    <t>ModMR_56</t>
  </si>
  <si>
    <t>ModMR_57</t>
  </si>
  <si>
    <t>ModMR_58</t>
  </si>
  <si>
    <t>ModMR_59</t>
  </si>
  <si>
    <t>ModMR_60</t>
  </si>
  <si>
    <t>ModMR_61</t>
  </si>
  <si>
    <t>ModMR_62</t>
  </si>
  <si>
    <t>ModMR_63</t>
  </si>
  <si>
    <t>ModMR_64</t>
  </si>
  <si>
    <t>ModMR_65</t>
  </si>
  <si>
    <t>ModMR_66</t>
  </si>
  <si>
    <t>ModMR_67</t>
  </si>
  <si>
    <t>ModMR_68</t>
  </si>
  <si>
    <t>ModMR_69</t>
  </si>
  <si>
    <t>ModMR_70</t>
  </si>
  <si>
    <t>ModMR_71</t>
  </si>
  <si>
    <t>ModMR_72</t>
  </si>
  <si>
    <t>ModMR_73</t>
  </si>
  <si>
    <t>ModMR_74</t>
  </si>
  <si>
    <t>ModMR_75</t>
  </si>
  <si>
    <t>ModMR_76</t>
  </si>
  <si>
    <t>ModMR_77</t>
  </si>
  <si>
    <t>ModMR_78</t>
  </si>
  <si>
    <t>ModMR_79</t>
  </si>
  <si>
    <t>ModMR_80</t>
  </si>
  <si>
    <t>ModMR_81</t>
  </si>
  <si>
    <t>ModMR_82</t>
  </si>
  <si>
    <t>ModMR_83</t>
  </si>
  <si>
    <t>ModMR_84</t>
  </si>
  <si>
    <t>ModMR_85</t>
  </si>
  <si>
    <t>ModMR_86</t>
  </si>
  <si>
    <t>ModMR_87</t>
  </si>
  <si>
    <t>ModMR_88</t>
  </si>
  <si>
    <t>ModMR_89</t>
  </si>
  <si>
    <t>ModMR_90</t>
  </si>
  <si>
    <t>ModMR_91</t>
  </si>
  <si>
    <t>ModMR_92</t>
  </si>
  <si>
    <t>ModMR_93</t>
  </si>
  <si>
    <t>ModMR_94</t>
  </si>
  <si>
    <t>ModMR_95</t>
  </si>
  <si>
    <t>ModMR_96</t>
  </si>
  <si>
    <t>ModMR_97</t>
  </si>
  <si>
    <t>ModMR_98</t>
  </si>
  <si>
    <t>ModMR_99</t>
  </si>
  <si>
    <t>ModMR_100</t>
  </si>
  <si>
    <t>Male</t>
  </si>
  <si>
    <t>Female</t>
  </si>
  <si>
    <t>Age Group</t>
  </si>
  <si>
    <t>Both sexes</t>
  </si>
  <si>
    <t>No fibrosis</t>
  </si>
  <si>
    <t>Fibrosis portal sin septos</t>
  </si>
  <si>
    <t>Fibrosis portal con algunos septos</t>
  </si>
  <si>
    <t>Numerosos Septos sin fibrosis</t>
  </si>
  <si>
    <t>Cirrosis</t>
  </si>
  <si>
    <t>Modelo MATCH</t>
  </si>
  <si>
    <t>Uno selecciona los años de la población, al seleccionar pais se sabe la distribución del genotipo y una distribución de estado de fibrosis incial que se toma del polarisobservatory pero el usuario puede modificar la frecuencia de fibrosis mas no asi la distribución del genotipo.</t>
  </si>
  <si>
    <t>La duración del tratamiento, el esquema y la efectividad dependen del genotipo y el estado de fibrosis. Se estipula que son pacientes sin tratamiento previo</t>
  </si>
  <si>
    <t>Los pacientes empiezan en los estados F0-F4 y al terminar cada ciclo pueden quedarse igual, morir de background mortality o progresar.</t>
  </si>
  <si>
    <t>F0-F3 con SVR se asumen curados y solo tienen BM.</t>
  </si>
  <si>
    <t>En F4 con SVR pueden progresar.</t>
  </si>
  <si>
    <t>SUM_DIST:</t>
  </si>
  <si>
    <t>MR70</t>
  </si>
  <si>
    <t>MR75</t>
  </si>
  <si>
    <t>MR80</t>
  </si>
  <si>
    <t>MR30</t>
  </si>
  <si>
    <t>MR35</t>
  </si>
  <si>
    <t>MR40</t>
  </si>
  <si>
    <t>MR45</t>
  </si>
  <si>
    <t>MR50</t>
  </si>
  <si>
    <t>MR55</t>
  </si>
  <si>
    <t>MR60</t>
  </si>
  <si>
    <t>MR65</t>
  </si>
  <si>
    <t>MR85</t>
  </si>
  <si>
    <t>Estado Inicial</t>
  </si>
  <si>
    <t>Estado Final</t>
  </si>
  <si>
    <t>Probabilidad</t>
  </si>
  <si>
    <t>Background Mortality</t>
  </si>
  <si>
    <t>Pais:</t>
  </si>
  <si>
    <t>Parametro</t>
  </si>
  <si>
    <t>Valor</t>
  </si>
  <si>
    <t>Epidemiologia</t>
  </si>
  <si>
    <t>Brazil</t>
  </si>
  <si>
    <t>Columna:</t>
  </si>
  <si>
    <t>Fila:</t>
  </si>
  <si>
    <t>MES</t>
  </si>
  <si>
    <t>EDAD</t>
  </si>
  <si>
    <t>Estados</t>
  </si>
  <si>
    <t>Iteraciones</t>
  </si>
  <si>
    <t>Settings</t>
  </si>
  <si>
    <t>Ciclos por año</t>
  </si>
  <si>
    <t>Cohorte</t>
  </si>
  <si>
    <t>Ciclos Realizados:</t>
  </si>
  <si>
    <t>Resultados</t>
  </si>
  <si>
    <t>Edad final</t>
  </si>
  <si>
    <t>Costo:</t>
  </si>
  <si>
    <t>Objetivo</t>
  </si>
  <si>
    <t>Ultimo Obtenido</t>
  </si>
  <si>
    <t>Simulaciones:</t>
  </si>
  <si>
    <t>Edad Final:</t>
  </si>
  <si>
    <t>Limite Inferior</t>
  </si>
  <si>
    <t>Limite Superior</t>
  </si>
  <si>
    <t>Modifico</t>
  </si>
  <si>
    <t>Modificadores</t>
  </si>
  <si>
    <t>brazil</t>
  </si>
  <si>
    <t>COSTO</t>
  </si>
  <si>
    <t>Obtenido</t>
  </si>
  <si>
    <t>Esperado</t>
  </si>
  <si>
    <t>Diferencia</t>
  </si>
  <si>
    <t>Mejor brazil</t>
  </si>
  <si>
    <t>Descuento</t>
  </si>
  <si>
    <t>Costo / P:</t>
  </si>
  <si>
    <t>dCosto:</t>
  </si>
  <si>
    <t>dCosto / P:</t>
  </si>
  <si>
    <t>Casos Acumulados</t>
  </si>
  <si>
    <t>Ciclo</t>
  </si>
  <si>
    <t>Acumulado</t>
  </si>
  <si>
    <t>Acumulado con descuento</t>
  </si>
  <si>
    <t>dCostoPP</t>
  </si>
  <si>
    <t>Edad Inicial:</t>
  </si>
  <si>
    <t>F0-3VSR</t>
  </si>
  <si>
    <t>F4VSR</t>
  </si>
  <si>
    <t>SVRF4</t>
  </si>
  <si>
    <t>F0-F2</t>
  </si>
  <si>
    <t>SVR F0-F2</t>
  </si>
  <si>
    <t>SVR F3</t>
  </si>
  <si>
    <t>F0F3</t>
  </si>
  <si>
    <t>Otros</t>
  </si>
  <si>
    <t>SVR</t>
  </si>
  <si>
    <t>DURACION</t>
  </si>
  <si>
    <t>DISCONTINUACION</t>
  </si>
  <si>
    <t>SVR F4</t>
  </si>
  <si>
    <t>LDR TTO</t>
  </si>
  <si>
    <t>DC TTO</t>
  </si>
  <si>
    <t>HCC TTO</t>
  </si>
  <si>
    <t>COSTO TTO</t>
  </si>
  <si>
    <t>Cosas a probar</t>
  </si>
  <si>
    <t>Descontar el tratamiento que por la forma que lo puse no descuenta esos meses.</t>
  </si>
  <si>
    <t>Ver otras probabilidades de muerte ? GBD?</t>
  </si>
  <si>
    <t>Calcular 10.000 por perfil y despues ponderar por prevalencias.</t>
  </si>
  <si>
    <t>Tener en cuenta distribución por sexo.</t>
  </si>
  <si>
    <t>Probar en India que no hay G2 a ver si es mas preciso</t>
  </si>
  <si>
    <t>All causes</t>
  </si>
  <si>
    <t>Number</t>
  </si>
  <si>
    <t>80-84</t>
  </si>
  <si>
    <t>85-89</t>
  </si>
  <si>
    <t>90-94</t>
  </si>
  <si>
    <t>Brasil 2018</t>
  </si>
  <si>
    <t>Both</t>
  </si>
  <si>
    <t>Poblacion</t>
  </si>
  <si>
    <t>Muertes</t>
  </si>
  <si>
    <t>Probabilidades</t>
  </si>
  <si>
    <t>QALYS</t>
  </si>
  <si>
    <t>ICER</t>
  </si>
  <si>
    <t>ICER F4</t>
  </si>
  <si>
    <t>ICER F0F3</t>
  </si>
  <si>
    <t>Disutilidades</t>
  </si>
  <si>
    <t>DCC</t>
  </si>
  <si>
    <t>Colombia</t>
  </si>
  <si>
    <t>GBD BOTH</t>
  </si>
  <si>
    <t>D</t>
  </si>
  <si>
    <t xml:space="preserve">Cohorte hipotetica que pueden empezar en F0-F4 distribución de fibrosis F0 7%, F1 12%, </t>
  </si>
  <si>
    <t>F2 24% F3 19% F438%</t>
  </si>
  <si>
    <t>52 años</t>
  </si>
  <si>
    <t>65% Hombres</t>
  </si>
  <si>
    <t>TVR por 12 semanas</t>
  </si>
  <si>
    <t>OUTCOMES de TVR</t>
  </si>
  <si>
    <t>26.6 años y 19.3 QALYS</t>
  </si>
  <si>
    <t>Descontado parece q es 13.47 y 9.74</t>
  </si>
  <si>
    <t>ICER 8277$ x QALY sobre la terapia dual</t>
  </si>
  <si>
    <t>cF0F3t = 309.05</t>
  </si>
  <si>
    <t>cF0F3 = 61.75</t>
  </si>
  <si>
    <t>cF4t = 309.05</t>
  </si>
  <si>
    <t>cF4 = 95.56</t>
  </si>
  <si>
    <t>cSVRMonitoreo = 44.15</t>
  </si>
  <si>
    <t>cDCC = 235.36</t>
  </si>
  <si>
    <t>cHCC = 1575.01</t>
  </si>
  <si>
    <t>cLT = 20451.16</t>
  </si>
  <si>
    <t>cPLT = 344.58</t>
  </si>
  <si>
    <t>cSDT = 3376.3</t>
  </si>
  <si>
    <t>cTTOB = 16470.45</t>
  </si>
  <si>
    <t>cTTOT = 14278.79</t>
  </si>
  <si>
    <t>4759 x 4 semanas</t>
  </si>
  <si>
    <t>Obtenido en el modelo para 55 años</t>
  </si>
  <si>
    <t xml:space="preserve">Costo con triple terapia: </t>
  </si>
  <si>
    <t>Costo sin terapia:</t>
  </si>
  <si>
    <t>ICER:</t>
  </si>
  <si>
    <t>QALYS SIN TTO:</t>
  </si>
  <si>
    <t>EN EL CEA</t>
  </si>
  <si>
    <t>QALYS CON TTO:</t>
  </si>
  <si>
    <t>UTILIDAD</t>
  </si>
  <si>
    <t>F0SVR</t>
  </si>
  <si>
    <t>F1SVR</t>
  </si>
  <si>
    <t>F2SVR</t>
  </si>
  <si>
    <t>F3SVR</t>
  </si>
  <si>
    <t>F4SVR</t>
  </si>
  <si>
    <t>DELTA COSTO</t>
  </si>
  <si>
    <t>DELTA QALY</t>
  </si>
  <si>
    <t>Modelo 52 años</t>
  </si>
  <si>
    <t>DIF EPI</t>
  </si>
  <si>
    <t>DIF COSTO</t>
  </si>
  <si>
    <t>DIF QALY</t>
  </si>
  <si>
    <t>DIF ICER</t>
  </si>
  <si>
    <t>WHO 2015</t>
  </si>
  <si>
    <t>WHO 2019</t>
  </si>
  <si>
    <t>GBD B</t>
  </si>
  <si>
    <t>UTILIDAD DESCONTADA ANUAL</t>
  </si>
  <si>
    <t>COSTO CICLO</t>
  </si>
  <si>
    <t>COSTO DESCONTADO</t>
  </si>
  <si>
    <t>Descuento 3</t>
  </si>
  <si>
    <t>Descuento 4</t>
  </si>
  <si>
    <t>Edad 54 Años</t>
  </si>
  <si>
    <t>Monitoreo 12</t>
  </si>
  <si>
    <t>F0-F1-F2</t>
  </si>
  <si>
    <t>DC2</t>
  </si>
  <si>
    <t>HC1</t>
  </si>
  <si>
    <t>HC2</t>
  </si>
  <si>
    <t>LT</t>
  </si>
  <si>
    <t>LT2</t>
  </si>
  <si>
    <t>Lt</t>
  </si>
  <si>
    <t>F0F1</t>
  </si>
  <si>
    <t>F2F3</t>
  </si>
  <si>
    <t>SVRF2F3</t>
  </si>
  <si>
    <t>LRD</t>
  </si>
  <si>
    <t>QALY</t>
  </si>
  <si>
    <t>LT EN HC</t>
  </si>
  <si>
    <t>cea chile</t>
  </si>
  <si>
    <t>chile</t>
  </si>
  <si>
    <t>PI</t>
  </si>
  <si>
    <t>PR</t>
  </si>
  <si>
    <t>DCV/ASV 38710</t>
  </si>
  <si>
    <t xml:space="preserve"> -</t>
  </si>
  <si>
    <t>ESPERADO</t>
  </si>
  <si>
    <t>Total Intervention Cost</t>
  </si>
  <si>
    <t>Total QALY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</si>
</sst>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$&quot;#,##0.00_);[Red]\(&quot;$&quot;#,##0.00\)"/>
    <numFmt numFmtId="164" formatCode="0.0000"/>
    <numFmt numFmtId="165" formatCode="#,##0.0000"/>
    <numFmt numFmtId="166" formatCode="#,##0.00\ [$€-1]"/>
    <numFmt numFmtId="167" formatCode="#,##0.0000000"/>
    <numFmt numFmtId="168" formatCode="dd\.mm"/>
    <numFmt numFmtId="169" formatCode="d\.m"/>
    <numFmt numFmtId="170" formatCode="#,##0.000000"/>
    <numFmt numFmtId="171" formatCode="0.000"/>
    <numFmt numFmtId="172" formatCode="0.00000"/>
    <numFmt numFmtId="173" formatCode="#,##0.0000000000"/>
    <numFmt numFmtId="174" formatCode="&quot;$&quot;#,##0.0000000_);[Red]\(&quot;$&quot;#,##0.0000000\)"/>
  </numFmts>
  <fonts count="19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9"/>
      <color rgb="FF000000"/>
      <name val="Arial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  <scheme val="minor"/>
    </font>
    <font>
      <sz val="11"/>
      <color rgb="FF000000"/>
      <name val="Calibri"/>
      <family val="2"/>
    </font>
    <font>
      <sz val="12"/>
      <color rgb="FF212121"/>
      <name val="Arial"/>
      <family val="2"/>
    </font>
    <font>
      <sz val="12"/>
      <color rgb="FF424753"/>
      <name val="Raleway"/>
    </font>
    <font>
      <sz val="10"/>
      <color rgb="FF000000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8"/>
      <color rgb="FF000000"/>
      <name val="Segoe UI"/>
      <family val="2"/>
    </font>
    <font>
      <u/>
      <sz val="10"/>
      <color rgb="FF000000"/>
      <name val="Arial"/>
      <family val="2"/>
      <scheme val="minor"/>
    </font>
    <font>
      <sz val="11"/>
      <color rgb="FF08519C"/>
      <name val="Arial"/>
      <family val="2"/>
      <scheme val="minor"/>
    </font>
    <font>
      <sz val="10"/>
      <name val="Arial"/>
      <family val="2"/>
      <scheme val="minor"/>
    </font>
    <font>
      <sz val="11"/>
      <name val="Arial"/>
      <family val="2"/>
      <scheme val="minor"/>
    </font>
    <font>
      <sz val="9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4">
    <xf numFmtId="0" fontId="0" fillId="0" borderId="0" xfId="0" applyFont="1" applyAlignment="1"/>
    <xf numFmtId="0" fontId="1" fillId="0" borderId="0" xfId="0" applyFont="1" applyAlignment="1"/>
    <xf numFmtId="164" fontId="1" fillId="0" borderId="0" xfId="0" applyNumberFormat="1" applyFont="1"/>
    <xf numFmtId="0" fontId="1" fillId="0" borderId="0" xfId="0" applyFont="1"/>
    <xf numFmtId="4" fontId="1" fillId="0" borderId="0" xfId="0" applyNumberFormat="1" applyFont="1" applyAlignment="1"/>
    <xf numFmtId="165" fontId="1" fillId="0" borderId="0" xfId="0" applyNumberFormat="1" applyFont="1"/>
    <xf numFmtId="166" fontId="1" fillId="0" borderId="0" xfId="0" applyNumberFormat="1" applyFont="1" applyAlignment="1"/>
    <xf numFmtId="164" fontId="1" fillId="2" borderId="0" xfId="0" applyNumberFormat="1" applyFont="1" applyFill="1"/>
    <xf numFmtId="0" fontId="1" fillId="2" borderId="0" xfId="0" applyFont="1" applyFill="1"/>
    <xf numFmtId="0" fontId="2" fillId="2" borderId="0" xfId="0" applyFont="1" applyFill="1"/>
    <xf numFmtId="0" fontId="3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0" fontId="3" fillId="0" borderId="1" xfId="0" applyFont="1" applyBorder="1" applyAlignment="1"/>
    <xf numFmtId="0" fontId="3" fillId="0" borderId="2" xfId="0" applyFont="1" applyBorder="1" applyAlignment="1"/>
    <xf numFmtId="167" fontId="3" fillId="0" borderId="0" xfId="0" applyNumberFormat="1" applyFont="1" applyAlignment="1"/>
    <xf numFmtId="3" fontId="3" fillId="0" borderId="0" xfId="0" applyNumberFormat="1" applyFont="1" applyAlignment="1"/>
    <xf numFmtId="0" fontId="3" fillId="0" borderId="0" xfId="0" applyFont="1" applyAlignment="1"/>
    <xf numFmtId="168" fontId="3" fillId="0" borderId="0" xfId="0" applyNumberFormat="1" applyFont="1" applyAlignment="1"/>
    <xf numFmtId="169" fontId="3" fillId="0" borderId="0" xfId="0" applyNumberFormat="1" applyFont="1" applyAlignment="1"/>
    <xf numFmtId="0" fontId="3" fillId="0" borderId="0" xfId="0" applyFont="1" applyAlignment="1"/>
    <xf numFmtId="0" fontId="4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/>
    <xf numFmtId="167" fontId="1" fillId="0" borderId="0" xfId="0" applyNumberFormat="1" applyFont="1"/>
    <xf numFmtId="170" fontId="5" fillId="0" borderId="0" xfId="0" applyNumberFormat="1" applyFont="1" applyAlignment="1">
      <alignment horizontal="right"/>
    </xf>
    <xf numFmtId="0" fontId="7" fillId="0" borderId="0" xfId="0" applyFont="1" applyAlignment="1"/>
    <xf numFmtId="0" fontId="7" fillId="0" borderId="0" xfId="0" applyFont="1" applyAlignment="1">
      <alignment horizontal="right"/>
    </xf>
    <xf numFmtId="170" fontId="3" fillId="0" borderId="0" xfId="0" applyNumberFormat="1" applyFont="1" applyAlignment="1"/>
    <xf numFmtId="170" fontId="1" fillId="0" borderId="0" xfId="0" applyNumberFormat="1" applyFont="1"/>
    <xf numFmtId="170" fontId="7" fillId="0" borderId="0" xfId="0" applyNumberFormat="1" applyFont="1" applyAlignment="1"/>
    <xf numFmtId="170" fontId="7" fillId="0" borderId="0" xfId="0" applyNumberFormat="1" applyFont="1" applyAlignment="1">
      <alignment horizontal="right"/>
    </xf>
    <xf numFmtId="0" fontId="7" fillId="0" borderId="0" xfId="0" applyFont="1" applyAlignment="1"/>
    <xf numFmtId="165" fontId="1" fillId="0" borderId="0" xfId="0" applyNumberFormat="1" applyFont="1" applyAlignment="1"/>
    <xf numFmtId="0" fontId="5" fillId="0" borderId="0" xfId="0" applyFont="1" applyAlignment="1"/>
    <xf numFmtId="165" fontId="5" fillId="0" borderId="0" xfId="0" applyNumberFormat="1" applyFont="1" applyAlignment="1">
      <alignment horizontal="right"/>
    </xf>
    <xf numFmtId="165" fontId="5" fillId="0" borderId="0" xfId="0" applyNumberFormat="1" applyFont="1" applyAlignment="1">
      <alignment horizontal="right"/>
    </xf>
    <xf numFmtId="165" fontId="5" fillId="0" borderId="0" xfId="0" applyNumberFormat="1" applyFont="1" applyAlignment="1"/>
    <xf numFmtId="0" fontId="5" fillId="0" borderId="0" xfId="0" applyFont="1" applyAlignment="1"/>
    <xf numFmtId="0" fontId="5" fillId="0" borderId="0" xfId="0" applyFont="1" applyAlignment="1"/>
    <xf numFmtId="3" fontId="1" fillId="0" borderId="0" xfId="0" applyNumberFormat="1" applyFont="1" applyAlignment="1"/>
    <xf numFmtId="0" fontId="8" fillId="3" borderId="0" xfId="0" applyFont="1" applyFill="1" applyAlignment="1"/>
    <xf numFmtId="0" fontId="9" fillId="3" borderId="0" xfId="0" applyFont="1" applyFill="1" applyAlignment="1"/>
    <xf numFmtId="0" fontId="0" fillId="0" borderId="0" xfId="0" applyFont="1" applyAlignment="1"/>
    <xf numFmtId="0" fontId="10" fillId="0" borderId="0" xfId="0" applyFont="1" applyAlignment="1"/>
    <xf numFmtId="165" fontId="11" fillId="0" borderId="0" xfId="0" applyNumberFormat="1" applyFont="1" applyAlignment="1"/>
    <xf numFmtId="0" fontId="0" fillId="0" borderId="0" xfId="0" applyFont="1" applyAlignment="1"/>
    <xf numFmtId="0" fontId="0" fillId="0" borderId="0" xfId="0" applyFont="1" applyAlignment="1"/>
    <xf numFmtId="0" fontId="10" fillId="4" borderId="3" xfId="0" applyFont="1" applyFill="1" applyBorder="1" applyAlignment="1"/>
    <xf numFmtId="0" fontId="10" fillId="0" borderId="3" xfId="0" applyFont="1" applyBorder="1" applyAlignment="1"/>
    <xf numFmtId="171" fontId="0" fillId="0" borderId="3" xfId="0" applyNumberFormat="1" applyFont="1" applyBorder="1" applyAlignment="1"/>
    <xf numFmtId="0" fontId="1" fillId="0" borderId="3" xfId="0" applyFont="1" applyBorder="1" applyAlignment="1"/>
    <xf numFmtId="0" fontId="0" fillId="0" borderId="0" xfId="0" applyFont="1" applyAlignment="1"/>
    <xf numFmtId="0" fontId="1" fillId="0" borderId="0" xfId="0" applyFont="1" applyBorder="1" applyAlignment="1"/>
    <xf numFmtId="0" fontId="0" fillId="0" borderId="0" xfId="0" applyFont="1" applyBorder="1" applyAlignment="1"/>
    <xf numFmtId="0" fontId="10" fillId="0" borderId="0" xfId="0" applyFont="1" applyBorder="1" applyAlignment="1"/>
    <xf numFmtId="171" fontId="0" fillId="0" borderId="0" xfId="0" applyNumberFormat="1" applyFont="1" applyBorder="1" applyAlignment="1"/>
    <xf numFmtId="171" fontId="1" fillId="0" borderId="0" xfId="0" applyNumberFormat="1" applyFont="1" applyBorder="1" applyAlignment="1"/>
    <xf numFmtId="0" fontId="10" fillId="0" borderId="0" xfId="0" applyFont="1" applyFill="1" applyBorder="1" applyAlignment="1"/>
    <xf numFmtId="0" fontId="1" fillId="5" borderId="3" xfId="0" applyFont="1" applyFill="1" applyBorder="1" applyAlignment="1"/>
    <xf numFmtId="0" fontId="0" fillId="0" borderId="3" xfId="0" applyFont="1" applyBorder="1" applyAlignment="1"/>
    <xf numFmtId="0" fontId="1" fillId="0" borderId="10" xfId="0" applyFont="1" applyBorder="1" applyAlignment="1"/>
    <xf numFmtId="0" fontId="1" fillId="5" borderId="9" xfId="0" applyFont="1" applyFill="1" applyBorder="1" applyAlignment="1"/>
    <xf numFmtId="0" fontId="1" fillId="5" borderId="13" xfId="0" applyFont="1" applyFill="1" applyBorder="1" applyAlignment="1"/>
    <xf numFmtId="0" fontId="10" fillId="6" borderId="16" xfId="0" applyFont="1" applyFill="1" applyBorder="1" applyAlignment="1"/>
    <xf numFmtId="0" fontId="10" fillId="6" borderId="17" xfId="0" applyFont="1" applyFill="1" applyBorder="1" applyAlignment="1"/>
    <xf numFmtId="0" fontId="10" fillId="6" borderId="18" xfId="0" applyFont="1" applyFill="1" applyBorder="1" applyAlignment="1"/>
    <xf numFmtId="0" fontId="10" fillId="6" borderId="8" xfId="0" applyFont="1" applyFill="1" applyBorder="1" applyAlignment="1"/>
    <xf numFmtId="0" fontId="0" fillId="5" borderId="9" xfId="0" applyFont="1" applyFill="1" applyBorder="1" applyAlignment="1"/>
    <xf numFmtId="0" fontId="0" fillId="0" borderId="10" xfId="0" applyFont="1" applyBorder="1" applyAlignment="1"/>
    <xf numFmtId="165" fontId="1" fillId="7" borderId="0" xfId="0" applyNumberFormat="1" applyFont="1" applyFill="1" applyAlignment="1"/>
    <xf numFmtId="165" fontId="1" fillId="5" borderId="0" xfId="0" applyNumberFormat="1" applyFont="1" applyFill="1" applyAlignment="1"/>
    <xf numFmtId="0" fontId="10" fillId="5" borderId="6" xfId="0" applyFont="1" applyFill="1" applyBorder="1" applyAlignment="1"/>
    <xf numFmtId="0" fontId="10" fillId="5" borderId="7" xfId="0" applyFont="1" applyFill="1" applyBorder="1" applyAlignment="1"/>
    <xf numFmtId="0" fontId="10" fillId="5" borderId="8" xfId="0" applyFont="1" applyFill="1" applyBorder="1" applyAlignment="1"/>
    <xf numFmtId="0" fontId="0" fillId="0" borderId="15" xfId="0" applyFont="1" applyBorder="1" applyAlignment="1"/>
    <xf numFmtId="0" fontId="10" fillId="5" borderId="9" xfId="0" applyFont="1" applyFill="1" applyBorder="1" applyAlignment="1"/>
    <xf numFmtId="0" fontId="0" fillId="0" borderId="7" xfId="0" applyFont="1" applyBorder="1" applyAlignment="1"/>
    <xf numFmtId="0" fontId="0" fillId="0" borderId="8" xfId="0" applyFont="1" applyBorder="1" applyAlignment="1"/>
    <xf numFmtId="0" fontId="0" fillId="0" borderId="25" xfId="0" applyFont="1" applyBorder="1" applyAlignment="1"/>
    <xf numFmtId="0" fontId="0" fillId="0" borderId="22" xfId="0" applyFont="1" applyBorder="1" applyAlignment="1"/>
    <xf numFmtId="0" fontId="0" fillId="0" borderId="23" xfId="0" applyFont="1" applyBorder="1" applyAlignment="1"/>
    <xf numFmtId="0" fontId="10" fillId="5" borderId="5" xfId="0" applyFont="1" applyFill="1" applyBorder="1" applyAlignment="1"/>
    <xf numFmtId="173" fontId="1" fillId="0" borderId="3" xfId="0" applyNumberFormat="1" applyFont="1" applyBorder="1" applyAlignment="1"/>
    <xf numFmtId="0" fontId="10" fillId="5" borderId="16" xfId="0" applyFont="1" applyFill="1" applyBorder="1" applyAlignment="1"/>
    <xf numFmtId="0" fontId="10" fillId="5" borderId="27" xfId="0" applyFont="1" applyFill="1" applyBorder="1" applyAlignment="1"/>
    <xf numFmtId="0" fontId="10" fillId="5" borderId="17" xfId="0" applyFont="1" applyFill="1" applyBorder="1" applyAlignment="1"/>
    <xf numFmtId="0" fontId="0" fillId="0" borderId="29" xfId="0" applyFont="1" applyBorder="1" applyAlignment="1"/>
    <xf numFmtId="0" fontId="10" fillId="7" borderId="28" xfId="0" applyFont="1" applyFill="1" applyBorder="1" applyAlignment="1"/>
    <xf numFmtId="0" fontId="10" fillId="6" borderId="5" xfId="0" applyFont="1" applyFill="1" applyBorder="1" applyAlignment="1"/>
    <xf numFmtId="0" fontId="10" fillId="7" borderId="24" xfId="0" applyFont="1" applyFill="1" applyBorder="1" applyAlignment="1"/>
    <xf numFmtId="0" fontId="10" fillId="7" borderId="26" xfId="0" applyFont="1" applyFill="1" applyBorder="1" applyAlignment="1"/>
    <xf numFmtId="0" fontId="0" fillId="5" borderId="0" xfId="0" applyFont="1" applyFill="1" applyBorder="1" applyAlignment="1"/>
    <xf numFmtId="0" fontId="0" fillId="5" borderId="22" xfId="0" applyFont="1" applyFill="1" applyBorder="1" applyAlignment="1"/>
    <xf numFmtId="0" fontId="10" fillId="7" borderId="0" xfId="0" applyFont="1" applyFill="1" applyBorder="1" applyAlignment="1"/>
    <xf numFmtId="0" fontId="10" fillId="7" borderId="22" xfId="0" applyFont="1" applyFill="1" applyBorder="1" applyAlignment="1"/>
    <xf numFmtId="0" fontId="0" fillId="9" borderId="3" xfId="0" applyFont="1" applyFill="1" applyBorder="1" applyAlignment="1"/>
    <xf numFmtId="0" fontId="0" fillId="9" borderId="4" xfId="0" applyFont="1" applyFill="1" applyBorder="1" applyAlignment="1"/>
    <xf numFmtId="172" fontId="0" fillId="9" borderId="3" xfId="0" applyNumberFormat="1" applyFont="1" applyFill="1" applyBorder="1" applyAlignment="1"/>
    <xf numFmtId="0" fontId="0" fillId="9" borderId="9" xfId="0" applyFont="1" applyFill="1" applyBorder="1" applyAlignment="1"/>
    <xf numFmtId="0" fontId="0" fillId="9" borderId="10" xfId="0" applyFont="1" applyFill="1" applyBorder="1" applyAlignment="1"/>
    <xf numFmtId="0" fontId="0" fillId="9" borderId="13" xfId="0" applyFont="1" applyFill="1" applyBorder="1" applyAlignment="1"/>
    <xf numFmtId="0" fontId="0" fillId="9" borderId="14" xfId="0" applyFont="1" applyFill="1" applyBorder="1" applyAlignment="1"/>
    <xf numFmtId="0" fontId="0" fillId="9" borderId="15" xfId="0" applyFont="1" applyFill="1" applyBorder="1" applyAlignment="1"/>
    <xf numFmtId="0" fontId="0" fillId="5" borderId="25" xfId="0" applyFont="1" applyFill="1" applyBorder="1" applyAlignment="1"/>
    <xf numFmtId="0" fontId="0" fillId="0" borderId="0" xfId="0" applyFont="1" applyFill="1" applyAlignment="1"/>
    <xf numFmtId="0" fontId="1" fillId="0" borderId="0" xfId="0" applyFont="1" applyFill="1" applyAlignment="1"/>
    <xf numFmtId="0" fontId="1" fillId="0" borderId="0" xfId="0" applyFont="1" applyFill="1"/>
    <xf numFmtId="0" fontId="6" fillId="0" borderId="0" xfId="0" applyFont="1" applyFill="1" applyAlignment="1"/>
    <xf numFmtId="164" fontId="1" fillId="0" borderId="0" xfId="0" applyNumberFormat="1" applyFont="1" applyFill="1"/>
    <xf numFmtId="0" fontId="10" fillId="10" borderId="16" xfId="0" applyFont="1" applyFill="1" applyBorder="1" applyAlignment="1"/>
    <xf numFmtId="0" fontId="1" fillId="10" borderId="27" xfId="0" applyFont="1" applyFill="1" applyBorder="1" applyAlignment="1"/>
    <xf numFmtId="0" fontId="10" fillId="10" borderId="17" xfId="0" applyFont="1" applyFill="1" applyBorder="1" applyAlignment="1"/>
    <xf numFmtId="0" fontId="0" fillId="0" borderId="24" xfId="0" applyFont="1" applyBorder="1" applyAlignment="1"/>
    <xf numFmtId="0" fontId="0" fillId="0" borderId="26" xfId="0" applyFont="1" applyBorder="1" applyAlignment="1"/>
    <xf numFmtId="0" fontId="1" fillId="0" borderId="22" xfId="0" applyFont="1" applyBorder="1" applyAlignment="1"/>
    <xf numFmtId="0" fontId="7" fillId="0" borderId="3" xfId="0" applyFont="1" applyBorder="1" applyAlignment="1"/>
    <xf numFmtId="0" fontId="0" fillId="0" borderId="0" xfId="0" applyFont="1" applyAlignment="1"/>
    <xf numFmtId="0" fontId="10" fillId="5" borderId="32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17" xfId="0" applyFont="1" applyBorder="1" applyAlignment="1"/>
    <xf numFmtId="0" fontId="0" fillId="0" borderId="9" xfId="0" applyFont="1" applyBorder="1" applyAlignment="1"/>
    <xf numFmtId="0" fontId="0" fillId="0" borderId="13" xfId="0" applyFont="1" applyBorder="1" applyAlignment="1"/>
    <xf numFmtId="0" fontId="0" fillId="0" borderId="14" xfId="0" applyFont="1" applyBorder="1" applyAlignment="1"/>
    <xf numFmtId="0" fontId="10" fillId="5" borderId="12" xfId="0" applyFont="1" applyFill="1" applyBorder="1" applyAlignment="1"/>
    <xf numFmtId="0" fontId="0" fillId="0" borderId="33" xfId="0" applyFont="1" applyBorder="1" applyAlignment="1"/>
    <xf numFmtId="0" fontId="0" fillId="0" borderId="0" xfId="0" applyFont="1" applyAlignment="1"/>
    <xf numFmtId="174" fontId="0" fillId="0" borderId="0" xfId="0" applyNumberFormat="1" applyFont="1" applyAlignment="1"/>
    <xf numFmtId="0" fontId="10" fillId="10" borderId="22" xfId="0" applyFont="1" applyFill="1" applyBorder="1" applyAlignment="1"/>
    <xf numFmtId="0" fontId="0" fillId="4" borderId="23" xfId="0" applyFont="1" applyFill="1" applyBorder="1" applyAlignment="1"/>
    <xf numFmtId="0" fontId="0" fillId="4" borderId="22" xfId="0" applyFont="1" applyFill="1" applyBorder="1" applyAlignment="1"/>
    <xf numFmtId="0" fontId="0" fillId="0" borderId="23" xfId="0" applyFont="1" applyFill="1" applyBorder="1" applyAlignment="1"/>
    <xf numFmtId="0" fontId="0" fillId="0" borderId="0" xfId="0" applyFont="1" applyFill="1" applyBorder="1" applyAlignment="1"/>
    <xf numFmtId="0" fontId="0" fillId="0" borderId="8" xfId="0" applyFont="1" applyFill="1" applyBorder="1" applyAlignment="1"/>
    <xf numFmtId="0" fontId="1" fillId="0" borderId="25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/>
    <xf numFmtId="0" fontId="1" fillId="0" borderId="25" xfId="0" applyFont="1" applyFill="1" applyBorder="1" applyAlignment="1"/>
    <xf numFmtId="0" fontId="2" fillId="0" borderId="0" xfId="0" applyFont="1" applyFill="1" applyBorder="1"/>
    <xf numFmtId="166" fontId="1" fillId="0" borderId="22" xfId="0" applyNumberFormat="1" applyFont="1" applyFill="1" applyBorder="1" applyAlignment="1"/>
    <xf numFmtId="0" fontId="0" fillId="0" borderId="22" xfId="0" applyFont="1" applyFill="1" applyBorder="1" applyAlignment="1"/>
    <xf numFmtId="0" fontId="1" fillId="0" borderId="23" xfId="0" applyFont="1" applyFill="1" applyBorder="1" applyAlignment="1"/>
    <xf numFmtId="0" fontId="1" fillId="10" borderId="6" xfId="0" applyFont="1" applyFill="1" applyBorder="1" applyAlignment="1"/>
    <xf numFmtId="0" fontId="1" fillId="10" borderId="7" xfId="0" applyFont="1" applyFill="1" applyBorder="1"/>
    <xf numFmtId="0" fontId="1" fillId="10" borderId="8" xfId="0" applyFont="1" applyFill="1" applyBorder="1" applyAlignment="1"/>
    <xf numFmtId="0" fontId="1" fillId="5" borderId="24" xfId="0" applyFont="1" applyFill="1" applyBorder="1" applyAlignment="1"/>
    <xf numFmtId="0" fontId="1" fillId="5" borderId="26" xfId="0" applyFont="1" applyFill="1" applyBorder="1" applyAlignment="1"/>
    <xf numFmtId="0" fontId="0" fillId="5" borderId="8" xfId="0" applyFont="1" applyFill="1" applyBorder="1" applyAlignment="1"/>
    <xf numFmtId="0" fontId="10" fillId="5" borderId="24" xfId="0" applyFont="1" applyFill="1" applyBorder="1" applyAlignment="1"/>
    <xf numFmtId="0" fontId="10" fillId="5" borderId="26" xfId="0" applyFont="1" applyFill="1" applyBorder="1" applyAlignment="1"/>
    <xf numFmtId="0" fontId="0" fillId="5" borderId="23" xfId="0" applyFont="1" applyFill="1" applyBorder="1" applyAlignment="1"/>
    <xf numFmtId="0" fontId="10" fillId="6" borderId="7" xfId="0" applyFont="1" applyFill="1" applyBorder="1" applyAlignment="1"/>
    <xf numFmtId="0" fontId="10" fillId="0" borderId="3" xfId="0" applyFont="1" applyFill="1" applyBorder="1" applyAlignment="1"/>
    <xf numFmtId="0" fontId="10" fillId="4" borderId="3" xfId="0" applyFont="1" applyFill="1" applyBorder="1" applyAlignment="1">
      <alignment horizontal="center"/>
    </xf>
    <xf numFmtId="0" fontId="1" fillId="10" borderId="8" xfId="0" applyFont="1" applyFill="1" applyBorder="1"/>
    <xf numFmtId="164" fontId="1" fillId="0" borderId="3" xfId="0" applyNumberFormat="1" applyFont="1" applyFill="1" applyBorder="1"/>
    <xf numFmtId="0" fontId="1" fillId="0" borderId="3" xfId="0" applyFont="1" applyFill="1" applyBorder="1"/>
    <xf numFmtId="166" fontId="1" fillId="0" borderId="3" xfId="0" applyNumberFormat="1" applyFont="1" applyFill="1" applyBorder="1" applyAlignment="1"/>
    <xf numFmtId="0" fontId="1" fillId="0" borderId="0" xfId="0" applyFont="1" applyFill="1" applyBorder="1" applyAlignment="1"/>
    <xf numFmtId="0" fontId="10" fillId="0" borderId="12" xfId="0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7" borderId="3" xfId="0" applyFont="1" applyFill="1" applyBorder="1" applyAlignment="1"/>
    <xf numFmtId="0" fontId="1" fillId="0" borderId="3" xfId="0" applyFont="1" applyFill="1" applyBorder="1" applyAlignment="1"/>
    <xf numFmtId="0" fontId="0" fillId="0" borderId="3" xfId="0" applyFont="1" applyFill="1" applyBorder="1" applyAlignment="1"/>
    <xf numFmtId="0" fontId="0" fillId="12" borderId="0" xfId="0" applyFont="1" applyFill="1" applyAlignment="1"/>
    <xf numFmtId="0" fontId="3" fillId="0" borderId="0" xfId="0" applyFont="1" applyAlignment="1">
      <alignment horizontal="center" vertical="top"/>
    </xf>
    <xf numFmtId="0" fontId="0" fillId="0" borderId="0" xfId="0" applyFont="1" applyAlignment="1"/>
    <xf numFmtId="0" fontId="3" fillId="0" borderId="0" xfId="0" applyFont="1" applyAlignment="1">
      <alignment vertical="top"/>
    </xf>
    <xf numFmtId="0" fontId="3" fillId="0" borderId="0" xfId="0" applyFont="1" applyAlignment="1"/>
    <xf numFmtId="0" fontId="1" fillId="5" borderId="6" xfId="0" applyFont="1" applyFill="1" applyBorder="1" applyAlignment="1"/>
    <xf numFmtId="0" fontId="10" fillId="0" borderId="9" xfId="0" applyFont="1" applyBorder="1" applyAlignment="1"/>
    <xf numFmtId="171" fontId="0" fillId="0" borderId="10" xfId="0" applyNumberFormat="1" applyFont="1" applyBorder="1" applyAlignment="1"/>
    <xf numFmtId="0" fontId="1" fillId="0" borderId="9" xfId="0" applyFont="1" applyBorder="1" applyAlignment="1"/>
    <xf numFmtId="171" fontId="1" fillId="0" borderId="10" xfId="0" applyNumberFormat="1" applyFont="1" applyBorder="1" applyAlignment="1"/>
    <xf numFmtId="0" fontId="10" fillId="0" borderId="9" xfId="0" applyFont="1" applyFill="1" applyBorder="1" applyAlignment="1"/>
    <xf numFmtId="0" fontId="10" fillId="0" borderId="13" xfId="0" applyFont="1" applyFill="1" applyBorder="1" applyAlignment="1"/>
    <xf numFmtId="0" fontId="10" fillId="0" borderId="14" xfId="0" applyFont="1" applyFill="1" applyBorder="1" applyAlignment="1"/>
    <xf numFmtId="0" fontId="10" fillId="0" borderId="11" xfId="0" applyFont="1" applyBorder="1" applyAlignment="1"/>
    <xf numFmtId="0" fontId="10" fillId="0" borderId="4" xfId="0" applyFont="1" applyBorder="1" applyAlignment="1"/>
    <xf numFmtId="171" fontId="0" fillId="0" borderId="35" xfId="0" applyNumberFormat="1" applyFont="1" applyBorder="1" applyAlignment="1"/>
    <xf numFmtId="0" fontId="10" fillId="4" borderId="28" xfId="0" applyFont="1" applyFill="1" applyBorder="1" applyAlignment="1"/>
    <xf numFmtId="0" fontId="10" fillId="4" borderId="30" xfId="0" applyFont="1" applyFill="1" applyBorder="1" applyAlignment="1"/>
    <xf numFmtId="0" fontId="10" fillId="4" borderId="29" xfId="0" applyFont="1" applyFill="1" applyBorder="1" applyAlignment="1"/>
    <xf numFmtId="3" fontId="1" fillId="5" borderId="0" xfId="0" applyNumberFormat="1" applyFont="1" applyFill="1" applyAlignment="1"/>
    <xf numFmtId="0" fontId="10" fillId="7" borderId="4" xfId="0" applyFont="1" applyFill="1" applyBorder="1" applyAlignment="1"/>
    <xf numFmtId="0" fontId="0" fillId="0" borderId="4" xfId="0" applyFont="1" applyBorder="1" applyAlignment="1"/>
    <xf numFmtId="164" fontId="1" fillId="0" borderId="4" xfId="0" applyNumberFormat="1" applyFont="1" applyFill="1" applyBorder="1"/>
    <xf numFmtId="171" fontId="0" fillId="0" borderId="4" xfId="0" applyNumberFormat="1" applyFont="1" applyBorder="1" applyAlignment="1"/>
    <xf numFmtId="0" fontId="10" fillId="7" borderId="16" xfId="0" applyFont="1" applyFill="1" applyBorder="1" applyAlignment="1"/>
    <xf numFmtId="0" fontId="1" fillId="0" borderId="27" xfId="0" applyFont="1" applyFill="1" applyBorder="1" applyAlignment="1"/>
    <xf numFmtId="171" fontId="0" fillId="0" borderId="27" xfId="0" applyNumberFormat="1" applyFont="1" applyBorder="1" applyAlignment="1"/>
    <xf numFmtId="171" fontId="0" fillId="0" borderId="17" xfId="0" applyNumberFormat="1" applyFont="1" applyBorder="1" applyAlignment="1"/>
    <xf numFmtId="0" fontId="10" fillId="7" borderId="9" xfId="0" applyFont="1" applyFill="1" applyBorder="1" applyAlignment="1"/>
    <xf numFmtId="0" fontId="10" fillId="7" borderId="13" xfId="0" applyFont="1" applyFill="1" applyBorder="1" applyAlignment="1"/>
    <xf numFmtId="0" fontId="1" fillId="0" borderId="14" xfId="0" applyFont="1" applyFill="1" applyBorder="1" applyAlignment="1"/>
    <xf numFmtId="171" fontId="0" fillId="0" borderId="14" xfId="0" applyNumberFormat="1" applyFont="1" applyBorder="1" applyAlignment="1"/>
    <xf numFmtId="0" fontId="0" fillId="0" borderId="14" xfId="0" applyFont="1" applyFill="1" applyBorder="1" applyAlignment="1"/>
    <xf numFmtId="166" fontId="1" fillId="0" borderId="14" xfId="0" applyNumberFormat="1" applyFont="1" applyFill="1" applyBorder="1" applyAlignment="1"/>
    <xf numFmtId="171" fontId="0" fillId="0" borderId="15" xfId="0" applyNumberFormat="1" applyFont="1" applyBorder="1" applyAlignment="1"/>
    <xf numFmtId="0" fontId="0" fillId="0" borderId="0" xfId="0" applyFont="1" applyAlignment="1"/>
    <xf numFmtId="0" fontId="0" fillId="0" borderId="0" xfId="0"/>
    <xf numFmtId="0" fontId="10" fillId="0" borderId="0" xfId="0" applyFont="1"/>
    <xf numFmtId="0" fontId="0" fillId="0" borderId="3" xfId="0" applyBorder="1"/>
    <xf numFmtId="0" fontId="3" fillId="0" borderId="36" xfId="0" applyFont="1" applyBorder="1" applyAlignment="1">
      <alignment vertical="top"/>
    </xf>
    <xf numFmtId="0" fontId="14" fillId="0" borderId="0" xfId="0" applyFont="1" applyAlignment="1"/>
    <xf numFmtId="0" fontId="0" fillId="0" borderId="32" xfId="0" applyFont="1" applyFill="1" applyBorder="1" applyAlignment="1"/>
    <xf numFmtId="0" fontId="3" fillId="0" borderId="0" xfId="0" applyFont="1" applyAlignment="1">
      <alignment vertical="top"/>
    </xf>
    <xf numFmtId="0" fontId="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 vertical="top"/>
    </xf>
    <xf numFmtId="0" fontId="10" fillId="7" borderId="19" xfId="0" applyFont="1" applyFill="1" applyBorder="1" applyAlignment="1">
      <alignment horizontal="center"/>
    </xf>
    <xf numFmtId="0" fontId="0" fillId="7" borderId="20" xfId="0" applyFont="1" applyFill="1" applyBorder="1" applyAlignment="1">
      <alignment horizontal="center"/>
    </xf>
    <xf numFmtId="0" fontId="10" fillId="7" borderId="6" xfId="0" applyFont="1" applyFill="1" applyBorder="1" applyAlignment="1">
      <alignment horizontal="center"/>
    </xf>
    <xf numFmtId="0" fontId="0" fillId="7" borderId="8" xfId="0" applyFont="1" applyFill="1" applyBorder="1" applyAlignment="1">
      <alignment horizontal="center"/>
    </xf>
    <xf numFmtId="0" fontId="10" fillId="11" borderId="3" xfId="0" applyFont="1" applyFill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5" fontId="1" fillId="10" borderId="3" xfId="0" applyNumberFormat="1" applyFont="1" applyFill="1" applyBorder="1" applyAlignment="1">
      <alignment horizontal="center"/>
    </xf>
    <xf numFmtId="0" fontId="0" fillId="10" borderId="30" xfId="0" applyFont="1" applyFill="1" applyBorder="1" applyAlignment="1">
      <alignment horizontal="center"/>
    </xf>
    <xf numFmtId="0" fontId="0" fillId="10" borderId="29" xfId="0" applyFont="1" applyFill="1" applyBorder="1" applyAlignment="1">
      <alignment horizontal="center"/>
    </xf>
    <xf numFmtId="0" fontId="0" fillId="10" borderId="16" xfId="0" applyFont="1" applyFill="1" applyBorder="1" applyAlignment="1">
      <alignment horizontal="center"/>
    </xf>
    <xf numFmtId="0" fontId="0" fillId="10" borderId="27" xfId="0" applyFont="1" applyFill="1" applyBorder="1" applyAlignment="1">
      <alignment horizontal="center"/>
    </xf>
    <xf numFmtId="0" fontId="0" fillId="10" borderId="17" xfId="0" applyFont="1" applyFill="1" applyBorder="1" applyAlignment="1">
      <alignment horizontal="center"/>
    </xf>
    <xf numFmtId="0" fontId="0" fillId="10" borderId="31" xfId="0" applyFont="1" applyFill="1" applyBorder="1" applyAlignment="1">
      <alignment horizontal="center"/>
    </xf>
    <xf numFmtId="0" fontId="3" fillId="0" borderId="0" xfId="0" applyFont="1" applyAlignment="1">
      <alignment horizontal="center" vertical="top"/>
    </xf>
    <xf numFmtId="0" fontId="0" fillId="0" borderId="0" xfId="0" applyFont="1" applyAlignment="1"/>
    <xf numFmtId="0" fontId="3" fillId="0" borderId="0" xfId="0" applyFont="1" applyAlignment="1">
      <alignment vertical="top"/>
    </xf>
    <xf numFmtId="0" fontId="3" fillId="0" borderId="0" xfId="0" applyFont="1" applyAlignment="1"/>
    <xf numFmtId="0" fontId="1" fillId="0" borderId="0" xfId="0" applyFont="1" applyAlignment="1">
      <alignment wrapText="1"/>
    </xf>
    <xf numFmtId="3" fontId="0" fillId="0" borderId="0" xfId="0" applyNumberFormat="1" applyFont="1" applyAlignment="1"/>
    <xf numFmtId="2" fontId="0" fillId="0" borderId="3" xfId="0" applyNumberFormat="1" applyFont="1" applyBorder="1" applyAlignment="1"/>
    <xf numFmtId="2" fontId="18" fillId="0" borderId="3" xfId="0" applyNumberFormat="1" applyFont="1" applyBorder="1" applyAlignment="1"/>
    <xf numFmtId="0" fontId="10" fillId="7" borderId="3" xfId="0" applyFont="1" applyFill="1" applyBorder="1" applyAlignment="1">
      <alignment horizontal="center"/>
    </xf>
    <xf numFmtId="0" fontId="0" fillId="8" borderId="3" xfId="0" applyFont="1" applyFill="1" applyBorder="1" applyAlignment="1"/>
    <xf numFmtId="0" fontId="1" fillId="7" borderId="3" xfId="0" applyFont="1" applyFill="1" applyBorder="1" applyAlignment="1"/>
    <xf numFmtId="2" fontId="0" fillId="0" borderId="0" xfId="0" applyNumberFormat="1" applyFont="1" applyAlignment="1"/>
    <xf numFmtId="3" fontId="15" fillId="0" borderId="3" xfId="0" applyNumberFormat="1" applyFont="1" applyBorder="1" applyAlignment="1"/>
    <xf numFmtId="0" fontId="10" fillId="7" borderId="34" xfId="0" applyFont="1" applyFill="1" applyBorder="1" applyAlignment="1"/>
    <xf numFmtId="0" fontId="1" fillId="0" borderId="34" xfId="0" applyFont="1" applyFill="1" applyBorder="1" applyAlignment="1"/>
    <xf numFmtId="3" fontId="15" fillId="0" borderId="4" xfId="0" applyNumberFormat="1" applyFont="1" applyBorder="1" applyAlignment="1"/>
    <xf numFmtId="2" fontId="18" fillId="0" borderId="4" xfId="0" applyNumberFormat="1" applyFont="1" applyBorder="1" applyAlignment="1"/>
    <xf numFmtId="0" fontId="1" fillId="0" borderId="4" xfId="0" applyFont="1" applyFill="1" applyBorder="1" applyAlignment="1"/>
    <xf numFmtId="2" fontId="18" fillId="0" borderId="14" xfId="0" applyNumberFormat="1" applyFont="1" applyBorder="1" applyAlignment="1"/>
    <xf numFmtId="10" fontId="0" fillId="0" borderId="0" xfId="0" applyNumberFormat="1" applyFont="1" applyAlignment="1"/>
    <xf numFmtId="0" fontId="0" fillId="12" borderId="3" xfId="0" applyFont="1" applyFill="1" applyBorder="1" applyAlignment="1"/>
    <xf numFmtId="0" fontId="10" fillId="0" borderId="3" xfId="0" applyFont="1" applyBorder="1" applyAlignment="1">
      <alignment horizontal="center"/>
    </xf>
    <xf numFmtId="8" fontId="0" fillId="0" borderId="0" xfId="0" applyNumberFormat="1" applyFont="1" applyAlignment="1"/>
    <xf numFmtId="2" fontId="18" fillId="13" borderId="3" xfId="0" applyNumberFormat="1" applyFont="1" applyFill="1" applyBorder="1" applyAlignment="1"/>
    <xf numFmtId="0" fontId="0" fillId="13" borderId="0" xfId="0" applyFont="1" applyFill="1" applyAlignment="1"/>
    <xf numFmtId="0" fontId="16" fillId="13" borderId="3" xfId="0" applyFont="1" applyFill="1" applyBorder="1" applyAlignment="1"/>
    <xf numFmtId="0" fontId="16" fillId="13" borderId="0" xfId="0" applyFont="1" applyFill="1" applyAlignment="1"/>
    <xf numFmtId="3" fontId="17" fillId="13" borderId="3" xfId="0" applyNumberFormat="1" applyFont="1" applyFill="1" applyBorder="1" applyAlignment="1"/>
    <xf numFmtId="3" fontId="17" fillId="14" borderId="3" xfId="0" applyNumberFormat="1" applyFont="1" applyFill="1" applyBorder="1" applyAlignment="1"/>
    <xf numFmtId="2" fontId="18" fillId="14" borderId="3" xfId="0" applyNumberFormat="1" applyFont="1" applyFill="1" applyBorder="1" applyAlignment="1"/>
    <xf numFmtId="0" fontId="16" fillId="14" borderId="3" xfId="0" applyFont="1" applyFill="1" applyBorder="1" applyAlignment="1"/>
    <xf numFmtId="0" fontId="1" fillId="14" borderId="3" xfId="0" applyFont="1" applyFill="1" applyBorder="1" applyAlignment="1"/>
    <xf numFmtId="0" fontId="0" fillId="14" borderId="3" xfId="0" applyFont="1" applyFill="1" applyBorder="1" applyAlignment="1"/>
    <xf numFmtId="2" fontId="18" fillId="14" borderId="14" xfId="0" applyNumberFormat="1" applyFont="1" applyFill="1" applyBorder="1" applyAlignment="1"/>
    <xf numFmtId="0" fontId="1" fillId="14" borderId="14" xfId="0" applyFont="1" applyFill="1" applyBorder="1" applyAlignment="1"/>
    <xf numFmtId="0" fontId="1" fillId="14" borderId="34" xfId="0" applyFont="1" applyFill="1" applyBorder="1" applyAlignment="1"/>
    <xf numFmtId="0" fontId="0" fillId="14" borderId="34" xfId="0" applyFont="1" applyFill="1" applyBorder="1" applyAlignment="1"/>
    <xf numFmtId="0" fontId="0" fillId="10" borderId="3" xfId="0" applyFont="1" applyFill="1" applyBorder="1" applyAlignment="1">
      <alignment horizontal="center"/>
    </xf>
    <xf numFmtId="0" fontId="0" fillId="14" borderId="0" xfId="0" applyFont="1" applyFill="1" applyAlignment="1"/>
    <xf numFmtId="0" fontId="1" fillId="0" borderId="32" xfId="0" applyFont="1" applyFill="1" applyBorder="1" applyAlignment="1"/>
    <xf numFmtId="2" fontId="0" fillId="0" borderId="32" xfId="0" applyNumberFormat="1" applyFont="1" applyFill="1" applyBorder="1" applyAlignment="1"/>
    <xf numFmtId="2" fontId="0" fillId="0" borderId="37" xfId="0" applyNumberFormat="1" applyFont="1" applyFill="1" applyBorder="1" applyAlignment="1"/>
    <xf numFmtId="2" fontId="0" fillId="0" borderId="0" xfId="0" applyNumberFormat="1" applyFont="1" applyFill="1" applyBorder="1" applyAlignment="1"/>
    <xf numFmtId="0" fontId="10" fillId="7" borderId="38" xfId="0" applyFont="1" applyFill="1" applyBorder="1" applyAlignment="1"/>
    <xf numFmtId="0" fontId="0" fillId="4" borderId="3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6.2321722889188687</c:v>
              </c:pt>
              <c:pt idx="1">
                <c:v>19.638119482107978</c:v>
              </c:pt>
              <c:pt idx="2">
                <c:v>35.306499602150673</c:v>
              </c:pt>
              <c:pt idx="3">
                <c:v>49.546383325347662</c:v>
              </c:pt>
              <c:pt idx="4">
                <c:v>59.983970166334196</c:v>
              </c:pt>
              <c:pt idx="5">
                <c:v>65.779780826747469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0F7-480B-8092-D023BC27E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685072"/>
        <c:axId val="1608382384"/>
      </c:lineChart>
      <c:catAx>
        <c:axId val="141268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8382384"/>
        <c:crosses val="autoZero"/>
        <c:auto val="1"/>
        <c:lblAlgn val="ctr"/>
        <c:lblOffset val="100"/>
        <c:noMultiLvlLbl val="0"/>
      </c:catAx>
      <c:valAx>
        <c:axId val="160838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26850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8.524890943222367</c:v>
              </c:pt>
              <c:pt idx="1">
                <c:v>20.208216729638334</c:v>
              </c:pt>
              <c:pt idx="2">
                <c:v>32.138467997141191</c:v>
              </c:pt>
              <c:pt idx="3">
                <c:v>42.108429713002899</c:v>
              </c:pt>
              <c:pt idx="4">
                <c:v>48.976339815700349</c:v>
              </c:pt>
              <c:pt idx="5">
                <c:v>52.6132046504326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5ACE-4E01-84E3-F77970FC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679040"/>
        <c:axId val="1466492928"/>
      </c:lineChart>
      <c:catAx>
        <c:axId val="141267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6492928"/>
        <c:crosses val="autoZero"/>
        <c:auto val="1"/>
        <c:lblAlgn val="ctr"/>
        <c:lblOffset val="100"/>
        <c:noMultiLvlLbl val="0"/>
      </c:catAx>
      <c:valAx>
        <c:axId val="146649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26790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4.5637288100273308</c:v>
              </c:pt>
              <c:pt idx="1">
                <c:v>12.156063554345549</c:v>
              </c:pt>
              <c:pt idx="2">
                <c:v>20.468653892529623</c:v>
              </c:pt>
              <c:pt idx="3">
                <c:v>27.73907540136906</c:v>
              </c:pt>
              <c:pt idx="4">
                <c:v>32.924297853780629</c:v>
              </c:pt>
              <c:pt idx="5">
                <c:v>35.744613458611077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E1A-43D2-A2D3-B803DA51E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676256"/>
        <c:axId val="1466492448"/>
      </c:lineChart>
      <c:catAx>
        <c:axId val="1412676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6492448"/>
        <c:crosses val="autoZero"/>
        <c:auto val="1"/>
        <c:lblAlgn val="ctr"/>
        <c:lblOffset val="100"/>
        <c:noMultiLvlLbl val="0"/>
      </c:catAx>
      <c:valAx>
        <c:axId val="14664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26762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6.2321722889188687</c:v>
              </c:pt>
              <c:pt idx="1">
                <c:v>19.638119482107978</c:v>
              </c:pt>
              <c:pt idx="2">
                <c:v>35.306499602150673</c:v>
              </c:pt>
              <c:pt idx="3">
                <c:v>49.546383325347662</c:v>
              </c:pt>
              <c:pt idx="4">
                <c:v>59.983970166334196</c:v>
              </c:pt>
              <c:pt idx="5">
                <c:v>65.779780826747469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0A3-4EA4-80E3-0DA11ABB5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3248352"/>
        <c:axId val="1474507568"/>
      </c:lineChart>
      <c:catAx>
        <c:axId val="147324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4507568"/>
        <c:crosses val="autoZero"/>
        <c:auto val="1"/>
        <c:lblAlgn val="ctr"/>
        <c:lblOffset val="100"/>
        <c:noMultiLvlLbl val="0"/>
      </c:catAx>
      <c:valAx>
        <c:axId val="147450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32483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8.524890943222367</c:v>
              </c:pt>
              <c:pt idx="1">
                <c:v>20.208216729638334</c:v>
              </c:pt>
              <c:pt idx="2">
                <c:v>32.138467997141191</c:v>
              </c:pt>
              <c:pt idx="3">
                <c:v>42.108429713002899</c:v>
              </c:pt>
              <c:pt idx="4">
                <c:v>48.976339815700349</c:v>
              </c:pt>
              <c:pt idx="5">
                <c:v>52.6132046504326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5ED-4705-A4B1-C88C94B4B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3278048"/>
        <c:axId val="1474503248"/>
      </c:lineChart>
      <c:catAx>
        <c:axId val="147327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4503248"/>
        <c:crosses val="autoZero"/>
        <c:auto val="1"/>
        <c:lblAlgn val="ctr"/>
        <c:lblOffset val="100"/>
        <c:noMultiLvlLbl val="0"/>
      </c:catAx>
      <c:valAx>
        <c:axId val="147450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32780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4.5637288100273308</c:v>
              </c:pt>
              <c:pt idx="1">
                <c:v>12.156063554345549</c:v>
              </c:pt>
              <c:pt idx="2">
                <c:v>20.468653892529623</c:v>
              </c:pt>
              <c:pt idx="3">
                <c:v>27.73907540136906</c:v>
              </c:pt>
              <c:pt idx="4">
                <c:v>32.924297853780629</c:v>
              </c:pt>
              <c:pt idx="5">
                <c:v>35.744613458611077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FD4-4BDF-AE03-7EC88B5AA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3231184"/>
        <c:axId val="1474505168"/>
      </c:lineChart>
      <c:catAx>
        <c:axId val="147323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4505168"/>
        <c:crosses val="autoZero"/>
        <c:auto val="1"/>
        <c:lblAlgn val="ctr"/>
        <c:lblOffset val="100"/>
        <c:noMultiLvlLbl val="0"/>
      </c:catAx>
      <c:valAx>
        <c:axId val="147450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3231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6.2321722889188687</c:v>
              </c:pt>
              <c:pt idx="1">
                <c:v>19.638119482107978</c:v>
              </c:pt>
              <c:pt idx="2">
                <c:v>35.306499602150673</c:v>
              </c:pt>
              <c:pt idx="3">
                <c:v>49.546383325347662</c:v>
              </c:pt>
              <c:pt idx="4">
                <c:v>59.983970166334196</c:v>
              </c:pt>
              <c:pt idx="5">
                <c:v>65.779780826747469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7E2A-470E-B190-558BD2B7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3216336"/>
        <c:axId val="1474503728"/>
      </c:lineChart>
      <c:catAx>
        <c:axId val="1473216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4503728"/>
        <c:crosses val="autoZero"/>
        <c:auto val="1"/>
        <c:lblAlgn val="ctr"/>
        <c:lblOffset val="100"/>
        <c:noMultiLvlLbl val="0"/>
      </c:catAx>
      <c:valAx>
        <c:axId val="147450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32163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8.524890943222367</c:v>
              </c:pt>
              <c:pt idx="1">
                <c:v>20.208216729638334</c:v>
              </c:pt>
              <c:pt idx="2">
                <c:v>32.138467997141191</c:v>
              </c:pt>
              <c:pt idx="3">
                <c:v>42.108429713002899</c:v>
              </c:pt>
              <c:pt idx="4">
                <c:v>48.976339815700349</c:v>
              </c:pt>
              <c:pt idx="5">
                <c:v>52.6132046504326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7C1-444B-803E-FDF1447FE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3230720"/>
        <c:axId val="1474505648"/>
      </c:lineChart>
      <c:catAx>
        <c:axId val="147323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4505648"/>
        <c:crosses val="autoZero"/>
        <c:auto val="1"/>
        <c:lblAlgn val="ctr"/>
        <c:lblOffset val="100"/>
        <c:noMultiLvlLbl val="0"/>
      </c:catAx>
      <c:valAx>
        <c:axId val="147450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32307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4.5637288100273308</c:v>
              </c:pt>
              <c:pt idx="1">
                <c:v>12.156063554345549</c:v>
              </c:pt>
              <c:pt idx="2">
                <c:v>20.468653892529623</c:v>
              </c:pt>
              <c:pt idx="3">
                <c:v>27.73907540136906</c:v>
              </c:pt>
              <c:pt idx="4">
                <c:v>32.924297853780629</c:v>
              </c:pt>
              <c:pt idx="5">
                <c:v>35.744613458611077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B3E-4E08-B43D-5A4B8362A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3238608"/>
        <c:axId val="1474506608"/>
      </c:lineChart>
      <c:catAx>
        <c:axId val="147323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4506608"/>
        <c:crosses val="autoZero"/>
        <c:auto val="1"/>
        <c:lblAlgn val="ctr"/>
        <c:lblOffset val="100"/>
        <c:noMultiLvlLbl val="0"/>
      </c:catAx>
      <c:valAx>
        <c:axId val="1474506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32386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6.19473196759954</c:v>
              </c:pt>
              <c:pt idx="1">
                <c:v>19.416064010818243</c:v>
              </c:pt>
              <c:pt idx="2">
                <c:v>34.713815228906306</c:v>
              </c:pt>
              <c:pt idx="3">
                <c:v>48.334975717987845</c:v>
              </c:pt>
              <c:pt idx="4">
                <c:v>56.831737372873</c:v>
              </c:pt>
              <c:pt idx="5">
                <c:v>60.892019802830255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2-D1E4-477D-9260-B5FEFB6A7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51424"/>
        <c:axId val="1618281536"/>
      </c:lineChart>
      <c:catAx>
        <c:axId val="161555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8281536"/>
        <c:crosses val="autoZero"/>
        <c:auto val="1"/>
        <c:lblAlgn val="ctr"/>
        <c:lblOffset val="100"/>
        <c:noMultiLvlLbl val="0"/>
      </c:catAx>
      <c:valAx>
        <c:axId val="161828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5514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8.480347307922294</c:v>
              </c:pt>
              <c:pt idx="1">
                <c:v>20.003776237589424</c:v>
              </c:pt>
              <c:pt idx="2">
                <c:v>31.653686659598193</c:v>
              </c:pt>
              <c:pt idx="3">
                <c:v>41.191823272857363</c:v>
              </c:pt>
              <c:pt idx="4">
                <c:v>46.787026812829211</c:v>
              </c:pt>
              <c:pt idx="5">
                <c:v>49.334994978836576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2-3BE7-4383-85AA-6B4059291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52816"/>
        <c:axId val="1618282496"/>
      </c:lineChart>
      <c:catAx>
        <c:axId val="161555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18282496"/>
        <c:crosses val="autoZero"/>
        <c:auto val="1"/>
        <c:lblAlgn val="ctr"/>
        <c:lblOffset val="100"/>
        <c:noMultiLvlLbl val="0"/>
      </c:catAx>
      <c:valAx>
        <c:axId val="161828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5528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2582677165354E-2"/>
          <c:y val="3.8369304556354913E-2"/>
          <c:w val="0.8928741732283465"/>
          <c:h val="0.83351687154213638"/>
        </c:manualLayout>
      </c:layout>
      <c:lineChart>
        <c:grouping val="standard"/>
        <c:varyColors val="0"/>
        <c:ser>
          <c:idx val="0"/>
          <c:order val="0"/>
          <c:cat>
            <c:numLit>
              <c:formatCode>General</c:formatCode>
              <c:ptCount val="6"/>
              <c:pt idx="0">
                <c:v>10</c:v>
              </c:pt>
              <c:pt idx="1">
                <c:v>20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  <c:pt idx="5">
                <c:v>60</c:v>
              </c:pt>
            </c:numLit>
          </c:cat>
          <c:val>
            <c:numLit>
              <c:formatCode>General</c:formatCode>
              <c:ptCount val="6"/>
              <c:pt idx="0">
                <c:v>4.538497251241</c:v>
              </c:pt>
              <c:pt idx="1">
                <c:v>12.026364883486774</c:v>
              </c:pt>
              <c:pt idx="2">
                <c:v>20.142678474967962</c:v>
              </c:pt>
              <c:pt idx="3">
                <c:v>27.097154829126342</c:v>
              </c:pt>
              <c:pt idx="4">
                <c:v>31.317178036365526</c:v>
              </c:pt>
              <c:pt idx="5">
                <c:v>33.291410981780729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2-D286-46E2-9AB2-D9262BF4C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7903632"/>
        <c:axId val="1407137680"/>
      </c:lineChart>
      <c:catAx>
        <c:axId val="160790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7137680"/>
        <c:crosses val="autoZero"/>
        <c:auto val="1"/>
        <c:lblAlgn val="ctr"/>
        <c:lblOffset val="100"/>
        <c:noMultiLvlLbl val="0"/>
      </c:catAx>
      <c:valAx>
        <c:axId val="140713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79036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15</xdr:col>
      <xdr:colOff>665333</xdr:colOff>
      <xdr:row>43</xdr:row>
      <xdr:rowOff>161095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85775"/>
          <a:ext cx="11333333" cy="6638095"/>
        </a:xfrm>
        <a:prstGeom prst="rect">
          <a:avLst/>
        </a:prstGeom>
      </xdr:spPr>
    </xdr:pic>
    <xdr:clientData/>
  </xdr:twoCellAnchor>
  <xdr:twoCellAnchor editAs="oneCell">
    <xdr:from>
      <xdr:col>15</xdr:col>
      <xdr:colOff>657225</xdr:colOff>
      <xdr:row>3</xdr:row>
      <xdr:rowOff>76200</xdr:rowOff>
    </xdr:from>
    <xdr:to>
      <xdr:col>23</xdr:col>
      <xdr:colOff>189796</xdr:colOff>
      <xdr:row>54</xdr:row>
      <xdr:rowOff>122787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561975"/>
          <a:ext cx="5628571" cy="83047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95250</xdr:rowOff>
    </xdr:from>
    <xdr:to>
      <xdr:col>15</xdr:col>
      <xdr:colOff>417714</xdr:colOff>
      <xdr:row>56</xdr:row>
      <xdr:rowOff>9293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7219950"/>
          <a:ext cx="11085714" cy="18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1334750" cy="3171825"/>
    <xdr:pic>
      <xdr:nvPicPr>
        <xdr:cNvPr id="2" name="image3.png" title="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16</xdr:row>
      <xdr:rowOff>19050</xdr:rowOff>
    </xdr:from>
    <xdr:ext cx="11391900" cy="3171825"/>
    <xdr:pic>
      <xdr:nvPicPr>
        <xdr:cNvPr id="3" name="image1.png" title="Image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32</xdr:row>
      <xdr:rowOff>66675</xdr:rowOff>
    </xdr:from>
    <xdr:ext cx="11410950" cy="3000375"/>
    <xdr:pic>
      <xdr:nvPicPr>
        <xdr:cNvPr id="4" name="image2.png" title="Image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3</xdr:row>
          <xdr:rowOff>95250</xdr:rowOff>
        </xdr:from>
        <xdr:to>
          <xdr:col>7</xdr:col>
          <xdr:colOff>809625</xdr:colOff>
          <xdr:row>6</xdr:row>
          <xdr:rowOff>9525</xdr:rowOff>
        </xdr:to>
        <xdr:sp macro="" textlink="">
          <xdr:nvSpPr>
            <xdr:cNvPr id="5123" name="cmdSinTto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7</xdr:row>
          <xdr:rowOff>104775</xdr:rowOff>
        </xdr:from>
        <xdr:to>
          <xdr:col>7</xdr:col>
          <xdr:colOff>809625</xdr:colOff>
          <xdr:row>10</xdr:row>
          <xdr:rowOff>19050</xdr:rowOff>
        </xdr:to>
        <xdr:sp macro="" textlink="">
          <xdr:nvSpPr>
            <xdr:cNvPr id="5125" name="cmdConTto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11</xdr:row>
          <xdr:rowOff>9525</xdr:rowOff>
        </xdr:from>
        <xdr:to>
          <xdr:col>7</xdr:col>
          <xdr:colOff>800100</xdr:colOff>
          <xdr:row>13</xdr:row>
          <xdr:rowOff>114300</xdr:rowOff>
        </xdr:to>
        <xdr:sp macro="" textlink="">
          <xdr:nvSpPr>
            <xdr:cNvPr id="5126" name="CommandButton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05" name="Gráfico 104">
          <a:extLst>
            <a:ext uri="{FF2B5EF4-FFF2-40B4-BE49-F238E27FC236}">
              <a16:creationId xmlns:a16="http://schemas.microsoft.com/office/drawing/2014/main" id="{A9833CF0-9BB3-1D22-673B-01252253D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06" name="Gráfico 105">
          <a:extLst>
            <a:ext uri="{FF2B5EF4-FFF2-40B4-BE49-F238E27FC236}">
              <a16:creationId xmlns:a16="http://schemas.microsoft.com/office/drawing/2014/main" id="{05918033-E77A-D283-513D-651665814F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07" name="Gráfico 106">
          <a:extLst>
            <a:ext uri="{FF2B5EF4-FFF2-40B4-BE49-F238E27FC236}">
              <a16:creationId xmlns:a16="http://schemas.microsoft.com/office/drawing/2014/main" id="{86593DE1-198C-9C6F-1268-7B468C042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08" name="Gráfico 107">
          <a:extLst>
            <a:ext uri="{FF2B5EF4-FFF2-40B4-BE49-F238E27FC236}">
              <a16:creationId xmlns:a16="http://schemas.microsoft.com/office/drawing/2014/main" id="{417177C0-6964-F1B8-2094-1A95250B8B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09" name="Gráfico 108">
          <a:extLst>
            <a:ext uri="{FF2B5EF4-FFF2-40B4-BE49-F238E27FC236}">
              <a16:creationId xmlns:a16="http://schemas.microsoft.com/office/drawing/2014/main" id="{71A5CD6F-2FC9-12E8-635C-1E2156D137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10" name="Gráfico 109">
          <a:extLst>
            <a:ext uri="{FF2B5EF4-FFF2-40B4-BE49-F238E27FC236}">
              <a16:creationId xmlns:a16="http://schemas.microsoft.com/office/drawing/2014/main" id="{CCF95428-F383-786B-E610-5ED89B1B8E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11" name="Gráfico 110">
          <a:extLst>
            <a:ext uri="{FF2B5EF4-FFF2-40B4-BE49-F238E27FC236}">
              <a16:creationId xmlns:a16="http://schemas.microsoft.com/office/drawing/2014/main" id="{68CB1295-8E58-E2B4-B754-2441289D6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12" name="Gráfico 111">
          <a:extLst>
            <a:ext uri="{FF2B5EF4-FFF2-40B4-BE49-F238E27FC236}">
              <a16:creationId xmlns:a16="http://schemas.microsoft.com/office/drawing/2014/main" id="{010F5219-746D-3336-0A87-5DFF67F511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13" name="Gráfico 112">
          <a:extLst>
            <a:ext uri="{FF2B5EF4-FFF2-40B4-BE49-F238E27FC236}">
              <a16:creationId xmlns:a16="http://schemas.microsoft.com/office/drawing/2014/main" id="{061ACC11-96B6-3A91-3DD7-BF01A3EA6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14" name="Gráfico 113">
          <a:extLst>
            <a:ext uri="{FF2B5EF4-FFF2-40B4-BE49-F238E27FC236}">
              <a16:creationId xmlns:a16="http://schemas.microsoft.com/office/drawing/2014/main" id="{0C4DBCA2-6B26-D977-6789-F4B81478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0</xdr:colOff>
      <xdr:row>21</xdr:row>
      <xdr:rowOff>9525</xdr:rowOff>
    </xdr:from>
    <xdr:to>
      <xdr:col>19</xdr:col>
      <xdr:colOff>508000</xdr:colOff>
      <xdr:row>37</xdr:row>
      <xdr:rowOff>85725</xdr:rowOff>
    </xdr:to>
    <xdr:graphicFrame macro="">
      <xdr:nvGraphicFramePr>
        <xdr:cNvPr id="115" name="Gráfico 114">
          <a:extLst>
            <a:ext uri="{FF2B5EF4-FFF2-40B4-BE49-F238E27FC236}">
              <a16:creationId xmlns:a16="http://schemas.microsoft.com/office/drawing/2014/main" id="{68B707DD-D123-5D97-04CB-DB253FC3FB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607219</xdr:colOff>
      <xdr:row>22</xdr:row>
      <xdr:rowOff>75009</xdr:rowOff>
    </xdr:from>
    <xdr:to>
      <xdr:col>19</xdr:col>
      <xdr:colOff>353219</xdr:colOff>
      <xdr:row>38</xdr:row>
      <xdr:rowOff>151209</xdr:rowOff>
    </xdr:to>
    <xdr:graphicFrame macro="">
      <xdr:nvGraphicFramePr>
        <xdr:cNvPr id="116" name="Gráfico 115">
          <a:extLst>
            <a:ext uri="{FF2B5EF4-FFF2-40B4-BE49-F238E27FC236}">
              <a16:creationId xmlns:a16="http://schemas.microsoft.com/office/drawing/2014/main" id="{74EEA1C7-C424-8920-64DE-7ADB65ED40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133350</xdr:rowOff>
    </xdr:from>
    <xdr:to>
      <xdr:col>11</xdr:col>
      <xdr:colOff>1351333</xdr:colOff>
      <xdr:row>25</xdr:row>
      <xdr:rowOff>104455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14D7FDC-2BA2-950F-ADC1-640BEE459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90675"/>
          <a:ext cx="9733333" cy="25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25</xdr:row>
      <xdr:rowOff>152400</xdr:rowOff>
    </xdr:from>
    <xdr:to>
      <xdr:col>10</xdr:col>
      <xdr:colOff>180020</xdr:colOff>
      <xdr:row>58</xdr:row>
      <xdr:rowOff>113637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1AD394-215D-1B9E-7236-C880D4BAC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4200525"/>
          <a:ext cx="7638095" cy="5304762"/>
        </a:xfrm>
        <a:prstGeom prst="rect">
          <a:avLst/>
        </a:prstGeom>
      </xdr:spPr>
    </xdr:pic>
    <xdr:clientData/>
  </xdr:twoCellAnchor>
  <xdr:twoCellAnchor editAs="oneCell">
    <xdr:from>
      <xdr:col>10</xdr:col>
      <xdr:colOff>161925</xdr:colOff>
      <xdr:row>24</xdr:row>
      <xdr:rowOff>142875</xdr:rowOff>
    </xdr:from>
    <xdr:to>
      <xdr:col>17</xdr:col>
      <xdr:colOff>1294471</xdr:colOff>
      <xdr:row>38</xdr:row>
      <xdr:rowOff>37830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B953795-A838-8C4F-5152-F17092561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781925" y="4029075"/>
          <a:ext cx="7428571" cy="2161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284830</xdr:colOff>
      <xdr:row>34</xdr:row>
      <xdr:rowOff>8836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7A2FC20-287F-4F4E-994A-0D9354177E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361905" cy="55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10</xdr:col>
      <xdr:colOff>322734</xdr:colOff>
      <xdr:row>52</xdr:row>
      <xdr:rowOff>28268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A97A663-D3E5-A745-1CA3-238B24270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91225"/>
          <a:ext cx="8923809" cy="24571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142875</xdr:rowOff>
        </xdr:from>
        <xdr:to>
          <xdr:col>4</xdr:col>
          <xdr:colOff>352425</xdr:colOff>
          <xdr:row>3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6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Ejecutar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0</xdr:row>
          <xdr:rowOff>142875</xdr:rowOff>
        </xdr:from>
        <xdr:to>
          <xdr:col>6</xdr:col>
          <xdr:colOff>323850</xdr:colOff>
          <xdr:row>2</xdr:row>
          <xdr:rowOff>28575</xdr:rowOff>
        </xdr:to>
        <xdr:sp macro="" textlink="">
          <xdr:nvSpPr>
            <xdr:cNvPr id="39938" name="Check Box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6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Informa 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2</xdr:row>
          <xdr:rowOff>9525</xdr:rowOff>
        </xdr:from>
        <xdr:to>
          <xdr:col>6</xdr:col>
          <xdr:colOff>142875</xdr:colOff>
          <xdr:row>3</xdr:row>
          <xdr:rowOff>95250</xdr:rowOff>
        </xdr:to>
        <xdr:sp macro="" textlink="">
          <xdr:nvSpPr>
            <xdr:cNvPr id="39939" name="Check Box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6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Informa Año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142875</xdr:rowOff>
        </xdr:from>
        <xdr:to>
          <xdr:col>4</xdr:col>
          <xdr:colOff>85725</xdr:colOff>
          <xdr:row>3</xdr:row>
          <xdr:rowOff>66675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Ejecutar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0</xdr:row>
          <xdr:rowOff>142875</xdr:rowOff>
        </xdr:from>
        <xdr:to>
          <xdr:col>6</xdr:col>
          <xdr:colOff>180975</xdr:colOff>
          <xdr:row>2</xdr:row>
          <xdr:rowOff>28575</xdr:rowOff>
        </xdr:to>
        <xdr:sp macro="" textlink="">
          <xdr:nvSpPr>
            <xdr:cNvPr id="21506" name="Check Box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Informa 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752475</xdr:colOff>
          <xdr:row>2</xdr:row>
          <xdr:rowOff>9525</xdr:rowOff>
        </xdr:from>
        <xdr:to>
          <xdr:col>6</xdr:col>
          <xdr:colOff>0</xdr:colOff>
          <xdr:row>3</xdr:row>
          <xdr:rowOff>95250</xdr:rowOff>
        </xdr:to>
        <xdr:sp macro="" textlink="">
          <xdr:nvSpPr>
            <xdr:cNvPr id="21507" name="Check Box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Informa Año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681F-9F45-4313-9F9D-AF9D560CDC89}">
  <sheetPr codeName="Hoja6"/>
  <dimension ref="A1"/>
  <sheetViews>
    <sheetView topLeftCell="A19" zoomScale="85" zoomScaleNormal="85" workbookViewId="0">
      <selection activeCell="J61" sqref="J61"/>
    </sheetView>
  </sheetViews>
  <sheetFormatPr baseColWidth="10"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outlinePr summaryBelow="0" summaryRight="0"/>
  </sheetPr>
  <dimension ref="P1:P6"/>
  <sheetViews>
    <sheetView workbookViewId="0">
      <selection activeCell="R13" sqref="R12:R13"/>
    </sheetView>
  </sheetViews>
  <sheetFormatPr baseColWidth="10" defaultColWidth="12.5703125" defaultRowHeight="15.75" customHeight="1" x14ac:dyDescent="0.2"/>
  <sheetData>
    <row r="1" spans="16:16" ht="15.75" customHeight="1" x14ac:dyDescent="0.2">
      <c r="P1" s="43" t="s">
        <v>272</v>
      </c>
    </row>
    <row r="2" spans="16:16" ht="15.75" customHeight="1" x14ac:dyDescent="0.2">
      <c r="P2" s="43" t="s">
        <v>273</v>
      </c>
    </row>
    <row r="3" spans="16:16" ht="15.75" customHeight="1" x14ac:dyDescent="0.2">
      <c r="P3" s="43" t="s">
        <v>274</v>
      </c>
    </row>
    <row r="4" spans="16:16" ht="15.75" customHeight="1" x14ac:dyDescent="0.2">
      <c r="P4" s="43" t="s">
        <v>275</v>
      </c>
    </row>
    <row r="5" spans="16:16" ht="15.75" customHeight="1" x14ac:dyDescent="0.2">
      <c r="P5" s="43" t="s">
        <v>276</v>
      </c>
    </row>
    <row r="6" spans="16:16" ht="15.75" customHeight="1" x14ac:dyDescent="0.2">
      <c r="P6" s="43" t="s">
        <v>277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FB7A-5FE1-485F-BA17-BE6DB41F365E}">
  <sheetPr codeName="Hoja3"/>
  <dimension ref="B10:S41"/>
  <sheetViews>
    <sheetView topLeftCell="A7" workbookViewId="0">
      <selection activeCell="J28" sqref="J28"/>
    </sheetView>
  </sheetViews>
  <sheetFormatPr baseColWidth="10" defaultRowHeight="12.75" x14ac:dyDescent="0.2"/>
  <cols>
    <col min="2" max="2" width="18.28515625" customWidth="1"/>
  </cols>
  <sheetData>
    <row r="10" spans="2:14" x14ac:dyDescent="0.2">
      <c r="C10" s="215" t="s">
        <v>15</v>
      </c>
      <c r="D10" s="215"/>
      <c r="E10" s="215" t="s">
        <v>16</v>
      </c>
      <c r="F10" s="215"/>
      <c r="G10" s="215" t="s">
        <v>17</v>
      </c>
      <c r="H10" s="215"/>
      <c r="I10" s="215" t="s">
        <v>263</v>
      </c>
      <c r="J10" s="215"/>
    </row>
    <row r="11" spans="2:14" x14ac:dyDescent="0.2">
      <c r="C11" s="153" t="s">
        <v>262</v>
      </c>
      <c r="D11" s="153" t="s">
        <v>37</v>
      </c>
      <c r="E11" s="153" t="s">
        <v>262</v>
      </c>
      <c r="F11" s="153" t="s">
        <v>37</v>
      </c>
      <c r="G11" s="153" t="s">
        <v>262</v>
      </c>
      <c r="H11" s="153" t="s">
        <v>37</v>
      </c>
      <c r="I11" s="153" t="s">
        <v>262</v>
      </c>
      <c r="J11" s="153" t="s">
        <v>37</v>
      </c>
    </row>
    <row r="12" spans="2:14" x14ac:dyDescent="0.2">
      <c r="B12" s="47" t="s">
        <v>264</v>
      </c>
      <c r="C12" s="208">
        <v>0.94499999999999995</v>
      </c>
      <c r="D12" s="208">
        <v>0.94499999999999995</v>
      </c>
      <c r="E12" s="208">
        <v>0.94499999999999995</v>
      </c>
      <c r="F12" s="208">
        <v>0.94499999999999995</v>
      </c>
      <c r="G12" s="208">
        <v>0.94499999999999995</v>
      </c>
      <c r="H12" s="208">
        <v>0.94499999999999995</v>
      </c>
      <c r="I12" s="208">
        <v>0.94499999999999995</v>
      </c>
      <c r="J12" s="208">
        <v>0.94499999999999995</v>
      </c>
      <c r="K12" s="206">
        <v>1</v>
      </c>
      <c r="L12" s="206">
        <v>1</v>
      </c>
      <c r="N12">
        <v>0.63</v>
      </c>
    </row>
    <row r="13" spans="2:14" x14ac:dyDescent="0.2">
      <c r="B13" s="47" t="s">
        <v>265</v>
      </c>
      <c r="C13" s="59">
        <v>12</v>
      </c>
      <c r="D13" s="59">
        <v>12</v>
      </c>
      <c r="E13" s="59">
        <v>12</v>
      </c>
      <c r="F13" s="59">
        <v>12</v>
      </c>
      <c r="G13" s="59">
        <v>12</v>
      </c>
      <c r="H13" s="59">
        <v>12</v>
      </c>
      <c r="I13" s="59">
        <v>12</v>
      </c>
      <c r="J13" s="59">
        <v>12</v>
      </c>
      <c r="N13">
        <v>0.01</v>
      </c>
    </row>
    <row r="14" spans="2:14" x14ac:dyDescent="0.2">
      <c r="B14" s="47" t="s">
        <v>266</v>
      </c>
      <c r="C14" s="59">
        <v>0.01</v>
      </c>
      <c r="D14" s="59">
        <v>0.01</v>
      </c>
      <c r="E14" s="59">
        <v>0.01</v>
      </c>
      <c r="F14" s="59">
        <v>0.01</v>
      </c>
      <c r="G14" s="59">
        <v>0</v>
      </c>
      <c r="H14" s="59">
        <v>0.02</v>
      </c>
      <c r="I14" s="59">
        <v>0</v>
      </c>
      <c r="J14" s="59">
        <v>0.01</v>
      </c>
    </row>
    <row r="15" spans="2:14" x14ac:dyDescent="0.2">
      <c r="C15" s="59">
        <v>0.98099999999999998</v>
      </c>
      <c r="D15" s="59">
        <v>0.93200000000000005</v>
      </c>
      <c r="E15" s="59">
        <v>0.98099999999999998</v>
      </c>
      <c r="F15" s="59">
        <v>0.93200000000000005</v>
      </c>
      <c r="G15" s="59">
        <v>0.97</v>
      </c>
      <c r="H15" s="59">
        <v>0.86</v>
      </c>
      <c r="I15" s="59">
        <v>0.95</v>
      </c>
      <c r="J15" s="59">
        <v>0.95</v>
      </c>
    </row>
    <row r="16" spans="2:14" x14ac:dyDescent="0.2">
      <c r="C16" s="59">
        <v>0.99</v>
      </c>
      <c r="D16" s="59">
        <v>0.97</v>
      </c>
      <c r="E16" s="59">
        <v>0.98099999999999998</v>
      </c>
      <c r="F16" s="59">
        <v>0.97</v>
      </c>
      <c r="G16" s="59">
        <v>0.96</v>
      </c>
      <c r="H16" s="59">
        <v>0.89</v>
      </c>
      <c r="I16" s="59">
        <v>0.99</v>
      </c>
      <c r="J16" s="59">
        <v>0.97</v>
      </c>
      <c r="K16" s="53"/>
      <c r="L16" s="53"/>
      <c r="M16" s="205"/>
    </row>
    <row r="17" spans="2:19" x14ac:dyDescent="0.2">
      <c r="D17" s="53"/>
      <c r="E17" s="53"/>
      <c r="F17" s="53"/>
      <c r="G17" s="53"/>
      <c r="H17" s="53"/>
      <c r="I17" s="53"/>
      <c r="J17" s="53"/>
      <c r="K17" s="53"/>
      <c r="L17" s="53"/>
    </row>
    <row r="18" spans="2:19" x14ac:dyDescent="0.2">
      <c r="D18" s="53"/>
      <c r="E18" s="53"/>
      <c r="F18" s="53"/>
      <c r="G18" s="53"/>
      <c r="H18" s="53"/>
      <c r="I18" s="53"/>
      <c r="J18" s="53"/>
      <c r="K18" s="53"/>
      <c r="L18" s="53"/>
    </row>
    <row r="19" spans="2:19" x14ac:dyDescent="0.2">
      <c r="B19" s="200"/>
      <c r="C19" s="215" t="s">
        <v>15</v>
      </c>
      <c r="D19" s="215"/>
      <c r="E19" s="215" t="s">
        <v>16</v>
      </c>
      <c r="F19" s="215"/>
      <c r="G19" s="215" t="s">
        <v>17</v>
      </c>
      <c r="H19" s="215"/>
      <c r="I19" s="215" t="s">
        <v>263</v>
      </c>
      <c r="J19" s="215"/>
      <c r="K19" s="53"/>
      <c r="L19" s="53"/>
    </row>
    <row r="20" spans="2:19" x14ac:dyDescent="0.2">
      <c r="B20" s="200"/>
      <c r="C20" s="153" t="s">
        <v>262</v>
      </c>
      <c r="D20" s="153" t="s">
        <v>37</v>
      </c>
      <c r="E20" s="153" t="s">
        <v>262</v>
      </c>
      <c r="F20" s="153" t="s">
        <v>37</v>
      </c>
      <c r="G20" s="153" t="s">
        <v>262</v>
      </c>
      <c r="H20" s="153" t="s">
        <v>37</v>
      </c>
      <c r="I20" s="153" t="s">
        <v>262</v>
      </c>
      <c r="J20" s="153" t="s">
        <v>37</v>
      </c>
      <c r="K20" s="53"/>
      <c r="L20" s="53"/>
    </row>
    <row r="21" spans="2:19" x14ac:dyDescent="0.2">
      <c r="B21" s="47" t="s">
        <v>264</v>
      </c>
      <c r="C21" s="59">
        <v>0.98099999999999998</v>
      </c>
      <c r="D21" s="59">
        <v>0.93200000000000005</v>
      </c>
      <c r="E21" s="59">
        <v>0.98099999999999998</v>
      </c>
      <c r="F21" s="59">
        <v>0.93200000000000005</v>
      </c>
      <c r="G21" s="59">
        <v>0.97</v>
      </c>
      <c r="H21" s="59">
        <v>0.86</v>
      </c>
      <c r="I21" s="59">
        <v>0.95</v>
      </c>
      <c r="J21" s="59">
        <v>0.95</v>
      </c>
      <c r="K21" s="53"/>
      <c r="L21" s="53"/>
    </row>
    <row r="22" spans="2:19" x14ac:dyDescent="0.2">
      <c r="B22" s="47" t="s">
        <v>265</v>
      </c>
      <c r="C22" s="59">
        <v>12</v>
      </c>
      <c r="D22" s="59">
        <v>12</v>
      </c>
      <c r="E22" s="59">
        <v>12</v>
      </c>
      <c r="F22" s="59">
        <v>12</v>
      </c>
      <c r="G22" s="59">
        <v>12</v>
      </c>
      <c r="H22" s="59">
        <v>24</v>
      </c>
      <c r="I22" s="59">
        <v>12</v>
      </c>
      <c r="J22" s="59">
        <v>12</v>
      </c>
      <c r="K22" s="53"/>
      <c r="L22" s="53"/>
    </row>
    <row r="23" spans="2:19" x14ac:dyDescent="0.2">
      <c r="B23" s="47" t="s">
        <v>266</v>
      </c>
      <c r="C23" s="59">
        <v>0.01</v>
      </c>
      <c r="D23" s="59">
        <v>0.01</v>
      </c>
      <c r="E23" s="59">
        <v>0.01</v>
      </c>
      <c r="F23" s="59">
        <v>0.01</v>
      </c>
      <c r="G23" s="59">
        <v>0</v>
      </c>
      <c r="H23" s="59">
        <v>0.02</v>
      </c>
      <c r="I23" s="59">
        <v>0.01</v>
      </c>
      <c r="J23" s="59">
        <v>0.01</v>
      </c>
      <c r="K23" s="53"/>
      <c r="L23" s="53"/>
    </row>
    <row r="24" spans="2:19" x14ac:dyDescent="0.2">
      <c r="B24" s="200"/>
      <c r="C24" s="59">
        <v>0.98099999999999998</v>
      </c>
      <c r="D24" s="59">
        <v>0.93200000000000005</v>
      </c>
      <c r="E24" s="59">
        <v>0.98099999999999998</v>
      </c>
      <c r="F24" s="59">
        <v>0.93200000000000005</v>
      </c>
      <c r="G24" s="59">
        <v>0.97</v>
      </c>
      <c r="H24" s="59">
        <v>0.86</v>
      </c>
      <c r="I24" s="59">
        <v>0.95</v>
      </c>
      <c r="J24" s="59">
        <v>0.95</v>
      </c>
      <c r="K24" s="53"/>
      <c r="L24" s="53"/>
    </row>
    <row r="25" spans="2:19" x14ac:dyDescent="0.2">
      <c r="B25" s="200"/>
      <c r="C25" s="200"/>
      <c r="D25" s="53"/>
      <c r="E25" s="53"/>
      <c r="F25" s="53"/>
      <c r="G25" s="53"/>
      <c r="H25" s="53"/>
      <c r="I25" s="53"/>
      <c r="J25" s="53"/>
      <c r="K25" s="53"/>
      <c r="L25" s="59">
        <v>0.75</v>
      </c>
      <c r="M25" s="59">
        <v>0.75</v>
      </c>
      <c r="N25" s="59">
        <v>0.75</v>
      </c>
      <c r="O25" s="59">
        <v>0.75</v>
      </c>
      <c r="P25" s="59">
        <v>0.75</v>
      </c>
      <c r="Q25" s="59">
        <v>0.75</v>
      </c>
      <c r="R25" s="59">
        <v>0.75</v>
      </c>
      <c r="S25" s="59">
        <v>0.75</v>
      </c>
    </row>
    <row r="26" spans="2:19" x14ac:dyDescent="0.2">
      <c r="D26" s="53"/>
      <c r="E26" s="53"/>
      <c r="F26" s="53"/>
      <c r="G26" s="53"/>
      <c r="H26" s="53"/>
      <c r="I26" s="53"/>
      <c r="J26" s="53"/>
      <c r="K26" s="53"/>
      <c r="L26" s="53"/>
    </row>
    <row r="33" spans="3:10" x14ac:dyDescent="0.2">
      <c r="C33" s="59">
        <v>0.99</v>
      </c>
      <c r="D33" s="59">
        <v>0.97</v>
      </c>
      <c r="E33" s="59">
        <v>0.98099999999999998</v>
      </c>
      <c r="F33" s="59">
        <v>0.97</v>
      </c>
      <c r="G33" s="59">
        <v>0.96</v>
      </c>
      <c r="H33" s="59">
        <v>0.89</v>
      </c>
      <c r="I33" s="59">
        <v>0.99</v>
      </c>
      <c r="J33" s="59">
        <v>0.97</v>
      </c>
    </row>
    <row r="41" spans="3:10" x14ac:dyDescent="0.2">
      <c r="J41">
        <v>0.48899999999999999</v>
      </c>
    </row>
  </sheetData>
  <mergeCells count="8">
    <mergeCell ref="C10:D10"/>
    <mergeCell ref="E10:F10"/>
    <mergeCell ref="G10:H10"/>
    <mergeCell ref="I10:J10"/>
    <mergeCell ref="C19:D19"/>
    <mergeCell ref="E19:F19"/>
    <mergeCell ref="G19:H19"/>
    <mergeCell ref="I19:J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12722-9180-45B4-8423-755226704779}">
  <sheetPr codeName="Hoja24"/>
  <dimension ref="A1:L25"/>
  <sheetViews>
    <sheetView workbookViewId="0">
      <selection activeCell="B2" sqref="B2:B13"/>
    </sheetView>
  </sheetViews>
  <sheetFormatPr baseColWidth="10" defaultRowHeight="12.75" x14ac:dyDescent="0.2"/>
  <sheetData>
    <row r="1" spans="1:7" x14ac:dyDescent="0.2">
      <c r="A1" s="48"/>
      <c r="B1" s="48" t="s">
        <v>326</v>
      </c>
      <c r="F1" s="43" t="s">
        <v>363</v>
      </c>
    </row>
    <row r="2" spans="1:7" x14ac:dyDescent="0.2">
      <c r="A2" s="48" t="s">
        <v>2</v>
      </c>
      <c r="B2" s="208">
        <v>0.68600000000000005</v>
      </c>
      <c r="C2" s="59">
        <v>1</v>
      </c>
      <c r="D2" s="59">
        <v>0.77</v>
      </c>
      <c r="E2" s="59">
        <v>0.93</v>
      </c>
      <c r="F2" s="208">
        <v>0.68600000000000005</v>
      </c>
      <c r="G2" s="208">
        <v>0.77</v>
      </c>
    </row>
    <row r="3" spans="1:7" x14ac:dyDescent="0.2">
      <c r="A3" s="48" t="s">
        <v>3</v>
      </c>
      <c r="B3" s="208">
        <v>0.68600000000000005</v>
      </c>
      <c r="C3" s="59">
        <v>1</v>
      </c>
      <c r="D3" s="59">
        <v>0.77</v>
      </c>
      <c r="E3" s="59">
        <v>0.93</v>
      </c>
      <c r="F3" s="208">
        <v>0.68600000000000005</v>
      </c>
      <c r="G3" s="208">
        <v>0.77</v>
      </c>
    </row>
    <row r="4" spans="1:7" x14ac:dyDescent="0.2">
      <c r="A4" s="48" t="s">
        <v>4</v>
      </c>
      <c r="B4" s="208">
        <v>0.68600000000000005</v>
      </c>
      <c r="C4" s="59">
        <v>1</v>
      </c>
      <c r="D4" s="59">
        <v>0.77</v>
      </c>
      <c r="E4" s="59">
        <v>0.93</v>
      </c>
      <c r="F4" s="208">
        <v>0.68600000000000005</v>
      </c>
      <c r="G4" s="208">
        <v>0.66</v>
      </c>
    </row>
    <row r="5" spans="1:7" x14ac:dyDescent="0.2">
      <c r="A5" s="48" t="s">
        <v>5</v>
      </c>
      <c r="B5" s="208">
        <v>0.68600000000000005</v>
      </c>
      <c r="C5" s="59">
        <v>1</v>
      </c>
      <c r="D5" s="59">
        <v>0.66</v>
      </c>
      <c r="E5" s="59">
        <v>0.93</v>
      </c>
      <c r="F5" s="208">
        <v>0.68600000000000005</v>
      </c>
      <c r="G5" s="208">
        <v>0.66</v>
      </c>
    </row>
    <row r="6" spans="1:7" x14ac:dyDescent="0.2">
      <c r="A6" s="48" t="s">
        <v>37</v>
      </c>
      <c r="B6" s="208">
        <v>0.68200000000000005</v>
      </c>
      <c r="C6" s="59">
        <v>1</v>
      </c>
      <c r="D6" s="59">
        <v>0.55000000000000004</v>
      </c>
      <c r="E6" s="59">
        <v>0.9</v>
      </c>
      <c r="F6" s="208">
        <v>0.68200000000000005</v>
      </c>
      <c r="G6" s="208">
        <v>0.55000000000000004</v>
      </c>
    </row>
    <row r="7" spans="1:7" x14ac:dyDescent="0.2">
      <c r="A7" s="48" t="s">
        <v>13</v>
      </c>
      <c r="B7" s="208">
        <v>0.53600000000000003</v>
      </c>
      <c r="C7" s="59">
        <v>0.80600000000000005</v>
      </c>
      <c r="D7" s="59">
        <v>0.45</v>
      </c>
      <c r="E7" s="59">
        <v>0.80600000000000005</v>
      </c>
      <c r="F7" s="208">
        <v>0.53600000000000003</v>
      </c>
      <c r="G7" s="208">
        <v>0.45</v>
      </c>
    </row>
    <row r="8" spans="1:7" x14ac:dyDescent="0.2">
      <c r="A8" s="48" t="s">
        <v>39</v>
      </c>
      <c r="B8" s="208">
        <v>0.95199999999999996</v>
      </c>
      <c r="C8" s="59">
        <v>0.49199999999999999</v>
      </c>
      <c r="D8" s="59">
        <v>0.45</v>
      </c>
      <c r="E8" s="59">
        <v>0.49199999999999999</v>
      </c>
      <c r="F8" s="208">
        <v>0.95199999999999996</v>
      </c>
      <c r="G8" s="208">
        <v>0.45</v>
      </c>
    </row>
    <row r="9" spans="1:7" x14ac:dyDescent="0.2">
      <c r="A9" s="48" t="s">
        <v>327</v>
      </c>
      <c r="B9" s="208">
        <v>1</v>
      </c>
      <c r="C9" s="59">
        <v>1</v>
      </c>
      <c r="D9" s="59">
        <v>0.82</v>
      </c>
      <c r="E9" s="59">
        <v>1</v>
      </c>
      <c r="F9" s="208">
        <v>1</v>
      </c>
      <c r="G9" s="208">
        <v>0.82</v>
      </c>
    </row>
    <row r="10" spans="1:7" x14ac:dyDescent="0.2">
      <c r="A10" s="48" t="s">
        <v>328</v>
      </c>
      <c r="B10" s="208">
        <v>1</v>
      </c>
      <c r="C10" s="59">
        <v>1</v>
      </c>
      <c r="D10" s="59">
        <v>0.82</v>
      </c>
      <c r="E10" s="59">
        <v>1</v>
      </c>
      <c r="F10" s="208">
        <v>1</v>
      </c>
      <c r="G10" s="208">
        <v>0.82</v>
      </c>
    </row>
    <row r="11" spans="1:7" x14ac:dyDescent="0.2">
      <c r="A11" s="48" t="s">
        <v>329</v>
      </c>
      <c r="B11" s="208">
        <v>1</v>
      </c>
      <c r="C11" s="59">
        <v>1</v>
      </c>
      <c r="D11" s="59">
        <v>0.82</v>
      </c>
      <c r="E11" s="59">
        <v>1</v>
      </c>
      <c r="F11" s="208">
        <v>1</v>
      </c>
      <c r="G11" s="208">
        <v>0.72</v>
      </c>
    </row>
    <row r="12" spans="1:7" x14ac:dyDescent="0.2">
      <c r="A12" s="48" t="s">
        <v>330</v>
      </c>
      <c r="B12" s="208">
        <v>1</v>
      </c>
      <c r="C12" s="59">
        <v>1</v>
      </c>
      <c r="D12" s="59">
        <v>0.72</v>
      </c>
      <c r="E12" s="59">
        <v>1</v>
      </c>
      <c r="F12" s="208">
        <v>1</v>
      </c>
      <c r="G12" s="208">
        <v>0.72</v>
      </c>
    </row>
    <row r="13" spans="1:7" x14ac:dyDescent="0.2">
      <c r="A13" s="48" t="s">
        <v>331</v>
      </c>
      <c r="B13" s="208">
        <v>1</v>
      </c>
      <c r="C13" s="59">
        <v>1</v>
      </c>
      <c r="D13" s="59">
        <v>0.72</v>
      </c>
      <c r="E13" s="59">
        <v>1</v>
      </c>
      <c r="F13" s="208">
        <v>1</v>
      </c>
      <c r="G13" s="208">
        <v>0.72</v>
      </c>
    </row>
    <row r="18" spans="11:12" x14ac:dyDescent="0.2">
      <c r="K18" s="43" t="s">
        <v>356</v>
      </c>
      <c r="L18" s="208">
        <v>0.77</v>
      </c>
    </row>
    <row r="19" spans="11:12" x14ac:dyDescent="0.2">
      <c r="K19" s="43" t="s">
        <v>357</v>
      </c>
      <c r="L19" s="208">
        <v>0.66</v>
      </c>
    </row>
    <row r="20" spans="11:12" x14ac:dyDescent="0.2">
      <c r="K20" s="43" t="s">
        <v>37</v>
      </c>
      <c r="L20" s="208">
        <v>0.55000000000000004</v>
      </c>
    </row>
    <row r="21" spans="11:12" x14ac:dyDescent="0.2">
      <c r="K21" s="43" t="s">
        <v>13</v>
      </c>
      <c r="L21" s="208">
        <v>0.45</v>
      </c>
    </row>
    <row r="22" spans="11:12" x14ac:dyDescent="0.2">
      <c r="K22" s="43" t="s">
        <v>39</v>
      </c>
      <c r="L22" s="208">
        <v>0.45</v>
      </c>
    </row>
    <row r="23" spans="11:12" x14ac:dyDescent="0.2">
      <c r="K23" s="43" t="s">
        <v>264</v>
      </c>
      <c r="L23" s="208">
        <v>0.82</v>
      </c>
    </row>
    <row r="24" spans="11:12" x14ac:dyDescent="0.2">
      <c r="K24" s="43" t="s">
        <v>358</v>
      </c>
      <c r="L24" s="208">
        <v>0.72</v>
      </c>
    </row>
    <row r="25" spans="11:12" x14ac:dyDescent="0.2">
      <c r="K25" s="43" t="s">
        <v>258</v>
      </c>
      <c r="L25" s="208">
        <v>0.72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7EE14-37BC-4F45-8DA2-94F3B2F7D9C8}">
  <sheetPr codeName="Hoja25"/>
  <dimension ref="B2:S723"/>
  <sheetViews>
    <sheetView zoomScaleNormal="100" workbookViewId="0">
      <selection activeCell="D24" sqref="D24"/>
    </sheetView>
  </sheetViews>
  <sheetFormatPr baseColWidth="10" defaultRowHeight="12.75" x14ac:dyDescent="0.2"/>
  <cols>
    <col min="2" max="16" width="11.42578125" style="59"/>
    <col min="17" max="17" width="29.28515625" style="59" customWidth="1"/>
    <col min="18" max="18" width="15.140625" style="59" customWidth="1"/>
    <col min="19" max="19" width="22.28515625" style="59" customWidth="1"/>
  </cols>
  <sheetData>
    <row r="2" spans="2:19" x14ac:dyDescent="0.2">
      <c r="B2" s="47" t="s">
        <v>35</v>
      </c>
      <c r="C2" s="47" t="s">
        <v>222</v>
      </c>
      <c r="D2" s="47" t="s">
        <v>2</v>
      </c>
      <c r="E2" s="47" t="s">
        <v>3</v>
      </c>
      <c r="F2" s="47" t="s">
        <v>4</v>
      </c>
      <c r="G2" s="47" t="s">
        <v>5</v>
      </c>
      <c r="H2" s="47" t="s">
        <v>37</v>
      </c>
      <c r="I2" s="273"/>
      <c r="J2" s="47" t="s">
        <v>13</v>
      </c>
      <c r="K2" s="47" t="s">
        <v>38</v>
      </c>
      <c r="L2" s="47" t="s">
        <v>39</v>
      </c>
      <c r="M2" s="47" t="s">
        <v>40</v>
      </c>
      <c r="N2" s="47" t="s">
        <v>41</v>
      </c>
      <c r="O2" s="273"/>
      <c r="P2" s="47" t="s">
        <v>326</v>
      </c>
      <c r="Q2" s="47" t="s">
        <v>342</v>
      </c>
      <c r="R2" s="47" t="s">
        <v>343</v>
      </c>
      <c r="S2" s="47" t="s">
        <v>344</v>
      </c>
    </row>
    <row r="3" spans="2:19" x14ac:dyDescent="0.2">
      <c r="B3" s="59">
        <v>0</v>
      </c>
      <c r="C3" s="59">
        <v>25</v>
      </c>
      <c r="D3" s="59">
        <v>1400.0000000000002</v>
      </c>
      <c r="E3" s="59">
        <v>3000</v>
      </c>
      <c r="F3" s="59">
        <v>1900</v>
      </c>
      <c r="G3" s="59">
        <v>2200</v>
      </c>
      <c r="H3" s="59">
        <v>1500</v>
      </c>
      <c r="J3" s="59">
        <v>0</v>
      </c>
      <c r="K3" s="59">
        <v>0</v>
      </c>
      <c r="L3" s="59">
        <v>0</v>
      </c>
      <c r="M3" s="59">
        <v>0</v>
      </c>
      <c r="N3" s="59">
        <v>0</v>
      </c>
      <c r="P3" s="59">
        <v>833.33333333333326</v>
      </c>
      <c r="R3" s="59">
        <v>245225</v>
      </c>
      <c r="S3" s="59">
        <v>245225</v>
      </c>
    </row>
    <row r="4" spans="2:19" x14ac:dyDescent="0.2">
      <c r="B4" s="59">
        <v>1</v>
      </c>
      <c r="C4" s="59">
        <v>25</v>
      </c>
      <c r="D4" s="59">
        <v>1386.1633333333336</v>
      </c>
      <c r="E4" s="59">
        <v>2992</v>
      </c>
      <c r="F4" s="59">
        <v>1901.9966666666667</v>
      </c>
      <c r="G4" s="59">
        <v>2197.44</v>
      </c>
      <c r="H4" s="59">
        <v>1514.4416666666666</v>
      </c>
      <c r="J4" s="59">
        <v>4.875</v>
      </c>
      <c r="K4" s="59">
        <v>0</v>
      </c>
      <c r="L4" s="59">
        <v>1.7500000000000002</v>
      </c>
      <c r="M4" s="59">
        <v>0</v>
      </c>
      <c r="N4" s="59">
        <v>1.3333333333333335</v>
      </c>
      <c r="P4" s="59">
        <v>833.06932638888884</v>
      </c>
      <c r="R4" s="59">
        <v>249053.44083333336</v>
      </c>
      <c r="S4" s="59">
        <v>493657.3599334996</v>
      </c>
    </row>
    <row r="5" spans="2:19" x14ac:dyDescent="0.2">
      <c r="B5" s="59">
        <v>2</v>
      </c>
      <c r="C5" s="59">
        <v>25</v>
      </c>
      <c r="D5" s="59">
        <v>1372.463419055556</v>
      </c>
      <c r="E5" s="59">
        <v>2983.9228258333333</v>
      </c>
      <c r="F5" s="59">
        <v>1903.9164337777777</v>
      </c>
      <c r="G5" s="59">
        <v>2194.9250546666667</v>
      </c>
      <c r="H5" s="59">
        <v>1528.7928770833332</v>
      </c>
      <c r="J5" s="59">
        <v>9.6947229166666666</v>
      </c>
      <c r="K5" s="59">
        <v>0</v>
      </c>
      <c r="L5" s="59">
        <v>3.4819694444444447</v>
      </c>
      <c r="M5" s="59">
        <v>0.13620833333333335</v>
      </c>
      <c r="N5" s="59">
        <v>2.6664888888888894</v>
      </c>
      <c r="P5" s="59">
        <v>832.79564050451381</v>
      </c>
      <c r="R5" s="59">
        <v>252839.41044210186</v>
      </c>
      <c r="S5" s="59">
        <v>745237.29830910859</v>
      </c>
    </row>
    <row r="6" spans="2:19" x14ac:dyDescent="0.2">
      <c r="B6" s="59">
        <v>3</v>
      </c>
      <c r="C6" s="59">
        <v>25</v>
      </c>
      <c r="D6" s="59">
        <v>1358.8989055972236</v>
      </c>
      <c r="E6" s="59">
        <v>2975.7703677760278</v>
      </c>
      <c r="F6" s="59">
        <v>1905.7595339318157</v>
      </c>
      <c r="G6" s="59">
        <v>2192.453953468711</v>
      </c>
      <c r="H6" s="59">
        <v>1543.0544783543819</v>
      </c>
      <c r="J6" s="59">
        <v>14.460033743368054</v>
      </c>
      <c r="K6" s="59">
        <v>0</v>
      </c>
      <c r="L6" s="59">
        <v>5.1961335555787036</v>
      </c>
      <c r="M6" s="59">
        <v>0.4071450436342593</v>
      </c>
      <c r="N6" s="59">
        <v>3.9994485292592596</v>
      </c>
      <c r="P6" s="59">
        <v>832.51237700288823</v>
      </c>
      <c r="R6" s="59">
        <v>256583.4936511461</v>
      </c>
      <c r="S6" s="59">
        <v>999905.99769752962</v>
      </c>
    </row>
    <row r="7" spans="2:19" x14ac:dyDescent="0.2">
      <c r="B7" s="59">
        <v>4</v>
      </c>
      <c r="C7" s="59">
        <v>25</v>
      </c>
      <c r="D7" s="59">
        <v>1345.4684547469044</v>
      </c>
      <c r="E7" s="59">
        <v>2967.5444892848172</v>
      </c>
      <c r="F7" s="59">
        <v>1907.5262107597202</v>
      </c>
      <c r="G7" s="59">
        <v>2190.0255000640359</v>
      </c>
      <c r="H7" s="59">
        <v>1557.227302028067</v>
      </c>
      <c r="J7" s="59">
        <v>19.171782090533846</v>
      </c>
      <c r="K7" s="59">
        <v>0</v>
      </c>
      <c r="L7" s="59">
        <v>6.8927154013778154</v>
      </c>
      <c r="M7" s="59">
        <v>0.81135130776135034</v>
      </c>
      <c r="N7" s="59">
        <v>5.332194316782874</v>
      </c>
      <c r="P7" s="59">
        <v>832.21963576883275</v>
      </c>
      <c r="R7" s="59">
        <v>260286.26634210683</v>
      </c>
      <c r="S7" s="59">
        <v>1257605.5882828457</v>
      </c>
    </row>
    <row r="8" spans="2:19" x14ac:dyDescent="0.2">
      <c r="B8" s="59">
        <v>5</v>
      </c>
      <c r="C8" s="59">
        <v>25</v>
      </c>
      <c r="D8" s="59">
        <v>1332.1707415191559</v>
      </c>
      <c r="E8" s="59">
        <v>2959.2470273209274</v>
      </c>
      <c r="F8" s="59">
        <v>1909.2167186231225</v>
      </c>
      <c r="G8" s="59">
        <v>2187.6385122710058</v>
      </c>
      <c r="H8" s="59">
        <v>1571.3121643044583</v>
      </c>
      <c r="J8" s="59">
        <v>23.83080245762687</v>
      </c>
      <c r="K8" s="59">
        <v>0</v>
      </c>
      <c r="L8" s="59">
        <v>8.5719358671710406</v>
      </c>
      <c r="M8" s="59">
        <v>1.3473891258334743</v>
      </c>
      <c r="N8" s="59">
        <v>6.6647085106996018</v>
      </c>
      <c r="P8" s="59">
        <v>831.91751527218037</v>
      </c>
      <c r="R8" s="59">
        <v>263948.2955586075</v>
      </c>
      <c r="S8" s="59">
        <v>1518279.1316714545</v>
      </c>
    </row>
    <row r="9" spans="2:19" x14ac:dyDescent="0.2">
      <c r="B9" s="59">
        <v>6</v>
      </c>
      <c r="C9" s="59">
        <v>25</v>
      </c>
      <c r="D9" s="59">
        <v>1319.0044540238082</v>
      </c>
      <c r="E9" s="59">
        <v>2950.8797926702396</v>
      </c>
      <c r="F9" s="59">
        <v>1910.8313223179314</v>
      </c>
      <c r="G9" s="59">
        <v>2185.2918220369811</v>
      </c>
      <c r="H9" s="59">
        <v>1585.3098662421594</v>
      </c>
      <c r="J9" s="59">
        <v>28.437914500088116</v>
      </c>
      <c r="K9" s="59">
        <v>0</v>
      </c>
      <c r="L9" s="59">
        <v>10.234013630063668</v>
      </c>
      <c r="M9" s="59">
        <v>2.0138410143809846</v>
      </c>
      <c r="N9" s="59">
        <v>7.9969735643480648</v>
      </c>
      <c r="P9" s="59">
        <v>831.6061125903484</v>
      </c>
      <c r="R9" s="59">
        <v>267570.1396113956</v>
      </c>
      <c r="S9" s="59">
        <v>1781870.6049560232</v>
      </c>
    </row>
    <row r="10" spans="2:19" x14ac:dyDescent="0.2">
      <c r="B10" s="59">
        <v>7</v>
      </c>
      <c r="C10" s="59">
        <v>25</v>
      </c>
      <c r="D10" s="59">
        <v>1305.9682933365395</v>
      </c>
      <c r="E10" s="59">
        <v>2942.4445702598682</v>
      </c>
      <c r="F10" s="59">
        <v>1912.3702967831905</v>
      </c>
      <c r="G10" s="59">
        <v>2182.9842754041979</v>
      </c>
      <c r="H10" s="59">
        <v>1599.2211939637816</v>
      </c>
      <c r="J10" s="59">
        <v>32.993923291356623</v>
      </c>
      <c r="K10" s="59">
        <v>0</v>
      </c>
      <c r="L10" s="59">
        <v>11.879165136026247</v>
      </c>
      <c r="M10" s="59">
        <v>2.8093097026354199</v>
      </c>
      <c r="N10" s="59">
        <v>9.3289721224042346</v>
      </c>
      <c r="P10" s="59">
        <v>831.28552343061131</v>
      </c>
      <c r="R10" s="59">
        <v>271152.34818338224</v>
      </c>
      <c r="S10" s="59">
        <v>2048324.8850317954</v>
      </c>
    </row>
    <row r="11" spans="2:19" x14ac:dyDescent="0.2">
      <c r="B11" s="59">
        <v>8</v>
      </c>
      <c r="C11" s="59">
        <v>25</v>
      </c>
      <c r="D11" s="59">
        <v>1293.0609733707302</v>
      </c>
      <c r="E11" s="59">
        <v>2933.9431194711906</v>
      </c>
      <c r="F11" s="59">
        <v>1913.8339268151283</v>
      </c>
      <c r="G11" s="59">
        <v>2180.7147324730686</v>
      </c>
      <c r="H11" s="59">
        <v>1613.0469188601537</v>
      </c>
      <c r="J11" s="59">
        <v>37.499619580063467</v>
      </c>
      <c r="K11" s="59">
        <v>0</v>
      </c>
      <c r="L11" s="59">
        <v>13.507604579526609</v>
      </c>
      <c r="M11" s="59">
        <v>3.7324178319779295</v>
      </c>
      <c r="N11" s="59">
        <v>10.660687018160896</v>
      </c>
      <c r="P11" s="59">
        <v>830.95584215207737</v>
      </c>
      <c r="R11" s="59">
        <v>274695.46243452118</v>
      </c>
      <c r="S11" s="59">
        <v>2317587.7331625465</v>
      </c>
    </row>
    <row r="12" spans="2:19" x14ac:dyDescent="0.2">
      <c r="B12" s="59">
        <v>9</v>
      </c>
      <c r="C12" s="59">
        <v>25</v>
      </c>
      <c r="D12" s="59">
        <v>1280.2812207505829</v>
      </c>
      <c r="E12" s="59">
        <v>2925.3771744493715</v>
      </c>
      <c r="F12" s="59">
        <v>1915.2225067863226</v>
      </c>
      <c r="G12" s="59">
        <v>2178.4820673629838</v>
      </c>
      <c r="H12" s="59">
        <v>1626.7877977932465</v>
      </c>
      <c r="J12" s="59">
        <v>41.955780042496968</v>
      </c>
      <c r="K12" s="59">
        <v>0</v>
      </c>
      <c r="L12" s="59">
        <v>15.119543885585056</v>
      </c>
      <c r="M12" s="59">
        <v>4.7818076585637144</v>
      </c>
      <c r="N12" s="59">
        <v>11.992101270847545</v>
      </c>
      <c r="P12" s="59">
        <v>830.61716178737231</v>
      </c>
      <c r="R12" s="59">
        <v>278200.01510647387</v>
      </c>
      <c r="S12" s="59">
        <v>2589605.7797934553</v>
      </c>
    </row>
    <row r="13" spans="2:19" x14ac:dyDescent="0.2">
      <c r="B13" s="59">
        <v>10</v>
      </c>
      <c r="C13" s="59">
        <v>25</v>
      </c>
      <c r="D13" s="59">
        <v>1267.627774685498</v>
      </c>
      <c r="E13" s="59">
        <v>2916.7484444094134</v>
      </c>
      <c r="F13" s="59">
        <v>1916.5363403699043</v>
      </c>
      <c r="G13" s="59">
        <v>2176.2851681706898</v>
      </c>
      <c r="H13" s="59">
        <v>1640.4445732977961</v>
      </c>
      <c r="J13" s="59">
        <v>46.363167530433998</v>
      </c>
      <c r="K13" s="59">
        <v>0</v>
      </c>
      <c r="L13" s="59">
        <v>16.715192694137848</v>
      </c>
      <c r="M13" s="59">
        <v>5.9561407591369866</v>
      </c>
      <c r="N13" s="59">
        <v>13.32319808299029</v>
      </c>
      <c r="P13" s="59">
        <v>830.26957406402892</v>
      </c>
      <c r="R13" s="59">
        <v>281666.53062700783</v>
      </c>
      <c r="S13" s="59">
        <v>2864326.5096081244</v>
      </c>
    </row>
    <row r="14" spans="2:19" x14ac:dyDescent="0.2">
      <c r="B14" s="59">
        <v>11</v>
      </c>
      <c r="C14" s="59">
        <v>25</v>
      </c>
      <c r="D14" s="59">
        <v>1255.0993868456897</v>
      </c>
      <c r="E14" s="59">
        <v>2908.0586139387756</v>
      </c>
      <c r="F14" s="59">
        <v>1917.7757402687228</v>
      </c>
      <c r="G14" s="59">
        <v>2174.122936926316</v>
      </c>
      <c r="H14" s="59">
        <v>1654.0179737816077</v>
      </c>
      <c r="J14" s="59">
        <v>50.722531314430405</v>
      </c>
      <c r="K14" s="59">
        <v>0</v>
      </c>
      <c r="L14" s="59">
        <v>18.29475834659878</v>
      </c>
      <c r="M14" s="59">
        <v>7.2540977400483078</v>
      </c>
      <c r="N14" s="59">
        <v>14.65396083781134</v>
      </c>
      <c r="P14" s="59">
        <v>829.9131694255891</v>
      </c>
      <c r="R14" s="59">
        <v>285095.52521408017</v>
      </c>
      <c r="S14" s="59">
        <v>3141698.2468269668</v>
      </c>
    </row>
    <row r="15" spans="2:19" x14ac:dyDescent="0.2">
      <c r="B15" s="59">
        <v>12</v>
      </c>
      <c r="C15" s="59">
        <v>26</v>
      </c>
      <c r="D15" s="59">
        <v>1242.6948212390314</v>
      </c>
      <c r="E15" s="59">
        <v>2899.3093432965961</v>
      </c>
      <c r="F15" s="59">
        <v>1918.9410279493993</v>
      </c>
      <c r="G15" s="59">
        <v>2171.9942895471254</v>
      </c>
      <c r="H15" s="59">
        <v>1667.5087137245225</v>
      </c>
      <c r="J15" s="59">
        <v>55.034607322661408</v>
      </c>
      <c r="K15" s="59">
        <v>0</v>
      </c>
      <c r="L15" s="59">
        <v>19.858445874513073</v>
      </c>
      <c r="M15" s="59">
        <v>8.6743779494836417</v>
      </c>
      <c r="N15" s="59">
        <v>15.984373096667627</v>
      </c>
      <c r="P15" s="59">
        <v>829.54803705241659</v>
      </c>
      <c r="Q15" s="59">
        <v>9954.5764446289995</v>
      </c>
      <c r="R15" s="59">
        <v>288487.50697956013</v>
      </c>
      <c r="S15" s="59">
        <v>3421670.1407441492</v>
      </c>
    </row>
    <row r="16" spans="2:19" x14ac:dyDescent="0.2">
      <c r="B16" s="59">
        <v>13</v>
      </c>
      <c r="C16" s="59">
        <v>26</v>
      </c>
      <c r="D16" s="59">
        <v>1230.412854089119</v>
      </c>
      <c r="E16" s="59">
        <v>2890.5022687095529</v>
      </c>
      <c r="F16" s="59">
        <v>1920.0325333811963</v>
      </c>
      <c r="G16" s="59">
        <v>2169.8981557890575</v>
      </c>
      <c r="H16" s="59">
        <v>1680.9174938760316</v>
      </c>
      <c r="J16" s="59">
        <v>55.651668375400973</v>
      </c>
      <c r="K16" s="59">
        <v>3.64845</v>
      </c>
      <c r="L16" s="59">
        <v>21.406457990202071</v>
      </c>
      <c r="M16" s="59">
        <v>10.215699192912096</v>
      </c>
      <c r="N16" s="59">
        <v>17.314418596528142</v>
      </c>
      <c r="P16" s="59">
        <v>829.17426488222577</v>
      </c>
      <c r="R16" s="59">
        <v>291842.97603254765</v>
      </c>
      <c r="S16" s="59">
        <v>3704192.1515002656</v>
      </c>
    </row>
    <row r="17" spans="2:19" x14ac:dyDescent="0.2">
      <c r="B17" s="59">
        <v>14</v>
      </c>
      <c r="C17" s="59">
        <v>26</v>
      </c>
      <c r="D17" s="59">
        <v>1218.2522737145382</v>
      </c>
      <c r="E17" s="59">
        <v>2881.6390026644012</v>
      </c>
      <c r="F17" s="59">
        <v>1921.0505947796262</v>
      </c>
      <c r="G17" s="59">
        <v>2167.8334791961365</v>
      </c>
      <c r="H17" s="59">
        <v>1694.2450014515232</v>
      </c>
      <c r="J17" s="59">
        <v>56.264243784393834</v>
      </c>
      <c r="K17" s="59">
        <v>7.2768132558333329</v>
      </c>
      <c r="L17" s="59">
        <v>22.938995079301328</v>
      </c>
      <c r="M17" s="59">
        <v>11.855514826757034</v>
      </c>
      <c r="N17" s="59">
        <v>18.644081247489549</v>
      </c>
      <c r="P17" s="59">
        <v>828.79336911330529</v>
      </c>
      <c r="R17" s="59">
        <v>295172.0673849241</v>
      </c>
      <c r="S17" s="59">
        <v>3989224.3476370927</v>
      </c>
    </row>
    <row r="18" spans="2:19" x14ac:dyDescent="0.2">
      <c r="B18" s="59">
        <v>15</v>
      </c>
      <c r="C18" s="59">
        <v>26</v>
      </c>
      <c r="D18" s="59">
        <v>1206.2118804093261</v>
      </c>
      <c r="E18" s="59">
        <v>2872.7211341972234</v>
      </c>
      <c r="F18" s="59">
        <v>1921.9955583547321</v>
      </c>
      <c r="G18" s="59">
        <v>2165.7992170478105</v>
      </c>
      <c r="H18" s="59">
        <v>1707.4919103271482</v>
      </c>
      <c r="J18" s="59">
        <v>56.872383479502034</v>
      </c>
      <c r="K18" s="59">
        <v>10.885173730158179</v>
      </c>
      <c r="L18" s="59">
        <v>24.456375796640348</v>
      </c>
      <c r="M18" s="59">
        <v>13.593018689446591</v>
      </c>
      <c r="N18" s="59">
        <v>19.973347968012984</v>
      </c>
      <c r="P18" s="59">
        <v>828.40540236159779</v>
      </c>
      <c r="R18" s="59">
        <v>298475.11066315748</v>
      </c>
      <c r="S18" s="59">
        <v>4276727.3620263021</v>
      </c>
    </row>
    <row r="19" spans="2:19" x14ac:dyDescent="0.2">
      <c r="B19" s="59">
        <v>16</v>
      </c>
      <c r="C19" s="59">
        <v>26</v>
      </c>
      <c r="D19" s="59">
        <v>1194.290486324614</v>
      </c>
      <c r="E19" s="59">
        <v>2863.7502291794244</v>
      </c>
      <c r="F19" s="59">
        <v>1922.8677780639678</v>
      </c>
      <c r="G19" s="59">
        <v>2163.7943403042891</v>
      </c>
      <c r="H19" s="59">
        <v>1720.6588812332884</v>
      </c>
      <c r="J19" s="59">
        <v>57.476136473410342</v>
      </c>
      <c r="K19" s="59">
        <v>14.473616175409814</v>
      </c>
      <c r="L19" s="59">
        <v>25.958908960673423</v>
      </c>
      <c r="M19" s="59">
        <v>15.427417499130968</v>
      </c>
      <c r="N19" s="59">
        <v>21.30220578579199</v>
      </c>
      <c r="P19" s="59">
        <v>828.01041657909866</v>
      </c>
      <c r="R19" s="59">
        <v>301752.42712326674</v>
      </c>
      <c r="S19" s="59">
        <v>4566662.3795185452</v>
      </c>
    </row>
    <row r="20" spans="2:19" x14ac:dyDescent="0.2">
      <c r="B20" s="59">
        <v>17</v>
      </c>
      <c r="C20" s="59">
        <v>26</v>
      </c>
      <c r="D20" s="59">
        <v>1182.4869153514392</v>
      </c>
      <c r="E20" s="59">
        <v>2854.7278306005114</v>
      </c>
      <c r="F20" s="59">
        <v>1923.6676153696071</v>
      </c>
      <c r="G20" s="59">
        <v>2161.817833549947</v>
      </c>
      <c r="H20" s="59">
        <v>1733.7465619466184</v>
      </c>
      <c r="J20" s="59">
        <v>58.075550875969824</v>
      </c>
      <c r="K20" s="59">
        <v>18.042226084011482</v>
      </c>
      <c r="L20" s="59">
        <v>27.446893888743521</v>
      </c>
      <c r="M20" s="59">
        <v>17.357930497132145</v>
      </c>
      <c r="N20" s="59">
        <v>22.630641836020668</v>
      </c>
      <c r="P20" s="59">
        <v>827.6084630700941</v>
      </c>
      <c r="R20" s="59">
        <v>305004.32991862897</v>
      </c>
      <c r="S20" s="59">
        <v>4858991.1249737907</v>
      </c>
    </row>
    <row r="21" spans="2:19" x14ac:dyDescent="0.2">
      <c r="B21" s="59">
        <v>18</v>
      </c>
      <c r="C21" s="59">
        <v>26</v>
      </c>
      <c r="D21" s="59">
        <v>1170.8000030047158</v>
      </c>
      <c r="E21" s="59">
        <v>2845.6554588476874</v>
      </c>
      <c r="F21" s="59">
        <v>1924.3954390006154</v>
      </c>
      <c r="G21" s="59">
        <v>2159.8686949348535</v>
      </c>
      <c r="H21" s="59">
        <v>1746.755587480744</v>
      </c>
      <c r="J21" s="59">
        <v>58.670673908359099</v>
      </c>
      <c r="K21" s="59">
        <v>21.591089639844508</v>
      </c>
      <c r="L21" s="59">
        <v>28.920620720394847</v>
      </c>
      <c r="M21" s="59">
        <v>19.38378910307625</v>
      </c>
      <c r="N21" s="59">
        <v>23.958643359709583</v>
      </c>
      <c r="P21" s="59">
        <v>827.19959250690852</v>
      </c>
      <c r="R21" s="59">
        <v>308231.12435823574</v>
      </c>
      <c r="S21" s="59">
        <v>5153675.8516590875</v>
      </c>
    </row>
    <row r="22" spans="2:19" x14ac:dyDescent="0.2">
      <c r="B22" s="59">
        <v>19</v>
      </c>
      <c r="C22" s="59">
        <v>26</v>
      </c>
      <c r="D22" s="59">
        <v>1159.2285963083525</v>
      </c>
      <c r="E22" s="59">
        <v>2836.5346119822993</v>
      </c>
      <c r="F22" s="59">
        <v>1925.0516247189137</v>
      </c>
      <c r="G22" s="59">
        <v>2157.9459361144982</v>
      </c>
      <c r="H22" s="59">
        <v>1759.6865802754103</v>
      </c>
      <c r="J22" s="59">
        <v>59.261551917065447</v>
      </c>
      <c r="K22" s="59">
        <v>25.120293670955665</v>
      </c>
      <c r="L22" s="59">
        <v>30.380370729165435</v>
      </c>
      <c r="M22" s="59">
        <v>21.504236581292297</v>
      </c>
      <c r="N22" s="59">
        <v>25.286197702047879</v>
      </c>
      <c r="P22" s="59">
        <v>826.78385494518068</v>
      </c>
      <c r="R22" s="59">
        <v>311433.10815574857</v>
      </c>
      <c r="S22" s="59">
        <v>5450679.330000435</v>
      </c>
    </row>
    <row r="23" spans="2:19" x14ac:dyDescent="0.2">
      <c r="B23" s="59">
        <v>20</v>
      </c>
      <c r="C23" s="59">
        <v>26</v>
      </c>
      <c r="D23" s="59">
        <v>1147.7715536815049</v>
      </c>
      <c r="E23" s="59">
        <v>2827.3667660131669</v>
      </c>
      <c r="F23" s="59">
        <v>1925.63655508997</v>
      </c>
      <c r="G23" s="59">
        <v>2156.0485821877651</v>
      </c>
      <c r="H23" s="59">
        <v>1772.5401503842641</v>
      </c>
      <c r="J23" s="59">
        <v>59.848230387687948</v>
      </c>
      <c r="K23" s="59">
        <v>28.629925603479975</v>
      </c>
      <c r="L23" s="59">
        <v>31.826416623275509</v>
      </c>
      <c r="M23" s="59">
        <v>23.718527718076178</v>
      </c>
      <c r="N23" s="59">
        <v>26.613292310810099</v>
      </c>
      <c r="P23" s="59">
        <v>826.36129983868364</v>
      </c>
      <c r="R23" s="59">
        <v>314610.57166969351</v>
      </c>
      <c r="S23" s="59">
        <v>5749964.8366759829</v>
      </c>
    </row>
    <row r="24" spans="2:19" x14ac:dyDescent="0.2">
      <c r="B24" s="59">
        <v>21</v>
      </c>
      <c r="C24" s="59">
        <v>26</v>
      </c>
      <c r="D24" s="59">
        <v>1136.4277448259527</v>
      </c>
      <c r="E24" s="59">
        <v>2818.153375166833</v>
      </c>
      <c r="F24" s="59">
        <v>1926.1506192576517</v>
      </c>
      <c r="G24" s="59">
        <v>2154.1756716332247</v>
      </c>
      <c r="H24" s="59">
        <v>1785.3168956611642</v>
      </c>
      <c r="J24" s="59">
        <v>60.430753958564736</v>
      </c>
      <c r="K24" s="59">
        <v>32.120073416757528</v>
      </c>
      <c r="L24" s="59">
        <v>33.259022835612448</v>
      </c>
      <c r="M24" s="59">
        <v>26.025928509433477</v>
      </c>
      <c r="N24" s="59">
        <v>27.939914734806248</v>
      </c>
      <c r="P24" s="59">
        <v>825.93197605370472</v>
      </c>
      <c r="R24" s="59">
        <v>317763.79813511943</v>
      </c>
      <c r="S24" s="59">
        <v>6051496.1440382469</v>
      </c>
    </row>
    <row r="25" spans="2:19" x14ac:dyDescent="0.2">
      <c r="B25" s="59">
        <v>22</v>
      </c>
      <c r="C25" s="59">
        <v>26</v>
      </c>
      <c r="D25" s="59">
        <v>1125.1960506145895</v>
      </c>
      <c r="E25" s="59">
        <v>2808.8958721547656</v>
      </c>
      <c r="F25" s="59">
        <v>1926.5942127232724</v>
      </c>
      <c r="G25" s="59">
        <v>2152.3262562437958</v>
      </c>
      <c r="H25" s="59">
        <v>1798.0174019450271</v>
      </c>
      <c r="J25" s="59">
        <v>61.009166434226437</v>
      </c>
      <c r="K25" s="59">
        <v>35.590825599623109</v>
      </c>
      <c r="L25" s="59">
        <v>34.678445803398674</v>
      </c>
      <c r="M25" s="59">
        <v>28.425715858928655</v>
      </c>
      <c r="N25" s="59">
        <v>29.266052622373682</v>
      </c>
      <c r="P25" s="59">
        <v>825.49593188300037</v>
      </c>
      <c r="R25" s="59">
        <v>320893.06388703571</v>
      </c>
      <c r="S25" s="59">
        <v>6355237.5098535195</v>
      </c>
    </row>
    <row r="26" spans="2:19" x14ac:dyDescent="0.2">
      <c r="B26" s="59">
        <v>23</v>
      </c>
      <c r="C26" s="59">
        <v>26</v>
      </c>
      <c r="D26" s="59">
        <v>1114.0753629810154</v>
      </c>
      <c r="E26" s="59">
        <v>2799.595668437541</v>
      </c>
      <c r="F26" s="59">
        <v>1926.9677371287728</v>
      </c>
      <c r="G26" s="59">
        <v>2150.4994010598393</v>
      </c>
      <c r="H26" s="59">
        <v>1810.6422432432007</v>
      </c>
      <c r="J26" s="59">
        <v>61.583510798677935</v>
      </c>
      <c r="K26" s="59">
        <v>39.042271107847711</v>
      </c>
      <c r="L26" s="59">
        <v>36.084934237914965</v>
      </c>
      <c r="M26" s="59">
        <v>30.917177285281841</v>
      </c>
      <c r="N26" s="59">
        <v>30.591693719909507</v>
      </c>
      <c r="P26" s="59">
        <v>825.05321505934023</v>
      </c>
      <c r="R26" s="59">
        <v>323998.63857593056</v>
      </c>
      <c r="S26" s="59">
        <v>6661153.6673471043</v>
      </c>
    </row>
    <row r="27" spans="2:19" x14ac:dyDescent="0.2">
      <c r="B27" s="59">
        <v>24</v>
      </c>
      <c r="C27" s="59">
        <v>27</v>
      </c>
      <c r="D27" s="59">
        <v>1103.0645848102197</v>
      </c>
      <c r="E27" s="59">
        <v>2790.2541544860483</v>
      </c>
      <c r="F27" s="59">
        <v>1927.2716000439671</v>
      </c>
      <c r="G27" s="59">
        <v>2148.6941843007407</v>
      </c>
      <c r="H27" s="59">
        <v>1823.1919819133559</v>
      </c>
      <c r="J27" s="59">
        <v>62.153829228510389</v>
      </c>
      <c r="K27" s="59">
        <v>42.474499322711289</v>
      </c>
      <c r="L27" s="59">
        <v>37.47872938463815</v>
      </c>
      <c r="M27" s="59">
        <v>33.499610639367511</v>
      </c>
      <c r="N27" s="59">
        <v>31.916825870442146</v>
      </c>
      <c r="P27" s="59">
        <v>824.60387276865481</v>
      </c>
      <c r="Q27" s="59">
        <v>9895.2464732238586</v>
      </c>
      <c r="R27" s="59">
        <v>327080.7853756629</v>
      </c>
      <c r="S27" s="59">
        <v>6969209.8155434318</v>
      </c>
    </row>
    <row r="28" spans="2:19" x14ac:dyDescent="0.2">
      <c r="B28" s="59">
        <v>25</v>
      </c>
      <c r="C28" s="59">
        <v>27</v>
      </c>
      <c r="D28" s="59">
        <v>1092.1626298303454</v>
      </c>
      <c r="E28" s="59">
        <v>2780.8727000397403</v>
      </c>
      <c r="F28" s="59">
        <v>1927.5062147577978</v>
      </c>
      <c r="G28" s="59">
        <v>2146.9096972950333</v>
      </c>
      <c r="H28" s="59">
        <v>1835.6671688438905</v>
      </c>
      <c r="J28" s="59">
        <v>62.720163105845543</v>
      </c>
      <c r="K28" s="59">
        <v>45.887600010686413</v>
      </c>
      <c r="L28" s="59">
        <v>38.86006527413933</v>
      </c>
      <c r="M28" s="59">
        <v>36.172323830281933</v>
      </c>
      <c r="N28" s="59">
        <v>33.241437012240837</v>
      </c>
      <c r="P28" s="59">
        <v>824.14795166280066</v>
      </c>
      <c r="R28" s="59">
        <v>330139.76118400786</v>
      </c>
      <c r="S28" s="59">
        <v>7279371.6098905476</v>
      </c>
    </row>
    <row r="29" spans="2:19" x14ac:dyDescent="0.2">
      <c r="B29" s="59">
        <v>26</v>
      </c>
      <c r="C29" s="59">
        <v>27</v>
      </c>
      <c r="D29" s="59">
        <v>1081.3684225055222</v>
      </c>
      <c r="E29" s="59">
        <v>2771.4526543619659</v>
      </c>
      <c r="F29" s="59">
        <v>1927.6720000735336</v>
      </c>
      <c r="G29" s="59">
        <v>2145.1450444091201</v>
      </c>
      <c r="H29" s="59">
        <v>1848.0683436328361</v>
      </c>
      <c r="J29" s="59">
        <v>63.282553031114283</v>
      </c>
      <c r="K29" s="59">
        <v>49.281663284212698</v>
      </c>
      <c r="L29" s="59">
        <v>40.229168964076209</v>
      </c>
      <c r="M29" s="59">
        <v>38.934634560158457</v>
      </c>
      <c r="N29" s="59">
        <v>34.565515177461833</v>
      </c>
      <c r="P29" s="59">
        <v>823.68549787195468</v>
      </c>
      <c r="R29" s="59">
        <v>333175.81681612687</v>
      </c>
      <c r="S29" s="59">
        <v>7591605.1531588547</v>
      </c>
    </row>
    <row r="30" spans="2:19" x14ac:dyDescent="0.2">
      <c r="B30" s="59">
        <v>27</v>
      </c>
      <c r="C30" s="59">
        <v>27</v>
      </c>
      <c r="D30" s="59">
        <v>1070.6808979297593</v>
      </c>
      <c r="E30" s="59">
        <v>2761.995346492416</v>
      </c>
      <c r="F30" s="59">
        <v>1927.7693801078524</v>
      </c>
      <c r="G30" s="59">
        <v>2143.3993429746461</v>
      </c>
      <c r="H30" s="59">
        <v>1860.3960347652614</v>
      </c>
      <c r="J30" s="59">
        <v>63.841038835671426</v>
      </c>
      <c r="K30" s="59">
        <v>52.656779563542152</v>
      </c>
      <c r="L30" s="59">
        <v>41.586260772601115</v>
      </c>
      <c r="M30" s="59">
        <v>41.785870067421385</v>
      </c>
      <c r="N30" s="59">
        <v>35.889048490830149</v>
      </c>
      <c r="P30" s="59">
        <v>823.21655701665168</v>
      </c>
      <c r="R30" s="59">
        <v>336189.19719122333</v>
      </c>
      <c r="S30" s="59">
        <v>7905876.9866043869</v>
      </c>
    </row>
    <row r="31" spans="2:19" x14ac:dyDescent="0.2">
      <c r="B31" s="59">
        <v>28</v>
      </c>
      <c r="C31" s="59">
        <v>27</v>
      </c>
      <c r="D31" s="59">
        <v>1060.0990017218869</v>
      </c>
      <c r="E31" s="59">
        <v>2752.5020854967111</v>
      </c>
      <c r="F31" s="59">
        <v>1927.7987840937474</v>
      </c>
      <c r="G31" s="59">
        <v>2141.6717232145729</v>
      </c>
      <c r="H31" s="59">
        <v>1872.6507597891678</v>
      </c>
      <c r="J31" s="59">
        <v>64.395659594248556</v>
      </c>
      <c r="K31" s="59">
        <v>56.013039539635933</v>
      </c>
      <c r="L31" s="59">
        <v>42.931554503494731</v>
      </c>
      <c r="M31" s="59">
        <v>44.725366878180516</v>
      </c>
      <c r="N31" s="59">
        <v>37.212025168355716</v>
      </c>
      <c r="P31" s="59">
        <v>822.74117421947631</v>
      </c>
      <c r="R31" s="59">
        <v>339180.14151263435</v>
      </c>
      <c r="S31" s="59">
        <v>8222154.0813872647</v>
      </c>
    </row>
    <row r="32" spans="2:19" x14ac:dyDescent="0.2">
      <c r="B32" s="59">
        <v>29</v>
      </c>
      <c r="C32" s="59">
        <v>27</v>
      </c>
      <c r="D32" s="59">
        <v>1049.6216899215356</v>
      </c>
      <c r="E32" s="59">
        <v>2742.974160713165</v>
      </c>
      <c r="F32" s="59">
        <v>1927.7606461871992</v>
      </c>
      <c r="G32" s="59">
        <v>2139.9613281680076</v>
      </c>
      <c r="H32" s="59">
        <v>1884.8330254898679</v>
      </c>
      <c r="J32" s="59">
        <v>64.946453637246876</v>
      </c>
      <c r="K32" s="59">
        <v>59.350534138093167</v>
      </c>
      <c r="L32" s="59">
        <v>44.265257663324284</v>
      </c>
      <c r="M32" s="59">
        <v>47.752470565479243</v>
      </c>
      <c r="N32" s="59">
        <v>38.534433516082849</v>
      </c>
      <c r="P32" s="59">
        <v>822.25939411642116</v>
      </c>
      <c r="R32" s="59">
        <v>342148.88344160136</v>
      </c>
      <c r="S32" s="59">
        <v>8540403.8302363344</v>
      </c>
    </row>
    <row r="33" spans="2:19" x14ac:dyDescent="0.2">
      <c r="B33" s="59">
        <v>30</v>
      </c>
      <c r="C33" s="59">
        <v>27</v>
      </c>
      <c r="D33" s="59">
        <v>1039.2479288861443</v>
      </c>
      <c r="E33" s="59">
        <v>2733.4128419967533</v>
      </c>
      <c r="F33" s="59">
        <v>1927.6554052775539</v>
      </c>
      <c r="G33" s="59">
        <v>2138.2673136138333</v>
      </c>
      <c r="H33" s="59">
        <v>1896.9433280628464</v>
      </c>
      <c r="J33" s="59">
        <v>65.493458562871922</v>
      </c>
      <c r="K33" s="59">
        <v>62.669354484092786</v>
      </c>
      <c r="L33" s="59">
        <v>45.587571670914322</v>
      </c>
      <c r="M33" s="59">
        <v>50.866535516119647</v>
      </c>
      <c r="N33" s="59">
        <v>39.856261928871973</v>
      </c>
      <c r="P33" s="59">
        <v>821.77126086792282</v>
      </c>
      <c r="R33" s="59">
        <v>345095.65126495186</v>
      </c>
      <c r="S33" s="59">
        <v>8860594.0393513422</v>
      </c>
    </row>
    <row r="34" spans="2:19" x14ac:dyDescent="0.2">
      <c r="B34" s="59">
        <v>31</v>
      </c>
      <c r="C34" s="59">
        <v>27</v>
      </c>
      <c r="D34" s="59">
        <v>1028.9766951889862</v>
      </c>
      <c r="E34" s="59">
        <v>2723.8193799603168</v>
      </c>
      <c r="F34" s="59">
        <v>1927.4835048015516</v>
      </c>
      <c r="G34" s="59">
        <v>2136.5888479931932</v>
      </c>
      <c r="H34" s="59">
        <v>1908.9821532850942</v>
      </c>
      <c r="J34" s="59">
        <v>66.036711249111875</v>
      </c>
      <c r="K34" s="59">
        <v>65.969591868329601</v>
      </c>
      <c r="L34" s="59">
        <v>46.898692059407622</v>
      </c>
      <c r="M34" s="59">
        <v>54.066924704798105</v>
      </c>
      <c r="N34" s="59">
        <v>41.177498889212643</v>
      </c>
      <c r="P34" s="59">
        <v>821.27681816958568</v>
      </c>
      <c r="R34" s="59">
        <v>348020.66805691778</v>
      </c>
      <c r="S34" s="59">
        <v>9182692.9205343295</v>
      </c>
    </row>
    <row r="35" spans="2:19" x14ac:dyDescent="0.2">
      <c r="B35" s="59">
        <v>32</v>
      </c>
      <c r="C35" s="59">
        <v>27</v>
      </c>
      <c r="D35" s="59">
        <v>1018.8069755182017</v>
      </c>
      <c r="E35" s="59">
        <v>2714.195006213029</v>
      </c>
      <c r="F35" s="59">
        <v>1927.2453925609482</v>
      </c>
      <c r="G35" s="59">
        <v>2134.9251123308754</v>
      </c>
      <c r="H35" s="59">
        <v>1920.9499766849146</v>
      </c>
      <c r="J35" s="59">
        <v>66.576247865561498</v>
      </c>
      <c r="K35" s="59">
        <v>69.251337713926091</v>
      </c>
      <c r="L35" s="59">
        <v>48.19880867118389</v>
      </c>
      <c r="M35" s="59">
        <v>57.353009475294634</v>
      </c>
      <c r="N35" s="59">
        <v>42.498132966066777</v>
      </c>
      <c r="P35" s="59">
        <v>820.77610926260479</v>
      </c>
      <c r="R35" s="59">
        <v>350924.1518353055</v>
      </c>
      <c r="S35" s="59">
        <v>9506669.0835422389</v>
      </c>
    </row>
    <row r="36" spans="2:19" x14ac:dyDescent="0.2">
      <c r="B36" s="59">
        <v>33</v>
      </c>
      <c r="C36" s="59">
        <v>27</v>
      </c>
      <c r="D36" s="59">
        <v>1008.7377665768302</v>
      </c>
      <c r="E36" s="59">
        <v>2704.5409335961608</v>
      </c>
      <c r="F36" s="59">
        <v>1926.9415205436728</v>
      </c>
      <c r="G36" s="59">
        <v>2133.2753001556425</v>
      </c>
      <c r="H36" s="59">
        <v>1932.8472637101968</v>
      </c>
      <c r="J36" s="59">
        <v>67.112103885093219</v>
      </c>
      <c r="K36" s="59">
        <v>72.514683544301661</v>
      </c>
      <c r="L36" s="59">
        <v>49.488105845894268</v>
      </c>
      <c r="M36" s="59">
        <v>60.724169328468584</v>
      </c>
      <c r="N36" s="59">
        <v>43.818152813741257</v>
      </c>
      <c r="P36" s="59">
        <v>820.26917694389795</v>
      </c>
      <c r="R36" s="59">
        <v>353806.3157122272</v>
      </c>
      <c r="S36" s="59">
        <v>9832491.5286530405</v>
      </c>
    </row>
    <row r="37" spans="2:19" x14ac:dyDescent="0.2">
      <c r="B37" s="59">
        <v>34</v>
      </c>
      <c r="C37" s="59">
        <v>27</v>
      </c>
      <c r="D37" s="59">
        <v>998.76807498382914</v>
      </c>
      <c r="E37" s="59">
        <v>2694.8583564161659</v>
      </c>
      <c r="F37" s="59">
        <v>1926.5723447484697</v>
      </c>
      <c r="G37" s="59">
        <v>2131.6386174195541</v>
      </c>
      <c r="H37" s="59">
        <v>1944.6744698951534</v>
      </c>
      <c r="J37" s="59">
        <v>67.644314095377254</v>
      </c>
      <c r="K37" s="59">
        <v>75.759720951981208</v>
      </c>
      <c r="L37" s="59">
        <v>50.766762601860208</v>
      </c>
      <c r="M37" s="59">
        <v>64.179791716822379</v>
      </c>
      <c r="N37" s="59">
        <v>45.137547170788963</v>
      </c>
      <c r="P37" s="59">
        <v>819.75606357595484</v>
      </c>
      <c r="R37" s="59">
        <v>356667.36803959298</v>
      </c>
      <c r="S37" s="59">
        <v>10160129.639437983</v>
      </c>
    </row>
    <row r="38" spans="2:19" x14ac:dyDescent="0.2">
      <c r="B38" s="59">
        <v>35</v>
      </c>
      <c r="C38" s="59">
        <v>27</v>
      </c>
      <c r="D38" s="59">
        <v>988.89691717607229</v>
      </c>
      <c r="E38" s="59">
        <v>2685.1484506751217</v>
      </c>
      <c r="F38" s="59">
        <v>1926.1383250129663</v>
      </c>
      <c r="G38" s="59">
        <v>2130.0142824163272</v>
      </c>
      <c r="H38" s="59">
        <v>1956.4320410255195</v>
      </c>
      <c r="J38" s="59">
        <v>68.172912610252538</v>
      </c>
      <c r="K38" s="59">
        <v>78.98654156832545</v>
      </c>
      <c r="L38" s="59">
        <v>52.034952811076479</v>
      </c>
      <c r="M38" s="59">
        <v>67.719271845403611</v>
      </c>
      <c r="N38" s="59">
        <v>46.456304858937287</v>
      </c>
      <c r="P38" s="59">
        <v>819.23681109641586</v>
      </c>
      <c r="R38" s="59">
        <v>359507.51254955801</v>
      </c>
      <c r="S38" s="59">
        <v>10489553.175732834</v>
      </c>
    </row>
    <row r="39" spans="2:19" x14ac:dyDescent="0.2">
      <c r="B39" s="59">
        <v>36</v>
      </c>
      <c r="C39" s="59">
        <v>28</v>
      </c>
      <c r="D39" s="59">
        <v>979.12331931131541</v>
      </c>
      <c r="E39" s="59">
        <v>2675.4123742985498</v>
      </c>
      <c r="F39" s="59">
        <v>1925.6399248451171</v>
      </c>
      <c r="G39" s="59">
        <v>2128.4015256987768</v>
      </c>
      <c r="H39" s="59">
        <v>1968.1204133022113</v>
      </c>
      <c r="J39" s="59">
        <v>68.697932880950077</v>
      </c>
      <c r="K39" s="59">
        <v>82.195237034165231</v>
      </c>
      <c r="L39" s="59">
        <v>53.29284536804925</v>
      </c>
      <c r="M39" s="59">
        <v>71.342012478824287</v>
      </c>
      <c r="N39" s="59">
        <v>47.774414782043372</v>
      </c>
      <c r="P39" s="59">
        <v>818.71146102738612</v>
      </c>
      <c r="Q39" s="59">
        <v>9824.5375323286335</v>
      </c>
      <c r="R39" s="59">
        <v>362326.94849011017</v>
      </c>
      <c r="S39" s="59">
        <v>10820732.266801273</v>
      </c>
    </row>
    <row r="40" spans="2:19" x14ac:dyDescent="0.2">
      <c r="B40" s="59">
        <v>37</v>
      </c>
      <c r="C40" s="59">
        <v>28</v>
      </c>
      <c r="D40" s="59">
        <v>969.44631717212189</v>
      </c>
      <c r="E40" s="59">
        <v>2665.6512673606471</v>
      </c>
      <c r="F40" s="59">
        <v>1925.0776112579679</v>
      </c>
      <c r="G40" s="59">
        <v>2126.7995899953798</v>
      </c>
      <c r="H40" s="59">
        <v>1979.7400135034411</v>
      </c>
      <c r="J40" s="59">
        <v>69.21940770717049</v>
      </c>
      <c r="K40" s="59">
        <v>85.385898971322717</v>
      </c>
      <c r="L40" s="59">
        <v>54.540604352691993</v>
      </c>
      <c r="M40" s="59">
        <v>75.047423754183995</v>
      </c>
      <c r="N40" s="59">
        <v>49.091865925075261</v>
      </c>
      <c r="P40" s="59">
        <v>818.1800544844956</v>
      </c>
      <c r="R40" s="59">
        <v>365125.87075597787</v>
      </c>
      <c r="S40" s="59">
        <v>11153637.404683851</v>
      </c>
    </row>
    <row r="41" spans="2:19" x14ac:dyDescent="0.2">
      <c r="B41" s="59">
        <v>38</v>
      </c>
      <c r="C41" s="59">
        <v>28</v>
      </c>
      <c r="D41" s="59">
        <v>959.86495607073743</v>
      </c>
      <c r="E41" s="59">
        <v>2655.8662523069561</v>
      </c>
      <c r="F41" s="59">
        <v>1924.4518546076918</v>
      </c>
      <c r="G41" s="59">
        <v>2125.2077301260047</v>
      </c>
      <c r="H41" s="59">
        <v>1991.2912591452891</v>
      </c>
      <c r="J41" s="59">
        <v>69.73736924801733</v>
      </c>
      <c r="K41" s="59">
        <v>88.558618955002359</v>
      </c>
      <c r="L41" s="59">
        <v>55.778389187493822</v>
      </c>
      <c r="M41" s="59">
        <v>78.834922999691713</v>
      </c>
      <c r="N41" s="59">
        <v>50.40864735311802</v>
      </c>
      <c r="P41" s="59">
        <v>817.6426321857133</v>
      </c>
      <c r="R41" s="59">
        <v>367904.4700150307</v>
      </c>
      <c r="S41" s="59">
        <v>11488239.437726155</v>
      </c>
    </row>
    <row r="42" spans="2:19" x14ac:dyDescent="0.2">
      <c r="B42" s="59">
        <v>39</v>
      </c>
      <c r="C42" s="59">
        <v>28</v>
      </c>
      <c r="D42" s="59">
        <v>950.37829075490492</v>
      </c>
      <c r="E42" s="59">
        <v>2646.0584341744971</v>
      </c>
      <c r="F42" s="59">
        <v>1923.7631284348415</v>
      </c>
      <c r="G42" s="59">
        <v>2123.6252129168465</v>
      </c>
      <c r="H42" s="59">
        <v>2002.7745586407295</v>
      </c>
      <c r="J42" s="59">
        <v>70.251849032787945</v>
      </c>
      <c r="K42" s="59">
        <v>91.713488487034809</v>
      </c>
      <c r="L42" s="59">
        <v>57.006354789167119</v>
      </c>
      <c r="M42" s="59">
        <v>82.703934558788319</v>
      </c>
      <c r="N42" s="59">
        <v>51.724748210404314</v>
      </c>
      <c r="P42" s="59">
        <v>817.09923445992217</v>
      </c>
      <c r="R42" s="59">
        <v>370662.93283033889</v>
      </c>
      <c r="S42" s="59">
        <v>11824509.564280124</v>
      </c>
    </row>
    <row r="43" spans="2:19" x14ac:dyDescent="0.2">
      <c r="B43" s="59">
        <v>40</v>
      </c>
      <c r="C43" s="59">
        <v>28</v>
      </c>
      <c r="D43" s="59">
        <v>940.98538531461065</v>
      </c>
      <c r="E43" s="59">
        <v>2636.2289008093981</v>
      </c>
      <c r="F43" s="59">
        <v>1923.0119093087712</v>
      </c>
      <c r="G43" s="59">
        <v>2122.0513171146099</v>
      </c>
      <c r="H43" s="59">
        <v>2014.1903114571105</v>
      </c>
      <c r="J43" s="59">
        <v>70.762877971623325</v>
      </c>
      <c r="K43" s="59">
        <v>94.850598969957232</v>
      </c>
      <c r="L43" s="59">
        <v>58.224651714973881</v>
      </c>
      <c r="M43" s="59">
        <v>86.653889619579118</v>
      </c>
      <c r="N43" s="59">
        <v>53.040157719368423</v>
      </c>
      <c r="P43" s="59">
        <v>816.54990125526513</v>
      </c>
      <c r="R43" s="59">
        <v>373401.44177805271</v>
      </c>
      <c r="S43" s="59">
        <v>12162419.326572601</v>
      </c>
    </row>
    <row r="44" spans="2:19" x14ac:dyDescent="0.2">
      <c r="B44" s="59">
        <v>41</v>
      </c>
      <c r="C44" s="59">
        <v>28</v>
      </c>
      <c r="D44" s="59">
        <v>931.68531308975128</v>
      </c>
      <c r="E44" s="59">
        <v>2626.3787230820412</v>
      </c>
      <c r="F44" s="59">
        <v>1922.1986766751756</v>
      </c>
      <c r="G44" s="59">
        <v>2120.4853332999746</v>
      </c>
      <c r="H44" s="59">
        <v>2025.5389082720885</v>
      </c>
      <c r="J44" s="59">
        <v>71.270486366018702</v>
      </c>
      <c r="K44" s="59">
        <v>97.970041681913742</v>
      </c>
      <c r="L44" s="59">
        <v>59.433426303922985</v>
      </c>
      <c r="M44" s="59">
        <v>90.684226049392834</v>
      </c>
      <c r="N44" s="59">
        <v>54.354865179723234</v>
      </c>
      <c r="P44" s="59">
        <v>815.99467214726621</v>
      </c>
      <c r="R44" s="59">
        <v>376120.17556125438</v>
      </c>
      <c r="S44" s="59">
        <v>12501940.604735509</v>
      </c>
    </row>
    <row r="45" spans="2:19" x14ac:dyDescent="0.2">
      <c r="B45" s="59">
        <v>42</v>
      </c>
      <c r="C45" s="59">
        <v>28</v>
      </c>
      <c r="D45" s="59">
        <v>922.47715657871424</v>
      </c>
      <c r="E45" s="59">
        <v>2616.5089550997577</v>
      </c>
      <c r="F45" s="59">
        <v>1921.3239127066984</v>
      </c>
      <c r="G45" s="59">
        <v>2118.9265638003867</v>
      </c>
      <c r="H45" s="59">
        <v>2036.8207311280169</v>
      </c>
      <c r="J45" s="59">
        <v>71.774703919196455</v>
      </c>
      <c r="K45" s="59">
        <v>101.07190775235979</v>
      </c>
      <c r="L45" s="59">
        <v>60.632820813023592</v>
      </c>
      <c r="M45" s="59">
        <v>94.794388234289912</v>
      </c>
      <c r="N45" s="59">
        <v>55.668859967559349</v>
      </c>
      <c r="P45" s="59">
        <v>815.43358634673791</v>
      </c>
      <c r="R45" s="59">
        <v>378819.30911993323</v>
      </c>
      <c r="S45" s="59">
        <v>12843045.610992212</v>
      </c>
    </row>
    <row r="46" spans="2:19" x14ac:dyDescent="0.2">
      <c r="B46" s="59">
        <v>43</v>
      </c>
      <c r="C46" s="59">
        <v>28</v>
      </c>
      <c r="D46" s="59">
        <v>913.36000734786126</v>
      </c>
      <c r="E46" s="59">
        <v>2606.6206344170969</v>
      </c>
      <c r="F46" s="59">
        <v>1920.3881021565605</v>
      </c>
      <c r="G46" s="59">
        <v>2117.3743226022098</v>
      </c>
      <c r="H46" s="59">
        <v>2048.0361535847883</v>
      </c>
      <c r="J46" s="59">
        <v>72.275559746342765</v>
      </c>
      <c r="K46" s="59">
        <v>104.15628813855467</v>
      </c>
      <c r="L46" s="59">
        <v>61.82297354877327</v>
      </c>
      <c r="M46" s="59">
        <v>98.983826923349838</v>
      </c>
      <c r="N46" s="59">
        <v>56.982131534465772</v>
      </c>
      <c r="P46" s="59">
        <v>814.86668270747828</v>
      </c>
      <c r="R46" s="59">
        <v>381499.01373722515</v>
      </c>
      <c r="S46" s="59">
        <v>13185706.883994833</v>
      </c>
    </row>
    <row r="47" spans="2:19" x14ac:dyDescent="0.2">
      <c r="B47" s="59">
        <v>44</v>
      </c>
      <c r="C47" s="59">
        <v>28</v>
      </c>
      <c r="D47" s="59">
        <v>904.33296594190654</v>
      </c>
      <c r="E47" s="59">
        <v>2596.714782243695</v>
      </c>
      <c r="F47" s="59">
        <v>1919.3917322151619</v>
      </c>
      <c r="G47" s="59">
        <v>2115.8279352622735</v>
      </c>
      <c r="H47" s="59">
        <v>2059.1855408711322</v>
      </c>
      <c r="J47" s="59">
        <v>72.773082384709667</v>
      </c>
      <c r="K47" s="59">
        <v>107.22327360282655</v>
      </c>
      <c r="L47" s="59">
        <v>63.00401899405292</v>
      </c>
      <c r="M47" s="59">
        <v>103.25199907757306</v>
      </c>
      <c r="N47" s="59">
        <v>58.294669406671396</v>
      </c>
      <c r="P47" s="59">
        <v>814.29399973376644</v>
      </c>
      <c r="R47" s="59">
        <v>384159.45714205579</v>
      </c>
      <c r="S47" s="59">
        <v>13529897.283307498</v>
      </c>
    </row>
    <row r="48" spans="2:19" x14ac:dyDescent="0.2">
      <c r="B48" s="59">
        <v>45</v>
      </c>
      <c r="C48" s="59">
        <v>28</v>
      </c>
      <c r="D48" s="59">
        <v>895.39514179518073</v>
      </c>
      <c r="E48" s="59">
        <v>2586.7924036497698</v>
      </c>
      <c r="F48" s="59">
        <v>1918.3352923696077</v>
      </c>
      <c r="G48" s="59">
        <v>2114.2867388188547</v>
      </c>
      <c r="H48" s="59">
        <v>2070.2692500343705</v>
      </c>
      <c r="J48" s="59">
        <v>73.267299803584052</v>
      </c>
      <c r="K48" s="59">
        <v>110.27295469059449</v>
      </c>
      <c r="L48" s="59">
        <v>64.176087930594363</v>
      </c>
      <c r="M48" s="59">
        <v>107.59836772323925</v>
      </c>
      <c r="N48" s="59">
        <v>59.606463184206831</v>
      </c>
      <c r="P48" s="59">
        <v>813.71557558766199</v>
      </c>
      <c r="R48" s="59">
        <v>386800.80360831897</v>
      </c>
      <c r="S48" s="59">
        <v>13875589.984030679</v>
      </c>
    </row>
    <row r="49" spans="2:19" x14ac:dyDescent="0.2">
      <c r="B49" s="59">
        <v>46</v>
      </c>
      <c r="C49" s="59">
        <v>28</v>
      </c>
      <c r="D49" s="59">
        <v>886.54565314377169</v>
      </c>
      <c r="E49" s="59">
        <v>2576.8544877692671</v>
      </c>
      <c r="F49" s="59">
        <v>1917.2192742661148</v>
      </c>
      <c r="G49" s="59">
        <v>2112.750081702126</v>
      </c>
      <c r="H49" s="59">
        <v>2081.2876300886296</v>
      </c>
      <c r="J49" s="59">
        <v>73.758239414124958</v>
      </c>
      <c r="K49" s="59">
        <v>113.30542170913247</v>
      </c>
      <c r="L49" s="59">
        <v>65.339307557180419</v>
      </c>
      <c r="M49" s="59">
        <v>112.02240180956947</v>
      </c>
      <c r="N49" s="59">
        <v>60.917502540085842</v>
      </c>
      <c r="P49" s="59">
        <v>813.13144809611561</v>
      </c>
      <c r="R49" s="59">
        <v>389423.21405071835</v>
      </c>
      <c r="S49" s="59">
        <v>14222758.471561955</v>
      </c>
    </row>
    <row r="50" spans="2:19" x14ac:dyDescent="0.2">
      <c r="B50" s="59">
        <v>47</v>
      </c>
      <c r="C50" s="59">
        <v>28</v>
      </c>
      <c r="D50" s="59">
        <v>877.7836269385341</v>
      </c>
      <c r="E50" s="59">
        <v>2566.902008000684</v>
      </c>
      <c r="F50" s="59">
        <v>1916.0441715752504</v>
      </c>
      <c r="G50" s="59">
        <v>2111.2173236441063</v>
      </c>
      <c r="H50" s="59">
        <v>2092.2410221615137</v>
      </c>
      <c r="J50" s="59">
        <v>74.245928079070865</v>
      </c>
      <c r="K50" s="59">
        <v>116.32076470706025</v>
      </c>
      <c r="L50" s="59">
        <v>66.493801603731654</v>
      </c>
      <c r="M50" s="59">
        <v>116.52357607054527</v>
      </c>
      <c r="N50" s="59">
        <v>62.227777219505889</v>
      </c>
      <c r="P50" s="59">
        <v>812.54165475789546</v>
      </c>
      <c r="R50" s="59">
        <v>392026.84611739666</v>
      </c>
      <c r="S50" s="59">
        <v>14571376.536488747</v>
      </c>
    </row>
    <row r="51" spans="2:19" x14ac:dyDescent="0.2">
      <c r="B51" s="59">
        <v>48</v>
      </c>
      <c r="C51" s="59">
        <v>29</v>
      </c>
      <c r="D51" s="59">
        <v>869.10819875895822</v>
      </c>
      <c r="E51" s="59">
        <v>2556.9359222055964</v>
      </c>
      <c r="F51" s="59">
        <v>1914.8104798599593</v>
      </c>
      <c r="G51" s="59">
        <v>2109.6878355881468</v>
      </c>
      <c r="H51" s="59">
        <v>2103.1297596392383</v>
      </c>
      <c r="J51" s="59">
        <v>74.730392122318221</v>
      </c>
      <c r="K51" s="59">
        <v>119.31907345454644</v>
      </c>
      <c r="L51" s="59">
        <v>67.639690441428215</v>
      </c>
      <c r="M51" s="59">
        <v>121.1013708907432</v>
      </c>
      <c r="N51" s="59">
        <v>63.53727703906722</v>
      </c>
      <c r="P51" s="59">
        <v>811.94623275033621</v>
      </c>
      <c r="Q51" s="59">
        <v>9743.3547930040349</v>
      </c>
      <c r="R51" s="59">
        <v>394611.85427946853</v>
      </c>
      <c r="S51" s="59">
        <v>14921418.269608669</v>
      </c>
    </row>
    <row r="52" spans="2:19" x14ac:dyDescent="0.2">
      <c r="B52" s="59">
        <v>49</v>
      </c>
      <c r="C52" s="59">
        <v>29</v>
      </c>
      <c r="D52" s="59">
        <v>860.51851272789054</v>
      </c>
      <c r="E52" s="59">
        <v>2546.9571729049126</v>
      </c>
      <c r="F52" s="59">
        <v>1913.5186964463346</v>
      </c>
      <c r="G52" s="59">
        <v>2108.1609995979825</v>
      </c>
      <c r="H52" s="59">
        <v>2113.954168310232</v>
      </c>
      <c r="J52" s="59">
        <v>75.211657338372845</v>
      </c>
      <c r="K52" s="59">
        <v>122.30043742420928</v>
      </c>
      <c r="L52" s="59">
        <v>68.77709118900988</v>
      </c>
      <c r="M52" s="59">
        <v>125.75527217504828</v>
      </c>
      <c r="N52" s="59">
        <v>64.845991886009912</v>
      </c>
      <c r="P52" s="59">
        <v>811.34521893591545</v>
      </c>
      <c r="R52" s="59">
        <v>397178.38991757337</v>
      </c>
      <c r="S52" s="59">
        <v>15272858.057073375</v>
      </c>
    </row>
    <row r="53" spans="2:19" x14ac:dyDescent="0.2">
      <c r="B53" s="59">
        <v>50</v>
      </c>
      <c r="C53" s="59">
        <v>29</v>
      </c>
      <c r="D53" s="59">
        <v>852.01372142709658</v>
      </c>
      <c r="E53" s="59">
        <v>2536.9666874728791</v>
      </c>
      <c r="F53" s="59">
        <v>1912.1693202970882</v>
      </c>
      <c r="G53" s="59">
        <v>2106.6362087663856</v>
      </c>
      <c r="H53" s="59">
        <v>2124.7145665072012</v>
      </c>
      <c r="J53" s="59">
        <v>75.689749001675452</v>
      </c>
      <c r="K53" s="59">
        <v>125.26494577270067</v>
      </c>
      <c r="L53" s="59">
        <v>69.906117815392307</v>
      </c>
      <c r="M53" s="59">
        <v>130.48477122211514</v>
      </c>
      <c r="N53" s="59">
        <v>66.153911717468432</v>
      </c>
      <c r="P53" s="59">
        <v>810.7386498686642</v>
      </c>
      <c r="R53" s="59">
        <v>399726.60140555666</v>
      </c>
      <c r="S53" s="59">
        <v>15625670.57565189</v>
      </c>
    </row>
    <row r="54" spans="2:19" x14ac:dyDescent="0.2">
      <c r="B54" s="59">
        <v>51</v>
      </c>
      <c r="C54" s="59">
        <v>29</v>
      </c>
      <c r="D54" s="59">
        <v>843.59298581365874</v>
      </c>
      <c r="E54" s="59">
        <v>2526.9653783288641</v>
      </c>
      <c r="F54" s="59">
        <v>1910.7628518876772</v>
      </c>
      <c r="G54" s="59">
        <v>2105.112867123446</v>
      </c>
      <c r="H54" s="59">
        <v>2135.4112652476683</v>
      </c>
      <c r="J54" s="59">
        <v>76.164691875802973</v>
      </c>
      <c r="K54" s="59">
        <v>128.21268732295957</v>
      </c>
      <c r="L54" s="59">
        <v>71.026881238732415</v>
      </c>
      <c r="M54" s="59">
        <v>135.28936460145013</v>
      </c>
      <c r="N54" s="59">
        <v>67.461026559743146</v>
      </c>
      <c r="P54" s="59">
        <v>810.12656180041438</v>
      </c>
      <c r="R54" s="59">
        <v>402256.6341913864</v>
      </c>
      <c r="S54" s="59">
        <v>15979830.78810958</v>
      </c>
    </row>
    <row r="55" spans="2:19" x14ac:dyDescent="0.2">
      <c r="B55" s="59">
        <v>52</v>
      </c>
      <c r="C55" s="59">
        <v>29</v>
      </c>
      <c r="D55" s="59">
        <v>835.25547513720039</v>
      </c>
      <c r="E55" s="59">
        <v>2516.9541431269404</v>
      </c>
      <c r="F55" s="59">
        <v>1909.2997930850449</v>
      </c>
      <c r="G55" s="59">
        <v>2103.5903895445131</v>
      </c>
      <c r="H55" s="59">
        <v>2146.0445683729849</v>
      </c>
      <c r="J55" s="59">
        <v>76.636510222546704</v>
      </c>
      <c r="K55" s="59">
        <v>131.14375054712062</v>
      </c>
      <c r="L55" s="59">
        <v>72.139489422070952</v>
      </c>
      <c r="M55" s="59">
        <v>140.16855403399234</v>
      </c>
      <c r="N55" s="59">
        <v>68.767326507588322</v>
      </c>
      <c r="P55" s="59">
        <v>809.50899068689114</v>
      </c>
      <c r="R55" s="59">
        <v>404768.63087540545</v>
      </c>
      <c r="S55" s="59">
        <v>16335313.938699055</v>
      </c>
    </row>
    <row r="56" spans="2:19" x14ac:dyDescent="0.2">
      <c r="B56" s="59">
        <v>53</v>
      </c>
      <c r="C56" s="59">
        <v>29</v>
      </c>
      <c r="D56" s="59">
        <v>827.0003668579277</v>
      </c>
      <c r="E56" s="59">
        <v>2506.9338649432952</v>
      </c>
      <c r="F56" s="59">
        <v>1907.7806470289322</v>
      </c>
      <c r="G56" s="59">
        <v>2102.0682016578271</v>
      </c>
      <c r="H56" s="59">
        <v>2156.614772685818</v>
      </c>
      <c r="J56" s="59">
        <v>77.105227810869039</v>
      </c>
      <c r="K56" s="59">
        <v>134.05822355006467</v>
      </c>
      <c r="L56" s="59">
        <v>73.244047465675919</v>
      </c>
      <c r="M56" s="59">
        <v>145.1218462760761</v>
      </c>
      <c r="N56" s="59">
        <v>70.072801723516108</v>
      </c>
      <c r="P56" s="59">
        <v>808.88597219365204</v>
      </c>
      <c r="R56" s="59">
        <v>407262.73128601903</v>
      </c>
      <c r="S56" s="59">
        <v>16692095.54875944</v>
      </c>
    </row>
    <row r="57" spans="2:19" x14ac:dyDescent="0.2">
      <c r="B57" s="59">
        <v>54</v>
      </c>
      <c r="C57" s="59">
        <v>29</v>
      </c>
      <c r="D57" s="59">
        <v>818.8268465654819</v>
      </c>
      <c r="E57" s="59">
        <v>2496.9054124614859</v>
      </c>
      <c r="F57" s="59">
        <v>1906.2059180157207</v>
      </c>
      <c r="G57" s="59">
        <v>2100.5457397518699</v>
      </c>
      <c r="H57" s="59">
        <v>2167.1221680861231</v>
      </c>
      <c r="J57" s="59">
        <v>77.570867925739861</v>
      </c>
      <c r="K57" s="59">
        <v>136.95619405359722</v>
      </c>
      <c r="L57" s="59">
        <v>74.340657696205611</v>
      </c>
      <c r="M57" s="59">
        <v>150.14875300666185</v>
      </c>
      <c r="N57" s="59">
        <v>71.377442437116159</v>
      </c>
      <c r="P57" s="59">
        <v>808.25754170187997</v>
      </c>
      <c r="R57" s="59">
        <v>409739.0725529106</v>
      </c>
      <c r="S57" s="59">
        <v>17050151.412420575</v>
      </c>
    </row>
    <row r="58" spans="2:19" x14ac:dyDescent="0.2">
      <c r="B58" s="59">
        <v>55</v>
      </c>
      <c r="C58" s="59">
        <v>29</v>
      </c>
      <c r="D58" s="59">
        <v>810.73410789859304</v>
      </c>
      <c r="E58" s="59">
        <v>2486.869640155569</v>
      </c>
      <c r="F58" s="59">
        <v>1904.5761113847636</v>
      </c>
      <c r="G58" s="59">
        <v>2099.0224506824588</v>
      </c>
      <c r="H58" s="59">
        <v>2177.5670377055994</v>
      </c>
      <c r="J58" s="59">
        <v>78.033453376854069</v>
      </c>
      <c r="K58" s="59">
        <v>139.83774938124211</v>
      </c>
      <c r="L58" s="59">
        <v>75.429419752806183</v>
      </c>
      <c r="M58" s="59">
        <v>155.2487907177258</v>
      </c>
      <c r="N58" s="59">
        <v>72.681238944390316</v>
      </c>
      <c r="P58" s="59">
        <v>807.6237343140325</v>
      </c>
      <c r="R58" s="59">
        <v>412197.78917787806</v>
      </c>
      <c r="S58" s="59">
        <v>17409457.592408832</v>
      </c>
    </row>
    <row r="59" spans="2:19" x14ac:dyDescent="0.2">
      <c r="B59" s="59">
        <v>56</v>
      </c>
      <c r="C59" s="59">
        <v>29</v>
      </c>
      <c r="D59" s="59">
        <v>802.72135246552864</v>
      </c>
      <c r="E59" s="59">
        <v>2476.8273884711243</v>
      </c>
      <c r="F59" s="59">
        <v>1902.8917334071666</v>
      </c>
      <c r="G59" s="59">
        <v>2097.4977917796182</v>
      </c>
      <c r="H59" s="59">
        <v>2187.9496580406362</v>
      </c>
      <c r="J59" s="59">
        <v>78.493006507231613</v>
      </c>
      <c r="K59" s="59">
        <v>142.70297644363691</v>
      </c>
      <c r="L59" s="59">
        <v>76.510430670254195</v>
      </c>
      <c r="M59" s="59">
        <v>160.4214806077037</v>
      </c>
      <c r="N59" s="59">
        <v>73.98418160710203</v>
      </c>
      <c r="P59" s="59">
        <v>806.98458485935316</v>
      </c>
      <c r="R59" s="59">
        <v>414639.01310337696</v>
      </c>
      <c r="S59" s="59">
        <v>17769990.415951386</v>
      </c>
    </row>
    <row r="60" spans="2:19" x14ac:dyDescent="0.2">
      <c r="B60" s="59">
        <v>57</v>
      </c>
      <c r="C60" s="59">
        <v>29</v>
      </c>
      <c r="D60" s="59">
        <v>794.78778976532772</v>
      </c>
      <c r="E60" s="59">
        <v>2466.7794840041965</v>
      </c>
      <c r="F60" s="59">
        <v>1901.1532911769777</v>
      </c>
      <c r="G60" s="59">
        <v>2095.9712307542495</v>
      </c>
      <c r="H60" s="59">
        <v>2198.2702990837543</v>
      </c>
      <c r="J60" s="59">
        <v>78.949549201701203</v>
      </c>
      <c r="K60" s="59">
        <v>145.55196172451738</v>
      </c>
      <c r="L60" s="59">
        <v>77.583784959250607</v>
      </c>
      <c r="M60" s="59">
        <v>165.6663484778872</v>
      </c>
      <c r="N60" s="59">
        <v>75.286260852140046</v>
      </c>
      <c r="P60" s="59">
        <v>806.34012789924907</v>
      </c>
      <c r="R60" s="59">
        <v>417062.87377885543</v>
      </c>
      <c r="S60" s="59">
        <v>18131726.470775843</v>
      </c>
    </row>
    <row r="61" spans="2:19" x14ac:dyDescent="0.2">
      <c r="B61" s="59">
        <v>58</v>
      </c>
      <c r="C61" s="59">
        <v>29</v>
      </c>
      <c r="D61" s="59">
        <v>786.93263710981375</v>
      </c>
      <c r="E61" s="59">
        <v>2456.7267396781781</v>
      </c>
      <c r="F61" s="59">
        <v>1899.3612925047473</v>
      </c>
      <c r="G61" s="59">
        <v>2094.4422456046277</v>
      </c>
      <c r="H61" s="59">
        <v>2208.5292244535476</v>
      </c>
      <c r="J61" s="59">
        <v>79.403102895269143</v>
      </c>
      <c r="K61" s="59">
        <v>148.38479126727827</v>
      </c>
      <c r="L61" s="59">
        <v>78.649574683968993</v>
      </c>
      <c r="M61" s="59">
        <v>170.98292463167516</v>
      </c>
      <c r="N61" s="59">
        <v>76.587467170896048</v>
      </c>
      <c r="P61" s="59">
        <v>805.69039773253667</v>
      </c>
      <c r="R61" s="59">
        <v>419469.49822496163</v>
      </c>
      <c r="S61" s="59">
        <v>18494642.601202279</v>
      </c>
    </row>
    <row r="62" spans="2:19" x14ac:dyDescent="0.2">
      <c r="B62" s="59">
        <v>59</v>
      </c>
      <c r="C62" s="59">
        <v>29</v>
      </c>
      <c r="D62" s="59">
        <v>779.15511954637839</v>
      </c>
      <c r="E62" s="59">
        <v>2446.6699549186546</v>
      </c>
      <c r="F62" s="59">
        <v>1897.5162458134196</v>
      </c>
      <c r="G62" s="59">
        <v>2092.9103245227498</v>
      </c>
      <c r="H62" s="59">
        <v>2218.7266915231289</v>
      </c>
      <c r="J62" s="59">
        <v>79.853688581374456</v>
      </c>
      <c r="K62" s="59">
        <v>151.20155066209804</v>
      </c>
      <c r="L62" s="59">
        <v>79.707889536956813</v>
      </c>
      <c r="M62" s="59">
        <v>176.3707437765859</v>
      </c>
      <c r="N62" s="59">
        <v>77.887791118655713</v>
      </c>
      <c r="P62" s="59">
        <v>805.03542840056275</v>
      </c>
      <c r="R62" s="59">
        <v>421859.01109570195</v>
      </c>
      <c r="S62" s="59">
        <v>18858715.904324852</v>
      </c>
    </row>
    <row r="63" spans="2:19" x14ac:dyDescent="0.2">
      <c r="B63" s="59">
        <v>60</v>
      </c>
      <c r="C63" s="59">
        <v>30</v>
      </c>
      <c r="D63" s="59">
        <v>771.45446978152836</v>
      </c>
      <c r="E63" s="59">
        <v>2436.6099158262355</v>
      </c>
      <c r="F63" s="59">
        <v>1895.6186600365174</v>
      </c>
      <c r="G63" s="59">
        <v>2091.3749658005609</v>
      </c>
      <c r="H63" s="59">
        <v>2228.8629515470852</v>
      </c>
      <c r="J63" s="59">
        <v>80.30132682003169</v>
      </c>
      <c r="K63" s="59">
        <v>154.00232503361508</v>
      </c>
      <c r="L63" s="59">
        <v>80.758816911485169</v>
      </c>
      <c r="M63" s="59">
        <v>181.82934492893972</v>
      </c>
      <c r="N63" s="59">
        <v>79.187223314003006</v>
      </c>
      <c r="P63" s="59">
        <v>804.37525369220145</v>
      </c>
      <c r="Q63" s="59">
        <v>9652.503044306417</v>
      </c>
      <c r="R63" s="59">
        <v>424231.53473862499</v>
      </c>
      <c r="S63" s="59">
        <v>19223923.726280238</v>
      </c>
    </row>
    <row r="64" spans="2:19" x14ac:dyDescent="0.2">
      <c r="B64" s="59">
        <v>61</v>
      </c>
      <c r="C64" s="59">
        <v>30</v>
      </c>
      <c r="D64" s="59">
        <v>763.81707053069124</v>
      </c>
      <c r="E64" s="59">
        <v>2426.5067851821291</v>
      </c>
      <c r="F64" s="59">
        <v>1893.6374508742492</v>
      </c>
      <c r="G64" s="59">
        <v>2089.8008214866504</v>
      </c>
      <c r="H64" s="59">
        <v>2238.9011020710923</v>
      </c>
      <c r="J64" s="59">
        <v>80.744699390415533</v>
      </c>
      <c r="K64" s="59">
        <v>156.78463232372633</v>
      </c>
      <c r="L64" s="59">
        <v>81.801095991157027</v>
      </c>
      <c r="M64" s="59">
        <v>187.35827132112428</v>
      </c>
      <c r="N64" s="59">
        <v>80.648070828766578</v>
      </c>
      <c r="P64" s="59">
        <v>803.69650089450499</v>
      </c>
      <c r="R64" s="59">
        <v>426580.11872752471</v>
      </c>
      <c r="S64" s="59">
        <v>19590237.58698225</v>
      </c>
    </row>
    <row r="65" spans="2:19" x14ac:dyDescent="0.2">
      <c r="B65" s="59">
        <v>62</v>
      </c>
      <c r="C65" s="59">
        <v>30</v>
      </c>
      <c r="D65" s="59">
        <v>756.25528153243738</v>
      </c>
      <c r="E65" s="59">
        <v>2416.4022692069857</v>
      </c>
      <c r="F65" s="59">
        <v>1891.6047871429157</v>
      </c>
      <c r="G65" s="59">
        <v>2088.2223179311322</v>
      </c>
      <c r="H65" s="59">
        <v>2248.8781949793388</v>
      </c>
      <c r="J65" s="59">
        <v>81.185064306356722</v>
      </c>
      <c r="K65" s="59">
        <v>159.55111586760285</v>
      </c>
      <c r="L65" s="59">
        <v>82.836120993202755</v>
      </c>
      <c r="M65" s="59">
        <v>192.9569781625857</v>
      </c>
      <c r="N65" s="59">
        <v>82.107869877444102</v>
      </c>
      <c r="P65" s="59">
        <v>803.01263196180639</v>
      </c>
      <c r="R65" s="59">
        <v>428911.87309165235</v>
      </c>
      <c r="S65" s="59">
        <v>19957635.282915104</v>
      </c>
    </row>
    <row r="66" spans="2:19" x14ac:dyDescent="0.2">
      <c r="B66" s="59">
        <v>63</v>
      </c>
      <c r="C66" s="59">
        <v>30</v>
      </c>
      <c r="D66" s="59">
        <v>748.76835424526621</v>
      </c>
      <c r="E66" s="59">
        <v>2406.2971151213296</v>
      </c>
      <c r="F66" s="59">
        <v>1889.5211812936313</v>
      </c>
      <c r="G66" s="59">
        <v>2086.6389833815374</v>
      </c>
      <c r="H66" s="59">
        <v>2258.7944669622675</v>
      </c>
      <c r="J66" s="59">
        <v>81.622441933895729</v>
      </c>
      <c r="K66" s="59">
        <v>162.30185970232412</v>
      </c>
      <c r="L66" s="59">
        <v>83.863973184840646</v>
      </c>
      <c r="M66" s="59">
        <v>198.6250140246712</v>
      </c>
      <c r="N66" s="59">
        <v>83.566610150238105</v>
      </c>
      <c r="P66" s="59">
        <v>802.32368024414723</v>
      </c>
      <c r="R66" s="59">
        <v>431226.91466647037</v>
      </c>
      <c r="S66" s="59">
        <v>20326094.850204844</v>
      </c>
    </row>
    <row r="67" spans="2:19" x14ac:dyDescent="0.2">
      <c r="B67" s="59">
        <v>64</v>
      </c>
      <c r="C67" s="59">
        <v>30</v>
      </c>
      <c r="D67" s="59">
        <v>741.35554753823806</v>
      </c>
      <c r="E67" s="59">
        <v>2396.1920574425098</v>
      </c>
      <c r="F67" s="59">
        <v>1887.3871458689437</v>
      </c>
      <c r="G67" s="59">
        <v>2085.050355840945</v>
      </c>
      <c r="H67" s="59">
        <v>2268.6501490691612</v>
      </c>
      <c r="J67" s="59">
        <v>82.056852224481617</v>
      </c>
      <c r="K67" s="59">
        <v>165.03694734829583</v>
      </c>
      <c r="L67" s="59">
        <v>84.884731797096904</v>
      </c>
      <c r="M67" s="59">
        <v>204.36193146371755</v>
      </c>
      <c r="N67" s="59">
        <v>85.024281406611863</v>
      </c>
      <c r="P67" s="59">
        <v>801.62967885496892</v>
      </c>
      <c r="R67" s="59">
        <v>433525.35819215997</v>
      </c>
      <c r="S67" s="59">
        <v>20695594.561188813</v>
      </c>
    </row>
    <row r="68" spans="2:19" x14ac:dyDescent="0.2">
      <c r="B68" s="59">
        <v>65</v>
      </c>
      <c r="C68" s="59">
        <v>30</v>
      </c>
      <c r="D68" s="59">
        <v>734.01612761760953</v>
      </c>
      <c r="E68" s="59">
        <v>2386.0878181488401</v>
      </c>
      <c r="F68" s="59">
        <v>1885.203193411925</v>
      </c>
      <c r="G68" s="59">
        <v>2083.4559829731293</v>
      </c>
      <c r="H68" s="59">
        <v>2278.4454668282078</v>
      </c>
      <c r="J68" s="59">
        <v>82.488314722792396</v>
      </c>
      <c r="K68" s="59">
        <v>167.75646179962274</v>
      </c>
      <c r="L68" s="59">
        <v>85.898474085707065</v>
      </c>
      <c r="M68" s="59">
        <v>210.16728693748632</v>
      </c>
      <c r="N68" s="59">
        <v>86.480873474681303</v>
      </c>
      <c r="P68" s="59">
        <v>800.93066067557879</v>
      </c>
      <c r="R68" s="59">
        <v>435807.31636511389</v>
      </c>
      <c r="S68" s="59">
        <v>21066112.921059955</v>
      </c>
    </row>
    <row r="69" spans="2:19" x14ac:dyDescent="0.2">
      <c r="B69" s="59">
        <v>66</v>
      </c>
      <c r="C69" s="59">
        <v>30</v>
      </c>
      <c r="D69" s="59">
        <v>726.74936795419524</v>
      </c>
      <c r="E69" s="59">
        <v>2375.9851068418352</v>
      </c>
      <c r="F69" s="59">
        <v>1882.9698363773482</v>
      </c>
      <c r="G69" s="59">
        <v>2081.855422007729</v>
      </c>
      <c r="H69" s="59">
        <v>2288.1806403650994</v>
      </c>
      <c r="J69" s="59">
        <v>82.916848574447087</v>
      </c>
      <c r="K69" s="59">
        <v>170.46048551496216</v>
      </c>
      <c r="L69" s="59">
        <v>86.905275389971067</v>
      </c>
      <c r="M69" s="59">
        <v>216.04064072379489</v>
      </c>
      <c r="N69" s="59">
        <v>87.936376250619489</v>
      </c>
      <c r="P69" s="59">
        <v>800.22665835951136</v>
      </c>
      <c r="R69" s="59">
        <v>438072.89988784981</v>
      </c>
      <c r="S69" s="59">
        <v>21437628.664583784</v>
      </c>
    </row>
    <row r="70" spans="2:19" x14ac:dyDescent="0.2">
      <c r="B70" s="59">
        <v>67</v>
      </c>
      <c r="C70" s="59">
        <v>30</v>
      </c>
      <c r="D70" s="59">
        <v>719.55454921144872</v>
      </c>
      <c r="E70" s="59">
        <v>2365.8846209065659</v>
      </c>
      <c r="F70" s="59">
        <v>1880.6875870449144</v>
      </c>
      <c r="G70" s="59">
        <v>2080.2482396454598</v>
      </c>
      <c r="H70" s="59">
        <v>2297.8558845201733</v>
      </c>
      <c r="J70" s="59">
        <v>83.342472533610632</v>
      </c>
      <c r="K70" s="59">
        <v>173.14910040884635</v>
      </c>
      <c r="L70" s="59">
        <v>87.905209189635372</v>
      </c>
      <c r="M70" s="59">
        <v>221.98155684127346</v>
      </c>
      <c r="N70" s="59">
        <v>89.390779698073317</v>
      </c>
      <c r="P70" s="59">
        <v>799.51770433679019</v>
      </c>
      <c r="R70" s="59">
        <v>440322.21751740068</v>
      </c>
      <c r="S70" s="59">
        <v>21810120.752885852</v>
      </c>
    </row>
    <row r="71" spans="2:19" x14ac:dyDescent="0.2">
      <c r="B71" s="59">
        <v>68</v>
      </c>
      <c r="C71" s="59">
        <v>30</v>
      </c>
      <c r="D71" s="59">
        <v>712.43095917425535</v>
      </c>
      <c r="E71" s="59">
        <v>2355.7870456701535</v>
      </c>
      <c r="F71" s="59">
        <v>1878.3569574344967</v>
      </c>
      <c r="G71" s="59">
        <v>2078.6340119633892</v>
      </c>
      <c r="H71" s="59">
        <v>2307.4714089641038</v>
      </c>
      <c r="J71" s="59">
        <v>83.765204970492931</v>
      </c>
      <c r="K71" s="59">
        <v>175.82238784346364</v>
      </c>
      <c r="L71" s="59">
        <v>88.898347159873197</v>
      </c>
      <c r="M71" s="59">
        <v>227.98960297218031</v>
      </c>
      <c r="N71" s="59">
        <v>90.844073847592426</v>
      </c>
      <c r="P71" s="59">
        <v>798.80383081809202</v>
      </c>
      <c r="R71" s="59">
        <v>442555.37611223839</v>
      </c>
      <c r="S71" s="59">
        <v>22183568.370307706</v>
      </c>
    </row>
    <row r="72" spans="2:19" x14ac:dyDescent="0.2">
      <c r="B72" s="59">
        <v>69</v>
      </c>
      <c r="C72" s="59">
        <v>30</v>
      </c>
      <c r="D72" s="59">
        <v>705.37789267843027</v>
      </c>
      <c r="E72" s="59">
        <v>2345.6930545584219</v>
      </c>
      <c r="F72" s="59">
        <v>1875.9784592233668</v>
      </c>
      <c r="G72" s="59">
        <v>2077.0123243202934</v>
      </c>
      <c r="H72" s="59">
        <v>2317.0274183121473</v>
      </c>
      <c r="J72" s="59">
        <v>84.185063878743193</v>
      </c>
      <c r="K72" s="59">
        <v>178.48042862088741</v>
      </c>
      <c r="L72" s="59">
        <v>89.884759224430937</v>
      </c>
      <c r="M72" s="59">
        <v>234.0643503872106</v>
      </c>
      <c r="N72" s="59">
        <v>92.296248796069463</v>
      </c>
      <c r="P72" s="59">
        <v>798.08506979881508</v>
      </c>
      <c r="R72" s="59">
        <v>444772.48067778331</v>
      </c>
      <c r="S72" s="59">
        <v>22557950.921329327</v>
      </c>
    </row>
    <row r="73" spans="2:19" x14ac:dyDescent="0.2">
      <c r="B73" s="59">
        <v>70</v>
      </c>
      <c r="C73" s="59">
        <v>30</v>
      </c>
      <c r="D73" s="59">
        <v>698.39465154091386</v>
      </c>
      <c r="E73" s="59">
        <v>2335.6033092507305</v>
      </c>
      <c r="F73" s="59">
        <v>1873.5526036653719</v>
      </c>
      <c r="G73" s="59">
        <v>2075.382771262116</v>
      </c>
      <c r="H73" s="59">
        <v>2326.5241122369512</v>
      </c>
      <c r="J73" s="59">
        <v>84.60206688274063</v>
      </c>
      <c r="K73" s="59">
        <v>181.12330297574238</v>
      </c>
      <c r="L73" s="59">
        <v>90.864513607006685</v>
      </c>
      <c r="M73" s="59">
        <v>240.20537387223581</v>
      </c>
      <c r="N73" s="59">
        <v>93.747294706191965</v>
      </c>
      <c r="P73" s="59">
        <v>797.36145306305559</v>
      </c>
      <c r="R73" s="59">
        <v>446973.63441055117</v>
      </c>
      <c r="S73" s="59">
        <v>22933248.027556177</v>
      </c>
    </row>
    <row r="74" spans="2:19" x14ac:dyDescent="0.2">
      <c r="B74" s="59">
        <v>71</v>
      </c>
      <c r="C74" s="59">
        <v>30</v>
      </c>
      <c r="D74" s="59">
        <v>691.48054449065876</v>
      </c>
      <c r="E74" s="59">
        <v>2325.5184598330075</v>
      </c>
      <c r="F74" s="59">
        <v>1871.0799015120276</v>
      </c>
      <c r="G74" s="59">
        <v>2073.7449564275466</v>
      </c>
      <c r="H74" s="59">
        <v>2335.9616855799363</v>
      </c>
      <c r="J74" s="59">
        <v>85.016231244782844</v>
      </c>
      <c r="K74" s="59">
        <v>183.75109056829825</v>
      </c>
      <c r="L74" s="59">
        <v>91.837676880924164</v>
      </c>
      <c r="M74" s="59">
        <v>246.41225165691364</v>
      </c>
      <c r="N74" s="59">
        <v>95.197201805905209</v>
      </c>
      <c r="P74" s="59">
        <v>796.6330121874945</v>
      </c>
      <c r="R74" s="59">
        <v>449158.93874098681</v>
      </c>
      <c r="S74" s="59">
        <v>23309439.524768986</v>
      </c>
    </row>
    <row r="75" spans="2:19" x14ac:dyDescent="0.2">
      <c r="B75" s="59">
        <v>72</v>
      </c>
      <c r="C75" s="59">
        <v>31</v>
      </c>
      <c r="D75" s="59">
        <v>684.63488710020124</v>
      </c>
      <c r="E75" s="59">
        <v>2315.4391449489995</v>
      </c>
      <c r="F75" s="59">
        <v>1868.5608629354977</v>
      </c>
      <c r="G75" s="59">
        <v>2072.0984924537365</v>
      </c>
      <c r="H75" s="59">
        <v>2345.3403284612541</v>
      </c>
      <c r="J75" s="59">
        <v>85.429016044522385</v>
      </c>
      <c r="K75" s="59">
        <v>186.36242830563074</v>
      </c>
      <c r="L75" s="59">
        <v>92.804314017163193</v>
      </c>
      <c r="M75" s="59">
        <v>252.68456534510986</v>
      </c>
      <c r="N75" s="59">
        <v>96.645960387885793</v>
      </c>
      <c r="P75" s="59">
        <v>795.89977854519634</v>
      </c>
      <c r="Q75" s="59">
        <v>9550.797342542357</v>
      </c>
      <c r="R75" s="59">
        <v>451328.4933750318</v>
      </c>
      <c r="S75" s="59">
        <v>23686505.460034546</v>
      </c>
    </row>
    <row r="76" spans="2:19" x14ac:dyDescent="0.2">
      <c r="B76" s="59">
        <v>73</v>
      </c>
      <c r="C76" s="59">
        <v>31</v>
      </c>
      <c r="D76" s="59">
        <v>677.85700171790927</v>
      </c>
      <c r="E76" s="59">
        <v>2305.3659919497618</v>
      </c>
      <c r="F76" s="59">
        <v>1865.9959974534245</v>
      </c>
      <c r="G76" s="59">
        <v>2070.4430008821705</v>
      </c>
      <c r="H76" s="59">
        <v>2354.6602263883337</v>
      </c>
      <c r="J76" s="59">
        <v>85.8389719958911</v>
      </c>
      <c r="K76" s="59">
        <v>188.95885211292992</v>
      </c>
      <c r="L76" s="59">
        <v>93.764488430805557</v>
      </c>
      <c r="M76" s="59">
        <v>259.02190825974839</v>
      </c>
      <c r="N76" s="59">
        <v>98.093560809025846</v>
      </c>
      <c r="P76" s="59">
        <v>795.16178274427216</v>
      </c>
      <c r="R76" s="59">
        <v>453482.39252283034</v>
      </c>
      <c r="S76" s="59">
        <v>24064426.085699234</v>
      </c>
    </row>
    <row r="77" spans="2:19" x14ac:dyDescent="0.2">
      <c r="B77" s="59">
        <v>74</v>
      </c>
      <c r="C77" s="59">
        <v>31</v>
      </c>
      <c r="D77" s="59">
        <v>671.14621740090195</v>
      </c>
      <c r="E77" s="59">
        <v>2295.2996170414081</v>
      </c>
      <c r="F77" s="59">
        <v>1863.3858138555831</v>
      </c>
      <c r="G77" s="59">
        <v>2068.7781120647114</v>
      </c>
      <c r="H77" s="59">
        <v>2363.9215603630214</v>
      </c>
      <c r="J77" s="59">
        <v>86.246206104421574</v>
      </c>
      <c r="K77" s="59">
        <v>191.5403493682702</v>
      </c>
      <c r="L77" s="59">
        <v>94.718261978281149</v>
      </c>
      <c r="M77" s="59">
        <v>265.42386833473626</v>
      </c>
      <c r="N77" s="59">
        <v>99.53999348866553</v>
      </c>
      <c r="P77" s="59">
        <v>794.41905577749412</v>
      </c>
      <c r="R77" s="59">
        <v>455620.73264177889</v>
      </c>
      <c r="S77" s="59">
        <v>24443181.859883983</v>
      </c>
    </row>
    <row r="78" spans="2:19" x14ac:dyDescent="0.2">
      <c r="B78" s="59">
        <v>75</v>
      </c>
      <c r="C78" s="59">
        <v>31</v>
      </c>
      <c r="D78" s="59">
        <v>664.50186984863296</v>
      </c>
      <c r="E78" s="59">
        <v>2285.240625431134</v>
      </c>
      <c r="F78" s="59">
        <v>1860.7308201323256</v>
      </c>
      <c r="G78" s="59">
        <v>2067.1034650698321</v>
      </c>
      <c r="H78" s="59">
        <v>2373.1245069873225</v>
      </c>
      <c r="J78" s="59">
        <v>86.650733621355442</v>
      </c>
      <c r="K78" s="59">
        <v>194.10699773816242</v>
      </c>
      <c r="L78" s="59">
        <v>95.66569505169268</v>
      </c>
      <c r="M78" s="59">
        <v>271.89003721015104</v>
      </c>
      <c r="N78" s="59">
        <v>100.98524890939201</v>
      </c>
      <c r="P78" s="59">
        <v>793.67162840920423</v>
      </c>
      <c r="R78" s="59">
        <v>457743.6083432266</v>
      </c>
      <c r="S78" s="59">
        <v>24822753.443568934</v>
      </c>
    </row>
    <row r="79" spans="2:19" x14ac:dyDescent="0.2">
      <c r="B79" s="59">
        <v>76</v>
      </c>
      <c r="C79" s="59">
        <v>31</v>
      </c>
      <c r="D79" s="59">
        <v>657.92330133713153</v>
      </c>
      <c r="E79" s="59">
        <v>2275.1896114715396</v>
      </c>
      <c r="F79" s="59">
        <v>1858.0315234047864</v>
      </c>
      <c r="G79" s="59">
        <v>2065.4187075890532</v>
      </c>
      <c r="H79" s="59">
        <v>2382.2692385677556</v>
      </c>
      <c r="J79" s="59">
        <v>87.05256947632067</v>
      </c>
      <c r="K79" s="59">
        <v>196.65887428801807</v>
      </c>
      <c r="L79" s="59">
        <v>96.606846617701336</v>
      </c>
      <c r="M79" s="59">
        <v>278.42000963122052</v>
      </c>
      <c r="N79" s="59">
        <v>102.42931761647409</v>
      </c>
      <c r="P79" s="59">
        <v>792.91953121501933</v>
      </c>
      <c r="R79" s="59">
        <v>459851.11267208896</v>
      </c>
      <c r="S79" s="59">
        <v>25203121.69793579</v>
      </c>
    </row>
    <row r="80" spans="2:19" x14ac:dyDescent="0.2">
      <c r="B80" s="59">
        <v>77</v>
      </c>
      <c r="C80" s="59">
        <v>31</v>
      </c>
      <c r="D80" s="59">
        <v>651.40986065389393</v>
      </c>
      <c r="E80" s="59">
        <v>2265.1471588032659</v>
      </c>
      <c r="F80" s="59">
        <v>1855.2884298568179</v>
      </c>
      <c r="G80" s="59">
        <v>2063.723495843602</v>
      </c>
      <c r="H80" s="59">
        <v>2391.3559232183238</v>
      </c>
      <c r="J80" s="59">
        <v>87.451728283837056</v>
      </c>
      <c r="K80" s="59">
        <v>199.19605547753861</v>
      </c>
      <c r="L80" s="59">
        <v>97.541774258222446</v>
      </c>
      <c r="M80" s="59">
        <v>285.01338338711275</v>
      </c>
      <c r="N80" s="59">
        <v>103.87219021738694</v>
      </c>
      <c r="P80" s="59">
        <v>792.16279458521808</v>
      </c>
      <c r="R80" s="59">
        <v>461943.33714270266</v>
      </c>
      <c r="S80" s="59">
        <v>25584267.681763098</v>
      </c>
    </row>
    <row r="81" spans="2:19" x14ac:dyDescent="0.2">
      <c r="B81" s="59">
        <v>78</v>
      </c>
      <c r="C81" s="59">
        <v>31</v>
      </c>
      <c r="D81" s="59">
        <v>644.96090303342044</v>
      </c>
      <c r="E81" s="59">
        <v>2255.1138404959643</v>
      </c>
      <c r="F81" s="59">
        <v>1852.5020446686276</v>
      </c>
      <c r="G81" s="59">
        <v>2062.0174944913056</v>
      </c>
      <c r="H81" s="59">
        <v>2400.3847249621149</v>
      </c>
      <c r="J81" s="59">
        <v>87.848224349727957</v>
      </c>
      <c r="K81" s="59">
        <v>201.71861715646671</v>
      </c>
      <c r="L81" s="59">
        <v>98.470534209797805</v>
      </c>
      <c r="M81" s="59">
        <v>291.66975925122972</v>
      </c>
      <c r="N81" s="59">
        <v>105.31385738134627</v>
      </c>
      <c r="P81" s="59">
        <v>791.40144872805377</v>
      </c>
      <c r="R81" s="59">
        <v>464020.37177366298</v>
      </c>
      <c r="S81" s="59">
        <v>25966172.648873042</v>
      </c>
    </row>
    <row r="82" spans="2:19" x14ac:dyDescent="0.2">
      <c r="B82" s="59">
        <v>79</v>
      </c>
      <c r="C82" s="59">
        <v>31</v>
      </c>
      <c r="D82" s="59">
        <v>638.57579009338963</v>
      </c>
      <c r="E82" s="59">
        <v>2245.0902191876194</v>
      </c>
      <c r="F82" s="59">
        <v>1849.6728719520875</v>
      </c>
      <c r="G82" s="59">
        <v>2060.3003765337357</v>
      </c>
      <c r="H82" s="59">
        <v>2409.3558038315373</v>
      </c>
      <c r="J82" s="59">
        <v>88.242071677439242</v>
      </c>
      <c r="K82" s="59">
        <v>204.22663456069003</v>
      </c>
      <c r="L82" s="59">
        <v>99.393181401691933</v>
      </c>
      <c r="M82" s="59">
        <v>298.38874092295958</v>
      </c>
      <c r="N82" s="59">
        <v>106.75430983885138</v>
      </c>
      <c r="P82" s="59">
        <v>790.63552367299451</v>
      </c>
      <c r="R82" s="59">
        <v>466082.30512168055</v>
      </c>
      <c r="S82" s="59">
        <v>26348818.045628335</v>
      </c>
    </row>
    <row r="83" spans="2:19" x14ac:dyDescent="0.2">
      <c r="B83" s="59">
        <v>80</v>
      </c>
      <c r="C83" s="59">
        <v>31</v>
      </c>
      <c r="D83" s="59">
        <v>632.25388977146508</v>
      </c>
      <c r="E83" s="59">
        <v>2235.0768472222394</v>
      </c>
      <c r="F83" s="59">
        <v>1846.801414687686</v>
      </c>
      <c r="G83" s="59">
        <v>2058.5718232236172</v>
      </c>
      <c r="H83" s="59">
        <v>2418.2693159671994</v>
      </c>
      <c r="J83" s="59">
        <v>88.633283974266647</v>
      </c>
      <c r="K83" s="59">
        <v>206.72018230868906</v>
      </c>
      <c r="L83" s="59">
        <v>100.30976949275767</v>
      </c>
      <c r="M83" s="59">
        <v>305.16993497084405</v>
      </c>
      <c r="N83" s="59">
        <v>108.1935383812371</v>
      </c>
      <c r="P83" s="59">
        <v>789.86504927389217</v>
      </c>
      <c r="R83" s="59">
        <v>468129.22431449202</v>
      </c>
      <c r="S83" s="59">
        <v>26732185.508477915</v>
      </c>
    </row>
    <row r="84" spans="2:19" x14ac:dyDescent="0.2">
      <c r="B84" s="59">
        <v>81</v>
      </c>
      <c r="C84" s="59">
        <v>31</v>
      </c>
      <c r="D84" s="59">
        <v>625.99457626272761</v>
      </c>
      <c r="E84" s="59">
        <v>2225.0742667859372</v>
      </c>
      <c r="F84" s="59">
        <v>1843.8881746630968</v>
      </c>
      <c r="G84" s="59">
        <v>2056.8315239725157</v>
      </c>
      <c r="H84" s="59">
        <v>2427.1254137154442</v>
      </c>
      <c r="J84" s="59">
        <v>89.021874657492447</v>
      </c>
      <c r="K84" s="59">
        <v>209.19933439831999</v>
      </c>
      <c r="L84" s="59">
        <v>101.22035090711495</v>
      </c>
      <c r="M84" s="59">
        <v>312.01295077711882</v>
      </c>
      <c r="N84" s="59">
        <v>109.63153386023428</v>
      </c>
      <c r="P84" s="59">
        <v>789.09005521208383</v>
      </c>
      <c r="R84" s="59">
        <v>470161.21508285793</v>
      </c>
      <c r="S84" s="59">
        <v>27116256.861550108</v>
      </c>
    </row>
    <row r="85" spans="2:19" x14ac:dyDescent="0.2">
      <c r="B85" s="59">
        <v>82</v>
      </c>
      <c r="C85" s="59">
        <v>31</v>
      </c>
      <c r="D85" s="59">
        <v>619.79722995772659</v>
      </c>
      <c r="E85" s="59">
        <v>2215.0830100414137</v>
      </c>
      <c r="F85" s="59">
        <v>1840.9336524133334</v>
      </c>
      <c r="G85" s="59">
        <v>2055.0791762588165</v>
      </c>
      <c r="H85" s="59">
        <v>2435.9242457245446</v>
      </c>
      <c r="J85" s="59">
        <v>89.407856860432517</v>
      </c>
      <c r="K85" s="59">
        <v>211.66416420392417</v>
      </c>
      <c r="L85" s="59">
        <v>102.124976868685</v>
      </c>
      <c r="M85" s="59">
        <v>318.91740048358662</v>
      </c>
      <c r="N85" s="59">
        <v>111.06828718753869</v>
      </c>
      <c r="P85" s="59">
        <v>788.31057099942484</v>
      </c>
      <c r="R85" s="59">
        <v>472178.3617916808</v>
      </c>
      <c r="S85" s="59">
        <v>27501014.11429204</v>
      </c>
    </row>
    <row r="86" spans="2:19" x14ac:dyDescent="0.2">
      <c r="B86" s="59">
        <v>83</v>
      </c>
      <c r="C86" s="59">
        <v>31</v>
      </c>
      <c r="D86" s="59">
        <v>613.66123738114504</v>
      </c>
      <c r="E86" s="59">
        <v>2205.1035992608686</v>
      </c>
      <c r="F86" s="59">
        <v>1837.9383471624649</v>
      </c>
      <c r="G86" s="59">
        <v>2053.3144855360092</v>
      </c>
      <c r="H86" s="59">
        <v>2444.6659570395709</v>
      </c>
      <c r="J86" s="59">
        <v>89.791243438394886</v>
      </c>
      <c r="K86" s="59">
        <v>214.11474447375571</v>
      </c>
      <c r="L86" s="59">
        <v>103.02369743462064</v>
      </c>
      <c r="M86" s="59">
        <v>325.88289893878385</v>
      </c>
      <c r="N86" s="59">
        <v>112.50378933438802</v>
      </c>
      <c r="P86" s="59">
        <v>787.5266259812571</v>
      </c>
      <c r="R86" s="59">
        <v>474180.74747027399</v>
      </c>
      <c r="S86" s="59">
        <v>27886439.459154088</v>
      </c>
    </row>
    <row r="87" spans="2:19" x14ac:dyDescent="0.2">
      <c r="B87" s="59">
        <v>84</v>
      </c>
      <c r="C87" s="59">
        <v>32</v>
      </c>
      <c r="D87" s="59">
        <v>607.58599113107175</v>
      </c>
      <c r="E87" s="59">
        <v>2195.1365469573479</v>
      </c>
      <c r="F87" s="59">
        <v>1834.9027567668636</v>
      </c>
      <c r="G87" s="59">
        <v>2051.5371651412888</v>
      </c>
      <c r="H87" s="59">
        <v>2453.3506891959382</v>
      </c>
      <c r="J87" s="59">
        <v>90.17204697455071</v>
      </c>
      <c r="K87" s="59">
        <v>216.55114732771875</v>
      </c>
      <c r="L87" s="59">
        <v>103.91656152767189</v>
      </c>
      <c r="M87" s="59">
        <v>332.90906364640313</v>
      </c>
      <c r="N87" s="59">
        <v>113.93803133114704</v>
      </c>
      <c r="P87" s="59">
        <v>786.7382493393128</v>
      </c>
      <c r="Q87" s="59">
        <v>9440.858992071755</v>
      </c>
      <c r="R87" s="59">
        <v>476168.45384181128</v>
      </c>
      <c r="S87" s="59">
        <v>28272515.269318175</v>
      </c>
    </row>
    <row r="88" spans="2:19" x14ac:dyDescent="0.2">
      <c r="B88" s="59">
        <v>85</v>
      </c>
      <c r="C88" s="59">
        <v>32</v>
      </c>
      <c r="D88" s="59">
        <v>601.57088981887409</v>
      </c>
      <c r="E88" s="59">
        <v>2185.1823560145513</v>
      </c>
      <c r="F88" s="59">
        <v>1831.8273776599613</v>
      </c>
      <c r="G88" s="59">
        <v>2049.7469362044872</v>
      </c>
      <c r="H88" s="59">
        <v>2461.9785803116424</v>
      </c>
      <c r="J88" s="59">
        <v>90.550279785718715</v>
      </c>
      <c r="K88" s="59">
        <v>218.97344425540663</v>
      </c>
      <c r="L88" s="59">
        <v>104.80361696752453</v>
      </c>
      <c r="M88" s="59">
        <v>339.9955147149355</v>
      </c>
      <c r="N88" s="59">
        <v>115.37100426690041</v>
      </c>
      <c r="P88" s="59">
        <v>785.94547009455709</v>
      </c>
      <c r="R88" s="59">
        <v>478141.56135198643</v>
      </c>
      <c r="S88" s="59">
        <v>28659224.096468836</v>
      </c>
    </row>
    <row r="89" spans="2:19" x14ac:dyDescent="0.2">
      <c r="B89" s="59">
        <v>86</v>
      </c>
      <c r="C89" s="59">
        <v>32</v>
      </c>
      <c r="D89" s="59">
        <v>595.6153380096672</v>
      </c>
      <c r="E89" s="59">
        <v>2175.2415198151134</v>
      </c>
      <c r="F89" s="59">
        <v>1828.7127047984825</v>
      </c>
      <c r="G89" s="59">
        <v>2047.943527557346</v>
      </c>
      <c r="H89" s="59">
        <v>2470.5497651781961</v>
      </c>
      <c r="J89" s="59">
        <v>90.925953928064033</v>
      </c>
      <c r="K89" s="59">
        <v>221.38170611443442</v>
      </c>
      <c r="L89" s="59">
        <v>105.68491050114828</v>
      </c>
      <c r="M89" s="59">
        <v>347.14187480849711</v>
      </c>
      <c r="N89" s="59">
        <v>116.80269928905314</v>
      </c>
      <c r="P89" s="59">
        <v>785.14831710996862</v>
      </c>
      <c r="R89" s="59">
        <v>480100.14919690945</v>
      </c>
      <c r="S89" s="59">
        <v>29046548.66860592</v>
      </c>
    </row>
    <row r="90" spans="2:19" x14ac:dyDescent="0.2">
      <c r="B90" s="59">
        <v>87</v>
      </c>
      <c r="C90" s="59">
        <v>32</v>
      </c>
      <c r="D90" s="59">
        <v>589.71874616337152</v>
      </c>
      <c r="E90" s="59">
        <v>2165.3145223673782</v>
      </c>
      <c r="F90" s="59">
        <v>1825.5592316101349</v>
      </c>
      <c r="G90" s="59">
        <v>2046.1266756431428</v>
      </c>
      <c r="H90" s="59">
        <v>2479.06437535027</v>
      </c>
      <c r="J90" s="59">
        <v>91.299081202712557</v>
      </c>
      <c r="K90" s="59">
        <v>223.77600312905747</v>
      </c>
      <c r="L90" s="59">
        <v>106.5604878321893</v>
      </c>
      <c r="M90" s="59">
        <v>354.34776909880668</v>
      </c>
      <c r="N90" s="59">
        <v>118.23310760293852</v>
      </c>
      <c r="P90" s="59">
        <v>784.34681909326173</v>
      </c>
      <c r="R90" s="59">
        <v>482044.29535026709</v>
      </c>
      <c r="S90" s="59">
        <v>29434471.887897883</v>
      </c>
    </row>
    <row r="91" spans="2:19" x14ac:dyDescent="0.2">
      <c r="B91" s="59">
        <v>88</v>
      </c>
      <c r="C91" s="59">
        <v>32</v>
      </c>
      <c r="D91" s="59">
        <v>583.88053057635409</v>
      </c>
      <c r="E91" s="59">
        <v>2155.4018384306805</v>
      </c>
      <c r="F91" s="59">
        <v>1822.3674499427277</v>
      </c>
      <c r="G91" s="59">
        <v>2044.2961244266805</v>
      </c>
      <c r="H91" s="59">
        <v>2487.522539234054</v>
      </c>
      <c r="J91" s="59">
        <v>91.669673161281622</v>
      </c>
      <c r="K91" s="59">
        <v>226.15640488906797</v>
      </c>
      <c r="L91" s="59">
        <v>107.43039364944107</v>
      </c>
      <c r="M91" s="59">
        <v>361.6128252182811</v>
      </c>
      <c r="N91" s="59">
        <v>119.66222047143326</v>
      </c>
      <c r="P91" s="59">
        <v>783.54100459955021</v>
      </c>
      <c r="R91" s="59">
        <v>483974.07658977265</v>
      </c>
      <c r="S91" s="59">
        <v>29822976.828574669</v>
      </c>
    </row>
    <row r="92" spans="2:19" x14ac:dyDescent="0.2">
      <c r="B92" s="59">
        <v>89</v>
      </c>
      <c r="C92" s="59">
        <v>32</v>
      </c>
      <c r="D92" s="59">
        <v>578.1001133236482</v>
      </c>
      <c r="E92" s="59">
        <v>2145.5039336391515</v>
      </c>
      <c r="F92" s="59">
        <v>1819.137850014693</v>
      </c>
      <c r="G92" s="59">
        <v>2042.4516253046525</v>
      </c>
      <c r="H92" s="59">
        <v>2495.924382174343</v>
      </c>
      <c r="J92" s="59">
        <v>92.037741111328117</v>
      </c>
      <c r="K92" s="59">
        <v>228.52298034896188</v>
      </c>
      <c r="L92" s="59">
        <v>108.29467165442608</v>
      </c>
      <c r="M92" s="59">
        <v>368.93667321421776</v>
      </c>
      <c r="N92" s="59">
        <v>121.0900292145798</v>
      </c>
      <c r="P92" s="59">
        <v>782.73090203395486</v>
      </c>
      <c r="R92" s="59">
        <v>485889.56852293044</v>
      </c>
      <c r="S92" s="59">
        <v>30212046.734859172</v>
      </c>
    </row>
    <row r="93" spans="2:19" x14ac:dyDescent="0.2">
      <c r="B93" s="59">
        <v>90</v>
      </c>
      <c r="C93" s="59">
        <v>32</v>
      </c>
      <c r="D93" s="59">
        <v>572.37692220174404</v>
      </c>
      <c r="E93" s="59">
        <v>2135.621264624067</v>
      </c>
      <c r="F93" s="59">
        <v>1815.8709203669878</v>
      </c>
      <c r="G93" s="59">
        <v>2040.5929370163919</v>
      </c>
      <c r="H93" s="59">
        <v>2504.2700265403587</v>
      </c>
      <c r="J93" s="59">
        <v>92.40329612171486</v>
      </c>
      <c r="K93" s="59">
        <v>230.87579782736896</v>
      </c>
      <c r="L93" s="59">
        <v>109.15336458811963</v>
      </c>
      <c r="M93" s="59">
        <v>376.31894550403319</v>
      </c>
      <c r="N93" s="59">
        <v>122.51652520921547</v>
      </c>
      <c r="P93" s="59">
        <v>781.91653965415549</v>
      </c>
      <c r="R93" s="59">
        <v>487790.84561213665</v>
      </c>
      <c r="S93" s="59">
        <v>30601665.018936355</v>
      </c>
    </row>
    <row r="94" spans="2:19" x14ac:dyDescent="0.2">
      <c r="B94" s="59">
        <v>91</v>
      </c>
      <c r="C94" s="59">
        <v>32</v>
      </c>
      <c r="D94" s="59">
        <v>566.71039067194681</v>
      </c>
      <c r="E94" s="59">
        <v>2125.7542791347532</v>
      </c>
      <c r="F94" s="59">
        <v>1812.5671478163499</v>
      </c>
      <c r="G94" s="59">
        <v>2038.7198255550177</v>
      </c>
      <c r="H94" s="59">
        <v>2512.5595918103163</v>
      </c>
      <c r="J94" s="59">
        <v>92.766349027896254</v>
      </c>
      <c r="K94" s="59">
        <v>233.21492500673844</v>
      </c>
      <c r="L94" s="59">
        <v>110.00651425684605</v>
      </c>
      <c r="M94" s="59">
        <v>383.75927683152855</v>
      </c>
      <c r="N94" s="59">
        <v>123.94169988860848</v>
      </c>
      <c r="P94" s="59">
        <v>781.09794557288899</v>
      </c>
      <c r="R94" s="59">
        <v>489677.98119914252</v>
      </c>
      <c r="S94" s="59">
        <v>30991815.258959047</v>
      </c>
    </row>
    <row r="95" spans="2:19" x14ac:dyDescent="0.2">
      <c r="B95" s="59">
        <v>92</v>
      </c>
      <c r="C95" s="59">
        <v>32</v>
      </c>
      <c r="D95" s="59">
        <v>561.09995780429449</v>
      </c>
      <c r="E95" s="59">
        <v>2115.9034161580635</v>
      </c>
      <c r="F95" s="59">
        <v>1809.2270174098851</v>
      </c>
      <c r="G95" s="59">
        <v>2036.8320640789827</v>
      </c>
      <c r="H95" s="59">
        <v>2520.7931946547478</v>
      </c>
      <c r="J95" s="59">
        <v>93.126910437124138</v>
      </c>
      <c r="K95" s="59">
        <v>235.54042893327332</v>
      </c>
      <c r="L95" s="59">
        <v>110.85416155737639</v>
      </c>
      <c r="M95" s="59">
        <v>391.25730422415398</v>
      </c>
      <c r="N95" s="59">
        <v>125.36554474210045</v>
      </c>
      <c r="P95" s="59">
        <v>780.27514776039527</v>
      </c>
      <c r="R95" s="59">
        <v>491551.04752889852</v>
      </c>
      <c r="S95" s="59">
        <v>31382481.197089601</v>
      </c>
    </row>
    <row r="96" spans="2:19" x14ac:dyDescent="0.2">
      <c r="B96" s="59">
        <v>93</v>
      </c>
      <c r="C96" s="59">
        <v>32</v>
      </c>
      <c r="D96" s="59">
        <v>555.545068222032</v>
      </c>
      <c r="E96" s="59">
        <v>2106.0691060364452</v>
      </c>
      <c r="F96" s="59">
        <v>1805.851012380961</v>
      </c>
      <c r="G96" s="59">
        <v>2034.9294328240396</v>
      </c>
      <c r="H96" s="59">
        <v>2528.9709490185878</v>
      </c>
      <c r="J96" s="59">
        <v>93.484990733574776</v>
      </c>
      <c r="K96" s="59">
        <v>237.85237601710585</v>
      </c>
      <c r="L96" s="59">
        <v>111.69634650125559</v>
      </c>
      <c r="M96" s="59">
        <v>398.81266695124424</v>
      </c>
      <c r="N96" s="59">
        <v>126.78805131475551</v>
      </c>
      <c r="P96" s="59">
        <v>779.448174046811</v>
      </c>
      <c r="R96" s="59">
        <v>493410.11577280296</v>
      </c>
      <c r="S96" s="59">
        <v>31773646.73757647</v>
      </c>
    </row>
    <row r="97" spans="2:19" x14ac:dyDescent="0.2">
      <c r="B97" s="59">
        <v>94</v>
      </c>
      <c r="C97" s="59">
        <v>32</v>
      </c>
      <c r="D97" s="59">
        <v>550.04517204663387</v>
      </c>
      <c r="E97" s="59">
        <v>2096.251770584613</v>
      </c>
      <c r="F97" s="59">
        <v>1802.4396141063858</v>
      </c>
      <c r="G97" s="59">
        <v>2033.0117190156266</v>
      </c>
      <c r="H97" s="59">
        <v>2537.0929662020353</v>
      </c>
      <c r="J97" s="59">
        <v>93.840600083397845</v>
      </c>
      <c r="K97" s="59">
        <v>240.15083203270785</v>
      </c>
      <c r="L97" s="59">
        <v>112.53310823838626</v>
      </c>
      <c r="M97" s="59">
        <v>406.42500648319947</v>
      </c>
      <c r="N97" s="59">
        <v>128.20921120701561</v>
      </c>
      <c r="P97" s="59">
        <v>778.61705212451341</v>
      </c>
      <c r="R97" s="59">
        <v>495255.25605137402</v>
      </c>
      <c r="S97" s="59">
        <v>32165295.944864921</v>
      </c>
    </row>
    <row r="98" spans="2:19" x14ac:dyDescent="0.2">
      <c r="B98" s="59">
        <v>95</v>
      </c>
      <c r="C98" s="59">
        <v>32</v>
      </c>
      <c r="D98" s="59">
        <v>544.5997248433722</v>
      </c>
      <c r="E98" s="59">
        <v>2086.451823204839</v>
      </c>
      <c r="F98" s="59">
        <v>1798.9933020648471</v>
      </c>
      <c r="G98" s="59">
        <v>2031.078716781687</v>
      </c>
      <c r="H98" s="59">
        <v>2545.1593549401969</v>
      </c>
      <c r="J98" s="59">
        <v>94.193748439688406</v>
      </c>
      <c r="K98" s="59">
        <v>242.43586211952842</v>
      </c>
      <c r="L98" s="59">
        <v>113.36448507989491</v>
      </c>
      <c r="M98" s="59">
        <v>414.09396645158552</v>
      </c>
      <c r="N98" s="59">
        <v>129.62901607436208</v>
      </c>
      <c r="P98" s="59">
        <v>777.78180955041489</v>
      </c>
      <c r="R98" s="59">
        <v>497086.53745636495</v>
      </c>
      <c r="S98" s="59">
        <v>32557413.041741047</v>
      </c>
    </row>
    <row r="99" spans="2:19" x14ac:dyDescent="0.2">
      <c r="B99" s="59">
        <v>96</v>
      </c>
      <c r="C99" s="59">
        <v>33</v>
      </c>
      <c r="D99" s="59">
        <v>539.20818756742278</v>
      </c>
      <c r="E99" s="59">
        <v>2076.6696690008803</v>
      </c>
      <c r="F99" s="59">
        <v>1795.5125537965898</v>
      </c>
      <c r="G99" s="59">
        <v>2029.1302270659287</v>
      </c>
      <c r="H99" s="59">
        <v>2553.1702214815264</v>
      </c>
      <c r="J99" s="59">
        <v>94.544445547382637</v>
      </c>
      <c r="K99" s="59">
        <v>244.70753078285284</v>
      </c>
      <c r="L99" s="59">
        <v>114.19051452030578</v>
      </c>
      <c r="M99" s="59">
        <v>421.81919261012933</v>
      </c>
      <c r="N99" s="59">
        <v>131.0474576269832</v>
      </c>
      <c r="P99" s="59">
        <v>776.94247374820895</v>
      </c>
      <c r="Q99" s="59">
        <v>9323.3096849785088</v>
      </c>
      <c r="R99" s="59">
        <v>498904.02807234181</v>
      </c>
      <c r="S99" s="59">
        <v>32949982.407508291</v>
      </c>
    </row>
    <row r="100" spans="2:19" x14ac:dyDescent="0.2">
      <c r="B100" s="59">
        <v>97</v>
      </c>
      <c r="C100" s="59">
        <v>33</v>
      </c>
      <c r="D100" s="59">
        <v>533.87002651050534</v>
      </c>
      <c r="E100" s="59">
        <v>2066.9057048905561</v>
      </c>
      <c r="F100" s="59">
        <v>1791.9978448643108</v>
      </c>
      <c r="G100" s="59">
        <v>2027.1660575415308</v>
      </c>
      <c r="H100" s="59">
        <v>2561.1256696650648</v>
      </c>
      <c r="J100" s="59">
        <v>94.892700948078385</v>
      </c>
      <c r="K100" s="59">
        <v>246.96590189487591</v>
      </c>
      <c r="L100" s="59">
        <v>115.01123325904663</v>
      </c>
      <c r="M100" s="59">
        <v>429.60033279658546</v>
      </c>
      <c r="N100" s="59">
        <v>132.46452762944764</v>
      </c>
      <c r="P100" s="59">
        <v>776.0990720105699</v>
      </c>
      <c r="R100" s="59">
        <v>500707.79499774048</v>
      </c>
      <c r="S100" s="59">
        <v>33342988.576195728</v>
      </c>
    </row>
    <row r="101" spans="2:19" x14ac:dyDescent="0.2">
      <c r="B101" s="59">
        <v>98</v>
      </c>
      <c r="C101" s="59">
        <v>33</v>
      </c>
      <c r="D101" s="59">
        <v>528.58471324805134</v>
      </c>
      <c r="E101" s="59">
        <v>2057.160319716992</v>
      </c>
      <c r="F101" s="59">
        <v>1788.4496488152461</v>
      </c>
      <c r="G101" s="59">
        <v>2025.1860225253079</v>
      </c>
      <c r="H101" s="59">
        <v>2569.0258009964959</v>
      </c>
      <c r="J101" s="59">
        <v>95.238523984781196</v>
      </c>
      <c r="K101" s="59">
        <v>249.21103869598335</v>
      </c>
      <c r="L101" s="59">
        <v>115.82667722130935</v>
      </c>
      <c r="M101" s="59">
        <v>437.43703689545123</v>
      </c>
      <c r="N101" s="59">
        <v>133.88021790038371</v>
      </c>
      <c r="P101" s="59">
        <v>775.25163150130606</v>
      </c>
      <c r="R101" s="59">
        <v>502497.90436542185</v>
      </c>
      <c r="S101" s="59">
        <v>33736416.234797359</v>
      </c>
    </row>
    <row r="102" spans="2:19" x14ac:dyDescent="0.2">
      <c r="B102" s="59">
        <v>99</v>
      </c>
      <c r="C102" s="59">
        <v>33</v>
      </c>
      <c r="D102" s="59">
        <v>523.35172458689567</v>
      </c>
      <c r="E102" s="59">
        <v>2047.433894358541</v>
      </c>
      <c r="F102" s="59">
        <v>1784.8684371444333</v>
      </c>
      <c r="G102" s="59">
        <v>2023.1899428923368</v>
      </c>
      <c r="H102" s="59">
        <v>2576.8707147230234</v>
      </c>
      <c r="J102" s="59">
        <v>95.58192380657691</v>
      </c>
      <c r="K102" s="59">
        <v>251.44300379623476</v>
      </c>
      <c r="L102" s="59">
        <v>116.63688157828814</v>
      </c>
      <c r="M102" s="59">
        <v>445.32895680150784</v>
      </c>
      <c r="N102" s="59">
        <v>135.29452031216434</v>
      </c>
      <c r="P102" s="59">
        <v>774.40017925746781</v>
      </c>
      <c r="R102" s="59">
        <v>504274.42136274045</v>
      </c>
      <c r="S102" s="59">
        <v>34130250.22154171</v>
      </c>
    </row>
    <row r="103" spans="2:19" x14ac:dyDescent="0.2">
      <c r="B103" s="59">
        <v>100</v>
      </c>
      <c r="C103" s="59">
        <v>33</v>
      </c>
      <c r="D103" s="59">
        <v>518.17054251348543</v>
      </c>
      <c r="E103" s="59">
        <v>2037.7268018374032</v>
      </c>
      <c r="F103" s="59">
        <v>1781.2546792591236</v>
      </c>
      <c r="G103" s="59">
        <v>2021.1776459910548</v>
      </c>
      <c r="H103" s="59">
        <v>2584.660507907081</v>
      </c>
      <c r="J103" s="59">
        <v>95.922909373231576</v>
      </c>
      <c r="K103" s="59">
        <v>253.66185917704229</v>
      </c>
      <c r="L103" s="59">
        <v>117.44188076681677</v>
      </c>
      <c r="M103" s="59">
        <v>453.27574638416655</v>
      </c>
      <c r="N103" s="59">
        <v>136.70742679059728</v>
      </c>
      <c r="P103" s="59">
        <v>773.54474219141184</v>
      </c>
      <c r="R103" s="59">
        <v>506037.41025114345</v>
      </c>
      <c r="S103" s="59">
        <v>34524475.524191052</v>
      </c>
    </row>
    <row r="104" spans="2:19" x14ac:dyDescent="0.2">
      <c r="B104" s="59">
        <v>101</v>
      </c>
      <c r="C104" s="59">
        <v>33</v>
      </c>
      <c r="D104" s="59">
        <v>513.04065414260197</v>
      </c>
      <c r="E104" s="59">
        <v>2028.0394074269525</v>
      </c>
      <c r="F104" s="59">
        <v>1777.6088424443251</v>
      </c>
      <c r="G104" s="59">
        <v>2019.1489655588339</v>
      </c>
      <c r="H104" s="59">
        <v>2592.3952754988854</v>
      </c>
      <c r="J104" s="59">
        <v>96.261489459719456</v>
      </c>
      <c r="K104" s="59">
        <v>255.86766619303859</v>
      </c>
      <c r="L104" s="59">
        <v>118.24170850842566</v>
      </c>
      <c r="M104" s="59">
        <v>461.27706145259884</v>
      </c>
      <c r="N104" s="59">
        <v>138.11892931462106</v>
      </c>
      <c r="P104" s="59">
        <v>772.68534709282221</v>
      </c>
      <c r="R104" s="59">
        <v>507786.93438531511</v>
      </c>
      <c r="S104" s="59">
        <v>34919077.278369494</v>
      </c>
    </row>
    <row r="105" spans="2:19" x14ac:dyDescent="0.2">
      <c r="B105" s="59">
        <v>102</v>
      </c>
      <c r="C105" s="59">
        <v>33</v>
      </c>
      <c r="D105" s="59">
        <v>507.9615516665902</v>
      </c>
      <c r="E105" s="59">
        <v>2018.3720687577879</v>
      </c>
      <c r="F105" s="59">
        <v>1773.9313918294561</v>
      </c>
      <c r="G105" s="59">
        <v>2017.1037416380414</v>
      </c>
      <c r="H105" s="59">
        <v>2600.0751104078427</v>
      </c>
      <c r="J105" s="59">
        <v>96.597672660680146</v>
      </c>
      <c r="K105" s="59">
        <v>258.06048557412828</v>
      </c>
      <c r="L105" s="59">
        <v>119.03639782783891</v>
      </c>
      <c r="M105" s="59">
        <v>469.33255972163107</v>
      </c>
      <c r="N105" s="59">
        <v>139.52901991600598</v>
      </c>
      <c r="P105" s="59">
        <v>771.82202063068917</v>
      </c>
      <c r="R105" s="59">
        <v>509523.05623188178</v>
      </c>
      <c r="S105" s="59">
        <v>35314040.765919439</v>
      </c>
    </row>
    <row r="106" spans="2:19" x14ac:dyDescent="0.2">
      <c r="B106" s="59">
        <v>103</v>
      </c>
      <c r="C106" s="59">
        <v>33</v>
      </c>
      <c r="D106" s="59">
        <v>502.93273230509095</v>
      </c>
      <c r="E106" s="59">
        <v>2008.7251359225224</v>
      </c>
      <c r="F106" s="59">
        <v>1770.2227903560881</v>
      </c>
      <c r="G106" s="59">
        <v>2015.0418204925891</v>
      </c>
      <c r="H106" s="59">
        <v>2607.7001035728144</v>
      </c>
      <c r="J106" s="59">
        <v>96.931467394805495</v>
      </c>
      <c r="K106" s="59">
        <v>260.24037742771708</v>
      </c>
      <c r="L106" s="59">
        <v>119.82598107093054</v>
      </c>
      <c r="M106" s="59">
        <v>477.44190077838385</v>
      </c>
      <c r="N106" s="59">
        <v>140.93769067906032</v>
      </c>
      <c r="P106" s="59">
        <v>770.95478935524625</v>
      </c>
      <c r="R106" s="59">
        <v>511245.83738769061</v>
      </c>
      <c r="S106" s="59">
        <v>35709351.413285613</v>
      </c>
    </row>
    <row r="107" spans="2:19" x14ac:dyDescent="0.2">
      <c r="B107" s="59">
        <v>104</v>
      </c>
      <c r="C107" s="59">
        <v>33</v>
      </c>
      <c r="D107" s="59">
        <v>497.95369825527052</v>
      </c>
      <c r="E107" s="59">
        <v>1999.0989515793242</v>
      </c>
      <c r="F107" s="59">
        <v>1766.4834987467584</v>
      </c>
      <c r="G107" s="59">
        <v>2012.9630545249811</v>
      </c>
      <c r="H107" s="59">
        <v>2615.2703440312603</v>
      </c>
      <c r="J107" s="59">
        <v>97.262881909157244</v>
      </c>
      <c r="K107" s="59">
        <v>262.40740124111272</v>
      </c>
      <c r="L107" s="59">
        <v>120.61048992215854</v>
      </c>
      <c r="M107" s="59">
        <v>485.6047460496377</v>
      </c>
      <c r="N107" s="59">
        <v>142.3449337403417</v>
      </c>
      <c r="P107" s="59">
        <v>770.08367969986784</v>
      </c>
      <c r="R107" s="59">
        <v>512955.33859767776</v>
      </c>
      <c r="S107" s="59">
        <v>36104994.789926164</v>
      </c>
    </row>
    <row r="108" spans="2:19" x14ac:dyDescent="0.2">
      <c r="B108" s="59">
        <v>105</v>
      </c>
      <c r="C108" s="59">
        <v>33</v>
      </c>
      <c r="D108" s="59">
        <v>493.02395664254334</v>
      </c>
      <c r="E108" s="59">
        <v>1989.4938510542227</v>
      </c>
      <c r="F108" s="59">
        <v>1762.7139754748323</v>
      </c>
      <c r="G108" s="59">
        <v>2010.8673021938619</v>
      </c>
      <c r="H108" s="59">
        <v>2622.7859189872588</v>
      </c>
      <c r="J108" s="59">
        <v>97.591924283416134</v>
      </c>
      <c r="K108" s="59">
        <v>264.56161588409208</v>
      </c>
      <c r="L108" s="59">
        <v>121.38995542149473</v>
      </c>
      <c r="M108" s="59">
        <v>493.82075876990712</v>
      </c>
      <c r="N108" s="59">
        <v>143.75074128837321</v>
      </c>
      <c r="P108" s="59">
        <v>769.20871798292546</v>
      </c>
      <c r="R108" s="59">
        <v>514651.61977233697</v>
      </c>
      <c r="S108" s="59">
        <v>36500956.606750153</v>
      </c>
    </row>
    <row r="109" spans="2:19" x14ac:dyDescent="0.2">
      <c r="B109" s="59">
        <v>106</v>
      </c>
      <c r="C109" s="59">
        <v>33</v>
      </c>
      <c r="D109" s="59">
        <v>488.14301947178217</v>
      </c>
      <c r="E109" s="59">
        <v>1979.9101624421953</v>
      </c>
      <c r="F109" s="59">
        <v>1758.9146767353968</v>
      </c>
      <c r="G109" s="59">
        <v>2008.7544279320737</v>
      </c>
      <c r="H109" s="59">
        <v>2630.2469138784245</v>
      </c>
      <c r="J109" s="59">
        <v>97.918602434063317</v>
      </c>
      <c r="K109" s="59">
        <v>266.70307961162911</v>
      </c>
      <c r="L109" s="59">
        <v>122.16440798086767</v>
      </c>
      <c r="M109" s="59">
        <v>502.08960395020529</v>
      </c>
      <c r="N109" s="59">
        <v>145.15510556336449</v>
      </c>
      <c r="P109" s="59">
        <v>768.3299304096073</v>
      </c>
      <c r="R109" s="59">
        <v>516334.74000480311</v>
      </c>
      <c r="S109" s="59">
        <v>36897222.714580961</v>
      </c>
    </row>
    <row r="110" spans="2:19" x14ac:dyDescent="0.2">
      <c r="B110" s="59">
        <v>107</v>
      </c>
      <c r="C110" s="59">
        <v>33</v>
      </c>
      <c r="D110" s="59">
        <v>483.31040357901151</v>
      </c>
      <c r="E110" s="59">
        <v>1970.3482067070468</v>
      </c>
      <c r="F110" s="59">
        <v>1755.0860564171649</v>
      </c>
      <c r="G110" s="59">
        <v>2006.6243020652278</v>
      </c>
      <c r="H110" s="59">
        <v>2637.653412441723</v>
      </c>
      <c r="J110" s="59">
        <v>98.242924118494926</v>
      </c>
      <c r="K110" s="59">
        <v>268.83185006677809</v>
      </c>
      <c r="L110" s="59">
        <v>122.93387740013507</v>
      </c>
      <c r="M110" s="59">
        <v>510.41094834748299</v>
      </c>
      <c r="N110" s="59">
        <v>146.55801885693745</v>
      </c>
      <c r="P110" s="59">
        <v>767.44734307369754</v>
      </c>
      <c r="R110" s="59">
        <v>518004.75758756127</v>
      </c>
      <c r="S110" s="59">
        <v>37293779.102644913</v>
      </c>
    </row>
    <row r="111" spans="2:19" x14ac:dyDescent="0.2">
      <c r="B111" s="59">
        <v>108</v>
      </c>
      <c r="C111" s="59">
        <v>34</v>
      </c>
      <c r="D111" s="59">
        <v>478.5256305835793</v>
      </c>
      <c r="E111" s="59">
        <v>1960.8082977800946</v>
      </c>
      <c r="F111" s="59">
        <v>1751.2285660753721</v>
      </c>
      <c r="G111" s="59">
        <v>2004.4768007307923</v>
      </c>
      <c r="H111" s="59">
        <v>2645.005496778203</v>
      </c>
      <c r="J111" s="59">
        <v>98.564896939070451</v>
      </c>
      <c r="K111" s="59">
        <v>270.94798428370672</v>
      </c>
      <c r="L111" s="59">
        <v>123.69839288260214</v>
      </c>
      <c r="M111" s="59">
        <v>518.78446043472491</v>
      </c>
      <c r="N111" s="59">
        <v>147.95947351185677</v>
      </c>
      <c r="P111" s="59">
        <v>766.56098195931997</v>
      </c>
      <c r="Q111" s="59">
        <v>9198.7317835118392</v>
      </c>
      <c r="R111" s="59">
        <v>519661.73002879455</v>
      </c>
      <c r="S111" s="59">
        <v>37690611.897084683</v>
      </c>
    </row>
    <row r="112" spans="2:19" x14ac:dyDescent="0.2">
      <c r="B112" s="59">
        <v>109</v>
      </c>
      <c r="C112" s="59">
        <v>34</v>
      </c>
      <c r="D112" s="59">
        <v>473.78822684080188</v>
      </c>
      <c r="E112" s="59">
        <v>1951.2907426576751</v>
      </c>
      <c r="F112" s="59">
        <v>1747.3426549056494</v>
      </c>
      <c r="G112" s="59">
        <v>2002.3118057977053</v>
      </c>
      <c r="H112" s="59">
        <v>2652.3032474166471</v>
      </c>
      <c r="J112" s="59">
        <v>98.884528347095895</v>
      </c>
      <c r="K112" s="59">
        <v>273.05153869087411</v>
      </c>
      <c r="L112" s="59">
        <v>124.45798305010079</v>
      </c>
      <c r="M112" s="59">
        <v>527.20981037168804</v>
      </c>
      <c r="N112" s="59">
        <v>149.35946192176479</v>
      </c>
      <c r="P112" s="59">
        <v>765.67087294264434</v>
      </c>
      <c r="R112" s="59">
        <v>521305.71406838071</v>
      </c>
      <c r="S112" s="59">
        <v>38087707.359496899</v>
      </c>
    </row>
    <row r="113" spans="2:19" x14ac:dyDescent="0.2">
      <c r="B113" s="59">
        <v>110</v>
      </c>
      <c r="C113" s="59">
        <v>34</v>
      </c>
      <c r="D113" s="59">
        <v>469.09772339507794</v>
      </c>
      <c r="E113" s="59">
        <v>1941.7958414974823</v>
      </c>
      <c r="F113" s="59">
        <v>1743.428769718849</v>
      </c>
      <c r="G113" s="59">
        <v>2000.1292047865143</v>
      </c>
      <c r="H113" s="59">
        <v>2659.5467433761555</v>
      </c>
      <c r="J113" s="59">
        <v>99.201825646742378</v>
      </c>
      <c r="K113" s="59">
        <v>275.14256911434842</v>
      </c>
      <c r="L113" s="59">
        <v>125.2126759576451</v>
      </c>
      <c r="M113" s="59">
        <v>535.68666997626656</v>
      </c>
      <c r="N113" s="59">
        <v>150.75797653092076</v>
      </c>
      <c r="P113" s="59">
        <v>764.77704179355658</v>
      </c>
      <c r="R113" s="59">
        <v>522936.76569354918</v>
      </c>
      <c r="S113" s="59">
        <v>38485051.885493435</v>
      </c>
    </row>
    <row r="114" spans="2:19" x14ac:dyDescent="0.2">
      <c r="B114" s="59">
        <v>111</v>
      </c>
      <c r="C114" s="59">
        <v>34</v>
      </c>
      <c r="D114" s="59">
        <v>464.45365593346668</v>
      </c>
      <c r="E114" s="59">
        <v>1932.3238877137526</v>
      </c>
      <c r="F114" s="59">
        <v>1739.4873549168099</v>
      </c>
      <c r="G114" s="59">
        <v>1997.9288907900484</v>
      </c>
      <c r="H114" s="59">
        <v>2666.7360622276742</v>
      </c>
      <c r="J114" s="59">
        <v>99.516795998900932</v>
      </c>
      <c r="K114" s="59">
        <v>277.22113078125915</v>
      </c>
      <c r="L114" s="59">
        <v>125.96249910767695</v>
      </c>
      <c r="M114" s="59">
        <v>544.21471269646895</v>
      </c>
      <c r="N114" s="59">
        <v>152.15500983394466</v>
      </c>
      <c r="P114" s="59">
        <v>763.87951417729482</v>
      </c>
      <c r="R114" s="59">
        <v>524554.94015420822</v>
      </c>
      <c r="S114" s="59">
        <v>38882632.003285915</v>
      </c>
    </row>
    <row r="115" spans="2:19" x14ac:dyDescent="0.2">
      <c r="B115" s="59">
        <v>112</v>
      </c>
      <c r="C115" s="59">
        <v>34</v>
      </c>
      <c r="D115" s="59">
        <v>459.85556473972537</v>
      </c>
      <c r="E115" s="59">
        <v>1922.8751680713078</v>
      </c>
      <c r="F115" s="59">
        <v>1735.5188524690434</v>
      </c>
      <c r="G115" s="59">
        <v>1995.7107623946274</v>
      </c>
      <c r="H115" s="59">
        <v>2673.8712801544716</v>
      </c>
      <c r="J115" s="59">
        <v>99.829446424974364</v>
      </c>
      <c r="K115" s="59">
        <v>279.28727832337933</v>
      </c>
      <c r="L115" s="59">
        <v>126.70747946391582</v>
      </c>
      <c r="M115" s="59">
        <v>552.79361358299218</v>
      </c>
      <c r="N115" s="59">
        <v>153.5505543755651</v>
      </c>
      <c r="P115" s="59">
        <v>762.97831565604952</v>
      </c>
      <c r="R115" s="59">
        <v>526160.29197795375</v>
      </c>
      <c r="S115" s="59">
        <v>39280434.372292884</v>
      </c>
    </row>
    <row r="116" spans="2:19" x14ac:dyDescent="0.2">
      <c r="B116" s="59">
        <v>113</v>
      </c>
      <c r="C116" s="59">
        <v>34</v>
      </c>
      <c r="D116" s="59">
        <v>455.3029946488021</v>
      </c>
      <c r="E116" s="59">
        <v>1913.449962778471</v>
      </c>
      <c r="F116" s="59">
        <v>1731.523701890321</v>
      </c>
      <c r="G116" s="59">
        <v>1993.4747236018106</v>
      </c>
      <c r="H116" s="59">
        <v>2680.952472011581</v>
      </c>
      <c r="J116" s="59">
        <v>100.13978381060677</v>
      </c>
      <c r="K116" s="59">
        <v>281.34106578083237</v>
      </c>
      <c r="L116" s="59">
        <v>127.44764346482611</v>
      </c>
      <c r="M116" s="59">
        <v>561.42304926238012</v>
      </c>
      <c r="N116" s="59">
        <v>154.9446027503713</v>
      </c>
      <c r="P116" s="59">
        <v>762.07347169053162</v>
      </c>
      <c r="R116" s="59">
        <v>527752.87498476659</v>
      </c>
      <c r="S116" s="59">
        <v>39678445.781769224</v>
      </c>
    </row>
    <row r="117" spans="2:19" x14ac:dyDescent="0.2">
      <c r="B117" s="59">
        <v>114</v>
      </c>
      <c r="C117" s="59">
        <v>34</v>
      </c>
      <c r="D117" s="59">
        <v>450.79549500177893</v>
      </c>
      <c r="E117" s="59">
        <v>1904.048545578866</v>
      </c>
      <c r="F117" s="59">
        <v>1727.5023402191484</v>
      </c>
      <c r="G117" s="59">
        <v>1991.2206837506894</v>
      </c>
      <c r="H117" s="59">
        <v>2687.9797113842124</v>
      </c>
      <c r="J117" s="59">
        <v>100.44781490935165</v>
      </c>
      <c r="K117" s="59">
        <v>283.38254660591963</v>
      </c>
      <c r="L117" s="59">
        <v>128.18301703671466</v>
      </c>
      <c r="M117" s="59">
        <v>570.10269791075211</v>
      </c>
      <c r="N117" s="59">
        <v>156.33714760256939</v>
      </c>
      <c r="P117" s="59">
        <v>761.16500764150555</v>
      </c>
      <c r="R117" s="59">
        <v>529332.74230141088</v>
      </c>
      <c r="S117" s="59">
        <v>40076653.149457335</v>
      </c>
    </row>
    <row r="118" spans="2:19" x14ac:dyDescent="0.2">
      <c r="B118" s="59">
        <v>115</v>
      </c>
      <c r="C118" s="59">
        <v>34</v>
      </c>
      <c r="D118" s="59">
        <v>446.33261960126134</v>
      </c>
      <c r="E118" s="59">
        <v>1894.6711838421129</v>
      </c>
      <c r="F118" s="59">
        <v>1723.4552019971077</v>
      </c>
      <c r="G118" s="59">
        <v>1988.9485574407283</v>
      </c>
      <c r="H118" s="59">
        <v>2694.9530706451478</v>
      </c>
      <c r="J118" s="59">
        <v>100.75354634627921</v>
      </c>
      <c r="K118" s="59">
        <v>285.41177366706319</v>
      </c>
      <c r="L118" s="59">
        <v>128.91362560647084</v>
      </c>
      <c r="M118" s="59">
        <v>578.83223922808895</v>
      </c>
      <c r="N118" s="59">
        <v>157.72818162574239</v>
      </c>
      <c r="P118" s="59">
        <v>760.25294877129124</v>
      </c>
      <c r="R118" s="59">
        <v>530899.94637553999</v>
      </c>
      <c r="S118" s="59">
        <v>40475043.520259626</v>
      </c>
    </row>
    <row r="119" spans="2:19" x14ac:dyDescent="0.2">
      <c r="B119" s="59">
        <v>116</v>
      </c>
      <c r="C119" s="59">
        <v>34</v>
      </c>
      <c r="D119" s="59">
        <v>441.91392666720884</v>
      </c>
      <c r="E119" s="59">
        <v>1885.3181386534338</v>
      </c>
      <c r="F119" s="59">
        <v>1719.3827192490521</v>
      </c>
      <c r="G119" s="59">
        <v>1986.6582644551563</v>
      </c>
      <c r="H119" s="59">
        <v>2701.8726210111286</v>
      </c>
      <c r="J119" s="59">
        <v>101.05698462152368</v>
      </c>
      <c r="K119" s="59">
        <v>287.42879925286002</v>
      </c>
      <c r="L119" s="59">
        <v>129.63949411396123</v>
      </c>
      <c r="M119" s="59">
        <v>587.61135441306374</v>
      </c>
      <c r="N119" s="59">
        <v>159.11769756261432</v>
      </c>
      <c r="P119" s="59">
        <v>759.3373202452334</v>
      </c>
      <c r="R119" s="59">
        <v>532454.53898951947</v>
      </c>
      <c r="S119" s="59">
        <v>40873604.064931899</v>
      </c>
    </row>
    <row r="120" spans="2:19" x14ac:dyDescent="0.2">
      <c r="B120" s="59">
        <v>117</v>
      </c>
      <c r="C120" s="59">
        <v>34</v>
      </c>
      <c r="D120" s="59">
        <v>437.53897879320346</v>
      </c>
      <c r="E120" s="59">
        <v>1875.9896649021794</v>
      </c>
      <c r="F120" s="59">
        <v>1715.2853214641361</v>
      </c>
      <c r="G120" s="59">
        <v>1984.3497296849121</v>
      </c>
      <c r="H120" s="59">
        <v>2708.7384325982443</v>
      </c>
      <c r="J120" s="59">
        <v>101.35813611377127</v>
      </c>
      <c r="K120" s="59">
        <v>289.43367507624282</v>
      </c>
      <c r="L120" s="59">
        <v>130.36064702409018</v>
      </c>
      <c r="M120" s="59">
        <v>596.43972613840538</v>
      </c>
      <c r="N120" s="59">
        <v>160.50568820481797</v>
      </c>
      <c r="P120" s="59">
        <v>758.41814713313988</v>
      </c>
      <c r="R120" s="59">
        <v>533996.57127397554</v>
      </c>
      <c r="S120" s="59">
        <v>41272322.078797139</v>
      </c>
    </row>
    <row r="121" spans="2:19" x14ac:dyDescent="0.2">
      <c r="B121" s="59">
        <v>118</v>
      </c>
      <c r="C121" s="59">
        <v>34</v>
      </c>
      <c r="D121" s="59">
        <v>433.20734290315073</v>
      </c>
      <c r="E121" s="59">
        <v>1866.6860113692874</v>
      </c>
      <c r="F121" s="59">
        <v>1711.1634355776655</v>
      </c>
      <c r="G121" s="59">
        <v>1982.0228830531466</v>
      </c>
      <c r="H121" s="59">
        <v>2715.5505744763332</v>
      </c>
      <c r="J121" s="59">
        <v>101.65700708368955</v>
      </c>
      <c r="K121" s="59">
        <v>291.42645227874311</v>
      </c>
      <c r="L121" s="59">
        <v>131.07710833853739</v>
      </c>
      <c r="M121" s="59">
        <v>605.31703852678299</v>
      </c>
      <c r="N121" s="59">
        <v>161.89214639266649</v>
      </c>
      <c r="P121" s="59">
        <v>757.49545441068869</v>
      </c>
      <c r="R121" s="59">
        <v>535526.09372107603</v>
      </c>
      <c r="S121" s="59">
        <v>41671184.980479389</v>
      </c>
    </row>
    <row r="122" spans="2:19" x14ac:dyDescent="0.2">
      <c r="B122" s="59">
        <v>119</v>
      </c>
      <c r="C122" s="59">
        <v>34</v>
      </c>
      <c r="D122" s="59">
        <v>428.91859020840951</v>
      </c>
      <c r="E122" s="59">
        <v>1857.4074208136885</v>
      </c>
      <c r="F122" s="59">
        <v>1707.0174859537512</v>
      </c>
      <c r="G122" s="59">
        <v>1979.677659440285</v>
      </c>
      <c r="H122" s="59">
        <v>2722.309114722405</v>
      </c>
      <c r="J122" s="59">
        <v>101.95360367729907</v>
      </c>
      <c r="K122" s="59">
        <v>293.40718143485265</v>
      </c>
      <c r="L122" s="59">
        <v>131.78890160718316</v>
      </c>
      <c r="M122" s="59">
        <v>614.24297712720022</v>
      </c>
      <c r="N122" s="59">
        <v>163.27706501492858</v>
      </c>
      <c r="P122" s="59">
        <v>756.56926696080563</v>
      </c>
      <c r="R122" s="59">
        <v>537043.15619755292</v>
      </c>
      <c r="S122" s="59">
        <v>42070180.310657233</v>
      </c>
    </row>
    <row r="123" spans="2:19" x14ac:dyDescent="0.2">
      <c r="B123" s="59">
        <v>120</v>
      </c>
      <c r="C123" s="59">
        <v>35</v>
      </c>
      <c r="D123" s="59">
        <v>424.67229616534627</v>
      </c>
      <c r="E123" s="59">
        <v>1848.1541300576682</v>
      </c>
      <c r="F123" s="59">
        <v>1702.847894368751</v>
      </c>
      <c r="G123" s="59">
        <v>1977.3139986096503</v>
      </c>
      <c r="H123" s="59">
        <v>2729.0141204730953</v>
      </c>
      <c r="J123" s="59">
        <v>102.24793192928765</v>
      </c>
      <c r="K123" s="59">
        <v>295.37591255647857</v>
      </c>
      <c r="L123" s="59">
        <v>132.49604993923148</v>
      </c>
      <c r="M123" s="59">
        <v>623.21722889188686</v>
      </c>
      <c r="N123" s="59">
        <v>164.66043700860726</v>
      </c>
      <c r="P123" s="59">
        <v>755.63960957501172</v>
      </c>
      <c r="Q123" s="59">
        <v>9067.6753149001397</v>
      </c>
      <c r="R123" s="59">
        <v>538547.80795747205</v>
      </c>
      <c r="S123" s="59">
        <v>42469295.730836518</v>
      </c>
    </row>
    <row r="124" spans="2:19" x14ac:dyDescent="0.2">
      <c r="B124" s="59">
        <v>121</v>
      </c>
      <c r="C124" s="59">
        <v>35</v>
      </c>
      <c r="D124" s="59">
        <v>420.45388469010385</v>
      </c>
      <c r="E124" s="59">
        <v>1838.864764933528</v>
      </c>
      <c r="F124" s="59">
        <v>1698.5983183990043</v>
      </c>
      <c r="G124" s="59">
        <v>1974.8659346670327</v>
      </c>
      <c r="H124" s="59">
        <v>2735.5746908388123</v>
      </c>
      <c r="J124" s="59">
        <v>102.53658950187062</v>
      </c>
      <c r="K124" s="59">
        <v>297.32284923373675</v>
      </c>
      <c r="L124" s="59">
        <v>133.19415947904292</v>
      </c>
      <c r="M124" s="59">
        <v>632.23948215367921</v>
      </c>
      <c r="N124" s="59">
        <v>166.34932610319217</v>
      </c>
      <c r="P124" s="59">
        <v>754.68131896775583</v>
      </c>
      <c r="R124" s="59">
        <v>540022.1460611599</v>
      </c>
      <c r="S124" s="59">
        <v>42868505.751471266</v>
      </c>
    </row>
    <row r="125" spans="2:19" x14ac:dyDescent="0.2">
      <c r="B125" s="59">
        <v>122</v>
      </c>
      <c r="C125" s="59">
        <v>35</v>
      </c>
      <c r="D125" s="59">
        <v>416.27737610218213</v>
      </c>
      <c r="E125" s="59">
        <v>1829.6017730174062</v>
      </c>
      <c r="F125" s="59">
        <v>1694.3262176082535</v>
      </c>
      <c r="G125" s="59">
        <v>1972.3994883945525</v>
      </c>
      <c r="H125" s="59">
        <v>2742.081417962735</v>
      </c>
      <c r="J125" s="59">
        <v>102.82275673281842</v>
      </c>
      <c r="K125" s="59">
        <v>299.25797049778521</v>
      </c>
      <c r="L125" s="59">
        <v>133.88762233382289</v>
      </c>
      <c r="M125" s="59">
        <v>641.30912586210172</v>
      </c>
      <c r="N125" s="59">
        <v>168.03625148834507</v>
      </c>
      <c r="P125" s="59">
        <v>753.71967078510306</v>
      </c>
      <c r="R125" s="59">
        <v>541484.07128069352</v>
      </c>
      <c r="S125" s="59">
        <v>43267798.265382834</v>
      </c>
    </row>
    <row r="126" spans="2:19" x14ac:dyDescent="0.2">
      <c r="B126" s="59">
        <v>123</v>
      </c>
      <c r="C126" s="59">
        <v>35</v>
      </c>
      <c r="D126" s="59">
        <v>412.14235416623382</v>
      </c>
      <c r="E126" s="59">
        <v>1820.3653712171426</v>
      </c>
      <c r="F126" s="59">
        <v>1690.0320081844827</v>
      </c>
      <c r="G126" s="59">
        <v>1969.9146156099487</v>
      </c>
      <c r="H126" s="59">
        <v>2748.5343718279205</v>
      </c>
      <c r="J126" s="59">
        <v>103.10644289866528</v>
      </c>
      <c r="K126" s="59">
        <v>301.18132381759114</v>
      </c>
      <c r="L126" s="59">
        <v>134.57646081694642</v>
      </c>
      <c r="M126" s="59">
        <v>650.42584662524064</v>
      </c>
      <c r="N126" s="59">
        <v>169.72120483583083</v>
      </c>
      <c r="P126" s="59">
        <v>752.75468997508074</v>
      </c>
      <c r="R126" s="59">
        <v>542933.63290933263</v>
      </c>
      <c r="S126" s="59">
        <v>43667161.284273818</v>
      </c>
    </row>
    <row r="127" spans="2:19" x14ac:dyDescent="0.2">
      <c r="B127" s="59">
        <v>124</v>
      </c>
      <c r="C127" s="59">
        <v>35</v>
      </c>
      <c r="D127" s="59">
        <v>408.04840678151589</v>
      </c>
      <c r="E127" s="59">
        <v>1811.1557708060855</v>
      </c>
      <c r="F127" s="59">
        <v>1685.7161036139255</v>
      </c>
      <c r="G127" s="59">
        <v>1967.4112767280355</v>
      </c>
      <c r="H127" s="59">
        <v>2754.9336216684083</v>
      </c>
      <c r="J127" s="59">
        <v>103.38765711980315</v>
      </c>
      <c r="K127" s="59">
        <v>303.09295613000995</v>
      </c>
      <c r="L127" s="59">
        <v>135.26069684691834</v>
      </c>
      <c r="M127" s="59">
        <v>659.5893324289043</v>
      </c>
      <c r="N127" s="59">
        <v>171.40417787639629</v>
      </c>
      <c r="P127" s="59">
        <v>751.78640139383356</v>
      </c>
      <c r="R127" s="59">
        <v>544370.87965845515</v>
      </c>
      <c r="S127" s="59">
        <v>44066582.937545702</v>
      </c>
    </row>
    <row r="128" spans="2:19" x14ac:dyDescent="0.2">
      <c r="B128" s="59">
        <v>125</v>
      </c>
      <c r="C128" s="59">
        <v>35</v>
      </c>
      <c r="D128" s="59">
        <v>403.99512594081949</v>
      </c>
      <c r="E128" s="59">
        <v>1801.9731775043476</v>
      </c>
      <c r="F128" s="59">
        <v>1681.3789146686668</v>
      </c>
      <c r="G128" s="59">
        <v>1964.8894366884037</v>
      </c>
      <c r="H128" s="59">
        <v>2761.2792360171047</v>
      </c>
      <c r="J128" s="59">
        <v>103.66640836470333</v>
      </c>
      <c r="K128" s="59">
        <v>304.99291384449026</v>
      </c>
      <c r="L128" s="59">
        <v>135.94035195672231</v>
      </c>
      <c r="M128" s="59">
        <v>668.79927261523756</v>
      </c>
      <c r="N128" s="59">
        <v>173.08516239950697</v>
      </c>
      <c r="P128" s="59">
        <v>750.81482980688827</v>
      </c>
      <c r="R128" s="59">
        <v>545795.8596692842</v>
      </c>
      <c r="S128" s="59">
        <v>44466051.47113429</v>
      </c>
    </row>
    <row r="129" spans="2:19" x14ac:dyDescent="0.2">
      <c r="B129" s="59">
        <v>126</v>
      </c>
      <c r="C129" s="59">
        <v>35</v>
      </c>
      <c r="D129" s="59">
        <v>399.98210768980738</v>
      </c>
      <c r="E129" s="59">
        <v>1792.8177915590725</v>
      </c>
      <c r="F129" s="59">
        <v>1677.0208493949467</v>
      </c>
      <c r="G129" s="59">
        <v>1962.3490648837096</v>
      </c>
      <c r="H129" s="59">
        <v>2767.5712827527473</v>
      </c>
      <c r="J129" s="59">
        <v>103.94270545406044</v>
      </c>
      <c r="K129" s="59">
        <v>306.88124284785169</v>
      </c>
      <c r="L129" s="59">
        <v>136.61544730294227</v>
      </c>
      <c r="M129" s="59">
        <v>678.05535786177745</v>
      </c>
      <c r="N129" s="59">
        <v>174.76415025308759</v>
      </c>
      <c r="P129" s="59">
        <v>749.83999989038932</v>
      </c>
      <c r="R129" s="59">
        <v>547208.62052440876</v>
      </c>
      <c r="S129" s="59">
        <v>44865555.246362515</v>
      </c>
    </row>
    <row r="130" spans="2:19" x14ac:dyDescent="0.2">
      <c r="B130" s="59">
        <v>127</v>
      </c>
      <c r="C130" s="59">
        <v>35</v>
      </c>
      <c r="D130" s="59">
        <v>396.0089520867553</v>
      </c>
      <c r="E130" s="59">
        <v>1783.6898078237189</v>
      </c>
      <c r="F130" s="59">
        <v>1672.6423131021515</v>
      </c>
      <c r="G130" s="59">
        <v>1959.7901350885545</v>
      </c>
      <c r="H130" s="59">
        <v>2773.8098291459605</v>
      </c>
      <c r="J130" s="59">
        <v>104.21655706485996</v>
      </c>
      <c r="K130" s="59">
        <v>308.75798850913259</v>
      </c>
      <c r="L130" s="59">
        <v>137.28600367466274</v>
      </c>
      <c r="M130" s="59">
        <v>687.35728016094038</v>
      </c>
      <c r="N130" s="59">
        <v>176.44113334326653</v>
      </c>
      <c r="P130" s="59">
        <v>748.8619362323094</v>
      </c>
      <c r="R130" s="59">
        <v>548609.20925910154</v>
      </c>
      <c r="S130" s="59">
        <v>45265082.738810383</v>
      </c>
    </row>
    <row r="131" spans="2:19" x14ac:dyDescent="0.2">
      <c r="B131" s="59">
        <v>128</v>
      </c>
      <c r="C131" s="59">
        <v>35</v>
      </c>
      <c r="D131" s="59">
        <v>392.07526316269355</v>
      </c>
      <c r="E131" s="59">
        <v>1774.589415836379</v>
      </c>
      <c r="F131" s="59">
        <v>1668.2437083524794</v>
      </c>
      <c r="G131" s="59">
        <v>1957.2126253889537</v>
      </c>
      <c r="H131" s="59">
        <v>2779.9949419044119</v>
      </c>
      <c r="J131" s="59">
        <v>104.48797173437025</v>
      </c>
      <c r="K131" s="59">
        <v>310.62319568450317</v>
      </c>
      <c r="L131" s="59">
        <v>137.95204150215523</v>
      </c>
      <c r="M131" s="59">
        <v>696.70473279993269</v>
      </c>
      <c r="N131" s="59">
        <v>178.11610363412407</v>
      </c>
      <c r="P131" s="59">
        <v>747.88066333363247</v>
      </c>
      <c r="R131" s="59">
        <v>549997.67237244139</v>
      </c>
      <c r="S131" s="59">
        <v>45664622.537201636</v>
      </c>
    </row>
    <row r="132" spans="2:19" x14ac:dyDescent="0.2">
      <c r="B132" s="59">
        <v>129</v>
      </c>
      <c r="C132" s="59">
        <v>35</v>
      </c>
      <c r="D132" s="59">
        <v>388.18064888194414</v>
      </c>
      <c r="E132" s="59">
        <v>1765.5167998971376</v>
      </c>
      <c r="F132" s="59">
        <v>1663.8254349512642</v>
      </c>
      <c r="G132" s="59">
        <v>1954.6165181123972</v>
      </c>
      <c r="H132" s="59">
        <v>2786.1266872170781</v>
      </c>
      <c r="J132" s="59">
        <v>104.75695786406052</v>
      </c>
      <c r="K132" s="59">
        <v>312.47690872224183</v>
      </c>
      <c r="L132" s="59">
        <v>138.61358086535691</v>
      </c>
      <c r="M132" s="59">
        <v>706.09741034107765</v>
      </c>
      <c r="N132" s="59">
        <v>179.78905314744449</v>
      </c>
      <c r="P132" s="59">
        <v>746.8962056095113</v>
      </c>
      <c r="R132" s="59">
        <v>551374.05583824276</v>
      </c>
      <c r="S132" s="59">
        <v>46064163.342306912</v>
      </c>
    </row>
    <row r="133" spans="2:19" x14ac:dyDescent="0.2">
      <c r="B133" s="59">
        <v>130</v>
      </c>
      <c r="C133" s="59">
        <v>35</v>
      </c>
      <c r="D133" s="59">
        <v>384.32472110305014</v>
      </c>
      <c r="E133" s="59">
        <v>1756.4721391444841</v>
      </c>
      <c r="F133" s="59">
        <v>1659.3878899379486</v>
      </c>
      <c r="G133" s="59">
        <v>1952.0017997585028</v>
      </c>
      <c r="H133" s="59">
        <v>2792.2051307976326</v>
      </c>
      <c r="J133" s="59">
        <v>105.02352372344549</v>
      </c>
      <c r="K133" s="59">
        <v>314.31917146776999</v>
      </c>
      <c r="L133" s="59">
        <v>139.27064150214829</v>
      </c>
      <c r="M133" s="59">
        <v>715.53500860254906</v>
      </c>
      <c r="N133" s="59">
        <v>181.45997396247162</v>
      </c>
      <c r="P133" s="59">
        <v>745.90858739039948</v>
      </c>
      <c r="R133" s="59">
        <v>552738.40511579742</v>
      </c>
      <c r="S133" s="59">
        <v>46463693.965863034</v>
      </c>
    </row>
    <row r="134" spans="2:19" x14ac:dyDescent="0.2">
      <c r="B134" s="59">
        <v>131</v>
      </c>
      <c r="C134" s="59">
        <v>35</v>
      </c>
      <c r="D134" s="59">
        <v>380.50709554009319</v>
      </c>
      <c r="E134" s="59">
        <v>1747.455607630789</v>
      </c>
      <c r="F134" s="59">
        <v>1654.9314675776873</v>
      </c>
      <c r="G134" s="59">
        <v>1949.3684609302611</v>
      </c>
      <c r="H134" s="59">
        <v>2798.2303379269624</v>
      </c>
      <c r="J134" s="59">
        <v>105.28767745385802</v>
      </c>
      <c r="K134" s="59">
        <v>316.15002726874303</v>
      </c>
      <c r="L134" s="59">
        <v>139.92324281643559</v>
      </c>
      <c r="M134" s="59">
        <v>725.01722463950523</v>
      </c>
      <c r="N134" s="59">
        <v>183.12885821566803</v>
      </c>
      <c r="P134" s="59">
        <v>744.9178329231579</v>
      </c>
      <c r="R134" s="59">
        <v>554090.76516043395</v>
      </c>
      <c r="S134" s="59">
        <v>46863203.329508118</v>
      </c>
    </row>
    <row r="135" spans="2:19" x14ac:dyDescent="0.2">
      <c r="B135" s="59">
        <v>132</v>
      </c>
      <c r="C135" s="59">
        <v>36</v>
      </c>
      <c r="D135" s="59">
        <v>376.72739172439492</v>
      </c>
      <c r="E135" s="59">
        <v>1738.4673743968544</v>
      </c>
      <c r="F135" s="59">
        <v>1650.4565593535726</v>
      </c>
      <c r="G135" s="59">
        <v>1946.7164962658749</v>
      </c>
      <c r="H135" s="59">
        <v>2804.2023734948243</v>
      </c>
      <c r="J135" s="59">
        <v>105.55296607399981</v>
      </c>
      <c r="K135" s="59">
        <v>317.96597997834488</v>
      </c>
      <c r="L135" s="59">
        <v>140.57140388604395</v>
      </c>
      <c r="M135" s="59">
        <v>734.54375672561514</v>
      </c>
      <c r="N135" s="59">
        <v>184.79569810047792</v>
      </c>
      <c r="P135" s="59">
        <v>743.92396637213699</v>
      </c>
      <c r="Q135" s="59">
        <v>8927.0875964656443</v>
      </c>
      <c r="R135" s="59">
        <v>555431.18043389719</v>
      </c>
      <c r="S135" s="59">
        <v>47262680.463732287</v>
      </c>
    </row>
    <row r="136" spans="2:19" x14ac:dyDescent="0.2">
      <c r="B136" s="59">
        <v>133</v>
      </c>
      <c r="C136" s="59">
        <v>36</v>
      </c>
      <c r="D136" s="59">
        <v>372.98523296659926</v>
      </c>
      <c r="E136" s="59">
        <v>1729.5076035455502</v>
      </c>
      <c r="F136" s="59">
        <v>1645.9635539594665</v>
      </c>
      <c r="G136" s="59">
        <v>1944.0459043711917</v>
      </c>
      <c r="H136" s="59">
        <v>2810.1213020406517</v>
      </c>
      <c r="J136" s="59">
        <v>105.81579281651098</v>
      </c>
      <c r="K136" s="59">
        <v>319.77065598336549</v>
      </c>
      <c r="L136" s="59">
        <v>141.21514347042702</v>
      </c>
      <c r="M136" s="59">
        <v>744.11432497914711</v>
      </c>
      <c r="N136" s="59">
        <v>186.46048586709313</v>
      </c>
      <c r="P136" s="59">
        <v>742.92701043363411</v>
      </c>
      <c r="R136" s="59">
        <v>556759.68556102051</v>
      </c>
      <c r="S136" s="59">
        <v>47662114.500133149</v>
      </c>
    </row>
    <row r="137" spans="2:19" x14ac:dyDescent="0.2">
      <c r="B137" s="59">
        <v>134</v>
      </c>
      <c r="C137" s="59">
        <v>36</v>
      </c>
      <c r="D137" s="59">
        <v>369.28024631913104</v>
      </c>
      <c r="E137" s="59">
        <v>1720.5764543145435</v>
      </c>
      <c r="F137" s="59">
        <v>1641.4528372934269</v>
      </c>
      <c r="G137" s="59">
        <v>1941.3566877527301</v>
      </c>
      <c r="H137" s="59">
        <v>2815.9871877935198</v>
      </c>
      <c r="J137" s="59">
        <v>106.07638785256931</v>
      </c>
      <c r="K137" s="59">
        <v>321.56387547323152</v>
      </c>
      <c r="L137" s="59">
        <v>141.8544799012148</v>
      </c>
      <c r="M137" s="59">
        <v>753.72862948119825</v>
      </c>
      <c r="N137" s="59">
        <v>188.12321381843799</v>
      </c>
      <c r="P137" s="59">
        <v>741.92698915211201</v>
      </c>
      <c r="R137" s="59">
        <v>558076.32426491927</v>
      </c>
      <c r="S137" s="59">
        <v>48061494.677313484</v>
      </c>
    </row>
    <row r="138" spans="2:19" x14ac:dyDescent="0.2">
      <c r="B138" s="59">
        <v>135</v>
      </c>
      <c r="C138" s="59">
        <v>36</v>
      </c>
      <c r="D138" s="59">
        <v>365.61206253902765</v>
      </c>
      <c r="E138" s="59">
        <v>1711.6740811481361</v>
      </c>
      <c r="F138" s="59">
        <v>1636.9247924517169</v>
      </c>
      <c r="G138" s="59">
        <v>1938.6488527513</v>
      </c>
      <c r="H138" s="59">
        <v>2821.8000947112791</v>
      </c>
      <c r="J138" s="59">
        <v>106.33475655405101</v>
      </c>
      <c r="K138" s="59">
        <v>323.34568153810869</v>
      </c>
      <c r="L138" s="59">
        <v>142.48943121468668</v>
      </c>
      <c r="M138" s="59">
        <v>763.38637277786393</v>
      </c>
      <c r="N138" s="59">
        <v>189.78387431383305</v>
      </c>
      <c r="P138" s="59">
        <v>740.92392640511378</v>
      </c>
      <c r="R138" s="59">
        <v>559381.13921943353</v>
      </c>
      <c r="S138" s="59">
        <v>48460810.339456916</v>
      </c>
    </row>
    <row r="139" spans="2:19" x14ac:dyDescent="0.2">
      <c r="B139" s="59">
        <v>136</v>
      </c>
      <c r="C139" s="59">
        <v>36</v>
      </c>
      <c r="D139" s="59">
        <v>361.98031605113999</v>
      </c>
      <c r="E139" s="59">
        <v>1702.8006337682152</v>
      </c>
      <c r="F139" s="59">
        <v>1632.379799723383</v>
      </c>
      <c r="G139" s="59">
        <v>1935.9224094762169</v>
      </c>
      <c r="H139" s="59">
        <v>2827.5600865188699</v>
      </c>
      <c r="J139" s="59">
        <v>106.59090421771305</v>
      </c>
      <c r="K139" s="59">
        <v>325.11611678399373</v>
      </c>
      <c r="L139" s="59">
        <v>143.12001515126011</v>
      </c>
      <c r="M139" s="59">
        <v>773.0872585406787</v>
      </c>
      <c r="N139" s="59">
        <v>191.4424597685329</v>
      </c>
      <c r="P139" s="59">
        <v>739.91784599330163</v>
      </c>
      <c r="R139" s="59">
        <v>560674.17265525286</v>
      </c>
      <c r="S139" s="59">
        <v>48860050.935347952</v>
      </c>
    </row>
    <row r="140" spans="2:19" x14ac:dyDescent="0.2">
      <c r="B140" s="59">
        <v>137</v>
      </c>
      <c r="C140" s="59">
        <v>36</v>
      </c>
      <c r="D140" s="59">
        <v>358.38464491169867</v>
      </c>
      <c r="E140" s="59">
        <v>1693.9562572443315</v>
      </c>
      <c r="F140" s="59">
        <v>1627.8182365853913</v>
      </c>
      <c r="G140" s="59">
        <v>1933.1773717401099</v>
      </c>
      <c r="H140" s="59">
        <v>2833.2672267458197</v>
      </c>
      <c r="J140" s="59">
        <v>106.84483606783529</v>
      </c>
      <c r="K140" s="59">
        <v>326.87522333824523</v>
      </c>
      <c r="L140" s="59">
        <v>143.74624916263173</v>
      </c>
      <c r="M140" s="59">
        <v>782.83099155043033</v>
      </c>
      <c r="N140" s="59">
        <v>193.09896265350955</v>
      </c>
      <c r="P140" s="59">
        <v>738.90877164138885</v>
      </c>
      <c r="R140" s="59">
        <v>561955.46636930446</v>
      </c>
      <c r="S140" s="59">
        <v>49259206.017405972</v>
      </c>
    </row>
    <row r="141" spans="2:19" x14ac:dyDescent="0.2">
      <c r="B141" s="59">
        <v>138</v>
      </c>
      <c r="C141" s="59">
        <v>36</v>
      </c>
      <c r="D141" s="59">
        <v>354.82469077224249</v>
      </c>
      <c r="E141" s="59">
        <v>1685.1410920629116</v>
      </c>
      <c r="F141" s="59">
        <v>1623.2404776983108</v>
      </c>
      <c r="G141" s="59">
        <v>1930.4137569943239</v>
      </c>
      <c r="H141" s="59">
        <v>2838.9215787629432</v>
      </c>
      <c r="J141" s="59">
        <v>107.09655725881269</v>
      </c>
      <c r="K141" s="59">
        <v>328.62304285514705</v>
      </c>
      <c r="L141" s="59">
        <v>144.36815041875283</v>
      </c>
      <c r="M141" s="59">
        <v>792.61727768131982</v>
      </c>
      <c r="N141" s="59">
        <v>194.7533754952388</v>
      </c>
      <c r="P141" s="59">
        <v>737.89672699905077</v>
      </c>
      <c r="R141" s="59">
        <v>563225.06173398427</v>
      </c>
      <c r="S141" s="59">
        <v>49658265.240732938</v>
      </c>
    </row>
    <row r="142" spans="2:19" x14ac:dyDescent="0.2">
      <c r="B142" s="59">
        <v>139</v>
      </c>
      <c r="C142" s="59">
        <v>36</v>
      </c>
      <c r="D142" s="59">
        <v>351.30009884390489</v>
      </c>
      <c r="E142" s="59">
        <v>1676.3552741956171</v>
      </c>
      <c r="F142" s="59">
        <v>1618.6468949025286</v>
      </c>
      <c r="G142" s="59">
        <v>1927.6315862649128</v>
      </c>
      <c r="H142" s="59">
        <v>2844.5232058182455</v>
      </c>
      <c r="J142" s="59">
        <v>107.34607287769806</v>
      </c>
      <c r="K142" s="59">
        <v>330.35961652150121</v>
      </c>
      <c r="L142" s="59">
        <v>144.98573581464464</v>
      </c>
      <c r="M142" s="59">
        <v>802.44582388546053</v>
      </c>
      <c r="N142" s="59">
        <v>196.40569087548977</v>
      </c>
      <c r="P142" s="59">
        <v>736.88173564181398</v>
      </c>
      <c r="R142" s="59">
        <v>564482.9997062356</v>
      </c>
      <c r="S142" s="59">
        <v>50057218.362174548</v>
      </c>
    </row>
    <row r="143" spans="2:19" x14ac:dyDescent="0.2">
      <c r="B143" s="59">
        <v>140</v>
      </c>
      <c r="C143" s="59">
        <v>36</v>
      </c>
      <c r="D143" s="59">
        <v>347.81051786205546</v>
      </c>
      <c r="E143" s="59">
        <v>1667.598935166857</v>
      </c>
      <c r="F143" s="59">
        <v>1614.0378572149903</v>
      </c>
      <c r="G143" s="59">
        <v>1924.8308840892287</v>
      </c>
      <c r="H143" s="59">
        <v>2850.0721710720422</v>
      </c>
      <c r="J143" s="59">
        <v>107.5933879466962</v>
      </c>
      <c r="K143" s="59">
        <v>332.08498506224794</v>
      </c>
      <c r="L143" s="59">
        <v>145.59902197705759</v>
      </c>
      <c r="M143" s="59">
        <v>812.31633817771069</v>
      </c>
      <c r="N143" s="59">
        <v>198.05590143111692</v>
      </c>
      <c r="P143" s="59">
        <v>735.86382107192458</v>
      </c>
      <c r="R143" s="59">
        <v>565729.32083647593</v>
      </c>
      <c r="S143" s="59">
        <v>50456055.23939459</v>
      </c>
    </row>
    <row r="144" spans="2:19" x14ac:dyDescent="0.2">
      <c r="B144" s="59">
        <v>141</v>
      </c>
      <c r="C144" s="59">
        <v>36</v>
      </c>
      <c r="D144" s="59">
        <v>344.35560005129236</v>
      </c>
      <c r="E144" s="59">
        <v>1658.8722021204662</v>
      </c>
      <c r="F144" s="59">
        <v>1609.4137308264494</v>
      </c>
      <c r="G144" s="59">
        <v>1922.0116784530996</v>
      </c>
      <c r="H144" s="59">
        <v>2855.5685376313068</v>
      </c>
      <c r="J144" s="59">
        <v>107.83850742560989</v>
      </c>
      <c r="K144" s="59">
        <v>333.79918874611019</v>
      </c>
      <c r="L144" s="59">
        <v>146.20802527097956</v>
      </c>
      <c r="M144" s="59">
        <v>822.22852962083357</v>
      </c>
      <c r="N144" s="59">
        <v>199.70399985385532</v>
      </c>
      <c r="P144" s="59">
        <v>734.84300671919516</v>
      </c>
      <c r="R144" s="59">
        <v>566964.06527737842</v>
      </c>
      <c r="S144" s="59">
        <v>50854765.829962298</v>
      </c>
    </row>
    <row r="145" spans="2:19" x14ac:dyDescent="0.2">
      <c r="B145" s="59">
        <v>142</v>
      </c>
      <c r="C145" s="59">
        <v>36</v>
      </c>
      <c r="D145" s="59">
        <v>340.93500109078286</v>
      </c>
      <c r="E145" s="59">
        <v>1650.1751978855575</v>
      </c>
      <c r="F145" s="59">
        <v>1604.77487909922</v>
      </c>
      <c r="G145" s="59">
        <v>1919.1740007286012</v>
      </c>
      <c r="H145" s="59">
        <v>2861.0123685832496</v>
      </c>
      <c r="J145" s="59">
        <v>108.08143621423872</v>
      </c>
      <c r="K145" s="59">
        <v>335.50226739125975</v>
      </c>
      <c r="L145" s="59">
        <v>146.81276180599713</v>
      </c>
      <c r="M145" s="59">
        <v>832.18210831097804</v>
      </c>
      <c r="N145" s="59">
        <v>201.34997889011831</v>
      </c>
      <c r="P145" s="59">
        <v>733.81931594183277</v>
      </c>
      <c r="R145" s="59">
        <v>568187.27279250755</v>
      </c>
      <c r="S145" s="59">
        <v>51253340.190452412</v>
      </c>
    </row>
    <row r="146" spans="2:19" x14ac:dyDescent="0.2">
      <c r="B146" s="59">
        <v>143</v>
      </c>
      <c r="C146" s="59">
        <v>36</v>
      </c>
      <c r="D146" s="59">
        <v>337.54838007994778</v>
      </c>
      <c r="E146" s="59">
        <v>1641.5080410415576</v>
      </c>
      <c r="F146" s="59">
        <v>1600.1216625654156</v>
      </c>
      <c r="G146" s="59">
        <v>1916.3178856124166</v>
      </c>
      <c r="H146" s="59">
        <v>2866.4037270281433</v>
      </c>
      <c r="J146" s="59">
        <v>108.322179154731</v>
      </c>
      <c r="K146" s="59">
        <v>337.19426037100317</v>
      </c>
      <c r="L146" s="59">
        <v>147.41324744251423</v>
      </c>
      <c r="M146" s="59">
        <v>842.1767853634758</v>
      </c>
      <c r="N146" s="59">
        <v>202.9938313407981</v>
      </c>
      <c r="P146" s="59">
        <v>732.79277202724495</v>
      </c>
      <c r="R146" s="59">
        <v>569398.98276481521</v>
      </c>
      <c r="S146" s="59">
        <v>51651768.475557782</v>
      </c>
    </row>
    <row r="147" spans="2:19" x14ac:dyDescent="0.2">
      <c r="B147" s="59">
        <v>144</v>
      </c>
      <c r="C147" s="59">
        <v>37</v>
      </c>
      <c r="D147" s="59">
        <v>334.19539950448694</v>
      </c>
      <c r="E147" s="59">
        <v>1632.8708459824352</v>
      </c>
      <c r="F147" s="59">
        <v>1595.4544389256689</v>
      </c>
      <c r="G147" s="59">
        <v>1913.4433710647884</v>
      </c>
      <c r="H147" s="59">
        <v>2871.7426761114007</v>
      </c>
      <c r="J147" s="59">
        <v>108.56074103388976</v>
      </c>
      <c r="K147" s="59">
        <v>338.87520661948423</v>
      </c>
      <c r="L147" s="59">
        <v>148.0094977978323</v>
      </c>
      <c r="M147" s="59">
        <v>852.21227289894807</v>
      </c>
      <c r="N147" s="59">
        <v>204.63555006106898</v>
      </c>
      <c r="P147" s="59">
        <v>731.76339819282771</v>
      </c>
      <c r="Q147" s="59">
        <v>8781.1607783139334</v>
      </c>
      <c r="R147" s="59">
        <v>570599.23420499801</v>
      </c>
      <c r="S147" s="59">
        <v>52050040.937214211</v>
      </c>
    </row>
    <row r="148" spans="2:19" x14ac:dyDescent="0.2">
      <c r="B148" s="59">
        <v>145</v>
      </c>
      <c r="C148" s="59">
        <v>37</v>
      </c>
      <c r="D148" s="59">
        <v>330.87572520274239</v>
      </c>
      <c r="E148" s="59">
        <v>1624.2637229801317</v>
      </c>
      <c r="F148" s="59">
        <v>1590.773563048318</v>
      </c>
      <c r="G148" s="59">
        <v>1910.550498249057</v>
      </c>
      <c r="H148" s="59">
        <v>2877.0292790549147</v>
      </c>
      <c r="J148" s="59">
        <v>108.79712658543308</v>
      </c>
      <c r="K148" s="59">
        <v>340.54514463740156</v>
      </c>
      <c r="L148" s="59">
        <v>148.60152825209559</v>
      </c>
      <c r="M148" s="59">
        <v>862.28828402971681</v>
      </c>
      <c r="N148" s="59">
        <v>206.27512796019298</v>
      </c>
      <c r="P148" s="59">
        <v>730.73121758673324</v>
      </c>
      <c r="R148" s="59">
        <v>571788.06575971865</v>
      </c>
      <c r="S148" s="59">
        <v>52448147.923737392</v>
      </c>
    </row>
    <row r="149" spans="2:19" x14ac:dyDescent="0.2">
      <c r="B149" s="59">
        <v>146</v>
      </c>
      <c r="C149" s="59">
        <v>37</v>
      </c>
      <c r="D149" s="59">
        <v>327.58902633239512</v>
      </c>
      <c r="E149" s="59">
        <v>1615.6867782472027</v>
      </c>
      <c r="F149" s="59">
        <v>1586.0793869690519</v>
      </c>
      <c r="G149" s="59">
        <v>1907.6393114717869</v>
      </c>
      <c r="H149" s="59">
        <v>2882.2635991876696</v>
      </c>
      <c r="J149" s="59">
        <v>109.03134049220986</v>
      </c>
      <c r="K149" s="59">
        <v>342.20411249773821</v>
      </c>
      <c r="L149" s="59">
        <v>149.18935395410577</v>
      </c>
      <c r="M149" s="59">
        <v>872.40453284651539</v>
      </c>
      <c r="N149" s="59">
        <v>207.91255800132816</v>
      </c>
      <c r="P149" s="59">
        <v>729.69625328861866</v>
      </c>
      <c r="R149" s="59">
        <v>572965.51571969525</v>
      </c>
      <c r="S149" s="59">
        <v>52846079.878971681</v>
      </c>
    </row>
    <row r="150" spans="2:19" x14ac:dyDescent="0.2">
      <c r="B150" s="59">
        <v>147</v>
      </c>
      <c r="C150" s="59">
        <v>37</v>
      </c>
      <c r="D150" s="59">
        <v>324.33497533749335</v>
      </c>
      <c r="E150" s="59">
        <v>1607.1401139986806</v>
      </c>
      <c r="F150" s="59">
        <v>1581.3722598910015</v>
      </c>
      <c r="G150" s="59">
        <v>1904.7098581234802</v>
      </c>
      <c r="H150" s="59">
        <v>2887.4456999756335</v>
      </c>
      <c r="J150" s="59">
        <v>109.2633873883712</v>
      </c>
      <c r="K150" s="59">
        <v>343.85214785150151</v>
      </c>
      <c r="L150" s="59">
        <v>149.77298982700924</v>
      </c>
      <c r="M150" s="59">
        <v>882.56073440549301</v>
      </c>
      <c r="N150" s="59">
        <v>209.54783320133939</v>
      </c>
      <c r="P150" s="59">
        <v>728.65852831037625</v>
      </c>
      <c r="R150" s="59">
        <v>574131.62202765967</v>
      </c>
      <c r="S150" s="59">
        <v>53243827.34145052</v>
      </c>
    </row>
    <row r="151" spans="2:19" x14ac:dyDescent="0.2">
      <c r="B151" s="59">
        <v>148</v>
      </c>
      <c r="C151" s="59">
        <v>37</v>
      </c>
      <c r="D151" s="59">
        <v>321.11324791580756</v>
      </c>
      <c r="E151" s="59">
        <v>1598.623828513164</v>
      </c>
      <c r="F151" s="59">
        <v>1576.6525281852687</v>
      </c>
      <c r="G151" s="59">
        <v>1901.762188619874</v>
      </c>
      <c r="H151" s="59">
        <v>2892.5756450509393</v>
      </c>
      <c r="J151" s="59">
        <v>109.49327186149817</v>
      </c>
      <c r="K151" s="59">
        <v>345.48928793347113</v>
      </c>
      <c r="L151" s="59">
        <v>150.35245057386072</v>
      </c>
      <c r="M151" s="59">
        <v>892.75660471550839</v>
      </c>
      <c r="N151" s="59">
        <v>211.18094663061146</v>
      </c>
      <c r="P151" s="59">
        <v>727.61806559684487</v>
      </c>
      <c r="R151" s="59">
        <v>575286.42228618904</v>
      </c>
      <c r="S151" s="59">
        <v>53641380.943568259</v>
      </c>
    </row>
    <row r="152" spans="2:19" x14ac:dyDescent="0.2">
      <c r="B152" s="59">
        <v>149</v>
      </c>
      <c r="C152" s="59">
        <v>37</v>
      </c>
      <c r="D152" s="59">
        <v>317.92352298651053</v>
      </c>
      <c r="E152" s="59">
        <v>1590.1380161931475</v>
      </c>
      <c r="F152" s="59">
        <v>1571.9205353918837</v>
      </c>
      <c r="G152" s="59">
        <v>1898.7963563438209</v>
      </c>
      <c r="H152" s="59">
        <v>2897.6534982403637</v>
      </c>
      <c r="J152" s="59">
        <v>109.72099845468676</v>
      </c>
      <c r="K152" s="59">
        <v>347.11556956795238</v>
      </c>
      <c r="L152" s="59">
        <v>150.92775068306656</v>
      </c>
      <c r="M152" s="59">
        <v>902.99186072570672</v>
      </c>
      <c r="N152" s="59">
        <v>212.81189141286467</v>
      </c>
      <c r="P152" s="59">
        <v>726.57488802650346</v>
      </c>
      <c r="R152" s="59">
        <v>576429.95376541046</v>
      </c>
      <c r="S152" s="59">
        <v>54038731.410763219</v>
      </c>
    </row>
    <row r="153" spans="2:19" x14ac:dyDescent="0.2">
      <c r="B153" s="59">
        <v>150</v>
      </c>
      <c r="C153" s="59">
        <v>37</v>
      </c>
      <c r="D153" s="59">
        <v>314.76548265817786</v>
      </c>
      <c r="E153" s="59">
        <v>1581.6827676245957</v>
      </c>
      <c r="F153" s="59">
        <v>1567.1766222211779</v>
      </c>
      <c r="G153" s="59">
        <v>1895.8124175877531</v>
      </c>
      <c r="H153" s="59">
        <v>2902.679323593115</v>
      </c>
      <c r="J153" s="59">
        <v>109.94657166859024</v>
      </c>
      <c r="K153" s="59">
        <v>348.731029174534</v>
      </c>
      <c r="L153" s="59">
        <v>151.49890443371092</v>
      </c>
      <c r="M153" s="59">
        <v>913.26622031337615</v>
      </c>
      <c r="N153" s="59">
        <v>214.44066072497262</v>
      </c>
      <c r="P153" s="59">
        <v>725.52901841214691</v>
      </c>
      <c r="R153" s="59">
        <v>577562.25341058359</v>
      </c>
      <c r="S153" s="59">
        <v>54435869.560711786</v>
      </c>
    </row>
    <row r="154" spans="2:19" x14ac:dyDescent="0.2">
      <c r="B154" s="59">
        <v>151</v>
      </c>
      <c r="C154" s="59">
        <v>37</v>
      </c>
      <c r="D154" s="59">
        <v>311.63881219710663</v>
      </c>
      <c r="E154" s="59">
        <v>1573.2581696357743</v>
      </c>
      <c r="F154" s="59">
        <v>1562.4211265555664</v>
      </c>
      <c r="G154" s="59">
        <v>1892.8104314967254</v>
      </c>
      <c r="H154" s="59">
        <v>2907.6531854079349</v>
      </c>
      <c r="J154" s="59">
        <v>110.16999596341981</v>
      </c>
      <c r="K154" s="59">
        <v>350.33570277384717</v>
      </c>
      <c r="L154" s="59">
        <v>152.06592590076821</v>
      </c>
      <c r="M154" s="59">
        <v>923.57940227207826</v>
      </c>
      <c r="N154" s="59">
        <v>216.06724779678225</v>
      </c>
      <c r="P154" s="59">
        <v>724.48047950154353</v>
      </c>
      <c r="R154" s="59">
        <v>578683.35784956242</v>
      </c>
      <c r="S154" s="59">
        <v>54832786.302533343</v>
      </c>
    </row>
    <row r="155" spans="2:19" x14ac:dyDescent="0.2">
      <c r="B155" s="59">
        <v>152</v>
      </c>
      <c r="C155" s="59">
        <v>37</v>
      </c>
      <c r="D155" s="59">
        <v>308.54319999594873</v>
      </c>
      <c r="E155" s="59">
        <v>1564.8643053553428</v>
      </c>
      <c r="F155" s="59">
        <v>1557.654383451729</v>
      </c>
      <c r="G155" s="59">
        <v>1889.7904600120382</v>
      </c>
      <c r="H155" s="59">
        <v>2912.5751482595269</v>
      </c>
      <c r="J155" s="59">
        <v>110.39127576090402</v>
      </c>
      <c r="K155" s="59">
        <v>351.92962599332463</v>
      </c>
      <c r="L155" s="59">
        <v>152.62882896020449</v>
      </c>
      <c r="M155" s="59">
        <v>933.93112630004839</v>
      </c>
      <c r="N155" s="59">
        <v>217.6916459109363</v>
      </c>
      <c r="P155" s="59">
        <v>723.4292939780762</v>
      </c>
      <c r="R155" s="59">
        <v>579793.30340013723</v>
      </c>
      <c r="S155" s="59">
        <v>55229472.636005796</v>
      </c>
    </row>
    <row r="156" spans="2:19" x14ac:dyDescent="0.2">
      <c r="B156" s="59">
        <v>153</v>
      </c>
      <c r="C156" s="59">
        <v>37</v>
      </c>
      <c r="D156" s="59">
        <v>305.47833754265565</v>
      </c>
      <c r="E156" s="59">
        <v>1556.5012542697211</v>
      </c>
      <c r="F156" s="59">
        <v>1552.8767251431793</v>
      </c>
      <c r="G156" s="59">
        <v>1886.752567815437</v>
      </c>
      <c r="H156" s="59">
        <v>2917.4452770243161</v>
      </c>
      <c r="J156" s="59">
        <v>110.61041544620755</v>
      </c>
      <c r="K156" s="59">
        <v>353.51283407295762</v>
      </c>
      <c r="L156" s="59">
        <v>153.18762729397125</v>
      </c>
      <c r="M156" s="59">
        <v>944.32111298886036</v>
      </c>
      <c r="N156" s="59">
        <v>219.31384840269763</v>
      </c>
      <c r="P156" s="59">
        <v>722.37548446136577</v>
      </c>
      <c r="R156" s="59">
        <v>580892.12607726105</v>
      </c>
      <c r="S156" s="59">
        <v>55625919.650791615</v>
      </c>
    </row>
    <row r="157" spans="2:19" x14ac:dyDescent="0.2">
      <c r="B157" s="59">
        <v>154</v>
      </c>
      <c r="C157" s="59">
        <v>37</v>
      </c>
      <c r="D157" s="59">
        <v>302.44391938973195</v>
      </c>
      <c r="E157" s="59">
        <v>1548.1690922797354</v>
      </c>
      <c r="F157" s="59">
        <v>1548.0884810432151</v>
      </c>
      <c r="G157" s="59">
        <v>1883.6968222738867</v>
      </c>
      <c r="H157" s="59">
        <v>2922.2636369055535</v>
      </c>
      <c r="J157" s="59">
        <v>110.82741936980986</v>
      </c>
      <c r="K157" s="59">
        <v>355.0853618710488</v>
      </c>
      <c r="L157" s="59">
        <v>153.74233439489385</v>
      </c>
      <c r="M157" s="59">
        <v>954.74908381235264</v>
      </c>
      <c r="N157" s="59">
        <v>220.93384865977586</v>
      </c>
      <c r="P157" s="59">
        <v>721.31907350787856</v>
      </c>
      <c r="R157" s="59">
        <v>581979.86160016106</v>
      </c>
      <c r="S157" s="59">
        <v>56022118.52567409</v>
      </c>
    </row>
    <row r="158" spans="2:19" x14ac:dyDescent="0.2">
      <c r="B158" s="59">
        <v>155</v>
      </c>
      <c r="C158" s="59">
        <v>37</v>
      </c>
      <c r="D158" s="59">
        <v>299.43964312379393</v>
      </c>
      <c r="E158" s="59">
        <v>1539.8678917565526</v>
      </c>
      <c r="F158" s="59">
        <v>1543.2899777482398</v>
      </c>
      <c r="G158" s="59">
        <v>1880.623293384921</v>
      </c>
      <c r="H158" s="59">
        <v>2927.0302934577689</v>
      </c>
      <c r="J158" s="59">
        <v>111.04229184934444</v>
      </c>
      <c r="K158" s="59">
        <v>356.64724386995965</v>
      </c>
      <c r="L158" s="59">
        <v>154.29296357145782</v>
      </c>
      <c r="M158" s="59">
        <v>965.21476111580955</v>
      </c>
      <c r="N158" s="59">
        <v>222.55164012215596</v>
      </c>
      <c r="P158" s="59">
        <v>720.26008361151605</v>
      </c>
      <c r="R158" s="59">
        <v>583056.54539933661</v>
      </c>
      <c r="S158" s="59">
        <v>56418060.527803689</v>
      </c>
    </row>
    <row r="159" spans="2:19" x14ac:dyDescent="0.2">
      <c r="B159" s="59">
        <v>156</v>
      </c>
      <c r="C159" s="59">
        <v>38</v>
      </c>
      <c r="D159" s="59">
        <v>296.46520933543093</v>
      </c>
      <c r="E159" s="59">
        <v>1531.5977215969119</v>
      </c>
      <c r="F159" s="59">
        <v>1538.4815390414458</v>
      </c>
      <c r="G159" s="59">
        <v>1877.5320537225618</v>
      </c>
      <c r="H159" s="59">
        <v>2931.7453126105843</v>
      </c>
      <c r="J159" s="59">
        <v>111.25503717139895</v>
      </c>
      <c r="K159" s="59">
        <v>358.19851418185027</v>
      </c>
      <c r="L159" s="59">
        <v>154.83952795249547</v>
      </c>
      <c r="M159" s="59">
        <v>975.71786810539527</v>
      </c>
      <c r="N159" s="59">
        <v>224.167216281929</v>
      </c>
      <c r="P159" s="59">
        <v>719.19853720419007</v>
      </c>
      <c r="Q159" s="59">
        <v>8630.3824464502813</v>
      </c>
      <c r="R159" s="59">
        <v>584122.21262344753</v>
      </c>
      <c r="S159" s="59">
        <v>56813737.011954352</v>
      </c>
    </row>
    <row r="160" spans="2:19" x14ac:dyDescent="0.2">
      <c r="B160" s="59">
        <v>157</v>
      </c>
      <c r="C160" s="59">
        <v>38</v>
      </c>
      <c r="D160" s="59">
        <v>293.52032158936566</v>
      </c>
      <c r="E160" s="59">
        <v>1523.3586472776615</v>
      </c>
      <c r="F160" s="59">
        <v>1533.6634858968519</v>
      </c>
      <c r="G160" s="59">
        <v>1874.423178383809</v>
      </c>
      <c r="H160" s="59">
        <v>2936.4087606918938</v>
      </c>
      <c r="J160" s="59">
        <v>111.46565959327711</v>
      </c>
      <c r="K160" s="59">
        <v>359.73920655440986</v>
      </c>
      <c r="L160" s="59">
        <v>155.38204049177531</v>
      </c>
      <c r="M160" s="59">
        <v>986.2581288378351</v>
      </c>
      <c r="N160" s="59">
        <v>225.78057068312467</v>
      </c>
      <c r="P160" s="59">
        <v>718.13445665638085</v>
      </c>
      <c r="R160" s="59">
        <v>585176.89814609254</v>
      </c>
      <c r="S160" s="59">
        <v>57209139.419789463</v>
      </c>
    </row>
    <row r="161" spans="2:19" x14ac:dyDescent="0.2">
      <c r="B161" s="59">
        <v>158</v>
      </c>
      <c r="C161" s="59">
        <v>38</v>
      </c>
      <c r="D161" s="59">
        <v>290.60468639491131</v>
      </c>
      <c r="E161" s="59">
        <v>1515.1507309096069</v>
      </c>
      <c r="F161" s="59">
        <v>1528.8361364836858</v>
      </c>
      <c r="G161" s="59">
        <v>1871.296744935697</v>
      </c>
      <c r="H161" s="59">
        <v>2941.0207044504214</v>
      </c>
      <c r="J161" s="59">
        <v>111.67416334472261</v>
      </c>
      <c r="K161" s="59">
        <v>361.26935437657653</v>
      </c>
      <c r="L161" s="59">
        <v>155.92051397249691</v>
      </c>
      <c r="M161" s="59">
        <v>996.83526821034002</v>
      </c>
      <c r="N161" s="59">
        <v>227.39169692154584</v>
      </c>
      <c r="P161" s="59">
        <v>717.06786427767975</v>
      </c>
      <c r="R161" s="59">
        <v>586220.63657248078</v>
      </c>
      <c r="S161" s="59">
        <v>57604259.279137433</v>
      </c>
    </row>
    <row r="162" spans="2:19" x14ac:dyDescent="0.2">
      <c r="B162" s="59">
        <v>159</v>
      </c>
      <c r="C162" s="59">
        <v>38</v>
      </c>
      <c r="D162" s="59">
        <v>287.71801317672185</v>
      </c>
      <c r="E162" s="59">
        <v>1506.9740312906808</v>
      </c>
      <c r="F162" s="59">
        <v>1523.9998061711033</v>
      </c>
      <c r="G162" s="59">
        <v>1868.1528333629171</v>
      </c>
      <c r="H162" s="59">
        <v>2945.581211077661</v>
      </c>
      <c r="J162" s="59">
        <v>111.8805526296058</v>
      </c>
      <c r="K162" s="59">
        <v>362.7889906842446</v>
      </c>
      <c r="L162" s="59">
        <v>156.45496101169346</v>
      </c>
      <c r="M162" s="59">
        <v>1007.449011950771</v>
      </c>
      <c r="N162" s="59">
        <v>229.00058864460499</v>
      </c>
      <c r="P162" s="59">
        <v>715.99878231731668</v>
      </c>
      <c r="R162" s="59">
        <v>587253.46224599774</v>
      </c>
      <c r="S162" s="59">
        <v>57999088.203276671</v>
      </c>
    </row>
    <row r="163" spans="2:19" x14ac:dyDescent="0.2">
      <c r="B163" s="59">
        <v>160</v>
      </c>
      <c r="C163" s="59">
        <v>38</v>
      </c>
      <c r="D163" s="59">
        <v>284.8600142458331</v>
      </c>
      <c r="E163" s="59">
        <v>1498.8286039584416</v>
      </c>
      <c r="F163" s="59">
        <v>1519.1548075332366</v>
      </c>
      <c r="G163" s="59">
        <v>1864.9915260160035</v>
      </c>
      <c r="H163" s="59">
        <v>2950.0903482292119</v>
      </c>
      <c r="J163" s="59">
        <v>112.08483162757354</v>
      </c>
      <c r="K163" s="59">
        <v>364.29814816595791</v>
      </c>
      <c r="L163" s="59">
        <v>156.98539406454432</v>
      </c>
      <c r="M163" s="59">
        <v>1018.0990866080391</v>
      </c>
      <c r="N163" s="59">
        <v>230.60723955116251</v>
      </c>
      <c r="P163" s="59">
        <v>714.92723296467238</v>
      </c>
      <c r="R163" s="59">
        <v>588275.40925466688</v>
      </c>
      <c r="S163" s="59">
        <v>58393617.890229769</v>
      </c>
    </row>
    <row r="164" spans="2:19" x14ac:dyDescent="0.2">
      <c r="B164" s="59">
        <v>161</v>
      </c>
      <c r="C164" s="59">
        <v>38</v>
      </c>
      <c r="D164" s="59">
        <v>282.03040477099114</v>
      </c>
      <c r="E164" s="59">
        <v>1490.7145012419071</v>
      </c>
      <c r="F164" s="59">
        <v>1514.3014503545621</v>
      </c>
      <c r="G164" s="59">
        <v>1861.8129075600782</v>
      </c>
      <c r="H164" s="59">
        <v>2954.5481840455122</v>
      </c>
      <c r="J164" s="59">
        <v>112.28700449566274</v>
      </c>
      <c r="K164" s="59">
        <v>365.79685916858767</v>
      </c>
      <c r="L164" s="59">
        <v>157.51182542859988</v>
      </c>
      <c r="M164" s="59">
        <v>1028.7852195427363</v>
      </c>
      <c r="N164" s="59">
        <v>232.21164339136664</v>
      </c>
      <c r="P164" s="59">
        <v>713.85323834977567</v>
      </c>
      <c r="R164" s="59">
        <v>589286.51143751014</v>
      </c>
      <c r="S164" s="59">
        <v>58787840.122066759</v>
      </c>
    </row>
    <row r="165" spans="2:19" x14ac:dyDescent="0.2">
      <c r="B165" s="59">
        <v>162</v>
      </c>
      <c r="C165" s="59">
        <v>38</v>
      </c>
      <c r="D165" s="59">
        <v>279.22890275026595</v>
      </c>
      <c r="E165" s="59">
        <v>1482.6317723127331</v>
      </c>
      <c r="F165" s="59">
        <v>1509.4400416355816</v>
      </c>
      <c r="G165" s="59">
        <v>1858.6170649241571</v>
      </c>
      <c r="H165" s="59">
        <v>2958.9547871719838</v>
      </c>
      <c r="J165" s="59">
        <v>112.48707536987834</v>
      </c>
      <c r="K165" s="59">
        <v>367.28515570299311</v>
      </c>
      <c r="L165" s="59">
        <v>158.03426724792081</v>
      </c>
      <c r="M165" s="59">
        <v>1039.507138917995</v>
      </c>
      <c r="N165" s="59">
        <v>233.81379396649538</v>
      </c>
      <c r="P165" s="59">
        <v>712.77682054378602</v>
      </c>
      <c r="R165" s="59">
        <v>590286.80239080591</v>
      </c>
      <c r="S165" s="59">
        <v>59181746.76421731</v>
      </c>
    </row>
    <row r="166" spans="2:19" x14ac:dyDescent="0.2">
      <c r="B166" s="59">
        <v>163</v>
      </c>
      <c r="C166" s="59">
        <v>38</v>
      </c>
      <c r="D166" s="59">
        <v>276.45522898294666</v>
      </c>
      <c r="E166" s="59">
        <v>1474.5804632357424</v>
      </c>
      <c r="F166" s="59">
        <v>1504.5708855988078</v>
      </c>
      <c r="G166" s="59">
        <v>1855.40408725101</v>
      </c>
      <c r="H166" s="59">
        <v>2963.310226778593</v>
      </c>
      <c r="J166" s="59">
        <v>112.68504836673583</v>
      </c>
      <c r="K166" s="59">
        <v>368.76306944966387</v>
      </c>
      <c r="L166" s="59">
        <v>158.55273151713376</v>
      </c>
      <c r="M166" s="59">
        <v>1050.2645736905713</v>
      </c>
      <c r="N166" s="59">
        <v>235.4136851287999</v>
      </c>
      <c r="P166" s="59">
        <v>711.69800155946223</v>
      </c>
      <c r="R166" s="59">
        <v>591276.31547424954</v>
      </c>
      <c r="S166" s="59">
        <v>59575329.764791645</v>
      </c>
    </row>
    <row r="167" spans="2:19" x14ac:dyDescent="0.2">
      <c r="B167" s="59">
        <v>164</v>
      </c>
      <c r="C167" s="59">
        <v>38</v>
      </c>
      <c r="D167" s="59">
        <v>273.70910704171604</v>
      </c>
      <c r="E167" s="59">
        <v>1466.560617018813</v>
      </c>
      <c r="F167" s="59">
        <v>1499.6942836950464</v>
      </c>
      <c r="G167" s="59">
        <v>1852.1740658475755</v>
      </c>
      <c r="H167" s="59">
        <v>2967.6145725788379</v>
      </c>
      <c r="J167" s="59">
        <v>112.88092758476918</v>
      </c>
      <c r="K167" s="59">
        <v>370.23063176434266</v>
      </c>
      <c r="L167" s="59">
        <v>159.06723008540558</v>
      </c>
      <c r="M167" s="59">
        <v>1061.0572536021484</v>
      </c>
      <c r="N167" s="59">
        <v>237.01131078134969</v>
      </c>
      <c r="P167" s="59">
        <v>710.616803351616</v>
      </c>
      <c r="R167" s="59">
        <v>592255.0838170147</v>
      </c>
      <c r="S167" s="59">
        <v>59968581.153910063</v>
      </c>
    </row>
    <row r="168" spans="2:19" x14ac:dyDescent="0.2">
      <c r="B168" s="59">
        <v>165</v>
      </c>
      <c r="C168" s="59">
        <v>38</v>
      </c>
      <c r="D168" s="59">
        <v>270.99026324510169</v>
      </c>
      <c r="E168" s="59">
        <v>1458.5722736621331</v>
      </c>
      <c r="F168" s="59">
        <v>1494.8105346099685</v>
      </c>
      <c r="G168" s="59">
        <v>1848.9270941359273</v>
      </c>
      <c r="H168" s="59">
        <v>2971.8678948481684</v>
      </c>
      <c r="J168" s="59">
        <v>113.07471710600464</v>
      </c>
      <c r="K168" s="59">
        <v>371.68787368362661</v>
      </c>
      <c r="L168" s="59">
        <v>159.57777466033787</v>
      </c>
      <c r="M168" s="59">
        <v>1071.8849091708569</v>
      </c>
      <c r="N168" s="59">
        <v>238.60666487787938</v>
      </c>
      <c r="P168" s="59">
        <v>709.53324781755225</v>
      </c>
      <c r="R168" s="59">
        <v>593223.14032371971</v>
      </c>
      <c r="S168" s="59">
        <v>60361493.043040961</v>
      </c>
    </row>
    <row r="169" spans="2:19" x14ac:dyDescent="0.2">
      <c r="B169" s="59">
        <v>166</v>
      </c>
      <c r="C169" s="59">
        <v>38</v>
      </c>
      <c r="D169" s="59">
        <v>268.29842663020037</v>
      </c>
      <c r="E169" s="59">
        <v>1450.6154702068279</v>
      </c>
      <c r="F169" s="59">
        <v>1489.9199342709637</v>
      </c>
      <c r="G169" s="59">
        <v>1845.6632676047882</v>
      </c>
      <c r="H169" s="59">
        <v>2976.0702644418475</v>
      </c>
      <c r="J169" s="59">
        <v>113.26642099740062</v>
      </c>
      <c r="K169" s="59">
        <v>373.13482593054624</v>
      </c>
      <c r="L169" s="59">
        <v>160.0843768117839</v>
      </c>
      <c r="M169" s="59">
        <v>1082.7472716830089</v>
      </c>
      <c r="N169" s="59">
        <v>240.19974142263712</v>
      </c>
      <c r="P169" s="59">
        <v>708.44735679749579</v>
      </c>
      <c r="R169" s="59">
        <v>594180.51768029726</v>
      </c>
      <c r="S169" s="59">
        <v>60754057.624347083</v>
      </c>
    </row>
    <row r="170" spans="2:19" x14ac:dyDescent="0.2">
      <c r="B170" s="59">
        <v>167</v>
      </c>
      <c r="C170" s="59">
        <v>38</v>
      </c>
      <c r="D170" s="59">
        <v>265.63332892567371</v>
      </c>
      <c r="E170" s="59">
        <v>1442.6902407829693</v>
      </c>
      <c r="F170" s="59">
        <v>1485.0227758542694</v>
      </c>
      <c r="G170" s="59">
        <v>1842.3826837615907</v>
      </c>
      <c r="H170" s="59">
        <v>2980.2217528122615</v>
      </c>
      <c r="J170" s="59">
        <v>113.45604331225451</v>
      </c>
      <c r="K170" s="59">
        <v>374.57151892012087</v>
      </c>
      <c r="L170" s="59">
        <v>160.58704797558963</v>
      </c>
      <c r="M170" s="59">
        <v>1093.6440731850405</v>
      </c>
      <c r="N170" s="59">
        <v>241.79053447023443</v>
      </c>
      <c r="P170" s="59">
        <v>707.35915207500409</v>
      </c>
      <c r="R170" s="59">
        <v>595127.24835977238</v>
      </c>
      <c r="S170" s="59">
        <v>61146267.170039997</v>
      </c>
    </row>
    <row r="171" spans="2:19" x14ac:dyDescent="0.2">
      <c r="B171" s="59">
        <v>168</v>
      </c>
      <c r="C171" s="59">
        <v>39</v>
      </c>
      <c r="D171" s="59">
        <v>262.99470452501203</v>
      </c>
      <c r="E171" s="59">
        <v>1434.7966166569718</v>
      </c>
      <c r="F171" s="59">
        <v>1480.1193497923662</v>
      </c>
      <c r="G171" s="59">
        <v>1839.0854420850817</v>
      </c>
      <c r="H171" s="59">
        <v>2984.3224320256872</v>
      </c>
      <c r="J171" s="59">
        <v>113.64358809157673</v>
      </c>
      <c r="K171" s="59">
        <v>375.99798276488877</v>
      </c>
      <c r="L171" s="59">
        <v>161.08579945726046</v>
      </c>
      <c r="M171" s="59">
        <v>1104.5750464756622</v>
      </c>
      <c r="N171" s="59">
        <v>243.37903812549763</v>
      </c>
      <c r="P171" s="59">
        <v>706.26865537736683</v>
      </c>
      <c r="Q171" s="59">
        <v>8475.2238645284015</v>
      </c>
      <c r="R171" s="59">
        <v>596063.36462794628</v>
      </c>
      <c r="S171" s="59">
        <v>61538114.031742558</v>
      </c>
    </row>
    <row r="172" spans="2:19" x14ac:dyDescent="0.2">
      <c r="B172" s="59">
        <v>169</v>
      </c>
      <c r="C172" s="59">
        <v>39</v>
      </c>
      <c r="D172" s="59">
        <v>260.38229046006359</v>
      </c>
      <c r="E172" s="59">
        <v>1426.9346262783833</v>
      </c>
      <c r="F172" s="59">
        <v>1475.2099437816341</v>
      </c>
      <c r="G172" s="59">
        <v>1835.7716439784674</v>
      </c>
      <c r="H172" s="59">
        <v>2988.3723747785248</v>
      </c>
      <c r="J172" s="59">
        <v>113.82905936543244</v>
      </c>
      <c r="K172" s="59">
        <v>377.4142472804117</v>
      </c>
      <c r="L172" s="59">
        <v>161.58064243555572</v>
      </c>
      <c r="M172" s="59">
        <v>1115.5399250982109</v>
      </c>
      <c r="N172" s="59">
        <v>244.96524654332075</v>
      </c>
      <c r="P172" s="59">
        <v>705.17588837599305</v>
      </c>
      <c r="R172" s="59">
        <v>596988.89854899095</v>
      </c>
      <c r="S172" s="59">
        <v>61929590.639859252</v>
      </c>
    </row>
    <row r="173" spans="2:19" x14ac:dyDescent="0.2">
      <c r="B173" s="59">
        <v>170</v>
      </c>
      <c r="C173" s="59">
        <v>39</v>
      </c>
      <c r="D173" s="59">
        <v>257.79582637482696</v>
      </c>
      <c r="E173" s="59">
        <v>1419.1042953260794</v>
      </c>
      <c r="F173" s="59">
        <v>1470.2948427902631</v>
      </c>
      <c r="G173" s="59">
        <v>1832.4413927230958</v>
      </c>
      <c r="H173" s="59">
        <v>2992.371654413002</v>
      </c>
      <c r="J173" s="59">
        <v>114.0124611542516</v>
      </c>
      <c r="K173" s="59">
        <v>378.82034199075167</v>
      </c>
      <c r="L173" s="59">
        <v>162.07158796601206</v>
      </c>
      <c r="M173" s="59">
        <v>1126.5384433332024</v>
      </c>
      <c r="N173" s="59">
        <v>246.54915392851981</v>
      </c>
      <c r="P173" s="59">
        <v>704.0808726867848</v>
      </c>
      <c r="R173" s="59">
        <v>597903.8819909523</v>
      </c>
      <c r="S173" s="59">
        <v>62320689.502954282</v>
      </c>
    </row>
    <row r="174" spans="2:19" x14ac:dyDescent="0.2">
      <c r="B174" s="59">
        <v>171</v>
      </c>
      <c r="C174" s="59">
        <v>39</v>
      </c>
      <c r="D174" s="59">
        <v>255.23505449950369</v>
      </c>
      <c r="E174" s="59">
        <v>1411.3056467538645</v>
      </c>
      <c r="F174" s="59">
        <v>1465.3743290664088</v>
      </c>
      <c r="G174" s="59">
        <v>1829.0947934326759</v>
      </c>
      <c r="H174" s="59">
        <v>2996.3203449323587</v>
      </c>
      <c r="J174" s="59">
        <v>114.19379747010758</v>
      </c>
      <c r="K174" s="59">
        <v>380.21629613391985</v>
      </c>
      <c r="L174" s="59">
        <v>162.55864698439788</v>
      </c>
      <c r="M174" s="59">
        <v>1137.5703361910794</v>
      </c>
      <c r="N174" s="59">
        <v>248.13075453568851</v>
      </c>
      <c r="P174" s="59">
        <v>702.98362987049848</v>
      </c>
      <c r="R174" s="59">
        <v>598808.34663116571</v>
      </c>
      <c r="S174" s="59">
        <v>62711403.207137264</v>
      </c>
    </row>
    <row r="175" spans="2:19" x14ac:dyDescent="0.2">
      <c r="B175" s="59">
        <v>172</v>
      </c>
      <c r="C175" s="59">
        <v>39</v>
      </c>
      <c r="D175" s="59">
        <v>252.69971962480861</v>
      </c>
      <c r="E175" s="59">
        <v>1403.5387008354899</v>
      </c>
      <c r="F175" s="59">
        <v>1460.4486821465891</v>
      </c>
      <c r="G175" s="59">
        <v>1825.7319530080281</v>
      </c>
      <c r="H175" s="59">
        <v>3000.2185210155189</v>
      </c>
      <c r="J175" s="59">
        <v>114.37307231796505</v>
      </c>
      <c r="K175" s="59">
        <v>381.60213866729578</v>
      </c>
      <c r="L175" s="59">
        <v>163.04183031009981</v>
      </c>
      <c r="M175" s="59">
        <v>1148.6353394051541</v>
      </c>
      <c r="N175" s="59">
        <v>249.71004266905527</v>
      </c>
      <c r="P175" s="59">
        <v>701.88418143309366</v>
      </c>
      <c r="R175" s="59">
        <v>599702.3239615839</v>
      </c>
      <c r="S175" s="59">
        <v>63101724.415456384</v>
      </c>
    </row>
    <row r="176" spans="2:19" x14ac:dyDescent="0.2">
      <c r="B176" s="59">
        <v>173</v>
      </c>
      <c r="C176" s="59">
        <v>39</v>
      </c>
      <c r="D176" s="59">
        <v>250.18956907653552</v>
      </c>
      <c r="E176" s="59">
        <v>1395.8034752090939</v>
      </c>
      <c r="F176" s="59">
        <v>1455.5181788643145</v>
      </c>
      <c r="G176" s="59">
        <v>1822.352980092365</v>
      </c>
      <c r="H176" s="59">
        <v>3004.0662580312587</v>
      </c>
      <c r="J176" s="59">
        <v>114.55028969689739</v>
      </c>
      <c r="K176" s="59">
        <v>382.97789827301619</v>
      </c>
      <c r="L176" s="59">
        <v>163.52114864944315</v>
      </c>
      <c r="M176" s="59">
        <v>1159.7331894247391</v>
      </c>
      <c r="N176" s="59">
        <v>251.28701268234164</v>
      </c>
      <c r="P176" s="59">
        <v>700.7825488260703</v>
      </c>
      <c r="R176" s="59">
        <v>600585.84529401828</v>
      </c>
      <c r="S176" s="59">
        <v>63491645.867298916</v>
      </c>
    </row>
    <row r="177" spans="2:19" x14ac:dyDescent="0.2">
      <c r="B177" s="59">
        <v>174</v>
      </c>
      <c r="C177" s="59">
        <v>39</v>
      </c>
      <c r="D177" s="59">
        <v>247.70435269037526</v>
      </c>
      <c r="E177" s="59">
        <v>1388.0999849210707</v>
      </c>
      <c r="F177" s="59">
        <v>1450.5830933589439</v>
      </c>
      <c r="G177" s="59">
        <v>1818.9579850270984</v>
      </c>
      <c r="H177" s="59">
        <v>3007.8636320518744</v>
      </c>
      <c r="J177" s="59">
        <v>114.72545360127417</v>
      </c>
      <c r="K177" s="59">
        <v>384.34360336333259</v>
      </c>
      <c r="L177" s="59">
        <v>163.99661259894737</v>
      </c>
      <c r="M177" s="59">
        <v>1170.8636234084661</v>
      </c>
      <c r="N177" s="59">
        <v>252.86165897862202</v>
      </c>
      <c r="P177" s="59">
        <v>699.67875344679317</v>
      </c>
      <c r="R177" s="59">
        <v>601458.94176529581</v>
      </c>
      <c r="S177" s="59">
        <v>63881160.377798937</v>
      </c>
    </row>
    <row r="178" spans="2:19" x14ac:dyDescent="0.2">
      <c r="B178" s="59">
        <v>175</v>
      </c>
      <c r="C178" s="59">
        <v>39</v>
      </c>
      <c r="D178" s="59">
        <v>245.2438227869842</v>
      </c>
      <c r="E178" s="59">
        <v>1380.4282424693754</v>
      </c>
      <c r="F178" s="59">
        <v>1445.6436970847628</v>
      </c>
      <c r="G178" s="59">
        <v>1815.547079808171</v>
      </c>
      <c r="H178" s="59">
        <v>3011.6107198663644</v>
      </c>
      <c r="J178" s="59">
        <v>114.89856802191922</v>
      </c>
      <c r="K178" s="59">
        <v>385.69928208593609</v>
      </c>
      <c r="L178" s="59">
        <v>164.4682326485183</v>
      </c>
      <c r="M178" s="59">
        <v>1182.0263792177891</v>
      </c>
      <c r="N178" s="59">
        <v>254.43397601018438</v>
      </c>
      <c r="P178" s="59">
        <v>698.57281663880497</v>
      </c>
      <c r="R178" s="59">
        <v>602321.64434233063</v>
      </c>
      <c r="S178" s="59">
        <v>64270260.83725214</v>
      </c>
    </row>
    <row r="179" spans="2:19" x14ac:dyDescent="0.2">
      <c r="B179" s="59">
        <v>176</v>
      </c>
      <c r="C179" s="59">
        <v>39</v>
      </c>
      <c r="D179" s="59">
        <v>242.80773414730015</v>
      </c>
      <c r="E179" s="59">
        <v>1372.7882578462711</v>
      </c>
      <c r="F179" s="59">
        <v>1440.7002588202745</v>
      </c>
      <c r="G179" s="59">
        <v>1812.1203780429082</v>
      </c>
      <c r="H179" s="59">
        <v>3015.3075989931249</v>
      </c>
      <c r="J179" s="59">
        <v>115.06963694723954</v>
      </c>
      <c r="K179" s="59">
        <v>387.0449623292493</v>
      </c>
      <c r="L179" s="59">
        <v>164.93601918457824</v>
      </c>
      <c r="M179" s="59">
        <v>1193.2211954106667</v>
      </c>
      <c r="N179" s="59">
        <v>256.00395827839259</v>
      </c>
      <c r="P179" s="59">
        <v>697.46475969212838</v>
      </c>
      <c r="R179" s="59">
        <v>603173.98382711387</v>
      </c>
      <c r="S179" s="59">
        <v>64658940.210537605</v>
      </c>
    </row>
    <row r="180" spans="2:19" x14ac:dyDescent="0.2">
      <c r="B180" s="59">
        <v>177</v>
      </c>
      <c r="C180" s="59">
        <v>39</v>
      </c>
      <c r="D180" s="59">
        <v>240.39584398810365</v>
      </c>
      <c r="E180" s="59">
        <v>1365.1800385805243</v>
      </c>
      <c r="F180" s="59">
        <v>1435.7530446776991</v>
      </c>
      <c r="G180" s="59">
        <v>1808.6779949073882</v>
      </c>
      <c r="H180" s="59">
        <v>3018.9543476921713</v>
      </c>
      <c r="J180" s="59">
        <v>115.23866436432573</v>
      </c>
      <c r="K180" s="59">
        <v>388.38067172768382</v>
      </c>
      <c r="L180" s="59">
        <v>165.39998249313524</v>
      </c>
      <c r="M180" s="59">
        <v>1204.4478112354241</v>
      </c>
      <c r="N180" s="59">
        <v>257.57160033354955</v>
      </c>
      <c r="P180" s="59">
        <v>696.35460384355565</v>
      </c>
      <c r="R180" s="59">
        <v>604015.99086162064</v>
      </c>
      <c r="S180" s="59">
        <v>65047191.536546439</v>
      </c>
    </row>
    <row r="181" spans="2:19" x14ac:dyDescent="0.2">
      <c r="B181" s="59">
        <v>178</v>
      </c>
      <c r="C181" s="59">
        <v>39</v>
      </c>
      <c r="D181" s="59">
        <v>238.00791193782183</v>
      </c>
      <c r="E181" s="59">
        <v>1357.6035897790564</v>
      </c>
      <c r="F181" s="59">
        <v>1430.8023181126766</v>
      </c>
      <c r="G181" s="59">
        <v>1805.2200471043275</v>
      </c>
      <c r="H181" s="59">
        <v>3022.5510449768922</v>
      </c>
      <c r="J181" s="59">
        <v>115.40565426002412</v>
      </c>
      <c r="K181" s="59">
        <v>389.70643766686271</v>
      </c>
      <c r="L181" s="59">
        <v>165.86013276279303</v>
      </c>
      <c r="M181" s="59">
        <v>1215.7059666247887</v>
      </c>
      <c r="N181" s="59">
        <v>259.13689677476191</v>
      </c>
      <c r="P181" s="59">
        <v>695.24237027692823</v>
      </c>
      <c r="R181" s="59">
        <v>604847.69593263627</v>
      </c>
      <c r="S181" s="59">
        <v>65435007.927617095</v>
      </c>
    </row>
    <row r="182" spans="2:19" x14ac:dyDescent="0.2">
      <c r="B182" s="59">
        <v>179</v>
      </c>
      <c r="C182" s="59">
        <v>39</v>
      </c>
      <c r="D182" s="59">
        <v>235.64370001257279</v>
      </c>
      <c r="E182" s="59">
        <v>1350.0589141680557</v>
      </c>
      <c r="F182" s="59">
        <v>1425.8483399341642</v>
      </c>
      <c r="G182" s="59">
        <v>1801.7466528214766</v>
      </c>
      <c r="H182" s="59">
        <v>3026.0977706253402</v>
      </c>
      <c r="J182" s="59">
        <v>115.57061062198127</v>
      </c>
      <c r="K182" s="59">
        <v>391.02228728880709</v>
      </c>
      <c r="L182" s="59">
        <v>166.31648008770253</v>
      </c>
      <c r="M182" s="59">
        <v>1226.9954021900992</v>
      </c>
      <c r="N182" s="59">
        <v>260.69984224980533</v>
      </c>
      <c r="P182" s="59">
        <v>694.12808012340452</v>
      </c>
      <c r="R182" s="59">
        <v>605669.12937650294</v>
      </c>
      <c r="S182" s="59">
        <v>65822382.568977349</v>
      </c>
    </row>
    <row r="183" spans="2:19" x14ac:dyDescent="0.2">
      <c r="B183" s="59">
        <v>180</v>
      </c>
      <c r="C183" s="59">
        <v>40</v>
      </c>
      <c r="D183" s="59">
        <v>233.3029725924479</v>
      </c>
      <c r="E183" s="59">
        <v>1342.546012133557</v>
      </c>
      <c r="F183" s="59">
        <v>1420.8913683145249</v>
      </c>
      <c r="G183" s="59">
        <v>1798.2579316905267</v>
      </c>
      <c r="H183" s="59">
        <v>3029.5946051910714</v>
      </c>
      <c r="J183" s="59">
        <v>115.73353743966105</v>
      </c>
      <c r="K183" s="59">
        <v>392.32824749708601</v>
      </c>
      <c r="L183" s="59">
        <v>166.7690344704564</v>
      </c>
      <c r="M183" s="59">
        <v>1238.3158592156822</v>
      </c>
      <c r="N183" s="59">
        <v>262.26043145499136</v>
      </c>
      <c r="P183" s="59">
        <v>693.01175446171749</v>
      </c>
      <c r="Q183" s="59">
        <v>8316.1410535406103</v>
      </c>
      <c r="R183" s="59">
        <v>606480.32138378662</v>
      </c>
      <c r="S183" s="59">
        <v>66209308.718192711</v>
      </c>
    </row>
    <row r="184" spans="2:19" x14ac:dyDescent="0.2">
      <c r="B184" s="59">
        <v>181</v>
      </c>
      <c r="C184" s="59">
        <v>40</v>
      </c>
      <c r="D184" s="59">
        <v>230.97383124939995</v>
      </c>
      <c r="E184" s="59">
        <v>1334.9977544608896</v>
      </c>
      <c r="F184" s="59">
        <v>1415.8606142313856</v>
      </c>
      <c r="G184" s="59">
        <v>1794.6640918499356</v>
      </c>
      <c r="H184" s="59">
        <v>3032.8901502832746</v>
      </c>
      <c r="J184" s="59">
        <v>115.88865202846287</v>
      </c>
      <c r="K184" s="59">
        <v>393.60472854955401</v>
      </c>
      <c r="L184" s="59">
        <v>167.20946737320403</v>
      </c>
      <c r="M184" s="59">
        <v>1249.667079653397</v>
      </c>
      <c r="N184" s="59">
        <v>264.24363032050155</v>
      </c>
      <c r="P184" s="59">
        <v>691.85876373069857</v>
      </c>
      <c r="R184" s="59">
        <v>607250.97798779723</v>
      </c>
      <c r="S184" s="59">
        <v>66595760.406558983</v>
      </c>
    </row>
    <row r="185" spans="2:19" x14ac:dyDescent="0.2">
      <c r="B185" s="59">
        <v>182</v>
      </c>
      <c r="C185" s="59">
        <v>40</v>
      </c>
      <c r="D185" s="59">
        <v>228.66794250076012</v>
      </c>
      <c r="E185" s="59">
        <v>1327.4820157454324</v>
      </c>
      <c r="F185" s="59">
        <v>1410.8278747065158</v>
      </c>
      <c r="G185" s="59">
        <v>1791.0555234829351</v>
      </c>
      <c r="H185" s="59">
        <v>3036.1356306390066</v>
      </c>
      <c r="J185" s="59">
        <v>116.04136661310758</v>
      </c>
      <c r="K185" s="59">
        <v>394.87160731902543</v>
      </c>
      <c r="L185" s="59">
        <v>167.64608261539303</v>
      </c>
      <c r="M185" s="59">
        <v>1261.0482385563209</v>
      </c>
      <c r="N185" s="59">
        <v>266.22371782150765</v>
      </c>
      <c r="P185" s="59">
        <v>690.70389305922686</v>
      </c>
      <c r="R185" s="59">
        <v>608011.37453544722</v>
      </c>
      <c r="S185" s="59">
        <v>66981731.08105319</v>
      </c>
    </row>
    <row r="186" spans="2:19" x14ac:dyDescent="0.2">
      <c r="B186" s="59">
        <v>183</v>
      </c>
      <c r="C186" s="59">
        <v>40</v>
      </c>
      <c r="D186" s="59">
        <v>226.38507420812752</v>
      </c>
      <c r="E186" s="59">
        <v>1319.9987847696107</v>
      </c>
      <c r="F186" s="59">
        <v>1405.7934004002159</v>
      </c>
      <c r="G186" s="59">
        <v>1787.4323525475193</v>
      </c>
      <c r="H186" s="59">
        <v>3039.3311366835369</v>
      </c>
      <c r="J186" s="59">
        <v>116.19169217239892</v>
      </c>
      <c r="K186" s="59">
        <v>396.12890695116823</v>
      </c>
      <c r="L186" s="59">
        <v>168.07889051107929</v>
      </c>
      <c r="M186" s="59">
        <v>1272.4590740579949</v>
      </c>
      <c r="N186" s="59">
        <v>268.20068769835285</v>
      </c>
      <c r="P186" s="59">
        <v>689.54716380283799</v>
      </c>
      <c r="R186" s="59">
        <v>608761.54329882632</v>
      </c>
      <c r="S186" s="59">
        <v>67367214.2609642</v>
      </c>
    </row>
    <row r="187" spans="2:19" x14ac:dyDescent="0.2">
      <c r="B187" s="59">
        <v>184</v>
      </c>
      <c r="C187" s="59">
        <v>40</v>
      </c>
      <c r="D187" s="59">
        <v>224.12499655061637</v>
      </c>
      <c r="E187" s="59">
        <v>1312.5480481345755</v>
      </c>
      <c r="F187" s="59">
        <v>1400.7574393282384</v>
      </c>
      <c r="G187" s="59">
        <v>1783.7947062613009</v>
      </c>
      <c r="H187" s="59">
        <v>3042.4767596392512</v>
      </c>
      <c r="J187" s="59">
        <v>116.33963956788219</v>
      </c>
      <c r="K187" s="59">
        <v>397.37665041891847</v>
      </c>
      <c r="L187" s="59">
        <v>168.5079013037718</v>
      </c>
      <c r="M187" s="59">
        <v>1283.8993250415065</v>
      </c>
      <c r="N187" s="59">
        <v>270.17453375394308</v>
      </c>
      <c r="P187" s="59">
        <v>688.38859725706664</v>
      </c>
      <c r="R187" s="59">
        <v>609501.51639378548</v>
      </c>
      <c r="S187" s="59">
        <v>67752203.537331685</v>
      </c>
    </row>
    <row r="188" spans="2:19" x14ac:dyDescent="0.2">
      <c r="B188" s="59">
        <v>185</v>
      </c>
      <c r="C188" s="59">
        <v>40</v>
      </c>
      <c r="D188" s="59">
        <v>221.88748200171938</v>
      </c>
      <c r="E188" s="59">
        <v>1305.1297902987594</v>
      </c>
      <c r="F188" s="59">
        <v>1395.7202368733995</v>
      </c>
      <c r="G188" s="59">
        <v>1780.1427130625964</v>
      </c>
      <c r="H188" s="59">
        <v>3045.5725915341213</v>
      </c>
      <c r="J188" s="59">
        <v>116.48521954726297</v>
      </c>
      <c r="K188" s="59">
        <v>398.61486052675366</v>
      </c>
      <c r="L188" s="59">
        <v>168.93312516824605</v>
      </c>
      <c r="M188" s="59">
        <v>1295.3687311335884</v>
      </c>
      <c r="N188" s="59">
        <v>272.14524985355746</v>
      </c>
      <c r="P188" s="59">
        <v>687.22821465775246</v>
      </c>
      <c r="R188" s="59">
        <v>610231.32578437496</v>
      </c>
      <c r="S188" s="59">
        <v>68136692.572391495</v>
      </c>
    </row>
    <row r="189" spans="2:19" x14ac:dyDescent="0.2">
      <c r="B189" s="59">
        <v>186</v>
      </c>
      <c r="C189" s="59">
        <v>40</v>
      </c>
      <c r="D189" s="59">
        <v>219.67230530640222</v>
      </c>
      <c r="E189" s="59">
        <v>1297.7439936159235</v>
      </c>
      <c r="F189" s="59">
        <v>1390.6820357973445</v>
      </c>
      <c r="G189" s="59">
        <v>1776.4765025720108</v>
      </c>
      <c r="H189" s="59">
        <v>3048.6187252097593</v>
      </c>
      <c r="J189" s="59">
        <v>116.62844274774692</v>
      </c>
      <c r="K189" s="59">
        <v>399.84355991493572</v>
      </c>
      <c r="L189" s="59">
        <v>169.35457221234594</v>
      </c>
      <c r="M189" s="59">
        <v>1306.8670326988749</v>
      </c>
      <c r="N189" s="59">
        <v>274.1128299246605</v>
      </c>
      <c r="P189" s="59">
        <v>686.06603718133636</v>
      </c>
      <c r="R189" s="59">
        <v>610951.00328722247</v>
      </c>
      <c r="S189" s="59">
        <v>68520675.099027231</v>
      </c>
    </row>
    <row r="190" spans="2:19" x14ac:dyDescent="0.2">
      <c r="B190" s="59">
        <v>187</v>
      </c>
      <c r="C190" s="59">
        <v>40</v>
      </c>
      <c r="D190" s="59">
        <v>217.47924345842665</v>
      </c>
      <c r="E190" s="59">
        <v>1290.3906383727044</v>
      </c>
      <c r="F190" s="59">
        <v>1385.6430762524644</v>
      </c>
      <c r="G190" s="59">
        <v>1772.7962055545213</v>
      </c>
      <c r="H190" s="59">
        <v>3051.6152543290632</v>
      </c>
      <c r="J190" s="59">
        <v>116.76931969930216</v>
      </c>
      <c r="K190" s="59">
        <v>401.06277106372215</v>
      </c>
      <c r="L190" s="59">
        <v>169.77225247877368</v>
      </c>
      <c r="M190" s="59">
        <v>1318.3939708343112</v>
      </c>
      <c r="N190" s="59">
        <v>276.07726795671499</v>
      </c>
      <c r="P190" s="59">
        <v>684.90208594514445</v>
      </c>
      <c r="R190" s="59">
        <v>611660.58057585056</v>
      </c>
      <c r="S190" s="59">
        <v>68904144.920228049</v>
      </c>
    </row>
    <row r="191" spans="2:19" x14ac:dyDescent="0.2">
      <c r="B191" s="59">
        <v>188</v>
      </c>
      <c r="C191" s="59">
        <v>40</v>
      </c>
      <c r="D191" s="59">
        <v>215.30807567790004</v>
      </c>
      <c r="E191" s="59">
        <v>1283.0697028256639</v>
      </c>
      <c r="F191" s="59">
        <v>1380.6035957939541</v>
      </c>
      <c r="G191" s="59">
        <v>1769.1019538820563</v>
      </c>
      <c r="H191" s="59">
        <v>3054.5622733834603</v>
      </c>
      <c r="J191" s="59">
        <v>116.90786082784577</v>
      </c>
      <c r="K191" s="59">
        <v>402.27251629754534</v>
      </c>
      <c r="L191" s="59">
        <v>170.18617594686665</v>
      </c>
      <c r="M191" s="59">
        <v>1329.949287363715</v>
      </c>
      <c r="N191" s="59">
        <v>278.03855800099711</v>
      </c>
      <c r="P191" s="59">
        <v>683.73638200766311</v>
      </c>
      <c r="R191" s="59">
        <v>612360.08918493276</v>
      </c>
      <c r="S191" s="59">
        <v>69287095.908552513</v>
      </c>
    </row>
    <row r="192" spans="2:19" x14ac:dyDescent="0.2">
      <c r="B192" s="59">
        <v>189</v>
      </c>
      <c r="C192" s="59">
        <v>40</v>
      </c>
      <c r="D192" s="59">
        <v>213.158583389049</v>
      </c>
      <c r="E192" s="59">
        <v>1275.7811632378489</v>
      </c>
      <c r="F192" s="59">
        <v>1375.563829392011</v>
      </c>
      <c r="G192" s="59">
        <v>1765.3938804965635</v>
      </c>
      <c r="H192" s="59">
        <v>3057.4598776997536</v>
      </c>
      <c r="J192" s="59">
        <v>117.04407645835579</v>
      </c>
      <c r="K192" s="59">
        <v>403.47281778915902</v>
      </c>
      <c r="L192" s="59">
        <v>170.59635253436096</v>
      </c>
      <c r="M192" s="59">
        <v>1341.5327248324904</v>
      </c>
      <c r="N192" s="59">
        <v>279.99669417041201</v>
      </c>
      <c r="P192" s="59">
        <v>682.56894636880236</v>
      </c>
      <c r="R192" s="59">
        <v>613049.56051448942</v>
      </c>
      <c r="S192" s="59">
        <v>69669522.005598411</v>
      </c>
    </row>
    <row r="193" spans="2:19" x14ac:dyDescent="0.2">
      <c r="B193" s="59">
        <v>190</v>
      </c>
      <c r="C193" s="59">
        <v>40</v>
      </c>
      <c r="D193" s="59">
        <v>211.030550198215</v>
      </c>
      <c r="E193" s="59">
        <v>1268.5249939148684</v>
      </c>
      <c r="F193" s="59">
        <v>1370.5240094441676</v>
      </c>
      <c r="G193" s="59">
        <v>1761.6721193735677</v>
      </c>
      <c r="H193" s="59">
        <v>3060.3081634465834</v>
      </c>
      <c r="J193" s="59">
        <v>117.17797681791029</v>
      </c>
      <c r="K193" s="59">
        <v>404.66369756375116</v>
      </c>
      <c r="L193" s="59">
        <v>171.00279209914089</v>
      </c>
      <c r="M193" s="59">
        <v>1353.1440265024887</v>
      </c>
      <c r="N193" s="59">
        <v>281.95167063931137</v>
      </c>
      <c r="P193" s="59">
        <v>681.39979997014984</v>
      </c>
      <c r="R193" s="59">
        <v>613729.02583402174</v>
      </c>
      <c r="S193" s="59">
        <v>70051417.221478447</v>
      </c>
    </row>
    <row r="194" spans="2:19" x14ac:dyDescent="0.2">
      <c r="B194" s="59">
        <v>191</v>
      </c>
      <c r="C194" s="59">
        <v>40</v>
      </c>
      <c r="D194" s="59">
        <v>208.92376187206949</v>
      </c>
      <c r="E194" s="59">
        <v>1261.3011672404905</v>
      </c>
      <c r="F194" s="59">
        <v>1365.4843657877527</v>
      </c>
      <c r="G194" s="59">
        <v>1757.9368054862111</v>
      </c>
      <c r="H194" s="59">
        <v>3063.1072276405012</v>
      </c>
      <c r="J194" s="59">
        <v>117.30957203865479</v>
      </c>
      <c r="K194" s="59">
        <v>405.84517750302291</v>
      </c>
      <c r="L194" s="59">
        <v>171.40550444097374</v>
      </c>
      <c r="M194" s="59">
        <v>1364.7829363470164</v>
      </c>
      <c r="N194" s="59">
        <v>283.90348164331164</v>
      </c>
      <c r="P194" s="59">
        <v>680.2289636952147</v>
      </c>
      <c r="R194" s="59">
        <v>614398.51628658618</v>
      </c>
      <c r="S194" s="59">
        <v>70432775.634301737</v>
      </c>
    </row>
    <row r="195" spans="2:19" x14ac:dyDescent="0.2">
      <c r="B195" s="59">
        <v>192</v>
      </c>
      <c r="C195" s="59">
        <v>41</v>
      </c>
      <c r="D195" s="59">
        <v>206.83800631604666</v>
      </c>
      <c r="E195" s="59">
        <v>1254.1096537117669</v>
      </c>
      <c r="F195" s="59">
        <v>1360.4451257124781</v>
      </c>
      <c r="G195" s="59">
        <v>1754.1880747697751</v>
      </c>
      <c r="H195" s="59">
        <v>3065.8571681516728</v>
      </c>
      <c r="J195" s="59">
        <v>117.44477305135219</v>
      </c>
      <c r="K195" s="59">
        <v>407.01137845858011</v>
      </c>
      <c r="L195" s="59">
        <v>171.80449930322962</v>
      </c>
      <c r="M195" s="59">
        <v>1376.449199045989</v>
      </c>
      <c r="N195" s="59">
        <v>285.85212147911386</v>
      </c>
      <c r="P195" s="59">
        <v>679.05645836966107</v>
      </c>
      <c r="Q195" s="59">
        <v>8148.6775004359342</v>
      </c>
      <c r="R195" s="59">
        <v>615058.06289280707</v>
      </c>
      <c r="S195" s="59">
        <v>70813591.389660999</v>
      </c>
    </row>
    <row r="196" spans="2:19" x14ac:dyDescent="0.2">
      <c r="B196" s="59">
        <v>193</v>
      </c>
      <c r="C196" s="59">
        <v>41</v>
      </c>
      <c r="D196" s="59">
        <v>204.77307355299146</v>
      </c>
      <c r="E196" s="59">
        <v>1246.9504219736905</v>
      </c>
      <c r="F196" s="59">
        <v>1355.4065139731454</v>
      </c>
      <c r="G196" s="59">
        <v>1750.4260640866792</v>
      </c>
      <c r="H196" s="59">
        <v>3068.5580837092089</v>
      </c>
      <c r="J196" s="59">
        <v>117.57757142298397</v>
      </c>
      <c r="K196" s="59">
        <v>408.16830599930705</v>
      </c>
      <c r="L196" s="59">
        <v>172.1997863745855</v>
      </c>
      <c r="M196" s="59">
        <v>1388.1425944030877</v>
      </c>
      <c r="N196" s="59">
        <v>287.79758450432467</v>
      </c>
      <c r="P196" s="59">
        <v>677.88230244953149</v>
      </c>
      <c r="R196" s="59">
        <v>615707.68095885625</v>
      </c>
      <c r="S196" s="59">
        <v>71193858.690493107</v>
      </c>
    </row>
    <row r="197" spans="2:19" x14ac:dyDescent="0.2">
      <c r="B197" s="59">
        <v>194</v>
      </c>
      <c r="C197" s="59">
        <v>41</v>
      </c>
      <c r="D197" s="59">
        <v>202.72875570202078</v>
      </c>
      <c r="E197" s="59">
        <v>1239.8234388533913</v>
      </c>
      <c r="F197" s="59">
        <v>1350.368752802467</v>
      </c>
      <c r="G197" s="59">
        <v>1746.6509111919524</v>
      </c>
      <c r="H197" s="59">
        <v>3071.2100739061325</v>
      </c>
      <c r="J197" s="59">
        <v>117.70834724944679</v>
      </c>
      <c r="K197" s="59">
        <v>409.31561257886551</v>
      </c>
      <c r="L197" s="59">
        <v>172.59137509565616</v>
      </c>
      <c r="M197" s="59">
        <v>1399.8628674908255</v>
      </c>
      <c r="N197" s="59">
        <v>289.73986512924631</v>
      </c>
      <c r="P197" s="59">
        <v>676.70651671872054</v>
      </c>
      <c r="R197" s="59">
        <v>616347.40165788587</v>
      </c>
      <c r="S197" s="59">
        <v>71573571.806519195</v>
      </c>
    </row>
    <row r="198" spans="2:19" x14ac:dyDescent="0.2">
      <c r="B198" s="59">
        <v>195</v>
      </c>
      <c r="C198" s="59">
        <v>41</v>
      </c>
      <c r="D198" s="59">
        <v>200.70484695759561</v>
      </c>
      <c r="E198" s="59">
        <v>1232.7286693938754</v>
      </c>
      <c r="F198" s="59">
        <v>1345.3320619240001</v>
      </c>
      <c r="G198" s="59">
        <v>1742.8627546991768</v>
      </c>
      <c r="H198" s="59">
        <v>3073.8132392039911</v>
      </c>
      <c r="J198" s="59">
        <v>117.83710570880962</v>
      </c>
      <c r="K198" s="59">
        <v>410.45332317935788</v>
      </c>
      <c r="L198" s="59">
        <v>172.97927486956434</v>
      </c>
      <c r="M198" s="59">
        <v>1411.6097662386653</v>
      </c>
      <c r="N198" s="59">
        <v>291.67895782496828</v>
      </c>
      <c r="P198" s="59">
        <v>675.52912175819392</v>
      </c>
      <c r="R198" s="59">
        <v>616977.255076956</v>
      </c>
      <c r="S198" s="59">
        <v>71952725.073146284</v>
      </c>
    </row>
    <row r="199" spans="2:19" x14ac:dyDescent="0.2">
      <c r="B199" s="59">
        <v>196</v>
      </c>
      <c r="C199" s="59">
        <v>41</v>
      </c>
      <c r="D199" s="59">
        <v>198.70114356880228</v>
      </c>
      <c r="E199" s="59">
        <v>1225.6660768873135</v>
      </c>
      <c r="F199" s="59">
        <v>1340.2966585651843</v>
      </c>
      <c r="G199" s="59">
        <v>1739.061734046895</v>
      </c>
      <c r="H199" s="59">
        <v>3076.3676809371177</v>
      </c>
      <c r="J199" s="59">
        <v>117.96385197696803</v>
      </c>
      <c r="K199" s="59">
        <v>411.58146262191462</v>
      </c>
      <c r="L199" s="59">
        <v>173.36349505075705</v>
      </c>
      <c r="M199" s="59">
        <v>1423.3830392223649</v>
      </c>
      <c r="N199" s="59">
        <v>293.61485712268677</v>
      </c>
      <c r="P199" s="59">
        <v>674.35013809474867</v>
      </c>
      <c r="R199" s="59">
        <v>617597.27121582383</v>
      </c>
      <c r="S199" s="59">
        <v>72331312.890991643</v>
      </c>
    </row>
    <row r="200" spans="2:19" x14ac:dyDescent="0.2">
      <c r="B200" s="59">
        <v>197</v>
      </c>
      <c r="C200" s="59">
        <v>41</v>
      </c>
      <c r="D200" s="59">
        <v>196.71744381884039</v>
      </c>
      <c r="E200" s="59">
        <v>1218.6356229078838</v>
      </c>
      <c r="F200" s="59">
        <v>1335.2627574704857</v>
      </c>
      <c r="G200" s="59">
        <v>1735.2479894654825</v>
      </c>
      <c r="H200" s="59">
        <v>3078.8735013165469</v>
      </c>
      <c r="J200" s="59">
        <v>118.0885912285909</v>
      </c>
      <c r="K200" s="59">
        <v>412.70005557108209</v>
      </c>
      <c r="L200" s="59">
        <v>173.74404494684273</v>
      </c>
      <c r="M200" s="59">
        <v>1435.1824356607096</v>
      </c>
      <c r="N200" s="59">
        <v>295.5475576135396</v>
      </c>
      <c r="P200" s="59">
        <v>673.16958620113519</v>
      </c>
      <c r="R200" s="59">
        <v>618207.47999032342</v>
      </c>
      <c r="S200" s="59">
        <v>72709329.725412041</v>
      </c>
    </row>
    <row r="201" spans="2:19" x14ac:dyDescent="0.2">
      <c r="B201" s="59">
        <v>198</v>
      </c>
      <c r="C201" s="59">
        <v>41</v>
      </c>
      <c r="D201" s="59">
        <v>194.75354800471564</v>
      </c>
      <c r="E201" s="59">
        <v>1211.6372673441747</v>
      </c>
      <c r="F201" s="59">
        <v>1330.2305709146351</v>
      </c>
      <c r="G201" s="59">
        <v>1731.4216619444792</v>
      </c>
      <c r="H201" s="59">
        <v>3081.3308034335914</v>
      </c>
      <c r="J201" s="59">
        <v>118.21132863803925</v>
      </c>
      <c r="K201" s="59">
        <v>413.80912653916408</v>
      </c>
      <c r="L201" s="59">
        <v>174.12093382039743</v>
      </c>
      <c r="M201" s="59">
        <v>1447.0077054123651</v>
      </c>
      <c r="N201" s="59">
        <v>297.47705394844229</v>
      </c>
      <c r="P201" s="59">
        <v>671.98748649617141</v>
      </c>
      <c r="R201" s="59">
        <v>618807.9112356879</v>
      </c>
      <c r="S201" s="59">
        <v>73086770.106037796</v>
      </c>
    </row>
    <row r="202" spans="2:19" x14ac:dyDescent="0.2">
      <c r="B202" s="59">
        <v>199</v>
      </c>
      <c r="C202" s="59">
        <v>41</v>
      </c>
      <c r="D202" s="59">
        <v>192.80925841713523</v>
      </c>
      <c r="E202" s="59">
        <v>1204.6709684311525</v>
      </c>
      <c r="F202" s="59">
        <v>1325.2003087159633</v>
      </c>
      <c r="G202" s="59">
        <v>1727.5828932003751</v>
      </c>
      <c r="H202" s="59">
        <v>3083.7396912630884</v>
      </c>
      <c r="J202" s="59">
        <v>118.33206938025768</v>
      </c>
      <c r="K202" s="59">
        <v>414.90869989051686</v>
      </c>
      <c r="L202" s="59">
        <v>174.49417089074021</v>
      </c>
      <c r="M202" s="59">
        <v>1458.8585989728501</v>
      </c>
      <c r="N202" s="59">
        <v>299.40334083792476</v>
      </c>
      <c r="P202" s="59">
        <v>670.80385934485025</v>
      </c>
      <c r="R202" s="59">
        <v>619398.59470981138</v>
      </c>
      <c r="S202" s="59">
        <v>73463628.626311466</v>
      </c>
    </row>
    <row r="203" spans="2:19" x14ac:dyDescent="0.2">
      <c r="B203" s="59">
        <v>200</v>
      </c>
      <c r="C203" s="59">
        <v>41</v>
      </c>
      <c r="D203" s="59">
        <v>190.88437932060415</v>
      </c>
      <c r="E203" s="59">
        <v>1197.7366827816982</v>
      </c>
      <c r="F203" s="59">
        <v>1320.1721782498239</v>
      </c>
      <c r="G203" s="59">
        <v>1723.7318256448511</v>
      </c>
      <c r="H203" s="59">
        <v>3086.1002696663186</v>
      </c>
      <c r="J203" s="59">
        <v>118.45081863163925</v>
      </c>
      <c r="K203" s="59">
        <v>415.99879984579735</v>
      </c>
      <c r="L203" s="59">
        <v>174.86376533567818</v>
      </c>
      <c r="M203" s="59">
        <v>1470.7348674716243</v>
      </c>
      <c r="N203" s="59">
        <v>301.32641305196893</v>
      </c>
      <c r="P203" s="59">
        <v>669.6187250584386</v>
      </c>
      <c r="R203" s="59">
        <v>619979.56009645283</v>
      </c>
      <c r="S203" s="59">
        <v>73839899.943031266</v>
      </c>
    </row>
    <row r="204" spans="2:19" x14ac:dyDescent="0.2">
      <c r="B204" s="59">
        <v>201</v>
      </c>
      <c r="C204" s="59">
        <v>41</v>
      </c>
      <c r="D204" s="59">
        <v>188.97871693372014</v>
      </c>
      <c r="E204" s="59">
        <v>1190.8343654177213</v>
      </c>
      <c r="F204" s="59">
        <v>1315.1463844621044</v>
      </c>
      <c r="G204" s="59">
        <v>1719.8686023534653</v>
      </c>
      <c r="H204" s="59">
        <v>3088.4126443936038</v>
      </c>
      <c r="J204" s="59">
        <v>118.56758157086385</v>
      </c>
      <c r="K204" s="59">
        <v>417.07945048616409</v>
      </c>
      <c r="L204" s="59">
        <v>175.22972629322149</v>
      </c>
      <c r="M204" s="59">
        <v>1482.6362626692928</v>
      </c>
      <c r="N204" s="59">
        <v>303.24626541984674</v>
      </c>
      <c r="P204" s="59">
        <v>668.43210389457033</v>
      </c>
      <c r="R204" s="59">
        <v>620550.83700838173</v>
      </c>
      <c r="S204" s="59">
        <v>74215578.775898978</v>
      </c>
    </row>
    <row r="205" spans="2:19" x14ac:dyDescent="0.2">
      <c r="B205" s="59">
        <v>202</v>
      </c>
      <c r="C205" s="59">
        <v>41</v>
      </c>
      <c r="D205" s="59">
        <v>187.09207940966516</v>
      </c>
      <c r="E205" s="59">
        <v>1183.9639698008521</v>
      </c>
      <c r="F205" s="59">
        <v>1310.1231298828177</v>
      </c>
      <c r="G205" s="59">
        <v>1715.9933670347871</v>
      </c>
      <c r="H205" s="59">
        <v>3090.6769220865904</v>
      </c>
      <c r="J205" s="59">
        <v>118.68236337971078</v>
      </c>
      <c r="K205" s="59">
        <v>418.15067575743092</v>
      </c>
      <c r="L205" s="59">
        <v>175.5920628632683</v>
      </c>
      <c r="M205" s="59">
        <v>1494.5625369549223</v>
      </c>
      <c r="N205" s="59">
        <v>305.16289282995928</v>
      </c>
      <c r="P205" s="59">
        <v>667.24401605733135</v>
      </c>
      <c r="R205" s="59">
        <v>621112.45499046578</v>
      </c>
      <c r="S205" s="59">
        <v>74590659.907072335</v>
      </c>
    </row>
    <row r="206" spans="2:19" x14ac:dyDescent="0.2">
      <c r="B206" s="59">
        <v>203</v>
      </c>
      <c r="C206" s="59">
        <v>41</v>
      </c>
      <c r="D206" s="59">
        <v>185.224276816892</v>
      </c>
      <c r="E206" s="59">
        <v>1177.12544786272</v>
      </c>
      <c r="F206" s="59">
        <v>1305.1026146397728</v>
      </c>
      <c r="G206" s="59">
        <v>1712.1062639999709</v>
      </c>
      <c r="H206" s="59">
        <v>3092.8932102802241</v>
      </c>
      <c r="J206" s="59">
        <v>118.79516924384593</v>
      </c>
      <c r="K206" s="59">
        <v>419.21249947417306</v>
      </c>
      <c r="L206" s="59">
        <v>175.95078410926038</v>
      </c>
      <c r="M206" s="59">
        <v>1506.5134433434685</v>
      </c>
      <c r="N206" s="59">
        <v>307.07629022967615</v>
      </c>
      <c r="P206" s="59">
        <v>666.05448169733825</v>
      </c>
      <c r="R206" s="59">
        <v>621664.4435227022</v>
      </c>
      <c r="S206" s="59">
        <v>74965138.180721834</v>
      </c>
    </row>
    <row r="207" spans="2:19" x14ac:dyDescent="0.2">
      <c r="B207" s="59">
        <v>204</v>
      </c>
      <c r="C207" s="59">
        <v>42</v>
      </c>
      <c r="D207" s="59">
        <v>183.37512112000337</v>
      </c>
      <c r="E207" s="59">
        <v>1170.3187500348224</v>
      </c>
      <c r="F207" s="59">
        <v>1300.0850364723201</v>
      </c>
      <c r="G207" s="59">
        <v>1708.2074381327689</v>
      </c>
      <c r="H207" s="59">
        <v>3095.0616174044208</v>
      </c>
      <c r="J207" s="59">
        <v>118.90600435358411</v>
      </c>
      <c r="K207" s="59">
        <v>420.26494532378535</v>
      </c>
      <c r="L207" s="59">
        <v>176.30589905980941</v>
      </c>
      <c r="M207" s="59">
        <v>1518.4887354733137</v>
      </c>
      <c r="N207" s="59">
        <v>308.98645262517579</v>
      </c>
      <c r="P207" s="59">
        <v>664.86352091181004</v>
      </c>
      <c r="Q207" s="59">
        <v>7978.3622509417219</v>
      </c>
      <c r="R207" s="59">
        <v>622206.83202319127</v>
      </c>
      <c r="S207" s="59">
        <v>75339008.502591863</v>
      </c>
    </row>
    <row r="208" spans="2:19" x14ac:dyDescent="0.2">
      <c r="B208" s="59">
        <v>205</v>
      </c>
      <c r="C208" s="59">
        <v>42</v>
      </c>
      <c r="D208" s="59">
        <v>181.54442616082201</v>
      </c>
      <c r="E208" s="59">
        <v>1163.5438252779877</v>
      </c>
      <c r="F208" s="59">
        <v>1295.0705907451668</v>
      </c>
      <c r="G208" s="59">
        <v>1704.2970348599777</v>
      </c>
      <c r="H208" s="59">
        <v>3097.1822527854401</v>
      </c>
      <c r="J208" s="59">
        <v>119.01487390462678</v>
      </c>
      <c r="K208" s="59">
        <v>421.30803687049257</v>
      </c>
      <c r="L208" s="59">
        <v>176.65741671029414</v>
      </c>
      <c r="M208" s="59">
        <v>1530.4881676039099</v>
      </c>
      <c r="N208" s="59">
        <v>310.89337508128614</v>
      </c>
      <c r="P208" s="59">
        <v>663.67115374463378</v>
      </c>
      <c r="R208" s="59">
        <v>622739.64985105395</v>
      </c>
      <c r="S208" s="59">
        <v>75712265.839566052</v>
      </c>
    </row>
    <row r="209" spans="2:19" x14ac:dyDescent="0.2">
      <c r="B209" s="59">
        <v>206</v>
      </c>
      <c r="C209" s="59">
        <v>42</v>
      </c>
      <c r="D209" s="59">
        <v>179.73200763964979</v>
      </c>
      <c r="E209" s="59">
        <v>1156.8006211114384</v>
      </c>
      <c r="F209" s="59">
        <v>1290.0594704622604</v>
      </c>
      <c r="G209" s="59">
        <v>1700.3752001223156</v>
      </c>
      <c r="H209" s="59">
        <v>3099.2552266469675</v>
      </c>
      <c r="J209" s="59">
        <v>119.12178309877588</v>
      </c>
      <c r="K209" s="59">
        <v>422.34179755931149</v>
      </c>
      <c r="L209" s="59">
        <v>177.00534602442914</v>
      </c>
      <c r="M209" s="59">
        <v>1542.5114946135293</v>
      </c>
      <c r="N209" s="59">
        <v>312.79705272132628</v>
      </c>
      <c r="P209" s="59">
        <v>662.47740018642241</v>
      </c>
      <c r="R209" s="59">
        <v>623262.92630929383</v>
      </c>
      <c r="S209" s="59">
        <v>76084905.219236836</v>
      </c>
    </row>
    <row r="210" spans="2:19" x14ac:dyDescent="0.2">
      <c r="B210" s="59">
        <v>207</v>
      </c>
      <c r="C210" s="59">
        <v>42</v>
      </c>
      <c r="D210" s="59">
        <v>177.93768309671395</v>
      </c>
      <c r="E210" s="59">
        <v>1150.0890836414596</v>
      </c>
      <c r="F210" s="59">
        <v>1285.051866280736</v>
      </c>
      <c r="G210" s="59">
        <v>1696.4420803457274</v>
      </c>
      <c r="H210" s="59">
        <v>3101.280650110908</v>
      </c>
      <c r="J210" s="59">
        <v>119.226737144624</v>
      </c>
      <c r="K210" s="59">
        <v>423.36625071996497</v>
      </c>
      <c r="L210" s="59">
        <v>177.34969593580479</v>
      </c>
      <c r="M210" s="59">
        <v>1554.5584719971168</v>
      </c>
      <c r="N210" s="59">
        <v>314.69748072694819</v>
      </c>
      <c r="P210" s="59">
        <v>661.28228017456831</v>
      </c>
      <c r="R210" s="59">
        <v>623776.69064760359</v>
      </c>
      <c r="S210" s="59">
        <v>76456921.729479149</v>
      </c>
    </row>
    <row r="211" spans="2:19" x14ac:dyDescent="0.2">
      <c r="B211" s="59">
        <v>208</v>
      </c>
      <c r="C211" s="59">
        <v>42</v>
      </c>
      <c r="D211" s="59">
        <v>176.16127189379841</v>
      </c>
      <c r="E211" s="59">
        <v>1143.4091575896759</v>
      </c>
      <c r="F211" s="59">
        <v>1280.0479665249236</v>
      </c>
      <c r="G211" s="59">
        <v>1692.4978224131121</v>
      </c>
      <c r="H211" s="59">
        <v>3103.2586351979012</v>
      </c>
      <c r="J211" s="59">
        <v>119.3297412582214</v>
      </c>
      <c r="K211" s="59">
        <v>424.38141957074714</v>
      </c>
      <c r="L211" s="59">
        <v>177.69047534939943</v>
      </c>
      <c r="M211" s="59">
        <v>1566.6288558642457</v>
      </c>
      <c r="N211" s="59">
        <v>316.59465433797925</v>
      </c>
      <c r="P211" s="59">
        <v>660.08581359328866</v>
      </c>
      <c r="R211" s="59">
        <v>624280.97206511593</v>
      </c>
      <c r="S211" s="59">
        <v>76828310.518028095</v>
      </c>
    </row>
    <row r="212" spans="2:19" x14ac:dyDescent="0.2">
      <c r="B212" s="59">
        <v>209</v>
      </c>
      <c r="C212" s="59">
        <v>42</v>
      </c>
      <c r="D212" s="59">
        <v>174.40259519605866</v>
      </c>
      <c r="E212" s="59">
        <v>1136.7607863209428</v>
      </c>
      <c r="F212" s="59">
        <v>1275.0479572004122</v>
      </c>
      <c r="G212" s="59">
        <v>1688.5425736364716</v>
      </c>
      <c r="H212" s="59">
        <v>3105.1892948275577</v>
      </c>
      <c r="J212" s="59">
        <v>119.43080066372035</v>
      </c>
      <c r="K212" s="59">
        <v>425.38732722234045</v>
      </c>
      <c r="L212" s="59">
        <v>178.02769314306349</v>
      </c>
      <c r="M212" s="59">
        <v>1578.7224029371719</v>
      </c>
      <c r="N212" s="59">
        <v>318.48856885226536</v>
      </c>
      <c r="P212" s="59">
        <v>658.88802027366626</v>
      </c>
      <c r="R212" s="59">
        <v>624775.79971310054</v>
      </c>
      <c r="S212" s="59">
        <v>77199066.792060629</v>
      </c>
    </row>
    <row r="213" spans="2:19" x14ac:dyDescent="0.2">
      <c r="B213" s="59">
        <v>210</v>
      </c>
      <c r="C213" s="59">
        <v>42</v>
      </c>
      <c r="D213" s="59">
        <v>172.66147595401802</v>
      </c>
      <c r="E213" s="59">
        <v>1130.1439118708561</v>
      </c>
      <c r="F213" s="59">
        <v>1270.052022008168</v>
      </c>
      <c r="G213" s="59">
        <v>1684.5764817294746</v>
      </c>
      <c r="H213" s="59">
        <v>3107.0727428184287</v>
      </c>
      <c r="J213" s="59">
        <v>119.5299205939971</v>
      </c>
      <c r="K213" s="59">
        <v>426.38399668158388</v>
      </c>
      <c r="L213" s="59">
        <v>178.36135816897593</v>
      </c>
      <c r="M213" s="59">
        <v>1590.8388705489874</v>
      </c>
      <c r="N213" s="59">
        <v>320.37921962551445</v>
      </c>
      <c r="P213" s="59">
        <v>657.68891999368327</v>
      </c>
      <c r="R213" s="59">
        <v>625261.20269760722</v>
      </c>
      <c r="S213" s="59">
        <v>77569185.817781121</v>
      </c>
    </row>
    <row r="214" spans="2:19" x14ac:dyDescent="0.2">
      <c r="B214" s="59">
        <v>211</v>
      </c>
      <c r="C214" s="59">
        <v>42</v>
      </c>
      <c r="D214" s="59">
        <v>170.93773888574373</v>
      </c>
      <c r="E214" s="59">
        <v>1123.558474972886</v>
      </c>
      <c r="F214" s="59">
        <v>1265.0603423587031</v>
      </c>
      <c r="G214" s="59">
        <v>1680.5996947804344</v>
      </c>
      <c r="H214" s="59">
        <v>3108.909093887708</v>
      </c>
      <c r="J214" s="59">
        <v>119.62710629125199</v>
      </c>
      <c r="K214" s="59">
        <v>427.37145085519256</v>
      </c>
      <c r="L214" s="59">
        <v>178.69147925507357</v>
      </c>
      <c r="M214" s="59">
        <v>1602.9780166418705</v>
      </c>
      <c r="N214" s="59">
        <v>322.26660207114043</v>
      </c>
      <c r="P214" s="59">
        <v>656.48853247825048</v>
      </c>
      <c r="R214" s="59">
        <v>625737.21008205437</v>
      </c>
      <c r="S214" s="59">
        <v>77938662.92001079</v>
      </c>
    </row>
    <row r="215" spans="2:19" x14ac:dyDescent="0.2">
      <c r="B215" s="59">
        <v>212</v>
      </c>
      <c r="C215" s="59">
        <v>42</v>
      </c>
      <c r="D215" s="59">
        <v>169.23121045920107</v>
      </c>
      <c r="E215" s="59">
        <v>1117.004415085137</v>
      </c>
      <c r="F215" s="59">
        <v>1260.0730973862903</v>
      </c>
      <c r="G215" s="59">
        <v>1676.6123612256952</v>
      </c>
      <c r="H215" s="59">
        <v>3110.6984636506745</v>
      </c>
      <c r="J215" s="59">
        <v>119.72236300758804</v>
      </c>
      <c r="K215" s="59">
        <v>428.34971255342839</v>
      </c>
      <c r="L215" s="59">
        <v>179.0180652064532</v>
      </c>
      <c r="M215" s="59">
        <v>1615.1395997654292</v>
      </c>
      <c r="N215" s="59">
        <v>324.15071166010739</v>
      </c>
      <c r="P215" s="59">
        <v>655.2868773992293</v>
      </c>
      <c r="R215" s="59">
        <v>626203.85088976542</v>
      </c>
      <c r="S215" s="59">
        <v>78307493.481780902</v>
      </c>
    </row>
    <row r="216" spans="2:19" x14ac:dyDescent="0.2">
      <c r="B216" s="59">
        <v>213</v>
      </c>
      <c r="C216" s="59">
        <v>42</v>
      </c>
      <c r="D216" s="59">
        <v>167.54171887478338</v>
      </c>
      <c r="E216" s="59">
        <v>1110.4816704167413</v>
      </c>
      <c r="F216" s="59">
        <v>1255.0904639632238</v>
      </c>
      <c r="G216" s="59">
        <v>1672.6146298234237</v>
      </c>
      <c r="H216" s="59">
        <v>3112.4409686198806</v>
      </c>
      <c r="J216" s="59">
        <v>119.81569600556853</v>
      </c>
      <c r="K216" s="59">
        <v>429.31880449372221</v>
      </c>
      <c r="L216" s="59">
        <v>179.34112480674696</v>
      </c>
      <c r="M216" s="59">
        <v>1627.3233790751392</v>
      </c>
      <c r="N216" s="59">
        <v>326.03154392077477</v>
      </c>
      <c r="P216" s="59">
        <v>654.08397437545</v>
      </c>
      <c r="R216" s="59">
        <v>626661.15410645236</v>
      </c>
      <c r="S216" s="59">
        <v>78675672.943929613</v>
      </c>
    </row>
    <row r="217" spans="2:19" x14ac:dyDescent="0.2">
      <c r="B217" s="59">
        <v>214</v>
      </c>
      <c r="C217" s="59">
        <v>42</v>
      </c>
      <c r="D217" s="59">
        <v>165.86909404801679</v>
      </c>
      <c r="E217" s="59">
        <v>1103.990177953888</v>
      </c>
      <c r="F217" s="59">
        <v>1250.1126167141188</v>
      </c>
      <c r="G217" s="59">
        <v>1668.606649627804</v>
      </c>
      <c r="H217" s="59">
        <v>3114.1367262040912</v>
      </c>
      <c r="J217" s="59">
        <v>119.90711055875374</v>
      </c>
      <c r="K217" s="59">
        <v>430.27874930424662</v>
      </c>
      <c r="L217" s="59">
        <v>179.66066681947115</v>
      </c>
      <c r="M217" s="59">
        <v>1639.5291143308718</v>
      </c>
      <c r="N217" s="59">
        <v>327.90909443874239</v>
      </c>
      <c r="P217" s="59">
        <v>652.87984297272305</v>
      </c>
      <c r="R217" s="59">
        <v>627109.14868264599</v>
      </c>
      <c r="S217" s="59">
        <v>79043196.804702565</v>
      </c>
    </row>
    <row r="218" spans="2:19" x14ac:dyDescent="0.2">
      <c r="B218" s="59">
        <v>215</v>
      </c>
      <c r="C218" s="59">
        <v>42</v>
      </c>
      <c r="D218" s="59">
        <v>164.21316759243743</v>
      </c>
      <c r="E218" s="59">
        <v>1097.5298734854935</v>
      </c>
      <c r="F218" s="59">
        <v>1245.139728030251</v>
      </c>
      <c r="G218" s="59">
        <v>1664.5885699636299</v>
      </c>
      <c r="H218" s="59">
        <v>3115.7858547069777</v>
      </c>
      <c r="J218" s="59">
        <v>119.99661195221755</v>
      </c>
      <c r="K218" s="59">
        <v>431.22956952744033</v>
      </c>
      <c r="L218" s="59">
        <v>179.97669998934887</v>
      </c>
      <c r="M218" s="59">
        <v>1651.756565895512</v>
      </c>
      <c r="N218" s="59">
        <v>329.78335885669611</v>
      </c>
      <c r="P218" s="59">
        <v>651.67450270384609</v>
      </c>
      <c r="R218" s="59">
        <v>627547.86353607627</v>
      </c>
      <c r="S218" s="59">
        <v>79410060.61935693</v>
      </c>
    </row>
    <row r="219" spans="2:19" x14ac:dyDescent="0.2">
      <c r="B219" s="59">
        <v>216</v>
      </c>
      <c r="C219" s="59">
        <v>43</v>
      </c>
      <c r="D219" s="59">
        <v>162.57377280263958</v>
      </c>
      <c r="E219" s="59">
        <v>1091.1006916285176</v>
      </c>
      <c r="F219" s="59">
        <v>1240.1719680839303</v>
      </c>
      <c r="G219" s="59">
        <v>1660.5605404012924</v>
      </c>
      <c r="H219" s="59">
        <v>3117.3884733255722</v>
      </c>
      <c r="J219" s="59">
        <v>120.084205483044</v>
      </c>
      <c r="K219" s="59">
        <v>432.17128762348347</v>
      </c>
      <c r="L219" s="59">
        <v>180.28923304360657</v>
      </c>
      <c r="M219" s="59">
        <v>1664.0054947336644</v>
      </c>
      <c r="N219" s="59">
        <v>331.65433287425395</v>
      </c>
      <c r="P219" s="59">
        <v>650.46797302860557</v>
      </c>
      <c r="Q219" s="59">
        <v>7805.6156763432673</v>
      </c>
      <c r="R219" s="59">
        <v>627977.32755399949</v>
      </c>
      <c r="S219" s="59">
        <v>79776259.999769107</v>
      </c>
    </row>
    <row r="220" spans="2:19" x14ac:dyDescent="0.2">
      <c r="B220" s="59">
        <v>217</v>
      </c>
      <c r="C220" s="59">
        <v>43</v>
      </c>
      <c r="D220" s="59">
        <v>160.95074463749322</v>
      </c>
      <c r="E220" s="59">
        <v>1084.702565852928</v>
      </c>
      <c r="F220" s="59">
        <v>1235.2095048429069</v>
      </c>
      <c r="G220" s="59">
        <v>1656.5227107321589</v>
      </c>
      <c r="H220" s="59">
        <v>3118.9447021484875</v>
      </c>
      <c r="J220" s="59">
        <v>120.16989646080442</v>
      </c>
      <c r="K220" s="59">
        <v>433.10392597372396</v>
      </c>
      <c r="L220" s="59">
        <v>180.59827469324489</v>
      </c>
      <c r="M220" s="59">
        <v>1676.2756624104447</v>
      </c>
      <c r="N220" s="59">
        <v>333.52201224781209</v>
      </c>
      <c r="P220" s="59">
        <v>649.26027335377341</v>
      </c>
      <c r="R220" s="59">
        <v>628397.5695954758</v>
      </c>
      <c r="S220" s="59">
        <v>80141790.614045799</v>
      </c>
    </row>
    <row r="221" spans="2:19" x14ac:dyDescent="0.2">
      <c r="B221" s="59">
        <v>218</v>
      </c>
      <c r="C221" s="59">
        <v>43</v>
      </c>
      <c r="D221" s="59">
        <v>159.34391970352891</v>
      </c>
      <c r="E221" s="59">
        <v>1078.3354285063197</v>
      </c>
      <c r="F221" s="59">
        <v>1230.2525040848061</v>
      </c>
      <c r="G221" s="59">
        <v>1652.4752309443395</v>
      </c>
      <c r="H221" s="59">
        <v>3120.454662153908</v>
      </c>
      <c r="J221" s="59">
        <v>120.25369020801523</v>
      </c>
      <c r="K221" s="59">
        <v>434.02750688405507</v>
      </c>
      <c r="L221" s="59">
        <v>180.90383363428407</v>
      </c>
      <c r="M221" s="59">
        <v>1688.5668310903563</v>
      </c>
      <c r="N221" s="59">
        <v>335.38639279039182</v>
      </c>
      <c r="P221" s="59">
        <v>648.05142303309822</v>
      </c>
      <c r="R221" s="59">
        <v>628808.61849359598</v>
      </c>
      <c r="S221" s="59">
        <v>80506648.186138511</v>
      </c>
    </row>
    <row r="222" spans="2:19" x14ac:dyDescent="0.2">
      <c r="B222" s="59">
        <v>219</v>
      </c>
      <c r="C222" s="59">
        <v>43</v>
      </c>
      <c r="D222" s="59">
        <v>157.75313623848868</v>
      </c>
      <c r="E222" s="59">
        <v>1071.9992108381912</v>
      </c>
      <c r="F222" s="59">
        <v>1225.3011294115913</v>
      </c>
      <c r="G222" s="59">
        <v>1648.4182511988386</v>
      </c>
      <c r="H222" s="59">
        <v>3121.9184752073543</v>
      </c>
      <c r="J222" s="59">
        <v>120.33559206057708</v>
      </c>
      <c r="K222" s="59">
        <v>434.94205258824411</v>
      </c>
      <c r="L222" s="59">
        <v>181.20591854898407</v>
      </c>
      <c r="M222" s="59">
        <v>1700.8787635362489</v>
      </c>
      <c r="N222" s="59">
        <v>337.24747037148632</v>
      </c>
      <c r="P222" s="59">
        <v>646.84144136729276</v>
      </c>
      <c r="R222" s="59">
        <v>629210.50305765832</v>
      </c>
      <c r="S222" s="59">
        <v>80870828.495461375</v>
      </c>
    </row>
    <row r="223" spans="2:19" x14ac:dyDescent="0.2">
      <c r="B223" s="59">
        <v>220</v>
      </c>
      <c r="C223" s="59">
        <v>43</v>
      </c>
      <c r="D223" s="59">
        <v>156.17823409504109</v>
      </c>
      <c r="E223" s="59">
        <v>1065.6938430238836</v>
      </c>
      <c r="F223" s="59">
        <v>1220.35554226405</v>
      </c>
      <c r="G223" s="59">
        <v>1644.351921806086</v>
      </c>
      <c r="H223" s="59">
        <v>3123.3362640592291</v>
      </c>
      <c r="J223" s="59">
        <v>120.4156073681955</v>
      </c>
      <c r="K223" s="59">
        <v>435.84758525121254</v>
      </c>
      <c r="L223" s="59">
        <v>181.50453810703985</v>
      </c>
      <c r="M223" s="59">
        <v>1713.2112231083593</v>
      </c>
      <c r="N223" s="59">
        <v>339.10524091690786</v>
      </c>
      <c r="P223" s="59">
        <v>645.63034760401626</v>
      </c>
      <c r="R223" s="59">
        <v>629603.25207529601</v>
      </c>
      <c r="S223" s="59">
        <v>81234327.376512289</v>
      </c>
    </row>
    <row r="224" spans="2:19" x14ac:dyDescent="0.2">
      <c r="B224" s="59">
        <v>221</v>
      </c>
      <c r="C224" s="59">
        <v>43</v>
      </c>
      <c r="D224" s="59">
        <v>154.61905472465892</v>
      </c>
      <c r="E224" s="59">
        <v>1059.4192541881855</v>
      </c>
      <c r="F224" s="59">
        <v>1215.4159019363003</v>
      </c>
      <c r="G224" s="59">
        <v>1640.2763932028463</v>
      </c>
      <c r="H224" s="59">
        <v>3124.7081523421457</v>
      </c>
      <c r="J224" s="59">
        <v>120.49374149478342</v>
      </c>
      <c r="K224" s="59">
        <v>436.744126972267</v>
      </c>
      <c r="L224" s="59">
        <v>181.79970096675177</v>
      </c>
      <c r="M224" s="59">
        <v>1725.5639737634303</v>
      </c>
      <c r="N224" s="59">
        <v>340.95970040863529</v>
      </c>
      <c r="P224" s="59">
        <v>644.41816093785178</v>
      </c>
      <c r="R224" s="59">
        <v>629986.89431455557</v>
      </c>
      <c r="S224" s="59">
        <v>81597140.718497291</v>
      </c>
    </row>
    <row r="225" spans="2:19" x14ac:dyDescent="0.2">
      <c r="B225" s="59">
        <v>222</v>
      </c>
      <c r="C225" s="59">
        <v>43</v>
      </c>
      <c r="D225" s="59">
        <v>153.07544116165775</v>
      </c>
      <c r="E225" s="59">
        <v>1053.1753724286073</v>
      </c>
      <c r="F225" s="59">
        <v>1210.4823655903185</v>
      </c>
      <c r="G225" s="59">
        <v>1636.1918159295012</v>
      </c>
      <c r="H225" s="59">
        <v>3126.0342645680489</v>
      </c>
      <c r="J225" s="59">
        <v>120.56999981884604</v>
      </c>
      <c r="K225" s="59">
        <v>437.63169978828205</v>
      </c>
      <c r="L225" s="59">
        <v>182.09141577617174</v>
      </c>
      <c r="M225" s="59">
        <v>1737.9367800539094</v>
      </c>
      <c r="N225" s="59">
        <v>342.81084488466183</v>
      </c>
      <c r="P225" s="59">
        <v>643.20490051027957</v>
      </c>
      <c r="R225" s="59">
        <v>630361.45852592716</v>
      </c>
      <c r="S225" s="59">
        <v>81959264.464958027</v>
      </c>
    </row>
    <row r="226" spans="2:19" x14ac:dyDescent="0.2">
      <c r="B226" s="59">
        <v>223</v>
      </c>
      <c r="C226" s="59">
        <v>43</v>
      </c>
      <c r="D226" s="59">
        <v>151.54723800739387</v>
      </c>
      <c r="E226" s="59">
        <v>1046.9621248383307</v>
      </c>
      <c r="F226" s="59">
        <v>1205.5550882704802</v>
      </c>
      <c r="G226" s="59">
        <v>1632.0983406077023</v>
      </c>
      <c r="H226" s="59">
        <v>3127.3147261251261</v>
      </c>
      <c r="J226" s="59">
        <v>120.64438773384823</v>
      </c>
      <c r="K226" s="59">
        <v>438.51032567683416</v>
      </c>
      <c r="L226" s="59">
        <v>182.37969117422497</v>
      </c>
      <c r="M226" s="59">
        <v>1750.3294071272212</v>
      </c>
      <c r="N226" s="59">
        <v>344.65867043884282</v>
      </c>
      <c r="P226" s="59">
        <v>641.99058540964677</v>
      </c>
      <c r="R226" s="59">
        <v>630726.97344432573</v>
      </c>
      <c r="S226" s="59">
        <v>82320694.613402471</v>
      </c>
    </row>
    <row r="227" spans="2:19" x14ac:dyDescent="0.2">
      <c r="B227" s="59">
        <v>224</v>
      </c>
      <c r="C227" s="59">
        <v>43</v>
      </c>
      <c r="D227" s="59">
        <v>150.03429141462004</v>
      </c>
      <c r="E227" s="59">
        <v>1040.7794375288356</v>
      </c>
      <c r="F227" s="59">
        <v>1200.6342229181171</v>
      </c>
      <c r="G227" s="59">
        <v>1627.9961179183908</v>
      </c>
      <c r="H227" s="59">
        <v>3128.5496632745185</v>
      </c>
      <c r="J227" s="59">
        <v>120.71691064856492</v>
      </c>
      <c r="K227" s="59">
        <v>439.38002655928727</v>
      </c>
      <c r="L227" s="59">
        <v>182.66453579180799</v>
      </c>
      <c r="M227" s="59">
        <v>1762.7416207251179</v>
      </c>
      <c r="N227" s="59">
        <v>346.50317322074403</v>
      </c>
      <c r="P227" s="59">
        <v>640.77523467113167</v>
      </c>
      <c r="R227" s="59">
        <v>631083.46779102611</v>
      </c>
      <c r="S227" s="59">
        <v>82681427.214938581</v>
      </c>
    </row>
    <row r="228" spans="2:19" x14ac:dyDescent="0.2">
      <c r="B228" s="59">
        <v>225</v>
      </c>
      <c r="C228" s="59">
        <v>43</v>
      </c>
      <c r="D228" s="59">
        <v>148.53644907199742</v>
      </c>
      <c r="E228" s="59">
        <v>1034.6272356522088</v>
      </c>
      <c r="F228" s="59">
        <v>1195.7199203860844</v>
      </c>
      <c r="G228" s="59">
        <v>1623.88529858018</v>
      </c>
      <c r="H228" s="59">
        <v>3129.7392031468362</v>
      </c>
      <c r="J228" s="59">
        <v>120.78757398741469</v>
      </c>
      <c r="K228" s="59">
        <v>440.2408243038301</v>
      </c>
      <c r="L228" s="59">
        <v>182.94595825286282</v>
      </c>
      <c r="M228" s="59">
        <v>1775.1731871830996</v>
      </c>
      <c r="N228" s="59">
        <v>348.34434943549002</v>
      </c>
      <c r="P228" s="59">
        <v>639.55886727670486</v>
      </c>
      <c r="R228" s="59">
        <v>631430.9702755498</v>
      </c>
      <c r="S228" s="59">
        <v>83041458.373911068</v>
      </c>
    </row>
    <row r="229" spans="2:19" x14ac:dyDescent="0.2">
      <c r="B229" s="59">
        <v>226</v>
      </c>
      <c r="C229" s="59">
        <v>43</v>
      </c>
      <c r="D229" s="59">
        <v>147.05356018876199</v>
      </c>
      <c r="E229" s="59">
        <v>1028.5054434231388</v>
      </c>
      <c r="F229" s="59">
        <v>1190.8123294533366</v>
      </c>
      <c r="G229" s="59">
        <v>1619.7660333280971</v>
      </c>
      <c r="H229" s="59">
        <v>3130.8834737384786</v>
      </c>
      <c r="J229" s="59">
        <v>120.85638319077719</v>
      </c>
      <c r="K229" s="59">
        <v>441.09274072846495</v>
      </c>
      <c r="L229" s="59">
        <v>183.22396717542782</v>
      </c>
      <c r="M229" s="59">
        <v>1787.6238734299088</v>
      </c>
      <c r="N229" s="59">
        <v>350.18219534361236</v>
      </c>
      <c r="P229" s="59">
        <v>638.341502155086</v>
      </c>
      <c r="R229" s="59">
        <v>631769.50959750602</v>
      </c>
      <c r="S229" s="59">
        <v>83400784.247541055</v>
      </c>
    </row>
    <row r="230" spans="2:19" x14ac:dyDescent="0.2">
      <c r="B230" s="59">
        <v>227</v>
      </c>
      <c r="C230" s="59">
        <v>43</v>
      </c>
      <c r="D230" s="59">
        <v>145.58547547954419</v>
      </c>
      <c r="E230" s="59">
        <v>1022.4139841406</v>
      </c>
      <c r="F230" s="59">
        <v>1185.9115968395113</v>
      </c>
      <c r="G230" s="59">
        <v>1615.6384728926823</v>
      </c>
      <c r="H230" s="59">
        <v>3131.9826039077661</v>
      </c>
      <c r="J230" s="59">
        <v>120.92334371529418</v>
      </c>
      <c r="K230" s="59">
        <v>441.93579760394869</v>
      </c>
      <c r="L230" s="59">
        <v>183.49857117266518</v>
      </c>
      <c r="M230" s="59">
        <v>1800.0934469870936</v>
      </c>
      <c r="N230" s="59">
        <v>352.0167072608985</v>
      </c>
      <c r="P230" s="59">
        <v>637.12315818169702</v>
      </c>
      <c r="R230" s="59">
        <v>632099.11444838531</v>
      </c>
      <c r="S230" s="59">
        <v>83759401.04556869</v>
      </c>
    </row>
    <row r="231" spans="2:19" x14ac:dyDescent="0.2">
      <c r="B231" s="59">
        <v>228</v>
      </c>
      <c r="C231" s="59">
        <v>44</v>
      </c>
      <c r="D231" s="59">
        <v>144.13204714934008</v>
      </c>
      <c r="E231" s="59">
        <v>1016.3527802092301</v>
      </c>
      <c r="F231" s="59">
        <v>1181.0178672195161</v>
      </c>
      <c r="G231" s="59">
        <v>1611.5027679794398</v>
      </c>
      <c r="H231" s="59">
        <v>3133.0367233708907</v>
      </c>
      <c r="J231" s="59">
        <v>120.98846103415512</v>
      </c>
      <c r="K231" s="59">
        <v>442.77001665668564</v>
      </c>
      <c r="L231" s="59">
        <v>183.76977885386566</v>
      </c>
      <c r="M231" s="59">
        <v>1812.5816759686397</v>
      </c>
      <c r="N231" s="59">
        <v>353.84788155824066</v>
      </c>
      <c r="P231" s="59">
        <v>635.90385417861137</v>
      </c>
      <c r="Q231" s="59">
        <v>7630.8462501433369</v>
      </c>
      <c r="R231" s="59">
        <v>632419.81351330911</v>
      </c>
      <c r="S231" s="59">
        <v>84117305.029898614</v>
      </c>
    </row>
    <row r="232" spans="2:19" x14ac:dyDescent="0.2">
      <c r="B232" s="59">
        <v>229</v>
      </c>
      <c r="C232" s="59">
        <v>44</v>
      </c>
      <c r="D232" s="59">
        <v>142.69312887863251</v>
      </c>
      <c r="E232" s="59">
        <v>1010.3217531604053</v>
      </c>
      <c r="F232" s="59">
        <v>1176.1312832381184</v>
      </c>
      <c r="G232" s="59">
        <v>1607.3590692486384</v>
      </c>
      <c r="H232" s="59">
        <v>3134.045962697684</v>
      </c>
      <c r="J232" s="59">
        <v>121.05174063736717</v>
      </c>
      <c r="K232" s="59">
        <v>443.59541957157262</v>
      </c>
      <c r="L232" s="59">
        <v>184.03759882543051</v>
      </c>
      <c r="M232" s="59">
        <v>1825.0883290806703</v>
      </c>
      <c r="N232" s="59">
        <v>355.67571466148439</v>
      </c>
      <c r="P232" s="59">
        <v>634.68360891449959</v>
      </c>
      <c r="R232" s="59">
        <v>632731.63547273295</v>
      </c>
      <c r="S232" s="59">
        <v>84474492.514248237</v>
      </c>
    </row>
    <row r="233" spans="2:19" x14ac:dyDescent="0.2">
      <c r="B233" s="59">
        <v>230</v>
      </c>
      <c r="C233" s="59">
        <v>44</v>
      </c>
      <c r="D233" s="59">
        <v>141.26857580866081</v>
      </c>
      <c r="E233" s="59">
        <v>1004.320823673015</v>
      </c>
      <c r="F233" s="59">
        <v>1171.2519855245346</v>
      </c>
      <c r="G233" s="59">
        <v>1603.207527295458</v>
      </c>
      <c r="H233" s="59">
        <v>3135.0104533072099</v>
      </c>
      <c r="J233" s="59">
        <v>121.11318803201006</v>
      </c>
      <c r="K233" s="59">
        <v>444.4120279947964</v>
      </c>
      <c r="L233" s="59">
        <v>184.30203969183097</v>
      </c>
      <c r="M233" s="59">
        <v>1837.6131756212098</v>
      </c>
      <c r="N233" s="59">
        <v>357.50020305127788</v>
      </c>
      <c r="P233" s="59">
        <v>633.46244110457201</v>
      </c>
      <c r="R233" s="59">
        <v>633034.60900410474</v>
      </c>
      <c r="S233" s="59">
        <v>84830959.863798767</v>
      </c>
    </row>
    <row r="234" spans="2:19" x14ac:dyDescent="0.2">
      <c r="B234" s="59">
        <v>231</v>
      </c>
      <c r="C234" s="59">
        <v>44</v>
      </c>
      <c r="D234" s="59">
        <v>139.85824452683769</v>
      </c>
      <c r="E234" s="59">
        <v>998.34991159394178</v>
      </c>
      <c r="F234" s="59">
        <v>1166.3801127070174</v>
      </c>
      <c r="G234" s="59">
        <v>1599.0482926304783</v>
      </c>
      <c r="H234" s="59">
        <v>3135.9303274631875</v>
      </c>
      <c r="J234" s="59">
        <v>121.17280874247626</v>
      </c>
      <c r="K234" s="59">
        <v>445.21986353658355</v>
      </c>
      <c r="L234" s="59">
        <v>184.56311005654553</v>
      </c>
      <c r="M234" s="59">
        <v>1850.1559854800144</v>
      </c>
      <c r="N234" s="59">
        <v>359.321343262921</v>
      </c>
      <c r="P234" s="59">
        <v>632.24036941051702</v>
      </c>
      <c r="R234" s="59">
        <v>633328.76278347999</v>
      </c>
      <c r="S234" s="59">
        <v>85186703.494848981</v>
      </c>
    </row>
    <row r="235" spans="2:19" x14ac:dyDescent="0.2">
      <c r="B235" s="59">
        <v>232</v>
      </c>
      <c r="C235" s="59">
        <v>44</v>
      </c>
      <c r="D235" s="59">
        <v>138.46199305231144</v>
      </c>
      <c r="E235" s="59">
        <v>992.40893595824946</v>
      </c>
      <c r="F235" s="59">
        <v>1161.5158014274393</v>
      </c>
      <c r="G235" s="59">
        <v>1594.8815156605067</v>
      </c>
      <c r="H235" s="59">
        <v>3136.8057182692451</v>
      </c>
      <c r="J235" s="59">
        <v>121.23060831069658</v>
      </c>
      <c r="K235" s="59">
        <v>446.01894777390311</v>
      </c>
      <c r="L235" s="59">
        <v>184.82081852297532</v>
      </c>
      <c r="M235" s="59">
        <v>1862.7165291384622</v>
      </c>
      <c r="N235" s="59">
        <v>361.13913188621433</v>
      </c>
      <c r="P235" s="59">
        <v>631.01741244043694</v>
      </c>
      <c r="R235" s="59">
        <v>633614.12548709172</v>
      </c>
      <c r="S235" s="59">
        <v>85541719.874471664</v>
      </c>
    </row>
    <row r="236" spans="2:19" x14ac:dyDescent="0.2">
      <c r="B236" s="59">
        <v>233</v>
      </c>
      <c r="C236" s="59">
        <v>44</v>
      </c>
      <c r="D236" s="59">
        <v>137.07968082167253</v>
      </c>
      <c r="E236" s="59">
        <v>986.49781500908159</v>
      </c>
      <c r="F236" s="59">
        <v>1156.6591863558695</v>
      </c>
      <c r="G236" s="59">
        <v>1590.707346669742</v>
      </c>
      <c r="H236" s="59">
        <v>3137.6367596640112</v>
      </c>
      <c r="J236" s="59">
        <v>121.28659229635151</v>
      </c>
      <c r="K236" s="59">
        <v>446.8093022531221</v>
      </c>
      <c r="L236" s="59">
        <v>185.07517369533761</v>
      </c>
      <c r="M236" s="59">
        <v>1875.2945776695067</v>
      </c>
      <c r="N236" s="59">
        <v>362.95356556530857</v>
      </c>
      <c r="P236" s="59">
        <v>629.79358874877983</v>
      </c>
      <c r="R236" s="59">
        <v>633890.72579287819</v>
      </c>
      <c r="S236" s="59">
        <v>85896005.520172626</v>
      </c>
    </row>
    <row r="237" spans="2:19" x14ac:dyDescent="0.2">
      <c r="B237" s="59">
        <v>234</v>
      </c>
      <c r="C237" s="59">
        <v>44</v>
      </c>
      <c r="D237" s="59">
        <v>135.71116867480282</v>
      </c>
      <c r="E237" s="59">
        <v>980.61646621727641</v>
      </c>
      <c r="F237" s="59">
        <v>1151.8104002051421</v>
      </c>
      <c r="G237" s="59">
        <v>1586.5259358012702</v>
      </c>
      <c r="H237" s="59">
        <v>3138.4235864160478</v>
      </c>
      <c r="J237" s="59">
        <v>121.34076627706874</v>
      </c>
      <c r="K237" s="59">
        <v>447.59094849261385</v>
      </c>
      <c r="L237" s="59">
        <v>185.32618417953796</v>
      </c>
      <c r="M237" s="59">
        <v>1887.8899027376897</v>
      </c>
      <c r="N237" s="59">
        <v>364.76464099855377</v>
      </c>
      <c r="P237" s="59">
        <v>628.56891683626964</v>
      </c>
      <c r="R237" s="59">
        <v>634158.59238196653</v>
      </c>
      <c r="S237" s="59">
        <v>86249556.999552399</v>
      </c>
    </row>
    <row r="238" spans="2:19" x14ac:dyDescent="0.2">
      <c r="B238" s="59">
        <v>235</v>
      </c>
      <c r="C238" s="59">
        <v>44</v>
      </c>
      <c r="D238" s="59">
        <v>134.35631884086604</v>
      </c>
      <c r="E238" s="59">
        <v>974.76480630069932</v>
      </c>
      <c r="F238" s="59">
        <v>1146.9695737454151</v>
      </c>
      <c r="G238" s="59">
        <v>1582.337433038889</v>
      </c>
      <c r="H238" s="59">
        <v>3139.1663341186254</v>
      </c>
      <c r="J238" s="59">
        <v>121.39313584860693</v>
      </c>
      <c r="K238" s="59">
        <v>448.36390798532005</v>
      </c>
      <c r="L238" s="59">
        <v>185.57385858402111</v>
      </c>
      <c r="M238" s="59">
        <v>1900.5022765992114</v>
      </c>
      <c r="N238" s="59">
        <v>366.57235493834867</v>
      </c>
      <c r="P238" s="59">
        <v>627.34341514983146</v>
      </c>
      <c r="R238" s="59">
        <v>634417.7539401158</v>
      </c>
      <c r="S238" s="59">
        <v>86602370.929970354</v>
      </c>
    </row>
    <row r="239" spans="2:19" x14ac:dyDescent="0.2">
      <c r="B239" s="59">
        <v>236</v>
      </c>
      <c r="C239" s="59">
        <v>44</v>
      </c>
      <c r="D239" s="59">
        <v>133.01499492443807</v>
      </c>
      <c r="E239" s="59">
        <v>968.94275124329761</v>
      </c>
      <c r="F239" s="59">
        <v>1142.1368358187169</v>
      </c>
      <c r="G239" s="59">
        <v>1578.1419881892582</v>
      </c>
      <c r="H239" s="59">
        <v>3139.8651391843496</v>
      </c>
      <c r="J239" s="59">
        <v>121.44370662502621</v>
      </c>
      <c r="K239" s="59">
        <v>449.12820220126594</v>
      </c>
      <c r="L239" s="59">
        <v>185.81820552060074</v>
      </c>
      <c r="M239" s="59">
        <v>1913.1314721020597</v>
      </c>
      <c r="N239" s="59">
        <v>368.37670419098987</v>
      </c>
      <c r="P239" s="59">
        <v>626.11710208251554</v>
      </c>
      <c r="R239" s="59">
        <v>634668.23915911571</v>
      </c>
      <c r="S239" s="59">
        <v>86954443.978211433</v>
      </c>
    </row>
    <row r="240" spans="2:19" x14ac:dyDescent="0.2">
      <c r="B240" s="59">
        <v>237</v>
      </c>
      <c r="C240" s="59">
        <v>44</v>
      </c>
      <c r="D240" s="59">
        <v>131.68706189177576</v>
      </c>
      <c r="E240" s="59">
        <v>963.15021631388072</v>
      </c>
      <c r="F240" s="59">
        <v>1137.3123133534787</v>
      </c>
      <c r="G240" s="59">
        <v>1573.9397508643717</v>
      </c>
      <c r="H240" s="59">
        <v>3140.5201388396385</v>
      </c>
      <c r="J240" s="59">
        <v>121.49248423884563</v>
      </c>
      <c r="K240" s="59">
        <v>449.88385259002916</v>
      </c>
      <c r="L240" s="59">
        <v>186.05923360526862</v>
      </c>
      <c r="M240" s="59">
        <v>1925.7772626861924</v>
      </c>
      <c r="N240" s="59">
        <v>370.1776856165215</v>
      </c>
      <c r="P240" s="59">
        <v>624.88999597341751</v>
      </c>
      <c r="R240" s="59">
        <v>634910.0767381459</v>
      </c>
      <c r="S240" s="59">
        <v>87305772.86015521</v>
      </c>
    </row>
    <row r="241" spans="2:19" x14ac:dyDescent="0.2">
      <c r="B241" s="59">
        <v>238</v>
      </c>
      <c r="C241" s="59">
        <v>44</v>
      </c>
      <c r="D241" s="59">
        <v>130.37238605722285</v>
      </c>
      <c r="E241" s="59">
        <v>957.38711608462893</v>
      </c>
      <c r="F241" s="59">
        <v>1132.4961313790513</v>
      </c>
      <c r="G241" s="59">
        <v>1569.7308704643492</v>
      </c>
      <c r="H241" s="59">
        <v>3141.1314711190566</v>
      </c>
      <c r="J241" s="59">
        <v>121.53947434118767</v>
      </c>
      <c r="K241" s="59">
        <v>450.63088058316282</v>
      </c>
      <c r="L241" s="59">
        <v>186.2969514589831</v>
      </c>
      <c r="M241" s="59">
        <v>1938.439422383776</v>
      </c>
      <c r="N241" s="59">
        <v>371.9752961285842</v>
      </c>
      <c r="P241" s="59">
        <v>623.66211510759626</v>
      </c>
      <c r="R241" s="59">
        <v>635143.29538509296</v>
      </c>
      <c r="S241" s="59">
        <v>87656354.3404475</v>
      </c>
    </row>
    <row r="242" spans="2:19" x14ac:dyDescent="0.2">
      <c r="B242" s="59">
        <v>239</v>
      </c>
      <c r="C242" s="59">
        <v>44</v>
      </c>
      <c r="D242" s="59">
        <v>129.07083506975158</v>
      </c>
      <c r="E242" s="59">
        <v>951.65336444933428</v>
      </c>
      <c r="F242" s="59">
        <v>1127.6884130402052</v>
      </c>
      <c r="G242" s="59">
        <v>1565.5154961605426</v>
      </c>
      <c r="H242" s="59">
        <v>3141.6992748595085</v>
      </c>
      <c r="J242" s="59">
        <v>121.58468260191039</v>
      </c>
      <c r="K242" s="59">
        <v>451.36930759657247</v>
      </c>
      <c r="L242" s="59">
        <v>186.53136770843741</v>
      </c>
      <c r="M242" s="59">
        <v>1951.1177258194757</v>
      </c>
      <c r="N242" s="59">
        <v>373.76953269426468</v>
      </c>
      <c r="P242" s="59">
        <v>622.43347771598917</v>
      </c>
      <c r="R242" s="59">
        <v>635367.9238178276</v>
      </c>
      <c r="S242" s="59">
        <v>88006185.232174188</v>
      </c>
    </row>
    <row r="243" spans="2:19" x14ac:dyDescent="0.2">
      <c r="B243" s="59">
        <v>240</v>
      </c>
      <c r="C243" s="59">
        <v>45</v>
      </c>
      <c r="D243" s="59">
        <v>127.78227789963856</v>
      </c>
      <c r="E243" s="59">
        <v>945.94887464137673</v>
      </c>
      <c r="F243" s="59">
        <v>1122.8892796116099</v>
      </c>
      <c r="G243" s="59">
        <v>1561.2937768789552</v>
      </c>
      <c r="H243" s="59">
        <v>3142.2236896942968</v>
      </c>
      <c r="J243" s="59">
        <v>121.62811470972727</v>
      </c>
      <c r="K243" s="59">
        <v>452.09915503284765</v>
      </c>
      <c r="L243" s="59">
        <v>186.76249098680771</v>
      </c>
      <c r="M243" s="59">
        <v>1963.8119482107979</v>
      </c>
      <c r="N243" s="59">
        <v>375.56039233394483</v>
      </c>
      <c r="P243" s="59">
        <v>621.2041019753251</v>
      </c>
      <c r="Q243" s="59">
        <v>7454.4492237039021</v>
      </c>
      <c r="R243" s="59">
        <v>635583.99076544086</v>
      </c>
      <c r="S243" s="59">
        <v>88355262.396537513</v>
      </c>
    </row>
    <row r="244" spans="2:19" x14ac:dyDescent="0.2">
      <c r="B244" s="59">
        <v>241</v>
      </c>
      <c r="C244" s="59">
        <v>45</v>
      </c>
      <c r="D244" s="59">
        <v>126.49593630211552</v>
      </c>
      <c r="E244" s="59">
        <v>940.19473017855205</v>
      </c>
      <c r="F244" s="59">
        <v>1118.00527640566</v>
      </c>
      <c r="G244" s="59">
        <v>1556.9357534692297</v>
      </c>
      <c r="H244" s="59">
        <v>3142.4430040729071</v>
      </c>
      <c r="J244" s="59">
        <v>121.65964069608913</v>
      </c>
      <c r="K244" s="59">
        <v>452.78276935396173</v>
      </c>
      <c r="L244" s="59">
        <v>186.97476639356591</v>
      </c>
      <c r="M244" s="59">
        <v>1976.5218653684826</v>
      </c>
      <c r="N244" s="59">
        <v>377.98625775943896</v>
      </c>
      <c r="P244" s="59">
        <v>619.9222389995366</v>
      </c>
      <c r="R244" s="59">
        <v>635738.55963687808</v>
      </c>
      <c r="S244" s="59">
        <v>88703553.725313962</v>
      </c>
    </row>
    <row r="245" spans="2:19" x14ac:dyDescent="0.2">
      <c r="B245" s="59">
        <v>242</v>
      </c>
      <c r="C245" s="59">
        <v>45</v>
      </c>
      <c r="D245" s="59">
        <v>125.22254387667422</v>
      </c>
      <c r="E245" s="59">
        <v>934.47062455417642</v>
      </c>
      <c r="F245" s="59">
        <v>1113.1309013095063</v>
      </c>
      <c r="G245" s="59">
        <v>1552.5723976278184</v>
      </c>
      <c r="H245" s="59">
        <v>3142.6191528038312</v>
      </c>
      <c r="J245" s="59">
        <v>121.68876184278874</v>
      </c>
      <c r="K245" s="59">
        <v>453.45836381917195</v>
      </c>
      <c r="L245" s="59">
        <v>187.1837294417389</v>
      </c>
      <c r="M245" s="59">
        <v>1989.2461945371813</v>
      </c>
      <c r="N245" s="59">
        <v>380.40733018711512</v>
      </c>
      <c r="P245" s="59">
        <v>618.63988319507348</v>
      </c>
      <c r="R245" s="59">
        <v>635884.5943445313</v>
      </c>
      <c r="S245" s="59">
        <v>89051056.303210244</v>
      </c>
    </row>
    <row r="246" spans="2:19" x14ac:dyDescent="0.2">
      <c r="B246" s="59">
        <v>243</v>
      </c>
      <c r="C246" s="59">
        <v>45</v>
      </c>
      <c r="D246" s="59">
        <v>123.9619702683157</v>
      </c>
      <c r="E246" s="59">
        <v>928.77646173527307</v>
      </c>
      <c r="F246" s="59">
        <v>1108.2662677682554</v>
      </c>
      <c r="G246" s="59">
        <v>1548.2038588712624</v>
      </c>
      <c r="H246" s="59">
        <v>3142.7522886576285</v>
      </c>
      <c r="J246" s="59">
        <v>121.71549739161499</v>
      </c>
      <c r="K246" s="59">
        <v>454.12595259815288</v>
      </c>
      <c r="L246" s="59">
        <v>187.38938961180273</v>
      </c>
      <c r="M246" s="59">
        <v>2001.9847065267445</v>
      </c>
      <c r="N246" s="59">
        <v>382.82360657095239</v>
      </c>
      <c r="P246" s="59">
        <v>617.35705297345783</v>
      </c>
      <c r="R246" s="59">
        <v>636022.12746384484</v>
      </c>
      <c r="S246" s="59">
        <v>89397767.263748258</v>
      </c>
    </row>
    <row r="247" spans="2:19" x14ac:dyDescent="0.2">
      <c r="B247" s="59">
        <v>244</v>
      </c>
      <c r="C247" s="59">
        <v>45</v>
      </c>
      <c r="D247" s="59">
        <v>122.71408643428131</v>
      </c>
      <c r="E247" s="59">
        <v>923.11214512854815</v>
      </c>
      <c r="F247" s="59">
        <v>1103.4114873764045</v>
      </c>
      <c r="G247" s="59">
        <v>1543.8302863578801</v>
      </c>
      <c r="H247" s="59">
        <v>3142.8425651270713</v>
      </c>
      <c r="J247" s="59">
        <v>121.73986635270802</v>
      </c>
      <c r="K247" s="59">
        <v>454.78554996473611</v>
      </c>
      <c r="L247" s="59">
        <v>187.59175641144827</v>
      </c>
      <c r="M247" s="59">
        <v>2014.7371729084534</v>
      </c>
      <c r="N247" s="59">
        <v>385.23508393847146</v>
      </c>
      <c r="P247" s="59">
        <v>616.07376667753977</v>
      </c>
      <c r="R247" s="59">
        <v>636151.19153338787</v>
      </c>
      <c r="S247" s="59">
        <v>89743683.788902193</v>
      </c>
    </row>
    <row r="248" spans="2:19" x14ac:dyDescent="0.2">
      <c r="B248" s="59">
        <v>245</v>
      </c>
      <c r="C248" s="59">
        <v>45</v>
      </c>
      <c r="D248" s="59">
        <v>121.47876463084287</v>
      </c>
      <c r="E248" s="59">
        <v>917.47757759733111</v>
      </c>
      <c r="F248" s="59">
        <v>1098.5666698929651</v>
      </c>
      <c r="G248" s="59">
        <v>1539.451828872838</v>
      </c>
      <c r="H248" s="59">
        <v>3142.8901364202629</v>
      </c>
      <c r="J248" s="59">
        <v>121.76188750976621</v>
      </c>
      <c r="K248" s="59">
        <v>455.43717029735461</v>
      </c>
      <c r="L248" s="59">
        <v>187.79083937472438</v>
      </c>
      <c r="M248" s="59">
        <v>2027.5033660134477</v>
      </c>
      <c r="N248" s="59">
        <v>387.64175939046993</v>
      </c>
      <c r="P248" s="59">
        <v>614.79004258159523</v>
      </c>
      <c r="R248" s="59">
        <v>636271.81905621861</v>
      </c>
      <c r="S248" s="59">
        <v>90088803.108738348</v>
      </c>
    </row>
    <row r="249" spans="2:19" x14ac:dyDescent="0.2">
      <c r="B249" s="59">
        <v>246</v>
      </c>
      <c r="C249" s="59">
        <v>45</v>
      </c>
      <c r="D249" s="59">
        <v>120.25587840022573</v>
      </c>
      <c r="E249" s="59">
        <v>911.87266147826153</v>
      </c>
      <c r="F249" s="59">
        <v>1093.7319232565505</v>
      </c>
      <c r="G249" s="59">
        <v>1535.0686348135205</v>
      </c>
      <c r="H249" s="59">
        <v>3142.8951574536445</v>
      </c>
      <c r="J249" s="59">
        <v>121.78157942513242</v>
      </c>
      <c r="K249" s="59">
        <v>456.08082807946823</v>
      </c>
      <c r="L249" s="59">
        <v>187.98664806123577</v>
      </c>
      <c r="M249" s="59">
        <v>2040.283058931205</v>
      </c>
      <c r="N249" s="59">
        <v>390.04363010075866</v>
      </c>
      <c r="P249" s="59">
        <v>613.50589889141986</v>
      </c>
      <c r="R249" s="59">
        <v>636384.04250123387</v>
      </c>
      <c r="S249" s="59">
        <v>90433122.501057744</v>
      </c>
    </row>
    <row r="250" spans="2:19" x14ac:dyDescent="0.2">
      <c r="B250" s="59">
        <v>247</v>
      </c>
      <c r="C250" s="59">
        <v>45</v>
      </c>
      <c r="D250" s="59">
        <v>119.04530255766345</v>
      </c>
      <c r="E250" s="59">
        <v>906.29729859772465</v>
      </c>
      <c r="F250" s="59">
        <v>1088.9073536004248</v>
      </c>
      <c r="G250" s="59">
        <v>1530.6808521751977</v>
      </c>
      <c r="H250" s="59">
        <v>3142.8577838448946</v>
      </c>
      <c r="J250" s="59">
        <v>121.79896044476249</v>
      </c>
      <c r="K250" s="59">
        <v>456.71653789997043</v>
      </c>
      <c r="L250" s="59">
        <v>188.17919205539272</v>
      </c>
      <c r="M250" s="59">
        <v>2053.0760255080736</v>
      </c>
      <c r="N250" s="59">
        <v>392.4406933158985</v>
      </c>
      <c r="P250" s="59">
        <v>612.22135374441768</v>
      </c>
      <c r="R250" s="59">
        <v>636487.89430450427</v>
      </c>
      <c r="S250" s="59">
        <v>90776639.291041464</v>
      </c>
    </row>
    <row r="251" spans="2:19" x14ac:dyDescent="0.2">
      <c r="B251" s="59">
        <v>248</v>
      </c>
      <c r="C251" s="59">
        <v>45</v>
      </c>
      <c r="D251" s="59">
        <v>117.84691317858297</v>
      </c>
      <c r="E251" s="59">
        <v>900.75139028803869</v>
      </c>
      <c r="F251" s="59">
        <v>1084.0930652675142</v>
      </c>
      <c r="G251" s="59">
        <v>1526.2886285369862</v>
      </c>
      <c r="H251" s="59">
        <v>3142.7781719057225</v>
      </c>
      <c r="J251" s="59">
        <v>121.81404870307799</v>
      </c>
      <c r="K251" s="59">
        <v>457.3443144535762</v>
      </c>
      <c r="L251" s="59">
        <v>188.36848096570998</v>
      </c>
      <c r="M251" s="59">
        <v>2065.8820403458567</v>
      </c>
      <c r="N251" s="59">
        <v>394.83294635493758</v>
      </c>
      <c r="P251" s="59">
        <v>610.93642520968638</v>
      </c>
      <c r="R251" s="59">
        <v>636583.4068705911</v>
      </c>
      <c r="S251" s="59">
        <v>91119350.850898743</v>
      </c>
    </row>
    <row r="252" spans="2:19" x14ac:dyDescent="0.2">
      <c r="B252" s="59">
        <v>249</v>
      </c>
      <c r="C252" s="59">
        <v>45</v>
      </c>
      <c r="D252" s="59">
        <v>116.66058758591856</v>
      </c>
      <c r="E252" s="59">
        <v>895.23483740339839</v>
      </c>
      <c r="F252" s="59">
        <v>1079.2891608253781</v>
      </c>
      <c r="G252" s="59">
        <v>1521.8921110481003</v>
      </c>
      <c r="H252" s="59">
        <v>3142.6564786345598</v>
      </c>
      <c r="J252" s="59">
        <v>121.82686212770619</v>
      </c>
      <c r="K252" s="59">
        <v>457.96417254119086</v>
      </c>
      <c r="L252" s="59">
        <v>188.55452442415205</v>
      </c>
      <c r="M252" s="59">
        <v>2078.70087880045</v>
      </c>
      <c r="N252" s="59">
        <v>397.22038660914899</v>
      </c>
      <c r="P252" s="59">
        <v>609.65113128809742</v>
      </c>
      <c r="R252" s="59">
        <v>636670.61257384706</v>
      </c>
      <c r="S252" s="59">
        <v>91461254.599517688</v>
      </c>
    </row>
    <row r="253" spans="2:19" x14ac:dyDescent="0.2">
      <c r="B253" s="59">
        <v>250</v>
      </c>
      <c r="C253" s="59">
        <v>45</v>
      </c>
      <c r="D253" s="59">
        <v>115.48620433755364</v>
      </c>
      <c r="E253" s="59">
        <v>889.74754033557599</v>
      </c>
      <c r="F253" s="59">
        <v>1074.4957410811369</v>
      </c>
      <c r="G253" s="59">
        <v>1517.4914464143906</v>
      </c>
      <c r="H253" s="59">
        <v>3142.4928617091546</v>
      </c>
      <c r="J253" s="59">
        <v>121.83741844410933</v>
      </c>
      <c r="K253" s="59">
        <v>458.57612707025982</v>
      </c>
      <c r="L253" s="59">
        <v>188.73733208552238</v>
      </c>
      <c r="M253" s="59">
        <v>2091.5323169805306</v>
      </c>
      <c r="N253" s="59">
        <v>399.60301154176932</v>
      </c>
      <c r="P253" s="59">
        <v>608.36548991237248</v>
      </c>
      <c r="R253" s="59">
        <v>636749.54375969735</v>
      </c>
      <c r="S253" s="59">
        <v>91802348.002118722</v>
      </c>
    </row>
    <row r="254" spans="2:19" x14ac:dyDescent="0.2">
      <c r="B254" s="59">
        <v>251</v>
      </c>
      <c r="C254" s="59">
        <v>45</v>
      </c>
      <c r="D254" s="59">
        <v>114.32364321388894</v>
      </c>
      <c r="E254" s="59">
        <v>884.28939902938384</v>
      </c>
      <c r="F254" s="59">
        <v>1069.7129050963601</v>
      </c>
      <c r="G254" s="59">
        <v>1513.0867808851649</v>
      </c>
      <c r="H254" s="59">
        <v>3142.2874794790705</v>
      </c>
      <c r="J254" s="59">
        <v>121.84573518010565</v>
      </c>
      <c r="K254" s="59">
        <v>459.18019305509921</v>
      </c>
      <c r="L254" s="59">
        <v>188.91691362689423</v>
      </c>
      <c r="M254" s="59">
        <v>2104.3761317462986</v>
      </c>
      <c r="N254" s="59">
        <v>401.98081868773721</v>
      </c>
      <c r="P254" s="59">
        <v>607.0795189471562</v>
      </c>
      <c r="R254" s="59">
        <v>636820.23274590145</v>
      </c>
      <c r="S254" s="59">
        <v>92142628.569910571</v>
      </c>
    </row>
    <row r="255" spans="2:19" x14ac:dyDescent="0.2">
      <c r="B255" s="59">
        <v>252</v>
      </c>
      <c r="C255" s="59">
        <v>46</v>
      </c>
      <c r="D255" s="59">
        <v>113.17278520553579</v>
      </c>
      <c r="E255" s="59">
        <v>878.86031299790181</v>
      </c>
      <c r="F255" s="59">
        <v>1064.9407502019076</v>
      </c>
      <c r="G255" s="59">
        <v>1508.6782602402916</v>
      </c>
      <c r="H255" s="59">
        <v>3142.040490958093</v>
      </c>
      <c r="J255" s="59">
        <v>121.86204019292785</v>
      </c>
      <c r="K255" s="59">
        <v>459.76617509456412</v>
      </c>
      <c r="L255" s="59">
        <v>189.09327874708046</v>
      </c>
      <c r="M255" s="59">
        <v>2117.2321007082683</v>
      </c>
      <c r="N255" s="59">
        <v>404.35380565343308</v>
      </c>
      <c r="P255" s="59">
        <v>605.79323618908427</v>
      </c>
      <c r="Q255" s="59">
        <v>7269.5188342690117</v>
      </c>
      <c r="R255" s="59">
        <v>636882.71182379371</v>
      </c>
      <c r="S255" s="59">
        <v>92482093.8597489</v>
      </c>
    </row>
    <row r="256" spans="2:19" x14ac:dyDescent="0.2">
      <c r="B256" s="59">
        <v>253</v>
      </c>
      <c r="C256" s="59">
        <v>46</v>
      </c>
      <c r="D256" s="59">
        <v>112.0335125011334</v>
      </c>
      <c r="E256" s="59">
        <v>873.46018133747134</v>
      </c>
      <c r="F256" s="59">
        <v>1060.1793720127264</v>
      </c>
      <c r="G256" s="59">
        <v>1504.2660297775785</v>
      </c>
      <c r="H256" s="59">
        <v>3141.7520558165475</v>
      </c>
      <c r="J256" s="59">
        <v>121.87592585739911</v>
      </c>
      <c r="K256" s="59">
        <v>460.34445362709448</v>
      </c>
      <c r="L256" s="59">
        <v>189.26643716614049</v>
      </c>
      <c r="M256" s="59">
        <v>2130.1000617874938</v>
      </c>
      <c r="N256" s="59">
        <v>406.72197011641856</v>
      </c>
      <c r="P256" s="59">
        <v>604.50665536630834</v>
      </c>
      <c r="R256" s="59">
        <v>636936.98627323413</v>
      </c>
      <c r="S256" s="59">
        <v>92820741.459449396</v>
      </c>
    </row>
    <row r="257" spans="2:19" x14ac:dyDescent="0.2">
      <c r="B257" s="59">
        <v>254</v>
      </c>
      <c r="C257" s="59">
        <v>46</v>
      </c>
      <c r="D257" s="59">
        <v>110.90570847528866</v>
      </c>
      <c r="E257" s="59">
        <v>868.08890274246005</v>
      </c>
      <c r="F257" s="59">
        <v>1055.4288644426022</v>
      </c>
      <c r="G257" s="59">
        <v>1499.8502343004263</v>
      </c>
      <c r="H257" s="59">
        <v>3141.4223343735325</v>
      </c>
      <c r="J257" s="59">
        <v>121.88804855559148</v>
      </c>
      <c r="K257" s="59">
        <v>460.91440673036692</v>
      </c>
      <c r="L257" s="59">
        <v>189.43639828740748</v>
      </c>
      <c r="M257" s="59">
        <v>2142.9797922860125</v>
      </c>
      <c r="N257" s="59">
        <v>409.08530980631565</v>
      </c>
      <c r="P257" s="59">
        <v>603.21979427101633</v>
      </c>
      <c r="R257" s="59">
        <v>636983.0890347336</v>
      </c>
      <c r="S257" s="59">
        <v>93158569.0022773</v>
      </c>
    </row>
    <row r="258" spans="2:19" x14ac:dyDescent="0.2">
      <c r="B258" s="59">
        <v>255</v>
      </c>
      <c r="C258" s="59">
        <v>46</v>
      </c>
      <c r="D258" s="59">
        <v>109.78925767663742</v>
      </c>
      <c r="E258" s="59">
        <v>862.74637551979993</v>
      </c>
      <c r="F258" s="59">
        <v>1050.6893197188617</v>
      </c>
      <c r="G258" s="59">
        <v>1495.4310181057531</v>
      </c>
      <c r="H258" s="59">
        <v>3141.0514875890685</v>
      </c>
      <c r="J258" s="59">
        <v>121.89841607693249</v>
      </c>
      <c r="K258" s="59">
        <v>461.4760572390357</v>
      </c>
      <c r="L258" s="59">
        <v>189.60317155894577</v>
      </c>
      <c r="M258" s="59">
        <v>2155.8710739909825</v>
      </c>
      <c r="N258" s="59">
        <v>411.44382252398646</v>
      </c>
      <c r="P258" s="59">
        <v>601.93267037581597</v>
      </c>
      <c r="R258" s="59">
        <v>637021.05134128756</v>
      </c>
      <c r="S258" s="59">
        <v>93495574.165718153</v>
      </c>
    </row>
    <row r="259" spans="2:19" x14ac:dyDescent="0.2">
      <c r="B259" s="59">
        <v>256</v>
      </c>
      <c r="C259" s="59">
        <v>46</v>
      </c>
      <c r="D259" s="59">
        <v>108.68404581602593</v>
      </c>
      <c r="E259" s="59">
        <v>857.43249760330059</v>
      </c>
      <c r="F259" s="59">
        <v>1045.9608283970274</v>
      </c>
      <c r="G259" s="59">
        <v>1491.008524972186</v>
      </c>
      <c r="H259" s="59">
        <v>3140.6396770561691</v>
      </c>
      <c r="J259" s="59">
        <v>121.90703619873179</v>
      </c>
      <c r="K259" s="59">
        <v>462.02942800849587</v>
      </c>
      <c r="L259" s="59">
        <v>189.76676645095736</v>
      </c>
      <c r="M259" s="59">
        <v>2168.7736893570195</v>
      </c>
      <c r="N259" s="59">
        <v>413.79750614009004</v>
      </c>
      <c r="P259" s="59">
        <v>600.64530109080044</v>
      </c>
      <c r="R259" s="59">
        <v>637050.90444089076</v>
      </c>
      <c r="S259" s="59">
        <v>93831754.671170473</v>
      </c>
    </row>
    <row r="260" spans="2:19" x14ac:dyDescent="0.2">
      <c r="B260" s="59">
        <v>257</v>
      </c>
      <c r="C260" s="59">
        <v>46</v>
      </c>
      <c r="D260" s="59">
        <v>107.58995975481126</v>
      </c>
      <c r="E260" s="59">
        <v>852.14716656774237</v>
      </c>
      <c r="F260" s="59">
        <v>1041.2434793754214</v>
      </c>
      <c r="G260" s="59">
        <v>1486.5828981485174</v>
      </c>
      <c r="H260" s="59">
        <v>3140.1870649928346</v>
      </c>
      <c r="J260" s="59">
        <v>121.91391668674324</v>
      </c>
      <c r="K260" s="59">
        <v>462.574541916317</v>
      </c>
      <c r="L260" s="59">
        <v>189.92719245577447</v>
      </c>
      <c r="M260" s="59">
        <v>2181.6874215069929</v>
      </c>
      <c r="N260" s="59">
        <v>416.14635859484929</v>
      </c>
      <c r="P260" s="59">
        <v>599.35770376346954</v>
      </c>
      <c r="R260" s="59">
        <v>637072.67959699431</v>
      </c>
      <c r="S260" s="59">
        <v>94167108.283640355</v>
      </c>
    </row>
    <row r="261" spans="2:19" x14ac:dyDescent="0.2">
      <c r="B261" s="59">
        <v>258</v>
      </c>
      <c r="C261" s="59">
        <v>46</v>
      </c>
      <c r="D261" s="59">
        <v>106.50688749327949</v>
      </c>
      <c r="E261" s="59">
        <v>846.89027964275044</v>
      </c>
      <c r="F261" s="59">
        <v>1036.53735990972</v>
      </c>
      <c r="G261" s="59">
        <v>1482.1542803424222</v>
      </c>
      <c r="H261" s="59">
        <v>3139.6938142339709</v>
      </c>
      <c r="J261" s="59">
        <v>121.91906529570572</v>
      </c>
      <c r="K261" s="59">
        <v>463.11142186363833</v>
      </c>
      <c r="L261" s="59">
        <v>190.0844590878545</v>
      </c>
      <c r="M261" s="59">
        <v>2194.6120542328454</v>
      </c>
      <c r="N261" s="59">
        <v>418.49037789781704</v>
      </c>
      <c r="P261" s="59">
        <v>598.06989567864991</v>
      </c>
      <c r="R261" s="59">
        <v>637086.40808894043</v>
      </c>
      <c r="S261" s="59">
        <v>94501632.811437741</v>
      </c>
    </row>
    <row r="262" spans="2:19" x14ac:dyDescent="0.2">
      <c r="B262" s="59">
        <v>259</v>
      </c>
      <c r="C262" s="59">
        <v>46</v>
      </c>
      <c r="D262" s="59">
        <v>105.43471815918048</v>
      </c>
      <c r="E262" s="59">
        <v>841.66173372645358</v>
      </c>
      <c r="F262" s="59">
        <v>1031.8425556274542</v>
      </c>
      <c r="G262" s="59">
        <v>1477.7228137094341</v>
      </c>
      <c r="H262" s="59">
        <v>3139.1600882232401</v>
      </c>
      <c r="J262" s="59">
        <v>121.92248976986323</v>
      </c>
      <c r="K262" s="59">
        <v>463.64009077652565</v>
      </c>
      <c r="L262" s="59">
        <v>190.23857588377643</v>
      </c>
      <c r="M262" s="59">
        <v>2207.5473719964339</v>
      </c>
      <c r="N262" s="59">
        <v>420.8295621276423</v>
      </c>
      <c r="P262" s="59">
        <v>596.78189405841408</v>
      </c>
      <c r="R262" s="59">
        <v>637092.12121237582</v>
      </c>
      <c r="S262" s="59">
        <v>94835326.105874553</v>
      </c>
    </row>
    <row r="263" spans="2:19" x14ac:dyDescent="0.2">
      <c r="B263" s="59">
        <v>260</v>
      </c>
      <c r="C263" s="59">
        <v>46</v>
      </c>
      <c r="D263" s="59">
        <v>104.37334199637806</v>
      </c>
      <c r="E263" s="59">
        <v>836.4614253989298</v>
      </c>
      <c r="F263" s="59">
        <v>1027.1591505424601</v>
      </c>
      <c r="G263" s="59">
        <v>1473.2886398421763</v>
      </c>
      <c r="H263" s="59">
        <v>3138.5860510048415</v>
      </c>
      <c r="J263" s="59">
        <v>121.9241978434647</v>
      </c>
      <c r="K263" s="59">
        <v>464.16057160728997</v>
      </c>
      <c r="L263" s="59">
        <v>190.38955240223885</v>
      </c>
      <c r="M263" s="59">
        <v>2220.4931599303886</v>
      </c>
      <c r="N263" s="59">
        <v>423.16390943183637</v>
      </c>
      <c r="P263" s="59">
        <v>595.49371606199963</v>
      </c>
      <c r="R263" s="59">
        <v>637089.85027964355</v>
      </c>
      <c r="S263" s="59">
        <v>95168186.060964525</v>
      </c>
    </row>
    <row r="264" spans="2:19" x14ac:dyDescent="0.2">
      <c r="B264" s="59">
        <v>261</v>
      </c>
      <c r="C264" s="59">
        <v>46</v>
      </c>
      <c r="D264" s="59">
        <v>103.32265035361452</v>
      </c>
      <c r="E264" s="59">
        <v>831.2892509354424</v>
      </c>
      <c r="F264" s="59">
        <v>1022.4872270692728</v>
      </c>
      <c r="G264" s="59">
        <v>1468.8518997598433</v>
      </c>
      <c r="H264" s="59">
        <v>3137.9718672152262</v>
      </c>
      <c r="J264" s="59">
        <v>121.924197241244</v>
      </c>
      <c r="K264" s="59">
        <v>464.67288733576879</v>
      </c>
      <c r="L264" s="59">
        <v>190.53739822405839</v>
      </c>
      <c r="M264" s="59">
        <v>2233.4492038389953</v>
      </c>
      <c r="N264" s="59">
        <v>425.49341802653834</v>
      </c>
      <c r="P264" s="59">
        <v>594.20537878572566</v>
      </c>
      <c r="R264" s="59">
        <v>637079.62662015273</v>
      </c>
      <c r="S264" s="59">
        <v>95500210.613124803</v>
      </c>
    </row>
    <row r="265" spans="2:19" x14ac:dyDescent="0.2">
      <c r="B265" s="59">
        <v>262</v>
      </c>
      <c r="C265" s="59">
        <v>46</v>
      </c>
      <c r="D265" s="59">
        <v>102.28253567338814</v>
      </c>
      <c r="E265" s="59">
        <v>826.14510631946791</v>
      </c>
      <c r="F265" s="59">
        <v>1017.8268660374675</v>
      </c>
      <c r="G265" s="59">
        <v>1464.4127338979335</v>
      </c>
      <c r="H265" s="59">
        <v>3137.3177020747526</v>
      </c>
      <c r="J265" s="59">
        <v>121.92249567888057</v>
      </c>
      <c r="K265" s="59">
        <v>465.17706097056987</v>
      </c>
      <c r="L265" s="59">
        <v>190.68212295216887</v>
      </c>
      <c r="M265" s="59">
        <v>2246.4152901990942</v>
      </c>
      <c r="N265" s="59">
        <v>427.81808619628094</v>
      </c>
      <c r="P265" s="59">
        <v>592.9168992629111</v>
      </c>
      <c r="R265" s="59">
        <v>637061.48158072657</v>
      </c>
      <c r="S265" s="59">
        <v>95831397.740879208</v>
      </c>
    </row>
    <row r="266" spans="2:19" x14ac:dyDescent="0.2">
      <c r="B266" s="59">
        <v>263</v>
      </c>
      <c r="C266" s="59">
        <v>46</v>
      </c>
      <c r="D266" s="59">
        <v>101.25289148094269</v>
      </c>
      <c r="E266" s="59">
        <v>821.02888725551941</v>
      </c>
      <c r="F266" s="59">
        <v>1013.1781467059438</v>
      </c>
      <c r="G266" s="59">
        <v>1459.9712820982272</v>
      </c>
      <c r="H266" s="59">
        <v>3136.6237213792788</v>
      </c>
      <c r="J266" s="59">
        <v>121.91910086344123</v>
      </c>
      <c r="K266" s="59">
        <v>465.67311555027794</v>
      </c>
      <c r="L266" s="59">
        <v>190.82373621162012</v>
      </c>
      <c r="M266" s="59">
        <v>2259.3912061609972</v>
      </c>
      <c r="N266" s="59">
        <v>430.13791229375573</v>
      </c>
      <c r="P266" s="59">
        <v>591.62829446379055</v>
      </c>
      <c r="R266" s="59">
        <v>637035.44652592856</v>
      </c>
      <c r="S266" s="59">
        <v>96161745.464563206</v>
      </c>
    </row>
    <row r="267" spans="2:19" x14ac:dyDescent="0.2">
      <c r="B267" s="59">
        <v>264</v>
      </c>
      <c r="C267" s="59">
        <v>47</v>
      </c>
      <c r="D267" s="59">
        <v>100.23361237336788</v>
      </c>
      <c r="E267" s="59">
        <v>815.9404891817677</v>
      </c>
      <c r="F267" s="59">
        <v>1008.5411467771542</v>
      </c>
      <c r="G267" s="59">
        <v>1455.527683599006</v>
      </c>
      <c r="H267" s="59">
        <v>3135.8900914916999</v>
      </c>
      <c r="J267" s="59">
        <v>121.91402049380343</v>
      </c>
      <c r="K267" s="59">
        <v>466.16107414462488</v>
      </c>
      <c r="L267" s="59">
        <v>190.96224764957651</v>
      </c>
      <c r="M267" s="59">
        <v>2272.3767395494256</v>
      </c>
      <c r="N267" s="59">
        <v>432.45289473957837</v>
      </c>
      <c r="P267" s="59">
        <v>590.33958129542998</v>
      </c>
      <c r="Q267" s="59">
        <v>7084.0749755451607</v>
      </c>
      <c r="R267" s="59">
        <v>637001.55283836764</v>
      </c>
      <c r="S267" s="59">
        <v>96491251.846030563</v>
      </c>
    </row>
    <row r="268" spans="2:19" x14ac:dyDescent="0.2">
      <c r="B268" s="59">
        <v>265</v>
      </c>
      <c r="C268" s="59">
        <v>47</v>
      </c>
      <c r="D268" s="59">
        <v>99.224594008809305</v>
      </c>
      <c r="E268" s="59">
        <v>810.87980728246293</v>
      </c>
      <c r="F268" s="59">
        <v>1003.915942411274</v>
      </c>
      <c r="G268" s="59">
        <v>1451.0820770255141</v>
      </c>
      <c r="H268" s="59">
        <v>3135.1169793334298</v>
      </c>
      <c r="J268" s="59">
        <v>121.90726226106051</v>
      </c>
      <c r="K268" s="59">
        <v>466.64095985562341</v>
      </c>
      <c r="L268" s="59">
        <v>191.09766693531481</v>
      </c>
      <c r="M268" s="59">
        <v>2285.371678864462</v>
      </c>
      <c r="N268" s="59">
        <v>434.76303202205355</v>
      </c>
      <c r="P268" s="59">
        <v>589.05077660164261</v>
      </c>
      <c r="R268" s="59">
        <v>636959.83191898081</v>
      </c>
      <c r="S268" s="59">
        <v>96819914.988361612</v>
      </c>
    </row>
    <row r="269" spans="2:19" x14ac:dyDescent="0.2">
      <c r="B269" s="59">
        <v>266</v>
      </c>
      <c r="C269" s="59">
        <v>47</v>
      </c>
      <c r="D269" s="59">
        <v>98.225733095787291</v>
      </c>
      <c r="E269" s="59">
        <v>805.84673650015861</v>
      </c>
      <c r="F269" s="59">
        <v>999.30260824031518</v>
      </c>
      <c r="G269" s="59">
        <v>1446.6346003806555</v>
      </c>
      <c r="H269" s="59">
        <v>3134.3045523758315</v>
      </c>
      <c r="J269" s="59">
        <v>121.89883384890923</v>
      </c>
      <c r="K269" s="59">
        <v>467.11279581866495</v>
      </c>
      <c r="L269" s="59">
        <v>191.23000376022054</v>
      </c>
      <c r="M269" s="59">
        <v>2298.3758132825224</v>
      </c>
      <c r="N269" s="59">
        <v>437.0683226969395</v>
      </c>
      <c r="P269" s="59">
        <v>587.76189716290344</v>
      </c>
      <c r="R269" s="59">
        <v>636910.31518729497</v>
      </c>
      <c r="S269" s="59">
        <v>97147733.03557317</v>
      </c>
    </row>
    <row r="270" spans="2:19" x14ac:dyDescent="0.2">
      <c r="B270" s="59">
        <v>267</v>
      </c>
      <c r="C270" s="59">
        <v>47</v>
      </c>
      <c r="D270" s="59">
        <v>97.236927382623037</v>
      </c>
      <c r="E270" s="59">
        <v>800.8411715477414</v>
      </c>
      <c r="F270" s="59">
        <v>994.7012173821787</v>
      </c>
      <c r="G270" s="59">
        <v>1442.185391035925</v>
      </c>
      <c r="H270" s="59">
        <v>3133.4529786315989</v>
      </c>
      <c r="J270" s="59">
        <v>121.8887429340203</v>
      </c>
      <c r="K270" s="59">
        <v>467.57660520358172</v>
      </c>
      <c r="L270" s="59">
        <v>191.35926783778334</v>
      </c>
      <c r="M270" s="59">
        <v>2311.3889326573394</v>
      </c>
      <c r="N270" s="59">
        <v>439.3687653872127</v>
      </c>
      <c r="P270" s="59">
        <v>586.47295969626362</v>
      </c>
      <c r="R270" s="59">
        <v>636853.03408166661</v>
      </c>
      <c r="S270" s="59">
        <v>97474704.172330081</v>
      </c>
    </row>
    <row r="271" spans="2:19" x14ac:dyDescent="0.2">
      <c r="B271" s="59">
        <v>268</v>
      </c>
      <c r="C271" s="59">
        <v>47</v>
      </c>
      <c r="D271" s="59">
        <v>96.258075646971292</v>
      </c>
      <c r="E271" s="59">
        <v>795.86300692026873</v>
      </c>
      <c r="F271" s="59">
        <v>990.11184145464904</v>
      </c>
      <c r="G271" s="59">
        <v>1437.7345857225714</v>
      </c>
      <c r="H271" s="59">
        <v>3132.56242664609</v>
      </c>
      <c r="J271" s="59">
        <v>121.87699718639185</v>
      </c>
      <c r="K271" s="59">
        <v>468.03241121567351</v>
      </c>
      <c r="L271" s="59">
        <v>191.4854689035902</v>
      </c>
      <c r="M271" s="59">
        <v>2324.4108275209664</v>
      </c>
      <c r="N271" s="59">
        <v>441.66435878283193</v>
      </c>
      <c r="P271" s="59">
        <v>585.18398085526508</v>
      </c>
      <c r="R271" s="59">
        <v>636788.02005950059</v>
      </c>
      <c r="S271" s="59">
        <v>97800826.62365827</v>
      </c>
    </row>
    <row r="272" spans="2:19" x14ac:dyDescent="0.2">
      <c r="B272" s="59">
        <v>269</v>
      </c>
      <c r="C272" s="59">
        <v>47</v>
      </c>
      <c r="D272" s="59">
        <v>95.289077685458452</v>
      </c>
      <c r="E272" s="59">
        <v>790.91213690661675</v>
      </c>
      <c r="F272" s="59">
        <v>985.53455058932718</v>
      </c>
      <c r="G272" s="59">
        <v>1433.2823205229877</v>
      </c>
      <c r="H272" s="59">
        <v>3131.6330654886165</v>
      </c>
      <c r="J272" s="59">
        <v>121.86360426968669</v>
      </c>
      <c r="K272" s="59">
        <v>468.48023709669957</v>
      </c>
      <c r="L272" s="59">
        <v>191.6086167153168</v>
      </c>
      <c r="M272" s="59">
        <v>2337.4412890847925</v>
      </c>
      <c r="N272" s="59">
        <v>443.95510164050239</v>
      </c>
      <c r="P272" s="59">
        <v>583.89497722985413</v>
      </c>
      <c r="R272" s="59">
        <v>636715.30459744774</v>
      </c>
      <c r="S272" s="59">
        <v>98126098.65465948</v>
      </c>
    </row>
    <row r="273" spans="2:19" x14ac:dyDescent="0.2">
      <c r="B273" s="59">
        <v>270</v>
      </c>
      <c r="C273" s="59">
        <v>47</v>
      </c>
      <c r="D273" s="59">
        <v>94.329834303424832</v>
      </c>
      <c r="E273" s="59">
        <v>785.98845560094105</v>
      </c>
      <c r="F273" s="59">
        <v>980.96941344550248</v>
      </c>
      <c r="G273" s="59">
        <v>1428.8287308623264</v>
      </c>
      <c r="H273" s="59">
        <v>3130.6650647436927</v>
      </c>
      <c r="J273" s="59">
        <v>121.84857184155345</v>
      </c>
      <c r="K273" s="59">
        <v>468.92010612583584</v>
      </c>
      <c r="L273" s="59">
        <v>191.72872105271651</v>
      </c>
      <c r="M273" s="59">
        <v>2350.4801092405719</v>
      </c>
      <c r="N273" s="59">
        <v>446.24099278343942</v>
      </c>
      <c r="P273" s="59">
        <v>582.60596534629497</v>
      </c>
      <c r="R273" s="59">
        <v>636634.91919158096</v>
      </c>
      <c r="S273" s="59">
        <v>98450518.570227444</v>
      </c>
    </row>
    <row r="274" spans="2:19" x14ac:dyDescent="0.2">
      <c r="B274" s="59">
        <v>271</v>
      </c>
      <c r="C274" s="59">
        <v>47</v>
      </c>
      <c r="D274" s="59">
        <v>93.38024730477035</v>
      </c>
      <c r="E274" s="59">
        <v>781.09185691395248</v>
      </c>
      <c r="F274" s="59">
        <v>976.41649722396301</v>
      </c>
      <c r="G274" s="59">
        <v>1424.3739515003392</v>
      </c>
      <c r="H274" s="59">
        <v>3129.6585945022416</v>
      </c>
      <c r="J274" s="59">
        <v>121.83190755393208</v>
      </c>
      <c r="K274" s="59">
        <v>469.35204162059796</v>
      </c>
      <c r="L274" s="59">
        <v>191.84579171760683</v>
      </c>
      <c r="M274" s="59">
        <v>2363.5270805614691</v>
      </c>
      <c r="N274" s="59">
        <v>448.5220311011318</v>
      </c>
      <c r="P274" s="59">
        <v>581.31696166708332</v>
      </c>
      <c r="R274" s="59">
        <v>636546.89535754989</v>
      </c>
      <c r="S274" s="59">
        <v>98774084.714765698</v>
      </c>
    </row>
    <row r="275" spans="2:19" x14ac:dyDescent="0.2">
      <c r="B275" s="59">
        <v>272</v>
      </c>
      <c r="C275" s="59">
        <v>47</v>
      </c>
      <c r="D275" s="59">
        <v>92.440219481902332</v>
      </c>
      <c r="E275" s="59">
        <v>776.22223458401072</v>
      </c>
      <c r="F275" s="59">
        <v>971.875867680743</v>
      </c>
      <c r="G275" s="59">
        <v>1419.9181165234338</v>
      </c>
      <c r="H275" s="59">
        <v>3128.6138253527674</v>
      </c>
      <c r="J275" s="59">
        <v>121.81361905334413</v>
      </c>
      <c r="K275" s="59">
        <v>469.77606693773038</v>
      </c>
      <c r="L275" s="59">
        <v>191.95983853385303</v>
      </c>
      <c r="M275" s="59">
        <v>2376.581996303114</v>
      </c>
      <c r="N275" s="59">
        <v>450.79821554910529</v>
      </c>
      <c r="P275" s="59">
        <v>580.02798259085989</v>
      </c>
      <c r="R275" s="59">
        <v>636451.26463071641</v>
      </c>
      <c r="S275" s="59">
        <v>99096795.471906826</v>
      </c>
    </row>
    <row r="276" spans="2:19" x14ac:dyDescent="0.2">
      <c r="B276" s="59">
        <v>273</v>
      </c>
      <c r="C276" s="59">
        <v>47</v>
      </c>
      <c r="D276" s="59">
        <v>91.509654605784519</v>
      </c>
      <c r="E276" s="59">
        <v>771.37948218803763</v>
      </c>
      <c r="F276" s="59">
        <v>967.34758914080669</v>
      </c>
      <c r="G276" s="59">
        <v>1415.461359336949</v>
      </c>
      <c r="H276" s="59">
        <v>3127.530928372491</v>
      </c>
      <c r="J276" s="59">
        <v>121.79371398116798</v>
      </c>
      <c r="K276" s="59">
        <v>470.19220547406184</v>
      </c>
      <c r="L276" s="59">
        <v>192.07087134734869</v>
      </c>
      <c r="M276" s="59">
        <v>2389.6446504046717</v>
      </c>
      <c r="N276" s="59">
        <v>453.06954514868539</v>
      </c>
      <c r="P276" s="59">
        <v>578.73904445232324</v>
      </c>
      <c r="R276" s="59">
        <v>636348.05856626725</v>
      </c>
      <c r="S276" s="59">
        <v>99418649.264233217</v>
      </c>
    </row>
    <row r="277" spans="2:19" x14ac:dyDescent="0.2">
      <c r="B277" s="59">
        <v>274</v>
      </c>
      <c r="C277" s="59">
        <v>47</v>
      </c>
      <c r="D277" s="59">
        <v>90.588457416086285</v>
      </c>
      <c r="E277" s="59">
        <v>766.56349315225259</v>
      </c>
      <c r="F277" s="59">
        <v>962.83172451166934</v>
      </c>
      <c r="G277" s="59">
        <v>1411.0038126576433</v>
      </c>
      <c r="H277" s="59">
        <v>3126.4100751184515</v>
      </c>
      <c r="J277" s="59">
        <v>121.77219997389987</v>
      </c>
      <c r="K277" s="59">
        <v>470.60048066732782</v>
      </c>
      <c r="L277" s="59">
        <v>192.17890002599307</v>
      </c>
      <c r="M277" s="59">
        <v>2402.7148374899202</v>
      </c>
      <c r="N277" s="59">
        <v>455.33601898676017</v>
      </c>
      <c r="P277" s="59">
        <v>577.45016352214338</v>
      </c>
      <c r="R277" s="59">
        <v>636237.30873930734</v>
      </c>
      <c r="S277" s="59">
        <v>99739644.552999347</v>
      </c>
    </row>
    <row r="278" spans="2:19" x14ac:dyDescent="0.2">
      <c r="B278" s="59">
        <v>275</v>
      </c>
      <c r="C278" s="59">
        <v>47</v>
      </c>
      <c r="D278" s="59">
        <v>89.676533611431012</v>
      </c>
      <c r="E278" s="59">
        <v>761.77416076273278</v>
      </c>
      <c r="F278" s="59">
        <v>958.32833529695245</v>
      </c>
      <c r="G278" s="59">
        <v>1406.5456085063945</v>
      </c>
      <c r="H278" s="59">
        <v>3125.2514376185813</v>
      </c>
      <c r="J278" s="59">
        <v>121.74908466340027</v>
      </c>
      <c r="K278" s="59">
        <v>471.0009159969598</v>
      </c>
      <c r="L278" s="59">
        <v>192.28393445966506</v>
      </c>
      <c r="M278" s="59">
        <v>2415.7923528683446</v>
      </c>
      <c r="N278" s="59">
        <v>457.59763621554254</v>
      </c>
      <c r="P278" s="59">
        <v>576.16135600687471</v>
      </c>
      <c r="R278" s="59">
        <v>636119.04674493242</v>
      </c>
      <c r="S278" s="59">
        <v>100059779.83785547</v>
      </c>
    </row>
    <row r="279" spans="2:19" x14ac:dyDescent="0.2">
      <c r="B279" s="59">
        <v>276</v>
      </c>
      <c r="C279" s="59">
        <v>48</v>
      </c>
      <c r="D279" s="59">
        <v>88.773789839742605</v>
      </c>
      <c r="E279" s="59">
        <v>757.01137817580002</v>
      </c>
      <c r="F279" s="59">
        <v>953.83748160987489</v>
      </c>
      <c r="G279" s="59">
        <v>1402.0868782011084</v>
      </c>
      <c r="H279" s="59">
        <v>3124.0551883627486</v>
      </c>
      <c r="J279" s="59">
        <v>121.72437567712677</v>
      </c>
      <c r="K279" s="59">
        <v>471.39353498484269</v>
      </c>
      <c r="L279" s="59">
        <v>192.38598456019346</v>
      </c>
      <c r="M279" s="59">
        <v>2428.876992536234</v>
      </c>
      <c r="N279" s="59">
        <v>459.85439605233262</v>
      </c>
      <c r="P279" s="59">
        <v>574.8726380488697</v>
      </c>
      <c r="Q279" s="59">
        <v>6898.4716565864373</v>
      </c>
      <c r="R279" s="59">
        <v>635993.30419828137</v>
      </c>
      <c r="S279" s="59">
        <v>100379053.65657279</v>
      </c>
    </row>
    <row r="280" spans="2:19" x14ac:dyDescent="0.2">
      <c r="B280" s="59">
        <v>277</v>
      </c>
      <c r="C280" s="59">
        <v>48</v>
      </c>
      <c r="D280" s="59">
        <v>87.880133688689199</v>
      </c>
      <c r="E280" s="59">
        <v>752.2750384282366</v>
      </c>
      <c r="F280" s="59">
        <v>949.35922218667827</v>
      </c>
      <c r="G280" s="59">
        <v>1397.6277523498327</v>
      </c>
      <c r="H280" s="59">
        <v>3122.8215002937754</v>
      </c>
      <c r="J280" s="59">
        <v>121.69808063835337</v>
      </c>
      <c r="K280" s="59">
        <v>471.77836119603927</v>
      </c>
      <c r="L280" s="59">
        <v>192.48506026132355</v>
      </c>
      <c r="M280" s="59">
        <v>2441.9685531777959</v>
      </c>
      <c r="N280" s="59">
        <v>462.10629777927954</v>
      </c>
      <c r="P280" s="59">
        <v>573.58402572619195</v>
      </c>
      <c r="R280" s="59">
        <v>635860.11273456889</v>
      </c>
      <c r="S280" s="59">
        <v>100697464.58477001</v>
      </c>
    </row>
    <row r="281" spans="2:19" x14ac:dyDescent="0.2">
      <c r="B281" s="59">
        <v>278</v>
      </c>
      <c r="C281" s="59">
        <v>48</v>
      </c>
      <c r="D281" s="59">
        <v>86.995473676223057</v>
      </c>
      <c r="E281" s="59">
        <v>747.56503444733232</v>
      </c>
      <c r="F281" s="59">
        <v>944.89361439998572</v>
      </c>
      <c r="G281" s="59">
        <v>1393.1683608440737</v>
      </c>
      <c r="H281" s="59">
        <v>3121.5505467984335</v>
      </c>
      <c r="J281" s="59">
        <v>121.67020716637651</v>
      </c>
      <c r="K281" s="59">
        <v>472.15541823948371</v>
      </c>
      <c r="L281" s="59">
        <v>192.58117151867967</v>
      </c>
      <c r="M281" s="59">
        <v>2455.0668321662729</v>
      </c>
      <c r="N281" s="59">
        <v>464.35334074314312</v>
      </c>
      <c r="P281" s="59">
        <v>572.29553505253011</v>
      </c>
      <c r="R281" s="59">
        <v>635719.50400909735</v>
      </c>
      <c r="S281" s="59">
        <v>101015011.23564139</v>
      </c>
    </row>
    <row r="282" spans="2:19" x14ac:dyDescent="0.2">
      <c r="B282" s="59">
        <v>279</v>
      </c>
      <c r="C282" s="59">
        <v>48</v>
      </c>
      <c r="D282" s="59">
        <v>86.119719241215748</v>
      </c>
      <c r="E282" s="59">
        <v>742.88125906076527</v>
      </c>
      <c r="F282" s="59">
        <v>940.44071427209451</v>
      </c>
      <c r="G282" s="59">
        <v>1388.7088328523137</v>
      </c>
      <c r="H282" s="59">
        <v>3120.2425016984134</v>
      </c>
      <c r="J282" s="59">
        <v>121.64076287670831</v>
      </c>
      <c r="K282" s="59">
        <v>472.52472976864317</v>
      </c>
      <c r="L282" s="59">
        <v>192.67432830972379</v>
      </c>
      <c r="M282" s="59">
        <v>2468.171627565071</v>
      </c>
      <c r="N282" s="59">
        <v>466.59552435505509</v>
      </c>
      <c r="P282" s="59">
        <v>571.0071819771116</v>
      </c>
      <c r="R282" s="59">
        <v>635571.50969725009</v>
      </c>
      <c r="S282" s="59">
        <v>101331692.2596861</v>
      </c>
    </row>
    <row r="283" spans="2:19" x14ac:dyDescent="0.2">
      <c r="B283" s="59">
        <v>280</v>
      </c>
      <c r="C283" s="59">
        <v>48</v>
      </c>
      <c r="D283" s="59">
        <v>85.25278073418751</v>
      </c>
      <c r="E283" s="59">
        <v>738.22360500631748</v>
      </c>
      <c r="F283" s="59">
        <v>936.0005764882012</v>
      </c>
      <c r="G283" s="59">
        <v>1384.2492968137258</v>
      </c>
      <c r="H283" s="59">
        <v>3118.8975392412799</v>
      </c>
      <c r="J283" s="59">
        <v>121.60975538125734</v>
      </c>
      <c r="K283" s="59">
        <v>472.88631948214856</v>
      </c>
      <c r="L283" s="59">
        <v>192.76454063370986</v>
      </c>
      <c r="M283" s="59">
        <v>2481.2827381288962</v>
      </c>
      <c r="N283" s="59">
        <v>468.83284809028038</v>
      </c>
      <c r="P283" s="59">
        <v>569.71898238461688</v>
      </c>
      <c r="R283" s="59">
        <v>635416.16149446461</v>
      </c>
      <c r="S283" s="59">
        <v>101647506.34443898</v>
      </c>
    </row>
    <row r="284" spans="2:19" x14ac:dyDescent="0.2">
      <c r="B284" s="59">
        <v>281</v>
      </c>
      <c r="C284" s="59">
        <v>48</v>
      </c>
      <c r="D284" s="59">
        <v>84.394569408130025</v>
      </c>
      <c r="E284" s="59">
        <v>733.59196494142907</v>
      </c>
      <c r="F284" s="59">
        <v>931.57325440955935</v>
      </c>
      <c r="G284" s="59">
        <v>1379.7898804320841</v>
      </c>
      <c r="H284" s="59">
        <v>3117.515834091404</v>
      </c>
      <c r="J284" s="59">
        <v>121.57719228849714</v>
      </c>
      <c r="K284" s="59">
        <v>473.24021112439442</v>
      </c>
      <c r="L284" s="59">
        <v>192.85181851163381</v>
      </c>
      <c r="M284" s="59">
        <v>2494.3999633048948</v>
      </c>
      <c r="N284" s="59">
        <v>471.06531148797762</v>
      </c>
      <c r="P284" s="59">
        <v>568.4309520950934</v>
      </c>
      <c r="R284" s="59">
        <v>635253.49111618649</v>
      </c>
      <c r="S284" s="59">
        <v>101962452.21420275</v>
      </c>
    </row>
    <row r="285" spans="2:19" x14ac:dyDescent="0.2">
      <c r="B285" s="59">
        <v>282</v>
      </c>
      <c r="C285" s="59">
        <v>48</v>
      </c>
      <c r="D285" s="59">
        <v>83.544997409421512</v>
      </c>
      <c r="E285" s="59">
        <v>728.98623145259171</v>
      </c>
      <c r="F285" s="59">
        <v>927.15880008656916</v>
      </c>
      <c r="G285" s="59">
        <v>1375.330710669866</v>
      </c>
      <c r="H285" s="59">
        <v>3116.0975613208816</v>
      </c>
      <c r="J285" s="59">
        <v>121.54308120362276</v>
      </c>
      <c r="K285" s="59">
        <v>473.58642848610884</v>
      </c>
      <c r="L285" s="59">
        <v>192.93617198617918</v>
      </c>
      <c r="M285" s="59">
        <v>2507.5231032338038</v>
      </c>
      <c r="N285" s="59">
        <v>473.29291415095986</v>
      </c>
      <c r="P285" s="59">
        <v>567.14310686387114</v>
      </c>
      <c r="R285" s="59">
        <v>635083.53029780462</v>
      </c>
      <c r="S285" s="59">
        <v>102276528.62978141</v>
      </c>
    </row>
    <row r="286" spans="2:19" x14ac:dyDescent="0.2">
      <c r="B286" s="59">
        <v>283</v>
      </c>
      <c r="C286" s="59">
        <v>48</v>
      </c>
      <c r="D286" s="59">
        <v>82.70397776883334</v>
      </c>
      <c r="E286" s="59">
        <v>724.40629706458435</v>
      </c>
      <c r="F286" s="59">
        <v>922.75726427179859</v>
      </c>
      <c r="G286" s="59">
        <v>1370.8719137425442</v>
      </c>
      <c r="H286" s="59">
        <v>3114.6428964004381</v>
      </c>
      <c r="J286" s="59">
        <v>121.50742972869584</v>
      </c>
      <c r="K286" s="59">
        <v>473.92499540489308</v>
      </c>
      <c r="L286" s="59">
        <v>193.01761112165818</v>
      </c>
      <c r="M286" s="59">
        <v>2520.6519587511038</v>
      </c>
      <c r="N286" s="59">
        <v>475.51565574545469</v>
      </c>
      <c r="P286" s="59">
        <v>565.8554623814772</v>
      </c>
      <c r="R286" s="59">
        <v>634906.31079456734</v>
      </c>
      <c r="S286" s="59">
        <v>102589734.38821512</v>
      </c>
    </row>
    <row r="287" spans="2:19" x14ac:dyDescent="0.2">
      <c r="B287" s="59">
        <v>284</v>
      </c>
      <c r="C287" s="59">
        <v>48</v>
      </c>
      <c r="D287" s="59">
        <v>81.871424392627091</v>
      </c>
      <c r="E287" s="59">
        <v>719.85205424955257</v>
      </c>
      <c r="F287" s="59">
        <v>918.36869643293539</v>
      </c>
      <c r="G287" s="59">
        <v>1366.4136151130658</v>
      </c>
      <c r="H287" s="59">
        <v>3113.1520151903205</v>
      </c>
      <c r="J287" s="59">
        <v>121.47024546277824</v>
      </c>
      <c r="K287" s="59">
        <v>474.25593576573192</v>
      </c>
      <c r="L287" s="59">
        <v>193.09614600394818</v>
      </c>
      <c r="M287" s="59">
        <v>2533.7863313881803</v>
      </c>
      <c r="N287" s="59">
        <v>477.73353600086409</v>
      </c>
      <c r="P287" s="59">
        <v>564.56803427355192</v>
      </c>
      <c r="R287" s="59">
        <v>634721.86438148015</v>
      </c>
      <c r="S287" s="59">
        <v>102902068.32251637</v>
      </c>
    </row>
    <row r="288" spans="2:19" x14ac:dyDescent="0.2">
      <c r="B288" s="59">
        <v>285</v>
      </c>
      <c r="C288" s="59">
        <v>48</v>
      </c>
      <c r="D288" s="59">
        <v>81.047252053741317</v>
      </c>
      <c r="E288" s="59">
        <v>715.323395435934</v>
      </c>
      <c r="F288" s="59">
        <v>913.99314476566997</v>
      </c>
      <c r="G288" s="59">
        <v>1361.9559394865164</v>
      </c>
      <c r="H288" s="59">
        <v>3111.6250939311794</v>
      </c>
      <c r="J288" s="59">
        <v>121.43153600205474</v>
      </c>
      <c r="K288" s="59">
        <v>474.5792735014744</v>
      </c>
      <c r="L288" s="59">
        <v>193.17178674042336</v>
      </c>
      <c r="M288" s="59">
        <v>2546.9260233734863</v>
      </c>
      <c r="N288" s="59">
        <v>479.94655470952421</v>
      </c>
      <c r="P288" s="59">
        <v>563.28083810076441</v>
      </c>
      <c r="R288" s="59">
        <v>634530.22285318456</v>
      </c>
      <c r="S288" s="59">
        <v>103213529.30140737</v>
      </c>
    </row>
    <row r="289" spans="2:19" x14ac:dyDescent="0.2">
      <c r="B289" s="59">
        <v>286</v>
      </c>
      <c r="C289" s="59">
        <v>48</v>
      </c>
      <c r="D289" s="59">
        <v>80.231376383066987</v>
      </c>
      <c r="E289" s="59">
        <v>710.82021301723205</v>
      </c>
      <c r="F289" s="59">
        <v>909.63065620650866</v>
      </c>
      <c r="G289" s="59">
        <v>1357.499010804966</v>
      </c>
      <c r="H289" s="59">
        <v>3110.0623092349415</v>
      </c>
      <c r="J289" s="59">
        <v>121.39130893994508</v>
      </c>
      <c r="K289" s="59">
        <v>474.89503259328603</v>
      </c>
      <c r="L289" s="59">
        <v>193.24454345988187</v>
      </c>
      <c r="M289" s="59">
        <v>2560.0708376337111</v>
      </c>
      <c r="N289" s="59">
        <v>482.1547117264646</v>
      </c>
      <c r="P289" s="59">
        <v>561.99388935873003</v>
      </c>
      <c r="R289" s="59">
        <v>634331.41802381969</v>
      </c>
      <c r="S289" s="59">
        <v>103524116.22905883</v>
      </c>
    </row>
    <row r="290" spans="2:19" x14ac:dyDescent="0.2">
      <c r="B290" s="59">
        <v>287</v>
      </c>
      <c r="C290" s="59">
        <v>48</v>
      </c>
      <c r="D290" s="59">
        <v>79.423713860810778</v>
      </c>
      <c r="E290" s="59">
        <v>706.34239936063943</v>
      </c>
      <c r="F290" s="59">
        <v>905.28127644551694</v>
      </c>
      <c r="G290" s="59">
        <v>1353.0429522424949</v>
      </c>
      <c r="H290" s="59">
        <v>3108.4638380756774</v>
      </c>
      <c r="J290" s="59">
        <v>121.34957186720528</v>
      </c>
      <c r="K290" s="59">
        <v>475.20323707107235</v>
      </c>
      <c r="L290" s="59">
        <v>193.31442631246784</v>
      </c>
      <c r="M290" s="59">
        <v>2573.2205777949516</v>
      </c>
      <c r="N290" s="59">
        <v>484.35800696916721</v>
      </c>
      <c r="P290" s="59">
        <v>560.70720347792712</v>
      </c>
      <c r="R290" s="59">
        <v>634125.48172686528</v>
      </c>
      <c r="S290" s="59">
        <v>103833828.04482999</v>
      </c>
    </row>
    <row r="291" spans="2:19" x14ac:dyDescent="0.2">
      <c r="B291" s="59">
        <v>288</v>
      </c>
      <c r="C291" s="59">
        <v>49</v>
      </c>
      <c r="D291" s="59">
        <v>78.624181807945277</v>
      </c>
      <c r="E291" s="59">
        <v>701.88984681551358</v>
      </c>
      <c r="F291" s="59">
        <v>900.94504993899193</v>
      </c>
      <c r="G291" s="59">
        <v>1348.5878862003958</v>
      </c>
      <c r="H291" s="59">
        <v>3106.829857780463</v>
      </c>
      <c r="J291" s="59">
        <v>121.30633237201913</v>
      </c>
      <c r="K291" s="59">
        <v>475.50391101387447</v>
      </c>
      <c r="L291" s="59">
        <v>193.38144546958878</v>
      </c>
      <c r="M291" s="59">
        <v>2586.3750481838861</v>
      </c>
      <c r="N291" s="59">
        <v>486.55644041732523</v>
      </c>
      <c r="P291" s="59">
        <v>559.42079582361475</v>
      </c>
      <c r="Q291" s="59">
        <v>6713.0495498833779</v>
      </c>
      <c r="R291" s="59">
        <v>633912.44581496704</v>
      </c>
      <c r="S291" s="59">
        <v>104142663.72300993</v>
      </c>
    </row>
    <row r="292" spans="2:19" x14ac:dyDescent="0.2">
      <c r="B292" s="59">
        <v>289</v>
      </c>
      <c r="C292" s="59">
        <v>49</v>
      </c>
      <c r="D292" s="59">
        <v>77.832698377745288</v>
      </c>
      <c r="E292" s="59">
        <v>697.46244772170621</v>
      </c>
      <c r="F292" s="59">
        <v>896.62201992206451</v>
      </c>
      <c r="G292" s="59">
        <v>1344.1339343025518</v>
      </c>
      <c r="H292" s="59">
        <v>3105.1605460202395</v>
      </c>
      <c r="J292" s="59">
        <v>121.26159804007951</v>
      </c>
      <c r="K292" s="59">
        <v>475.79707855023656</v>
      </c>
      <c r="L292" s="59">
        <v>193.4456111238278</v>
      </c>
      <c r="M292" s="59">
        <v>2599.5340538289506</v>
      </c>
      <c r="N292" s="59">
        <v>488.75001211260155</v>
      </c>
      <c r="P292" s="59">
        <v>558.13468169575208</v>
      </c>
      <c r="R292" s="59">
        <v>633692.3421597447</v>
      </c>
      <c r="S292" s="59">
        <v>104450622.27256006</v>
      </c>
    </row>
    <row r="293" spans="2:19" x14ac:dyDescent="0.2">
      <c r="B293" s="59">
        <v>290</v>
      </c>
      <c r="C293" s="59">
        <v>49</v>
      </c>
      <c r="D293" s="59">
        <v>77.049182547409316</v>
      </c>
      <c r="E293" s="59">
        <v>693.06009441774859</v>
      </c>
      <c r="F293" s="59">
        <v>892.31222842123066</v>
      </c>
      <c r="G293" s="59">
        <v>1339.6812173909852</v>
      </c>
      <c r="H293" s="59">
        <v>3103.4560808006686</v>
      </c>
      <c r="J293" s="59">
        <v>121.21537645466016</v>
      </c>
      <c r="K293" s="59">
        <v>476.08276385854623</v>
      </c>
      <c r="L293" s="59">
        <v>193.50693348885113</v>
      </c>
      <c r="M293" s="59">
        <v>2612.6974004615167</v>
      </c>
      <c r="N293" s="59">
        <v>490.93872215838672</v>
      </c>
      <c r="P293" s="59">
        <v>556.84887632891673</v>
      </c>
      <c r="R293" s="59">
        <v>633465.20265158336</v>
      </c>
      <c r="S293" s="59">
        <v>104757702.73685794</v>
      </c>
    </row>
    <row r="294" spans="2:19" x14ac:dyDescent="0.2">
      <c r="B294" s="59">
        <v>291</v>
      </c>
      <c r="C294" s="59">
        <v>49</v>
      </c>
      <c r="D294" s="59">
        <v>76.273554109765399</v>
      </c>
      <c r="E294" s="59">
        <v>688.68267924889449</v>
      </c>
      <c r="F294" s="59">
        <v>888.01571626681073</v>
      </c>
      <c r="G294" s="59">
        <v>1335.2298555215775</v>
      </c>
      <c r="H294" s="59">
        <v>3101.7166404529917</v>
      </c>
      <c r="J294" s="59">
        <v>121.16767519667805</v>
      </c>
      <c r="K294" s="59">
        <v>476.36099116734772</v>
      </c>
      <c r="L294" s="59">
        <v>193.56542279931034</v>
      </c>
      <c r="M294" s="59">
        <v>2625.8648945170703</v>
      </c>
      <c r="N294" s="59">
        <v>493.12257071955707</v>
      </c>
      <c r="P294" s="59">
        <v>555.56339489222546</v>
      </c>
      <c r="R294" s="59">
        <v>633231.059199407</v>
      </c>
      <c r="S294" s="59">
        <v>105063904.1934423</v>
      </c>
    </row>
    <row r="295" spans="2:19" x14ac:dyDescent="0.2">
      <c r="B295" s="59">
        <v>292</v>
      </c>
      <c r="C295" s="59">
        <v>49</v>
      </c>
      <c r="D295" s="59">
        <v>75.505733665060433</v>
      </c>
      <c r="E295" s="59">
        <v>684.33009457502283</v>
      </c>
      <c r="F295" s="59">
        <v>883.7325231053378</v>
      </c>
      <c r="G295" s="59">
        <v>1330.7799679599552</v>
      </c>
      <c r="H295" s="59">
        <v>3099.9424036248893</v>
      </c>
      <c r="J295" s="59">
        <v>121.11850184474663</v>
      </c>
      <c r="K295" s="59">
        <v>476.63178475562842</v>
      </c>
      <c r="L295" s="59">
        <v>193.62108931073973</v>
      </c>
      <c r="M295" s="59">
        <v>2639.0363431363908</v>
      </c>
      <c r="N295" s="59">
        <v>495.30155802223214</v>
      </c>
      <c r="P295" s="59">
        <v>554.27825248925433</v>
      </c>
      <c r="R295" s="59">
        <v>632989.94373043603</v>
      </c>
      <c r="S295" s="59">
        <v>105369225.75375926</v>
      </c>
    </row>
    <row r="296" spans="2:19" x14ac:dyDescent="0.2">
      <c r="B296" s="59">
        <v>293</v>
      </c>
      <c r="C296" s="59">
        <v>49</v>
      </c>
      <c r="D296" s="59">
        <v>74.745642612832157</v>
      </c>
      <c r="E296" s="59">
        <v>680.002232778402</v>
      </c>
      <c r="F296" s="59">
        <v>879.46268741187419</v>
      </c>
      <c r="G296" s="59">
        <v>1326.3316731775417</v>
      </c>
      <c r="H296" s="59">
        <v>3098.1335492713442</v>
      </c>
      <c r="J296" s="59">
        <v>121.06786397522012</v>
      </c>
      <c r="K296" s="59">
        <v>476.89516895307901</v>
      </c>
      <c r="L296" s="59">
        <v>193.67394329944867</v>
      </c>
      <c r="M296" s="59">
        <v>2652.211554166729</v>
      </c>
      <c r="N296" s="59">
        <v>497.4756843535319</v>
      </c>
      <c r="P296" s="59">
        <v>552.99346415796094</v>
      </c>
      <c r="R296" s="59">
        <v>632741.88818992826</v>
      </c>
      <c r="S296" s="59">
        <v>105673666.56290975</v>
      </c>
    </row>
    <row r="297" spans="2:19" x14ac:dyDescent="0.2">
      <c r="B297" s="59">
        <v>294</v>
      </c>
      <c r="C297" s="59">
        <v>49</v>
      </c>
      <c r="D297" s="59">
        <v>73.993203143862985</v>
      </c>
      <c r="E297" s="59">
        <v>675.69898627131693</v>
      </c>
      <c r="F297" s="59">
        <v>875.20624650225534</v>
      </c>
      <c r="G297" s="59">
        <v>1321.8850888477714</v>
      </c>
      <c r="H297" s="59">
        <v>3096.2902566455095</v>
      </c>
      <c r="J297" s="59">
        <v>121.0157691622293</v>
      </c>
      <c r="K297" s="59">
        <v>477.1511681403278</v>
      </c>
      <c r="L297" s="59">
        <v>193.72399506240873</v>
      </c>
      <c r="M297" s="59">
        <v>2665.3903361629873</v>
      </c>
      <c r="N297" s="59">
        <v>499.64495006133382</v>
      </c>
      <c r="P297" s="59">
        <v>551.70904487060682</v>
      </c>
      <c r="R297" s="59">
        <v>632486.9245409033</v>
      </c>
      <c r="S297" s="59">
        <v>105977225.79939814</v>
      </c>
    </row>
    <row r="298" spans="2:19" x14ac:dyDescent="0.2">
      <c r="B298" s="59">
        <v>295</v>
      </c>
      <c r="C298" s="59">
        <v>49</v>
      </c>
      <c r="D298" s="59">
        <v>73.248338232214763</v>
      </c>
      <c r="E298" s="59">
        <v>671.42024750356188</v>
      </c>
      <c r="F298" s="59">
        <v>870.96323654526225</v>
      </c>
      <c r="G298" s="59">
        <v>1317.4403318424636</v>
      </c>
      <c r="H298" s="59">
        <v>3094.4127052895824</v>
      </c>
      <c r="J298" s="59">
        <v>120.96222497770873</v>
      </c>
      <c r="K298" s="59">
        <v>477.39980674914909</v>
      </c>
      <c r="L298" s="59">
        <v>193.77125491713585</v>
      </c>
      <c r="M298" s="59">
        <v>2678.5724983888949</v>
      </c>
      <c r="N298" s="59">
        <v>501.80935555402948</v>
      </c>
      <c r="P298" s="59">
        <v>550.42500953368028</v>
      </c>
      <c r="R298" s="59">
        <v>632225.08476385183</v>
      </c>
      <c r="S298" s="59">
        <v>106279902.67488202</v>
      </c>
    </row>
    <row r="299" spans="2:19" x14ac:dyDescent="0.2">
      <c r="B299" s="59">
        <v>296</v>
      </c>
      <c r="C299" s="59">
        <v>49</v>
      </c>
      <c r="D299" s="59">
        <v>72.510971627343807</v>
      </c>
      <c r="E299" s="59">
        <v>667.1659089697996</v>
      </c>
      <c r="F299" s="59">
        <v>866.73369257472052</v>
      </c>
      <c r="G299" s="59">
        <v>1312.9975182283556</v>
      </c>
      <c r="H299" s="59">
        <v>3092.5010750256888</v>
      </c>
      <c r="J299" s="59">
        <v>120.90723899141581</v>
      </c>
      <c r="K299" s="59">
        <v>477.64110926264681</v>
      </c>
      <c r="L299" s="59">
        <v>193.81573320156738</v>
      </c>
      <c r="M299" s="59">
        <v>2691.7578508181837</v>
      </c>
      <c r="N299" s="59">
        <v>503.96890130028089</v>
      </c>
      <c r="P299" s="59">
        <v>549.14137298782111</v>
      </c>
      <c r="R299" s="59">
        <v>631956.40085642831</v>
      </c>
      <c r="S299" s="59">
        <v>106581696.43392326</v>
      </c>
    </row>
    <row r="300" spans="2:19" x14ac:dyDescent="0.2">
      <c r="B300" s="59">
        <v>297</v>
      </c>
      <c r="C300" s="59">
        <v>49</v>
      </c>
      <c r="D300" s="59">
        <v>71.781027846295217</v>
      </c>
      <c r="E300" s="59">
        <v>662.9358632167897</v>
      </c>
      <c r="F300" s="59">
        <v>862.51764850152745</v>
      </c>
      <c r="G300" s="59">
        <v>1308.5567632637897</v>
      </c>
      <c r="H300" s="59">
        <v>3090.5555459467746</v>
      </c>
      <c r="J300" s="59">
        <v>120.85081877094203</v>
      </c>
      <c r="K300" s="59">
        <v>477.87510021541271</v>
      </c>
      <c r="L300" s="59">
        <v>193.85744027393412</v>
      </c>
      <c r="M300" s="59">
        <v>2704.9462041357606</v>
      </c>
      <c r="N300" s="59">
        <v>506.12358782877669</v>
      </c>
      <c r="P300" s="59">
        <v>547.85815000774619</v>
      </c>
      <c r="R300" s="59">
        <v>631680.90483312914</v>
      </c>
      <c r="S300" s="59">
        <v>106882606.35373999</v>
      </c>
    </row>
    <row r="301" spans="2:19" x14ac:dyDescent="0.2">
      <c r="B301" s="59">
        <v>298</v>
      </c>
      <c r="C301" s="59">
        <v>49</v>
      </c>
      <c r="D301" s="59">
        <v>71.058432165975844</v>
      </c>
      <c r="E301" s="59">
        <v>658.73000285048681</v>
      </c>
      <c r="F301" s="59">
        <v>858.31513712560559</v>
      </c>
      <c r="G301" s="59">
        <v>1304.1181813955548</v>
      </c>
      <c r="H301" s="59">
        <v>3088.57629840751</v>
      </c>
      <c r="J301" s="59">
        <v>120.79297188171643</v>
      </c>
      <c r="K301" s="59">
        <v>478.10180419366048</v>
      </c>
      <c r="L301" s="59">
        <v>193.89638651262712</v>
      </c>
      <c r="M301" s="59">
        <v>2718.1373697388781</v>
      </c>
      <c r="N301" s="59">
        <v>508.27341572798792</v>
      </c>
      <c r="P301" s="59">
        <v>546.5753553021749</v>
      </c>
      <c r="R301" s="59">
        <v>631398.62872495479</v>
      </c>
      <c r="S301" s="59">
        <v>107182631.74396002</v>
      </c>
    </row>
    <row r="302" spans="2:19" x14ac:dyDescent="0.2">
      <c r="B302" s="59">
        <v>299</v>
      </c>
      <c r="C302" s="59">
        <v>49</v>
      </c>
      <c r="D302" s="59">
        <v>70.343110615505026</v>
      </c>
      <c r="E302" s="59">
        <v>654.54822054301144</v>
      </c>
      <c r="F302" s="59">
        <v>854.12619014778409</v>
      </c>
      <c r="G302" s="59">
        <v>1299.6818862558785</v>
      </c>
      <c r="H302" s="59">
        <v>3086.563513015205</v>
      </c>
      <c r="J302" s="59">
        <v>120.73370588700141</v>
      </c>
      <c r="K302" s="59">
        <v>478.32124583533539</v>
      </c>
      <c r="L302" s="59">
        <v>193.93258231605969</v>
      </c>
      <c r="M302" s="59">
        <v>2731.3311597382994</v>
      </c>
      <c r="N302" s="59">
        <v>510.41838564592342</v>
      </c>
      <c r="P302" s="59">
        <v>545.29300351375741</v>
      </c>
      <c r="R302" s="59">
        <v>631109.60457905824</v>
      </c>
      <c r="S302" s="59">
        <v>107481771.94637519</v>
      </c>
    </row>
    <row r="303" spans="2:19" x14ac:dyDescent="0.2">
      <c r="B303" s="59">
        <v>300</v>
      </c>
      <c r="C303" s="59">
        <v>50</v>
      </c>
      <c r="D303" s="59">
        <v>69.634989968642273</v>
      </c>
      <c r="E303" s="59">
        <v>650.39040903949433</v>
      </c>
      <c r="F303" s="59">
        <v>849.95083818160583</v>
      </c>
      <c r="G303" s="59">
        <v>1295.2479906595684</v>
      </c>
      <c r="H303" s="59">
        <v>3084.5173706207397</v>
      </c>
      <c r="J303" s="59">
        <v>120.67302834788151</v>
      </c>
      <c r="K303" s="59">
        <v>478.53344983020008</v>
      </c>
      <c r="L303" s="59">
        <v>193.96603810252412</v>
      </c>
      <c r="M303" s="59">
        <v>2744.5273869594621</v>
      </c>
      <c r="N303" s="59">
        <v>512.55849828988505</v>
      </c>
      <c r="P303" s="59">
        <v>544.01110921900215</v>
      </c>
      <c r="Q303" s="59">
        <v>6528.1333106280263</v>
      </c>
      <c r="R303" s="59">
        <v>630813.86445837782</v>
      </c>
      <c r="S303" s="59">
        <v>107780026.33469689</v>
      </c>
    </row>
    <row r="304" spans="2:19" x14ac:dyDescent="0.2">
      <c r="B304" s="59">
        <v>301</v>
      </c>
      <c r="C304" s="59">
        <v>50</v>
      </c>
      <c r="D304" s="59">
        <v>68.923552487795973</v>
      </c>
      <c r="E304" s="59">
        <v>646.15890260344042</v>
      </c>
      <c r="F304" s="59">
        <v>845.66161813933479</v>
      </c>
      <c r="G304" s="59">
        <v>1290.6223194027009</v>
      </c>
      <c r="H304" s="59">
        <v>3081.9753747039176</v>
      </c>
      <c r="J304" s="59">
        <v>120.59284586899275</v>
      </c>
      <c r="K304" s="59">
        <v>478.66666090242262</v>
      </c>
      <c r="L304" s="59">
        <v>193.96766940432812</v>
      </c>
      <c r="M304" s="59">
        <v>2757.7258649436349</v>
      </c>
      <c r="N304" s="59">
        <v>515.70519154343538</v>
      </c>
      <c r="P304" s="59">
        <v>542.64808526182333</v>
      </c>
      <c r="R304" s="59">
        <v>630416.81836158701</v>
      </c>
      <c r="S304" s="59">
        <v>108077349.687721</v>
      </c>
    </row>
    <row r="305" spans="2:19" x14ac:dyDescent="0.2">
      <c r="B305" s="59">
        <v>302</v>
      </c>
      <c r="C305" s="59">
        <v>50</v>
      </c>
      <c r="D305" s="59">
        <v>68.219383526545656</v>
      </c>
      <c r="E305" s="59">
        <v>641.95240752554048</v>
      </c>
      <c r="F305" s="59">
        <v>841.3873187629174</v>
      </c>
      <c r="G305" s="59">
        <v>1286.0006294141469</v>
      </c>
      <c r="H305" s="59">
        <v>3079.4010773783398</v>
      </c>
      <c r="J305" s="59">
        <v>120.51015812158994</v>
      </c>
      <c r="K305" s="59">
        <v>478.79376331197949</v>
      </c>
      <c r="L305" s="59">
        <v>193.96657673116135</v>
      </c>
      <c r="M305" s="59">
        <v>2770.9244281773745</v>
      </c>
      <c r="N305" s="59">
        <v>518.84425705040803</v>
      </c>
      <c r="P305" s="59">
        <v>541.28594441955647</v>
      </c>
      <c r="R305" s="59">
        <v>630013.22538222326</v>
      </c>
      <c r="S305" s="59">
        <v>108373741.71420592</v>
      </c>
    </row>
    <row r="306" spans="2:19" x14ac:dyDescent="0.2">
      <c r="B306" s="59">
        <v>303</v>
      </c>
      <c r="C306" s="59">
        <v>50</v>
      </c>
      <c r="D306" s="59">
        <v>67.52240882484945</v>
      </c>
      <c r="E306" s="59">
        <v>637.77080583810641</v>
      </c>
      <c r="F306" s="59">
        <v>837.12796104650477</v>
      </c>
      <c r="G306" s="59">
        <v>1281.383029557046</v>
      </c>
      <c r="H306" s="59">
        <v>3076.7946748681456</v>
      </c>
      <c r="J306" s="59">
        <v>120.42499874072593</v>
      </c>
      <c r="K306" s="59">
        <v>478.91476628710797</v>
      </c>
      <c r="L306" s="59">
        <v>193.96277178506796</v>
      </c>
      <c r="M306" s="59">
        <v>2784.122884721814</v>
      </c>
      <c r="N306" s="59">
        <v>521.97569833063505</v>
      </c>
      <c r="P306" s="59">
        <v>539.92470120544499</v>
      </c>
      <c r="R306" s="59">
        <v>629603.12358605454</v>
      </c>
      <c r="S306" s="59">
        <v>108669202.15569694</v>
      </c>
    </row>
    <row r="307" spans="2:19" x14ac:dyDescent="0.2">
      <c r="B307" s="59">
        <v>304</v>
      </c>
      <c r="C307" s="59">
        <v>50</v>
      </c>
      <c r="D307" s="59">
        <v>66.832554881355577</v>
      </c>
      <c r="E307" s="59">
        <v>633.61397974007104</v>
      </c>
      <c r="F307" s="59">
        <v>832.88356492890455</v>
      </c>
      <c r="G307" s="59">
        <v>1276.7696278013329</v>
      </c>
      <c r="H307" s="59">
        <v>3074.156363491591</v>
      </c>
      <c r="J307" s="59">
        <v>120.33740085027536</v>
      </c>
      <c r="K307" s="59">
        <v>479.02967934579527</v>
      </c>
      <c r="L307" s="59">
        <v>193.95626631805348</v>
      </c>
      <c r="M307" s="59">
        <v>2797.3210436507466</v>
      </c>
      <c r="N307" s="59">
        <v>525.09951899187718</v>
      </c>
      <c r="P307" s="59">
        <v>538.56437004248085</v>
      </c>
      <c r="R307" s="59">
        <v>629186.55095051252</v>
      </c>
      <c r="S307" s="59">
        <v>108963730.78621493</v>
      </c>
    </row>
    <row r="308" spans="2:19" x14ac:dyDescent="0.2">
      <c r="B308" s="59">
        <v>305</v>
      </c>
      <c r="C308" s="59">
        <v>50</v>
      </c>
      <c r="D308" s="59">
        <v>66.149748945651055</v>
      </c>
      <c r="E308" s="59">
        <v>629.48181160312674</v>
      </c>
      <c r="F308" s="59">
        <v>828.65414930580755</v>
      </c>
      <c r="G308" s="59">
        <v>1272.1605312222352</v>
      </c>
      <c r="H308" s="59">
        <v>3071.4863396519531</v>
      </c>
      <c r="J308" s="59">
        <v>120.24739707336126</v>
      </c>
      <c r="K308" s="59">
        <v>479.13851229206455</v>
      </c>
      <c r="L308" s="59">
        <v>193.94707212913892</v>
      </c>
      <c r="M308" s="59">
        <v>2810.5187150473539</v>
      </c>
      <c r="N308" s="59">
        <v>528.21572272931064</v>
      </c>
      <c r="P308" s="59">
        <v>537.20496526373688</v>
      </c>
      <c r="R308" s="59">
        <v>628763.54536503588</v>
      </c>
      <c r="S308" s="59">
        <v>109257327.41194724</v>
      </c>
    </row>
    <row r="309" spans="2:19" x14ac:dyDescent="0.2">
      <c r="B309" s="59">
        <v>306</v>
      </c>
      <c r="C309" s="59">
        <v>50</v>
      </c>
      <c r="D309" s="59">
        <v>65.473919010589654</v>
      </c>
      <c r="E309" s="59">
        <v>625.3741839777432</v>
      </c>
      <c r="F309" s="59">
        <v>824.43973204192889</v>
      </c>
      <c r="G309" s="59">
        <v>1267.5558459989079</v>
      </c>
      <c r="H309" s="59">
        <v>3068.7847998284678</v>
      </c>
      <c r="J309" s="59">
        <v>120.15501954255211</v>
      </c>
      <c r="K309" s="59">
        <v>479.24127521229599</v>
      </c>
      <c r="L309" s="59">
        <v>193.93520106154816</v>
      </c>
      <c r="M309" s="59">
        <v>2823.7157100009545</v>
      </c>
      <c r="N309" s="59">
        <v>531.32431332501483</v>
      </c>
      <c r="P309" s="59">
        <v>535.84650111269389</v>
      </c>
      <c r="R309" s="59">
        <v>628334.14463144192</v>
      </c>
      <c r="S309" s="59">
        <v>109549991.87094073</v>
      </c>
    </row>
    <row r="310" spans="2:19" x14ac:dyDescent="0.2">
      <c r="B310" s="59">
        <v>307</v>
      </c>
      <c r="C310" s="59">
        <v>50</v>
      </c>
      <c r="D310" s="59">
        <v>64.804993804698128</v>
      </c>
      <c r="E310" s="59">
        <v>621.29097959906449</v>
      </c>
      <c r="F310" s="59">
        <v>820.24032998306575</v>
      </c>
      <c r="G310" s="59">
        <v>1262.955677413205</v>
      </c>
      <c r="H310" s="59">
        <v>3066.0519405672949</v>
      </c>
      <c r="J310" s="59">
        <v>120.06029990983441</v>
      </c>
      <c r="K310" s="59">
        <v>479.33797847158303</v>
      </c>
      <c r="L310" s="59">
        <v>193.92066500002338</v>
      </c>
      <c r="M310" s="59">
        <v>2836.9118406037715</v>
      </c>
      <c r="N310" s="59">
        <v>534.42529464746269</v>
      </c>
      <c r="P310" s="59">
        <v>534.48899174356347</v>
      </c>
      <c r="R310" s="59">
        <v>627898.38646432222</v>
      </c>
      <c r="S310" s="59">
        <v>109841724.03279711</v>
      </c>
    </row>
    <row r="311" spans="2:19" x14ac:dyDescent="0.2">
      <c r="B311" s="59">
        <v>308</v>
      </c>
      <c r="C311" s="59">
        <v>50</v>
      </c>
      <c r="D311" s="59">
        <v>64.142902784660123</v>
      </c>
      <c r="E311" s="59">
        <v>617.23208139268741</v>
      </c>
      <c r="F311" s="59">
        <v>816.05595896806972</v>
      </c>
      <c r="G311" s="59">
        <v>1258.3601298485819</v>
      </c>
      <c r="H311" s="59">
        <v>3063.2879584725188</v>
      </c>
      <c r="J311" s="59">
        <v>119.96326935636561</v>
      </c>
      <c r="K311" s="59">
        <v>479.42863271012226</v>
      </c>
      <c r="L311" s="59">
        <v>193.9034758682624</v>
      </c>
      <c r="M311" s="59">
        <v>2850.1069199477229</v>
      </c>
      <c r="N311" s="59">
        <v>537.51867065101214</v>
      </c>
      <c r="P311" s="59">
        <v>533.13245122160765</v>
      </c>
      <c r="R311" s="59">
        <v>627456.30849145935</v>
      </c>
      <c r="S311" s="59">
        <v>110132523.79837041</v>
      </c>
    </row>
    <row r="312" spans="2:19" x14ac:dyDescent="0.2">
      <c r="B312" s="59">
        <v>309</v>
      </c>
      <c r="C312" s="59">
        <v>50</v>
      </c>
      <c r="D312" s="59">
        <v>63.487576127876842</v>
      </c>
      <c r="E312" s="59">
        <v>613.197372480323</v>
      </c>
      <c r="F312" s="59">
        <v>811.8866338407355</v>
      </c>
      <c r="G312" s="59">
        <v>1253.7693067891303</v>
      </c>
      <c r="H312" s="59">
        <v>3060.4930501971808</v>
      </c>
      <c r="J312" s="59">
        <v>119.86395860201216</v>
      </c>
      <c r="K312" s="59">
        <v>479.51324883963758</v>
      </c>
      <c r="L312" s="59">
        <v>193.88364562647291</v>
      </c>
      <c r="M312" s="59">
        <v>2863.3007621212346</v>
      </c>
      <c r="N312" s="59">
        <v>540.60444537539934</v>
      </c>
      <c r="P312" s="59">
        <v>531.7768935234534</v>
      </c>
      <c r="R312" s="59">
        <v>627007.94825426373</v>
      </c>
      <c r="S312" s="59">
        <v>110422391.09946658</v>
      </c>
    </row>
    <row r="313" spans="2:19" x14ac:dyDescent="0.2">
      <c r="B313" s="59">
        <v>310</v>
      </c>
      <c r="C313" s="59">
        <v>50</v>
      </c>
      <c r="D313" s="59">
        <v>62.838944725103701</v>
      </c>
      <c r="E313" s="59">
        <v>609.18673618534331</v>
      </c>
      <c r="F313" s="59">
        <v>807.73236846160478</v>
      </c>
      <c r="G313" s="59">
        <v>1249.1833108187411</v>
      </c>
      <c r="H313" s="59">
        <v>3057.6674124343463</v>
      </c>
      <c r="J313" s="59">
        <v>119.76239791467732</v>
      </c>
      <c r="K313" s="59">
        <v>479.59183803983734</v>
      </c>
      <c r="L313" s="59">
        <v>193.86118626903794</v>
      </c>
      <c r="M313" s="59">
        <v>2876.4931822060771</v>
      </c>
      <c r="N313" s="59">
        <v>543.68262294523424</v>
      </c>
      <c r="P313" s="59">
        <v>530.42233253740369</v>
      </c>
      <c r="R313" s="59">
        <v>626553.34320822521</v>
      </c>
      <c r="S313" s="59">
        <v>110711325.8985454</v>
      </c>
    </row>
    <row r="314" spans="2:19" x14ac:dyDescent="0.2">
      <c r="B314" s="59">
        <v>311</v>
      </c>
      <c r="C314" s="59">
        <v>50</v>
      </c>
      <c r="D314" s="59">
        <v>62.196940173162226</v>
      </c>
      <c r="E314" s="59">
        <v>605.20005603821369</v>
      </c>
      <c r="F314" s="59">
        <v>803.5931757196862</v>
      </c>
      <c r="G314" s="59">
        <v>1244.6022436203939</v>
      </c>
      <c r="H314" s="59">
        <v>3054.8112419082063</v>
      </c>
      <c r="J314" s="59">
        <v>119.65861711942335</v>
      </c>
      <c r="K314" s="59">
        <v>479.66441175490417</v>
      </c>
      <c r="L314" s="59">
        <v>193.83610982228811</v>
      </c>
      <c r="M314" s="59">
        <v>2889.6839962742283</v>
      </c>
      <c r="N314" s="59">
        <v>546.75320756949691</v>
      </c>
      <c r="P314" s="59">
        <v>529.06878206374461</v>
      </c>
      <c r="R314" s="59">
        <v>626092.53072338086</v>
      </c>
      <c r="S314" s="59">
        <v>110999328.1884245</v>
      </c>
    </row>
    <row r="315" spans="2:19" x14ac:dyDescent="0.2">
      <c r="B315" s="59">
        <v>312</v>
      </c>
      <c r="C315" s="59">
        <v>51</v>
      </c>
      <c r="D315" s="59">
        <v>61.561494767726415</v>
      </c>
      <c r="E315" s="59">
        <v>601.23721578181346</v>
      </c>
      <c r="F315" s="59">
        <v>799.46906754409088</v>
      </c>
      <c r="G315" s="59">
        <v>1240.0262059755707</v>
      </c>
      <c r="H315" s="59">
        <v>3051.9247353652186</v>
      </c>
      <c r="J315" s="59">
        <v>119.57070200394362</v>
      </c>
      <c r="K315" s="59">
        <v>479.71292529346601</v>
      </c>
      <c r="L315" s="59">
        <v>193.80842834237538</v>
      </c>
      <c r="M315" s="59">
        <v>2902.8730213847616</v>
      </c>
      <c r="N315" s="59">
        <v>549.81620354103654</v>
      </c>
      <c r="P315" s="59">
        <v>527.71625581504838</v>
      </c>
      <c r="Q315" s="59">
        <v>6332.5950697805811</v>
      </c>
      <c r="R315" s="59">
        <v>625625.54808479315</v>
      </c>
      <c r="S315" s="59">
        <v>111286397.9919855</v>
      </c>
    </row>
    <row r="316" spans="2:19" x14ac:dyDescent="0.2">
      <c r="B316" s="59">
        <v>313</v>
      </c>
      <c r="C316" s="59">
        <v>51</v>
      </c>
      <c r="D316" s="59">
        <v>60.932541496182807</v>
      </c>
      <c r="E316" s="59">
        <v>597.29809937664606</v>
      </c>
      <c r="F316" s="59">
        <v>795.36005491558387</v>
      </c>
      <c r="G316" s="59">
        <v>1235.4552977637925</v>
      </c>
      <c r="H316" s="59">
        <v>3049.0080895652823</v>
      </c>
      <c r="J316" s="59">
        <v>119.48022856645383</v>
      </c>
      <c r="K316" s="59">
        <v>479.75573825700315</v>
      </c>
      <c r="L316" s="59">
        <v>193.77815391324415</v>
      </c>
      <c r="M316" s="59">
        <v>2916.0601809097434</v>
      </c>
      <c r="N316" s="59">
        <v>552.87161523607119</v>
      </c>
      <c r="P316" s="59">
        <v>526.36476034187581</v>
      </c>
      <c r="R316" s="59">
        <v>625152.38477023353</v>
      </c>
      <c r="S316" s="59">
        <v>111572535.34003928</v>
      </c>
    </row>
    <row r="317" spans="2:19" x14ac:dyDescent="0.2">
      <c r="B317" s="59">
        <v>314</v>
      </c>
      <c r="C317" s="59">
        <v>51</v>
      </c>
      <c r="D317" s="59">
        <v>60.310014030563472</v>
      </c>
      <c r="E317" s="59">
        <v>593.38259100594018</v>
      </c>
      <c r="F317" s="59">
        <v>791.26614787805204</v>
      </c>
      <c r="G317" s="59">
        <v>1230.8896179622752</v>
      </c>
      <c r="H317" s="59">
        <v>3046.061501272955</v>
      </c>
      <c r="J317" s="59">
        <v>119.38835296505435</v>
      </c>
      <c r="K317" s="59">
        <v>479.7917391959827</v>
      </c>
      <c r="L317" s="59">
        <v>193.7452980478308</v>
      </c>
      <c r="M317" s="59">
        <v>2929.2452905768127</v>
      </c>
      <c r="N317" s="59">
        <v>555.91944706453648</v>
      </c>
      <c r="P317" s="59">
        <v>525.01430942259287</v>
      </c>
      <c r="R317" s="59">
        <v>624673.07918524754</v>
      </c>
      <c r="S317" s="59">
        <v>111857740.29363146</v>
      </c>
    </row>
    <row r="318" spans="2:19" x14ac:dyDescent="0.2">
      <c r="B318" s="59">
        <v>315</v>
      </c>
      <c r="C318" s="59">
        <v>51</v>
      </c>
      <c r="D318" s="59">
        <v>59.693846720551214</v>
      </c>
      <c r="E318" s="59">
        <v>589.49057508064334</v>
      </c>
      <c r="F318" s="59">
        <v>787.18735554988712</v>
      </c>
      <c r="G318" s="59">
        <v>1226.3292646457046</v>
      </c>
      <c r="H318" s="59">
        <v>3043.0851672487074</v>
      </c>
      <c r="J318" s="59">
        <v>119.29508589953439</v>
      </c>
      <c r="K318" s="59">
        <v>479.82095532291959</v>
      </c>
      <c r="L318" s="59">
        <v>193.7098723269375</v>
      </c>
      <c r="M318" s="59">
        <v>2942.4281736848138</v>
      </c>
      <c r="N318" s="59">
        <v>558.95970352030383</v>
      </c>
      <c r="P318" s="59">
        <v>523.66491630463702</v>
      </c>
      <c r="R318" s="59">
        <v>624187.66668055311</v>
      </c>
      <c r="S318" s="59">
        <v>112142012.94239517</v>
      </c>
    </row>
    <row r="319" spans="2:19" x14ac:dyDescent="0.2">
      <c r="B319" s="59">
        <v>316</v>
      </c>
      <c r="C319" s="59">
        <v>51</v>
      </c>
      <c r="D319" s="59">
        <v>59.083974586556252</v>
      </c>
      <c r="E319" s="59">
        <v>585.62193624430984</v>
      </c>
      <c r="F319" s="59">
        <v>783.12368613528622</v>
      </c>
      <c r="G319" s="59">
        <v>1221.7743349861271</v>
      </c>
      <c r="H319" s="59">
        <v>3040.0792842402179</v>
      </c>
      <c r="J319" s="59">
        <v>119.2004380065241</v>
      </c>
      <c r="K319" s="59">
        <v>479.84341390416694</v>
      </c>
      <c r="L319" s="59">
        <v>193.6718883582688</v>
      </c>
      <c r="M319" s="59">
        <v>2955.6086543609376</v>
      </c>
      <c r="N319" s="59">
        <v>561.99238917760817</v>
      </c>
      <c r="P319" s="59">
        <v>522.31659415873185</v>
      </c>
      <c r="R319" s="59">
        <v>623696.18259276112</v>
      </c>
      <c r="S319" s="59">
        <v>112425353.40430383</v>
      </c>
    </row>
    <row r="320" spans="2:19" x14ac:dyDescent="0.2">
      <c r="B320" s="59">
        <v>317</v>
      </c>
      <c r="C320" s="59">
        <v>51</v>
      </c>
      <c r="D320" s="59">
        <v>58.4803333128636</v>
      </c>
      <c r="E320" s="59">
        <v>581.77655937788427</v>
      </c>
      <c r="F320" s="59">
        <v>779.07514693546739</v>
      </c>
      <c r="G320" s="59">
        <v>1217.2249252529539</v>
      </c>
      <c r="H320" s="59">
        <v>3037.0440489737107</v>
      </c>
      <c r="J320" s="59">
        <v>119.10441986057063</v>
      </c>
      <c r="K320" s="59">
        <v>479.859142259311</v>
      </c>
      <c r="L320" s="59">
        <v>193.63135777539404</v>
      </c>
      <c r="M320" s="59">
        <v>2968.7865575612241</v>
      </c>
      <c r="N320" s="59">
        <v>565.01750869062357</v>
      </c>
      <c r="P320" s="59">
        <v>520.96935607891646</v>
      </c>
      <c r="R320" s="59">
        <v>623198.66224352655</v>
      </c>
      <c r="S320" s="59">
        <v>112707761.82542527</v>
      </c>
    </row>
    <row r="321" spans="2:19" x14ac:dyDescent="0.2">
      <c r="B321" s="59">
        <v>318</v>
      </c>
      <c r="C321" s="59">
        <v>51</v>
      </c>
      <c r="D321" s="59">
        <v>57.882859240850507</v>
      </c>
      <c r="E321" s="59">
        <v>577.95432960438166</v>
      </c>
      <c r="F321" s="59">
        <v>775.04174435980281</v>
      </c>
      <c r="G321" s="59">
        <v>1212.6811308130787</v>
      </c>
      <c r="H321" s="59">
        <v>3033.9796581453343</v>
      </c>
      <c r="J321" s="59">
        <v>119.00704197518506</v>
      </c>
      <c r="K321" s="59">
        <v>479.8681677605536</v>
      </c>
      <c r="L321" s="59">
        <v>193.58829223673973</v>
      </c>
      <c r="M321" s="59">
        <v>2981.9617090710376</v>
      </c>
      <c r="N321" s="59">
        <v>568.03506679303939</v>
      </c>
      <c r="P321" s="59">
        <v>519.62321508257742</v>
      </c>
      <c r="R321" s="59">
        <v>622695.1409387103</v>
      </c>
      <c r="S321" s="59">
        <v>112989238.37967657</v>
      </c>
    </row>
    <row r="322" spans="2:19" x14ac:dyDescent="0.2">
      <c r="B322" s="59">
        <v>319</v>
      </c>
      <c r="C322" s="59">
        <v>51</v>
      </c>
      <c r="D322" s="59">
        <v>57.291489362273154</v>
      </c>
      <c r="E322" s="59">
        <v>574.15513229346686</v>
      </c>
      <c r="F322" s="59">
        <v>771.02348393686793</v>
      </c>
      <c r="G322" s="59">
        <v>1208.1430461311043</v>
      </c>
      <c r="H322" s="59">
        <v>3030.8863084125842</v>
      </c>
      <c r="J322" s="59">
        <v>118.90831480386093</v>
      </c>
      <c r="K322" s="59">
        <v>479.87051783208204</v>
      </c>
      <c r="L322" s="59">
        <v>193.54270342461066</v>
      </c>
      <c r="M322" s="59">
        <v>2995.133935505517</v>
      </c>
      <c r="N322" s="59">
        <v>571.04506829763613</v>
      </c>
      <c r="P322" s="59">
        <v>518.27818411048122</v>
      </c>
      <c r="R322" s="59">
        <v>622185.65396754898</v>
      </c>
      <c r="S322" s="59">
        <v>113269783.26858029</v>
      </c>
    </row>
    <row r="323" spans="2:19" x14ac:dyDescent="0.2">
      <c r="B323" s="59">
        <v>320</v>
      </c>
      <c r="C323" s="59">
        <v>51</v>
      </c>
      <c r="D323" s="59">
        <v>56.70616131262193</v>
      </c>
      <c r="E323" s="59">
        <v>570.3788530659333</v>
      </c>
      <c r="F323" s="59">
        <v>767.02037032540738</v>
      </c>
      <c r="G323" s="59">
        <v>1203.6107647696776</v>
      </c>
      <c r="H323" s="59">
        <v>3027.76419638577</v>
      </c>
      <c r="J323" s="59">
        <v>118.80824874106514</v>
      </c>
      <c r="K323" s="59">
        <v>479.86621994942698</v>
      </c>
      <c r="L323" s="59">
        <v>193.49460304423849</v>
      </c>
      <c r="M323" s="59">
        <v>3008.3030643100005</v>
      </c>
      <c r="N323" s="59">
        <v>574.04751809586128</v>
      </c>
      <c r="P323" s="59">
        <v>516.93427602680936</v>
      </c>
      <c r="R323" s="59">
        <v>621670.23660183465</v>
      </c>
      <c r="S323" s="59">
        <v>113549396.72102156</v>
      </c>
    </row>
    <row r="324" spans="2:19" x14ac:dyDescent="0.2">
      <c r="B324" s="59">
        <v>321</v>
      </c>
      <c r="C324" s="59">
        <v>51</v>
      </c>
      <c r="D324" s="59">
        <v>56.126813364544645</v>
      </c>
      <c r="E324" s="59">
        <v>566.6253777980836</v>
      </c>
      <c r="F324" s="59">
        <v>763.03240732521851</v>
      </c>
      <c r="G324" s="59">
        <v>1199.0843793899323</v>
      </c>
      <c r="H324" s="59">
        <v>3024.6135186195265</v>
      </c>
      <c r="J324" s="59">
        <v>118.70685412320164</v>
      </c>
      <c r="K324" s="59">
        <v>479.85530163880838</v>
      </c>
      <c r="L324" s="59">
        <v>193.44400282285653</v>
      </c>
      <c r="M324" s="59">
        <v>3021.4689237604257</v>
      </c>
      <c r="N324" s="59">
        <v>577.04242115740522</v>
      </c>
      <c r="P324" s="59">
        <v>515.59150361919421</v>
      </c>
      <c r="R324" s="59">
        <v>621148.92409510072</v>
      </c>
      <c r="S324" s="59">
        <v>113828078.99300633</v>
      </c>
    </row>
    <row r="325" spans="2:19" x14ac:dyDescent="0.2">
      <c r="B325" s="59">
        <v>322</v>
      </c>
      <c r="C325" s="59">
        <v>51</v>
      </c>
      <c r="D325" s="59">
        <v>55.553384421336879</v>
      </c>
      <c r="E325" s="59">
        <v>562.89459262601235</v>
      </c>
      <c r="F325" s="59">
        <v>759.05959788795099</v>
      </c>
      <c r="G325" s="59">
        <v>1194.5639817520332</v>
      </c>
      <c r="H325" s="59">
        <v>3021.4344716043706</v>
      </c>
      <c r="J325" s="59">
        <v>118.60414122954886</v>
      </c>
      <c r="K325" s="59">
        <v>479.83779047647016</v>
      </c>
      <c r="L325" s="59">
        <v>193.39091450880005</v>
      </c>
      <c r="M325" s="59">
        <v>3034.631342963703</v>
      </c>
      <c r="N325" s="59">
        <v>580.02978252977698</v>
      </c>
      <c r="P325" s="59">
        <v>514.24987959875705</v>
      </c>
      <c r="R325" s="59">
        <v>620621.75168181676</v>
      </c>
      <c r="S325" s="59">
        <v>114105830.36742067</v>
      </c>
    </row>
    <row r="326" spans="2:19" x14ac:dyDescent="0.2">
      <c r="B326" s="59">
        <v>323</v>
      </c>
      <c r="C326" s="59">
        <v>51</v>
      </c>
      <c r="D326" s="59">
        <v>54.985814010498885</v>
      </c>
      <c r="E326" s="59">
        <v>559.18638394979405</v>
      </c>
      <c r="F326" s="59">
        <v>755.10194412782471</v>
      </c>
      <c r="G326" s="59">
        <v>1190.0496627158254</v>
      </c>
      <c r="H326" s="59">
        <v>3018.2272517583056</v>
      </c>
      <c r="J326" s="59">
        <v>118.50012028317126</v>
      </c>
      <c r="K326" s="59">
        <v>479.81371408800317</v>
      </c>
      <c r="L326" s="59">
        <v>193.33534987063035</v>
      </c>
      <c r="M326" s="59">
        <v>3047.7901518580697</v>
      </c>
      <c r="N326" s="59">
        <v>583.00960733787997</v>
      </c>
      <c r="P326" s="59">
        <v>512.9094166001471</v>
      </c>
      <c r="R326" s="59">
        <v>620088.75457658921</v>
      </c>
      <c r="S326" s="59">
        <v>114382651.15379114</v>
      </c>
    </row>
    <row r="327" spans="2:19" x14ac:dyDescent="0.2">
      <c r="B327" s="59">
        <v>324</v>
      </c>
      <c r="C327" s="59">
        <v>52</v>
      </c>
      <c r="D327" s="59">
        <v>54.424042277358289</v>
      </c>
      <c r="E327" s="59">
        <v>555.5006384375755</v>
      </c>
      <c r="F327" s="59">
        <v>751.15944733226456</v>
      </c>
      <c r="G327" s="59">
        <v>1185.5415122415834</v>
      </c>
      <c r="H327" s="59">
        <v>3014.9920554184723</v>
      </c>
      <c r="J327" s="59">
        <v>118.39480145180568</v>
      </c>
      <c r="K327" s="59">
        <v>479.78310014765725</v>
      </c>
      <c r="L327" s="59">
        <v>193.27732069628215</v>
      </c>
      <c r="M327" s="59">
        <v>3060.9451812134157</v>
      </c>
      <c r="N327" s="59">
        <v>585.98190078358857</v>
      </c>
      <c r="P327" s="59">
        <v>511.57012718158262</v>
      </c>
      <c r="Q327" s="59">
        <v>6138.8415261789924</v>
      </c>
      <c r="R327" s="59">
        <v>619549.96797336964</v>
      </c>
      <c r="S327" s="59">
        <v>114658541.68804625</v>
      </c>
    </row>
    <row r="328" spans="2:19" x14ac:dyDescent="0.2">
      <c r="B328" s="59">
        <v>325</v>
      </c>
      <c r="C328" s="59">
        <v>52</v>
      </c>
      <c r="D328" s="59">
        <v>53.868009978757946</v>
      </c>
      <c r="E328" s="59">
        <v>551.83724302957603</v>
      </c>
      <c r="F328" s="59">
        <v>747.23210797245304</v>
      </c>
      <c r="G328" s="59">
        <v>1181.039619390858</v>
      </c>
      <c r="H328" s="59">
        <v>3011.7290788328473</v>
      </c>
      <c r="J328" s="59">
        <v>118.28819484872318</v>
      </c>
      <c r="K328" s="59">
        <v>479.74597637764253</v>
      </c>
      <c r="L328" s="59">
        <v>193.21683879223301</v>
      </c>
      <c r="M328" s="59">
        <v>3074.0962626315891</v>
      </c>
      <c r="N328" s="59">
        <v>588.94666814532332</v>
      </c>
      <c r="P328" s="59">
        <v>510.23202382489347</v>
      </c>
      <c r="R328" s="59">
        <v>619005.42704466661</v>
      </c>
      <c r="S328" s="59">
        <v>114933502.33227901</v>
      </c>
    </row>
    <row r="329" spans="2:19" x14ac:dyDescent="0.2">
      <c r="B329" s="59">
        <v>326</v>
      </c>
      <c r="C329" s="59">
        <v>52</v>
      </c>
      <c r="D329" s="59">
        <v>53.317658476808305</v>
      </c>
      <c r="E329" s="59">
        <v>548.19608494199565</v>
      </c>
      <c r="F329" s="59">
        <v>743.3199257138009</v>
      </c>
      <c r="G329" s="59">
        <v>1176.5440723274219</v>
      </c>
      <c r="H329" s="59">
        <v>3008.438518151992</v>
      </c>
      <c r="J329" s="59">
        <v>118.18031053356685</v>
      </c>
      <c r="K329" s="59">
        <v>479.70237054742029</v>
      </c>
      <c r="L329" s="59">
        <v>193.15391598269406</v>
      </c>
      <c r="M329" s="59">
        <v>3087.2432285466762</v>
      </c>
      <c r="N329" s="59">
        <v>591.90391477762739</v>
      </c>
      <c r="P329" s="59">
        <v>508.89511893556494</v>
      </c>
      <c r="R329" s="59">
        <v>618455.16694076627</v>
      </c>
      <c r="S329" s="59">
        <v>115207533.47451054</v>
      </c>
    </row>
    <row r="330" spans="2:19" x14ac:dyDescent="0.2">
      <c r="B330" s="59">
        <v>327</v>
      </c>
      <c r="C330" s="59">
        <v>52</v>
      </c>
      <c r="D330" s="59">
        <v>52.772929732703581</v>
      </c>
      <c r="E330" s="59">
        <v>544.57705167083247</v>
      </c>
      <c r="F330" s="59">
        <v>739.42289942633556</v>
      </c>
      <c r="G330" s="59">
        <v>1172.0549583183088</v>
      </c>
      <c r="H330" s="59">
        <v>3005.1205694208484</v>
      </c>
      <c r="J330" s="59">
        <v>118.0711585131662</v>
      </c>
      <c r="K330" s="59">
        <v>479.65231047298317</v>
      </c>
      <c r="L330" s="59">
        <v>193.08856410882086</v>
      </c>
      <c r="M330" s="59">
        <v>3100.385912225262</v>
      </c>
      <c r="N330" s="59">
        <v>594.85364611074272</v>
      </c>
      <c r="P330" s="59">
        <v>507.5594248427837</v>
      </c>
      <c r="R330" s="59">
        <v>617899.2227889552</v>
      </c>
      <c r="S330" s="59">
        <v>115480635.52845472</v>
      </c>
    </row>
    <row r="331" spans="2:19" x14ac:dyDescent="0.2">
      <c r="B331" s="59">
        <v>328</v>
      </c>
      <c r="C331" s="59">
        <v>52</v>
      </c>
      <c r="D331" s="59">
        <v>52.233766300601125</v>
      </c>
      <c r="E331" s="59">
        <v>540.98003099561151</v>
      </c>
      <c r="F331" s="59">
        <v>735.54102719500827</v>
      </c>
      <c r="G331" s="59">
        <v>1167.5723637349465</v>
      </c>
      <c r="H331" s="59">
        <v>3001.7754285705869</v>
      </c>
      <c r="J331" s="59">
        <v>117.96074874232872</v>
      </c>
      <c r="K331" s="59">
        <v>479.59582401612585</v>
      </c>
      <c r="L331" s="59">
        <v>193.02079502794371</v>
      </c>
      <c r="M331" s="59">
        <v>3113.524147766665</v>
      </c>
      <c r="N331" s="59">
        <v>597.79586765018587</v>
      </c>
      <c r="P331" s="59">
        <v>506.22495379948475</v>
      </c>
      <c r="R331" s="59">
        <v>617337.62969275017</v>
      </c>
      <c r="S331" s="59">
        <v>115752808.93328403</v>
      </c>
    </row>
    <row r="332" spans="2:19" x14ac:dyDescent="0.2">
      <c r="B332" s="59">
        <v>329</v>
      </c>
      <c r="C332" s="59">
        <v>52</v>
      </c>
      <c r="D332" s="59">
        <v>51.70011132156332</v>
      </c>
      <c r="E332" s="59">
        <v>537.4049109830255</v>
      </c>
      <c r="F332" s="59">
        <v>731.67430632991943</v>
      </c>
      <c r="G332" s="59">
        <v>1163.0963740543825</v>
      </c>
      <c r="H332" s="59">
        <v>2998.4032914105051</v>
      </c>
      <c r="J332" s="59">
        <v>117.84909112460917</v>
      </c>
      <c r="K332" s="59">
        <v>479.53293908370546</v>
      </c>
      <c r="L332" s="59">
        <v>192.95062061281661</v>
      </c>
      <c r="M332" s="59">
        <v>3126.657770103152</v>
      </c>
      <c r="N332" s="59">
        <v>600.73058497632474</v>
      </c>
      <c r="P332" s="59">
        <v>504.89171798240022</v>
      </c>
      <c r="R332" s="59">
        <v>616770.42273113038</v>
      </c>
      <c r="S332" s="59">
        <v>116024054.15339634</v>
      </c>
    </row>
    <row r="333" spans="2:19" x14ac:dyDescent="0.2">
      <c r="B333" s="59">
        <v>330</v>
      </c>
      <c r="C333" s="59">
        <v>52</v>
      </c>
      <c r="D333" s="59">
        <v>51.171908517561349</v>
      </c>
      <c r="E333" s="59">
        <v>533.85157999048886</v>
      </c>
      <c r="F333" s="59">
        <v>727.82273337646268</v>
      </c>
      <c r="G333" s="59">
        <v>1158.6270738605974</v>
      </c>
      <c r="H333" s="59">
        <v>2995.004353619976</v>
      </c>
      <c r="J333" s="59">
        <v>117.73619551305705</v>
      </c>
      <c r="K333" s="59">
        <v>479.46368362689293</v>
      </c>
      <c r="L333" s="59">
        <v>192.87805275088394</v>
      </c>
      <c r="M333" s="59">
        <v>3139.7866150001291</v>
      </c>
      <c r="N333" s="59">
        <v>603.65780374395422</v>
      </c>
      <c r="P333" s="59">
        <v>503.55972949211002</v>
      </c>
      <c r="R333" s="59">
        <v>616197.63695777545</v>
      </c>
      <c r="S333" s="59">
        <v>116294371.67818286</v>
      </c>
    </row>
    <row r="334" spans="2:19" x14ac:dyDescent="0.2">
      <c r="B334" s="59">
        <v>331</v>
      </c>
      <c r="C334" s="59">
        <v>52</v>
      </c>
      <c r="D334" s="59">
        <v>50.649102185540265</v>
      </c>
      <c r="E334" s="59">
        <v>530.31992666960684</v>
      </c>
      <c r="F334" s="59">
        <v>723.9863041253883</v>
      </c>
      <c r="G334" s="59">
        <v>1154.164546845908</v>
      </c>
      <c r="H334" s="59">
        <v>2991.578810740451</v>
      </c>
      <c r="J334" s="59">
        <v>117.62207171094286</v>
      </c>
      <c r="K334" s="59">
        <v>479.38808564041466</v>
      </c>
      <c r="L334" s="59">
        <v>192.80310334356426</v>
      </c>
      <c r="M334" s="59">
        <v>3152.9105190563137</v>
      </c>
      <c r="N334" s="59">
        <v>606.57752968187367</v>
      </c>
      <c r="P334" s="59">
        <v>502.22900035309351</v>
      </c>
      <c r="R334" s="59">
        <v>615619.30740030645</v>
      </c>
      <c r="S334" s="59">
        <v>116563762.02179712</v>
      </c>
    </row>
    <row r="335" spans="2:19" x14ac:dyDescent="0.2">
      <c r="B335" s="59">
        <v>332</v>
      </c>
      <c r="C335" s="59">
        <v>52</v>
      </c>
      <c r="D335" s="59">
        <v>50.131637191544662</v>
      </c>
      <c r="E335" s="59">
        <v>526.80983996956036</v>
      </c>
      <c r="F335" s="59">
        <v>720.16501362278564</v>
      </c>
      <c r="G335" s="59">
        <v>1149.7088758124567</v>
      </c>
      <c r="H335" s="59">
        <v>2988.1268581675122</v>
      </c>
      <c r="J335" s="59">
        <v>117.50672947246368</v>
      </c>
      <c r="K335" s="59">
        <v>479.30617316178547</v>
      </c>
      <c r="L335" s="59">
        <v>192.72578430555032</v>
      </c>
      <c r="M335" s="59">
        <v>3166.0293197038818</v>
      </c>
      <c r="N335" s="59">
        <v>609.4897685924625</v>
      </c>
      <c r="P335" s="59">
        <v>500.89954251378288</v>
      </c>
      <c r="R335" s="59">
        <v>615035.4690595303</v>
      </c>
      <c r="S335" s="59">
        <v>116832225.7229251</v>
      </c>
    </row>
    <row r="336" spans="2:19" x14ac:dyDescent="0.2">
      <c r="B336" s="59">
        <v>333</v>
      </c>
      <c r="C336" s="59">
        <v>52</v>
      </c>
      <c r="D336" s="59">
        <v>49.619458964904382</v>
      </c>
      <c r="E336" s="59">
        <v>523.32120914040775</v>
      </c>
      <c r="F336" s="59">
        <v>716.35885617998485</v>
      </c>
      <c r="G336" s="59">
        <v>1145.2601426737849</v>
      </c>
      <c r="H336" s="59">
        <v>2984.6486911429811</v>
      </c>
      <c r="J336" s="59">
        <v>117.39017850342852</v>
      </c>
      <c r="K336" s="59">
        <v>479.21797427053264</v>
      </c>
      <c r="L336" s="59">
        <v>192.64610756412475</v>
      </c>
      <c r="M336" s="59">
        <v>3179.1428552085968</v>
      </c>
      <c r="N336" s="59">
        <v>612.39452635125758</v>
      </c>
      <c r="P336" s="59">
        <v>499.57136784661873</v>
      </c>
      <c r="R336" s="59">
        <v>614446.15690868779</v>
      </c>
      <c r="S336" s="59">
        <v>117099763.34455635</v>
      </c>
    </row>
    <row r="337" spans="2:19" x14ac:dyDescent="0.2">
      <c r="B337" s="59">
        <v>334</v>
      </c>
      <c r="C337" s="59">
        <v>52</v>
      </c>
      <c r="D337" s="59">
        <v>49.112513492479607</v>
      </c>
      <c r="E337" s="59">
        <v>519.85392373630543</v>
      </c>
      <c r="F337" s="59">
        <v>712.56782538337893</v>
      </c>
      <c r="G337" s="59">
        <v>1140.8184284564904</v>
      </c>
      <c r="H337" s="59">
        <v>2981.1445047470793</v>
      </c>
      <c r="J337" s="59">
        <v>117.27242846192395</v>
      </c>
      <c r="K337" s="59">
        <v>479.1235170874113</v>
      </c>
      <c r="L337" s="59">
        <v>192.56408505849063</v>
      </c>
      <c r="M337" s="59">
        <v>3192.2509646699136</v>
      </c>
      <c r="N337" s="59">
        <v>615.29180890652958</v>
      </c>
      <c r="P337" s="59">
        <v>498.24448814810626</v>
      </c>
      <c r="R337" s="59">
        <v>613851.4058927045</v>
      </c>
      <c r="S337" s="59">
        <v>117366375.47375621</v>
      </c>
    </row>
    <row r="338" spans="2:19" x14ac:dyDescent="0.2">
      <c r="B338" s="59">
        <v>335</v>
      </c>
      <c r="C338" s="59">
        <v>52</v>
      </c>
      <c r="D338" s="59">
        <v>48.610747312964776</v>
      </c>
      <c r="E338" s="59">
        <v>516.40787361864795</v>
      </c>
      <c r="F338" s="59">
        <v>708.79191410416502</v>
      </c>
      <c r="G338" s="59">
        <v>1136.3838133019651</v>
      </c>
      <c r="H338" s="59">
        <v>2977.6144938906436</v>
      </c>
      <c r="J338" s="59">
        <v>117.15348895896052</v>
      </c>
      <c r="K338" s="59">
        <v>479.02282977361182</v>
      </c>
      <c r="L338" s="59">
        <v>192.47972873911652</v>
      </c>
      <c r="M338" s="59">
        <v>3205.3534880210668</v>
      </c>
      <c r="N338" s="59">
        <v>618.18162227886057</v>
      </c>
      <c r="P338" s="59">
        <v>496.91891513887373</v>
      </c>
      <c r="R338" s="59">
        <v>613251.25092744431</v>
      </c>
      <c r="S338" s="59">
        <v>117632062.72143918</v>
      </c>
    </row>
    <row r="339" spans="2:19" x14ac:dyDescent="0.2">
      <c r="B339" s="59">
        <v>336</v>
      </c>
      <c r="C339" s="59">
        <v>53</v>
      </c>
      <c r="D339" s="59">
        <v>48.114107511250651</v>
      </c>
      <c r="E339" s="59">
        <v>512.98294895912852</v>
      </c>
      <c r="F339" s="59">
        <v>705.03111450800679</v>
      </c>
      <c r="G339" s="59">
        <v>1131.9563764682134</v>
      </c>
      <c r="H339" s="59">
        <v>2974.0588533073965</v>
      </c>
      <c r="J339" s="59">
        <v>117.03336955910039</v>
      </c>
      <c r="K339" s="59">
        <v>478.91594052995885</v>
      </c>
      <c r="L339" s="59">
        <v>192.39305056709503</v>
      </c>
      <c r="M339" s="59">
        <v>3218.4502660291319</v>
      </c>
      <c r="N339" s="59">
        <v>621.06397256072069</v>
      </c>
      <c r="P339" s="59">
        <v>495.59466046373234</v>
      </c>
      <c r="Q339" s="59">
        <v>5947.1359255647885</v>
      </c>
      <c r="R339" s="59">
        <v>612645.72689896578</v>
      </c>
      <c r="S339" s="59">
        <v>117896825.72214323</v>
      </c>
    </row>
    <row r="340" spans="2:19" x14ac:dyDescent="0.2">
      <c r="B340" s="59">
        <v>337</v>
      </c>
      <c r="C340" s="59">
        <v>53</v>
      </c>
      <c r="D340" s="59">
        <v>47.62254171284404</v>
      </c>
      <c r="E340" s="59">
        <v>509.57904024272182</v>
      </c>
      <c r="F340" s="59">
        <v>701.28541806461681</v>
      </c>
      <c r="G340" s="59">
        <v>1127.5361963317489</v>
      </c>
      <c r="H340" s="59">
        <v>2970.4777775462712</v>
      </c>
      <c r="J340" s="59">
        <v>116.91207978106668</v>
      </c>
      <c r="K340" s="59">
        <v>478.80287759610275</v>
      </c>
      <c r="L340" s="59">
        <v>192.30406251351457</v>
      </c>
      <c r="M340" s="59">
        <v>3231.5411402950704</v>
      </c>
      <c r="N340" s="59">
        <v>623.93886591604542</v>
      </c>
      <c r="P340" s="59">
        <v>494.27173569173749</v>
      </c>
      <c r="R340" s="59">
        <v>612034.86866278062</v>
      </c>
      <c r="S340" s="59">
        <v>118160665.13380532</v>
      </c>
    </row>
    <row r="341" spans="2:19" x14ac:dyDescent="0.2">
      <c r="B341" s="59">
        <v>338</v>
      </c>
      <c r="C341" s="59">
        <v>53</v>
      </c>
      <c r="D341" s="59">
        <v>47.135998078344485</v>
      </c>
      <c r="E341" s="59">
        <v>506.1960382705895</v>
      </c>
      <c r="F341" s="59">
        <v>697.55481555725976</v>
      </c>
      <c r="G341" s="59">
        <v>1123.1233503895667</v>
      </c>
      <c r="H341" s="59">
        <v>2966.8714609637937</v>
      </c>
      <c r="J341" s="59">
        <v>116.78962909833504</v>
      </c>
      <c r="K341" s="59">
        <v>478.68366924970331</v>
      </c>
      <c r="L341" s="59">
        <v>192.21277655884364</v>
      </c>
      <c r="M341" s="59">
        <v>3244.6259532537529</v>
      </c>
      <c r="N341" s="59">
        <v>626.80630857981362</v>
      </c>
      <c r="P341" s="59">
        <v>492.950152316252</v>
      </c>
      <c r="R341" s="59">
        <v>611418.71104311501</v>
      </c>
      <c r="S341" s="59">
        <v>118423581.63753787</v>
      </c>
    </row>
    <row r="342" spans="2:19" x14ac:dyDescent="0.2">
      <c r="B342" s="59">
        <v>339</v>
      </c>
      <c r="C342" s="59">
        <v>53</v>
      </c>
      <c r="D342" s="59">
        <v>46.654425297977397</v>
      </c>
      <c r="E342" s="59">
        <v>502.83383416291042</v>
      </c>
      <c r="F342" s="59">
        <v>693.83929709217716</v>
      </c>
      <c r="G342" s="59">
        <v>1118.7179152611916</v>
      </c>
      <c r="H342" s="59">
        <v>2963.2400977165198</v>
      </c>
      <c r="J342" s="59">
        <v>116.66602693970772</v>
      </c>
      <c r="K342" s="59">
        <v>478.55834380560634</v>
      </c>
      <c r="L342" s="59">
        <v>192.11920469232732</v>
      </c>
      <c r="M342" s="59">
        <v>3257.7045481739606</v>
      </c>
      <c r="N342" s="59">
        <v>629.66630685762459</v>
      </c>
      <c r="P342" s="59">
        <v>491.62992175501034</v>
      </c>
      <c r="R342" s="59">
        <v>610797.28883217205</v>
      </c>
      <c r="S342" s="59">
        <v>118685575.93740639</v>
      </c>
    </row>
    <row r="343" spans="2:19" x14ac:dyDescent="0.2">
      <c r="B343" s="59">
        <v>340</v>
      </c>
      <c r="C343" s="59">
        <v>53</v>
      </c>
      <c r="D343" s="59">
        <v>46.17777258618306</v>
      </c>
      <c r="E343" s="59">
        <v>499.49231936163574</v>
      </c>
      <c r="F343" s="59">
        <v>690.13885210793296</v>
      </c>
      <c r="G343" s="59">
        <v>1114.3199666907999</v>
      </c>
      <c r="H343" s="59">
        <v>2959.5838817535291</v>
      </c>
      <c r="J343" s="59">
        <v>116.54128268987078</v>
      </c>
      <c r="K343" s="59">
        <v>478.4269296150128</v>
      </c>
      <c r="L343" s="59">
        <v>192.02335891139498</v>
      </c>
      <c r="M343" s="59">
        <v>3270.7767691583672</v>
      </c>
      <c r="N343" s="59">
        <v>632.51886712527642</v>
      </c>
      <c r="P343" s="59">
        <v>490.31105535018526</v>
      </c>
      <c r="R343" s="59">
        <v>610170.63678939699</v>
      </c>
      <c r="S343" s="59">
        <v>118946648.76020816</v>
      </c>
    </row>
    <row r="344" spans="2:19" x14ac:dyDescent="0.2">
      <c r="B344" s="59">
        <v>341</v>
      </c>
      <c r="C344" s="59">
        <v>53</v>
      </c>
      <c r="D344" s="59">
        <v>45.705989676260891</v>
      </c>
      <c r="E344" s="59">
        <v>496.17138563317064</v>
      </c>
      <c r="F344" s="59">
        <v>686.45346938468151</v>
      </c>
      <c r="G344" s="59">
        <v>1109.9295795494124</v>
      </c>
      <c r="H344" s="59">
        <v>2955.9030068089769</v>
      </c>
      <c r="J344" s="59">
        <v>116.41540568993467</v>
      </c>
      <c r="K344" s="59">
        <v>478.2894550646414</v>
      </c>
      <c r="L344" s="59">
        <v>191.92525122107932</v>
      </c>
      <c r="M344" s="59">
        <v>3283.8424611435007</v>
      </c>
      <c r="N344" s="59">
        <v>635.36399582834406</v>
      </c>
      <c r="P344" s="59">
        <v>488.99356436845511</v>
      </c>
      <c r="R344" s="59">
        <v>609538.78964074363</v>
      </c>
      <c r="S344" s="59">
        <v>119206800.85525192</v>
      </c>
    </row>
    <row r="345" spans="2:19" x14ac:dyDescent="0.2">
      <c r="B345" s="59">
        <v>342</v>
      </c>
      <c r="C345" s="59">
        <v>53</v>
      </c>
      <c r="D345" s="59">
        <v>45.239026815068428</v>
      </c>
      <c r="E345" s="59">
        <v>492.87092507098373</v>
      </c>
      <c r="F345" s="59">
        <v>682.78313705335677</v>
      </c>
      <c r="G345" s="59">
        <v>1105.5468278371586</v>
      </c>
      <c r="H345" s="59">
        <v>2952.1976663947039</v>
      </c>
      <c r="J345" s="59">
        <v>116.2884052379588</v>
      </c>
      <c r="K345" s="59">
        <v>478.1459485758844</v>
      </c>
      <c r="L345" s="59">
        <v>191.82489363344581</v>
      </c>
      <c r="M345" s="59">
        <v>3296.9014698996848</v>
      </c>
      <c r="N345" s="59">
        <v>638.20169948175726</v>
      </c>
      <c r="P345" s="59">
        <v>487.67746000107365</v>
      </c>
      <c r="R345" s="59">
        <v>608901.78207794274</v>
      </c>
      <c r="S345" s="59">
        <v>119466032.99413869</v>
      </c>
    </row>
    <row r="346" spans="2:19" x14ac:dyDescent="0.2">
      <c r="B346" s="59">
        <v>343</v>
      </c>
      <c r="C346" s="59">
        <v>53</v>
      </c>
      <c r="D346" s="59">
        <v>44.776834757774481</v>
      </c>
      <c r="E346" s="59">
        <v>489.59083009814469</v>
      </c>
      <c r="F346" s="59">
        <v>679.12784260478441</v>
      </c>
      <c r="G346" s="59">
        <v>1101.1717846856091</v>
      </c>
      <c r="H346" s="59">
        <v>2948.4680537929021</v>
      </c>
      <c r="J346" s="59">
        <v>116.16029058946026</v>
      </c>
      <c r="K346" s="59">
        <v>477.99643860395685</v>
      </c>
      <c r="L346" s="59">
        <v>191.72229816703236</v>
      </c>
      <c r="M346" s="59">
        <v>3309.9536420309587</v>
      </c>
      <c r="N346" s="59">
        <v>641.03198466937931</v>
      </c>
      <c r="P346" s="59">
        <v>486.36275336394073</v>
      </c>
      <c r="R346" s="59">
        <v>608259.64875777229</v>
      </c>
      <c r="S346" s="59">
        <v>119724345.97054362</v>
      </c>
    </row>
    <row r="347" spans="2:19" x14ac:dyDescent="0.2">
      <c r="B347" s="59">
        <v>344</v>
      </c>
      <c r="C347" s="59">
        <v>53</v>
      </c>
      <c r="D347" s="59">
        <v>44.319364762665884</v>
      </c>
      <c r="E347" s="59">
        <v>486.33099346979202</v>
      </c>
      <c r="F347" s="59">
        <v>675.48757289871617</v>
      </c>
      <c r="G347" s="59">
        <v>1096.804522360176</v>
      </c>
      <c r="H347" s="59">
        <v>2944.7143620488409</v>
      </c>
      <c r="J347" s="59">
        <v>116.03107095790732</v>
      </c>
      <c r="K347" s="59">
        <v>477.84095363704</v>
      </c>
      <c r="L347" s="59">
        <v>191.61747684629859</v>
      </c>
      <c r="M347" s="59">
        <v>3322.9988249749795</v>
      </c>
      <c r="N347" s="59">
        <v>643.85485804358586</v>
      </c>
      <c r="P347" s="59">
        <v>485.04945549767478</v>
      </c>
      <c r="R347" s="59">
        <v>607612.42430132814</v>
      </c>
      <c r="S347" s="59">
        <v>119981740.59999895</v>
      </c>
    </row>
    <row r="348" spans="2:19" x14ac:dyDescent="0.2">
      <c r="B348" s="59">
        <v>345</v>
      </c>
      <c r="C348" s="59">
        <v>53</v>
      </c>
      <c r="D348" s="59">
        <v>43.866568586007311</v>
      </c>
      <c r="E348" s="59">
        <v>483.09130827553111</v>
      </c>
      <c r="F348" s="59">
        <v>671.86231417278725</v>
      </c>
      <c r="G348" s="59">
        <v>1092.4451122625801</v>
      </c>
      <c r="H348" s="59">
        <v>2940.9367839636507</v>
      </c>
      <c r="J348" s="59">
        <v>115.90075551519796</v>
      </c>
      <c r="K348" s="59">
        <v>477.67952219541843</v>
      </c>
      <c r="L348" s="59">
        <v>191.51044170108455</v>
      </c>
      <c r="M348" s="59">
        <v>3336.0368670029011</v>
      </c>
      <c r="N348" s="59">
        <v>646.67032632484381</v>
      </c>
      <c r="P348" s="59">
        <v>483.73757736768721</v>
      </c>
      <c r="R348" s="59">
        <v>606960.14329329797</v>
      </c>
      <c r="S348" s="59">
        <v>120238217.71967793</v>
      </c>
    </row>
    <row r="349" spans="2:19" x14ac:dyDescent="0.2">
      <c r="B349" s="59">
        <v>346</v>
      </c>
      <c r="C349" s="59">
        <v>53</v>
      </c>
      <c r="D349" s="59">
        <v>43.418398476953605</v>
      </c>
      <c r="E349" s="59">
        <v>479.87166794176443</v>
      </c>
      <c r="F349" s="59">
        <v>668.25205205139707</v>
      </c>
      <c r="G349" s="59">
        <v>1088.0936249333804</v>
      </c>
      <c r="H349" s="59">
        <v>2937.1355120871663</v>
      </c>
      <c r="J349" s="59">
        <v>115.76935339212389</v>
      </c>
      <c r="K349" s="59">
        <v>477.51217283061152</v>
      </c>
      <c r="L349" s="59">
        <v>191.40120476607819</v>
      </c>
      <c r="M349" s="59">
        <v>3349.0676172192357</v>
      </c>
      <c r="N349" s="59">
        <v>649.4783963012909</v>
      </c>
      <c r="P349" s="59">
        <v>482.42712986425806</v>
      </c>
      <c r="R349" s="59">
        <v>606302.84028123412</v>
      </c>
      <c r="S349" s="59">
        <v>120493778.1881799</v>
      </c>
    </row>
    <row r="350" spans="2:19" x14ac:dyDescent="0.2">
      <c r="B350" s="59">
        <v>347</v>
      </c>
      <c r="C350" s="59">
        <v>53</v>
      </c>
      <c r="D350" s="59">
        <v>42.974807172514062</v>
      </c>
      <c r="E350" s="59">
        <v>476.67196623395438</v>
      </c>
      <c r="F350" s="59">
        <v>664.65677155451328</v>
      </c>
      <c r="G350" s="59">
        <v>1083.7501300545694</v>
      </c>
      <c r="H350" s="59">
        <v>2933.3107387108298</v>
      </c>
      <c r="J350" s="59">
        <v>115.63687367882032</v>
      </c>
      <c r="K350" s="59">
        <v>477.33893412449936</v>
      </c>
      <c r="L350" s="59">
        <v>191.2897780802916</v>
      </c>
      <c r="M350" s="59">
        <v>3362.0909255616948</v>
      </c>
      <c r="N350" s="59">
        <v>652.27907482831472</v>
      </c>
      <c r="P350" s="59">
        <v>481.1181238026133</v>
      </c>
      <c r="R350" s="59">
        <v>605640.54977483</v>
      </c>
      <c r="S350" s="59">
        <v>120748422.88531639</v>
      </c>
    </row>
    <row r="351" spans="2:19" x14ac:dyDescent="0.2">
      <c r="B351" s="59">
        <v>348</v>
      </c>
      <c r="C351" s="59">
        <v>54</v>
      </c>
      <c r="D351" s="59">
        <v>42.53574789256821</v>
      </c>
      <c r="E351" s="59">
        <v>473.49209725882002</v>
      </c>
      <c r="F351" s="59">
        <v>661.07645710639986</v>
      </c>
      <c r="G351" s="59">
        <v>1079.4146964522281</v>
      </c>
      <c r="H351" s="59">
        <v>2929.4626558606528</v>
      </c>
      <c r="J351" s="59">
        <v>115.50332542520201</v>
      </c>
      <c r="K351" s="59">
        <v>477.15983468844342</v>
      </c>
      <c r="L351" s="59">
        <v>191.17617368654521</v>
      </c>
      <c r="M351" s="59">
        <v>3375.1066428010095</v>
      </c>
      <c r="N351" s="59">
        <v>655.07236882813265</v>
      </c>
      <c r="P351" s="59">
        <v>479.81056992300392</v>
      </c>
      <c r="Q351" s="59">
        <v>5757.7268390760473</v>
      </c>
      <c r="R351" s="59">
        <v>604973.30624519603</v>
      </c>
      <c r="S351" s="59">
        <v>121002152.71189824</v>
      </c>
    </row>
    <row r="352" spans="2:19" x14ac:dyDescent="0.2">
      <c r="B352" s="59">
        <v>349</v>
      </c>
      <c r="C352" s="59">
        <v>54</v>
      </c>
      <c r="D352" s="59">
        <v>42.101174334932473</v>
      </c>
      <c r="E352" s="59">
        <v>470.33195546646846</v>
      </c>
      <c r="F352" s="59">
        <v>657.51109254426956</v>
      </c>
      <c r="G352" s="59">
        <v>1075.0873920992428</v>
      </c>
      <c r="H352" s="59">
        <v>2925.5914552902382</v>
      </c>
      <c r="J352" s="59">
        <v>115.36871764138573</v>
      </c>
      <c r="K352" s="59">
        <v>476.97490316240209</v>
      </c>
      <c r="L352" s="59">
        <v>191.06040363096</v>
      </c>
      <c r="M352" s="59">
        <v>3388.1146205407299</v>
      </c>
      <c r="N352" s="59">
        <v>657.85828528937247</v>
      </c>
      <c r="P352" s="59">
        <v>478.5044788907864</v>
      </c>
      <c r="R352" s="59">
        <v>604301.14412413817</v>
      </c>
      <c r="S352" s="59">
        <v>121254968.58952384</v>
      </c>
    </row>
    <row r="353" spans="2:19" x14ac:dyDescent="0.2">
      <c r="B353" s="59">
        <v>350</v>
      </c>
      <c r="C353" s="59">
        <v>54</v>
      </c>
      <c r="D353" s="59">
        <v>41.671040670477247</v>
      </c>
      <c r="E353" s="59">
        <v>467.19143565246219</v>
      </c>
      <c r="F353" s="59">
        <v>653.96066112686037</v>
      </c>
      <c r="G353" s="59">
        <v>1070.7682841180799</v>
      </c>
      <c r="H353" s="59">
        <v>2921.6973284738633</v>
      </c>
      <c r="J353" s="59">
        <v>115.23305929809979</v>
      </c>
      <c r="K353" s="59">
        <v>476.7841682140413</v>
      </c>
      <c r="L353" s="59">
        <v>190.9424799624573</v>
      </c>
      <c r="M353" s="59">
        <v>3401.1147112170083</v>
      </c>
      <c r="N353" s="59">
        <v>660.63683126665171</v>
      </c>
      <c r="P353" s="59">
        <v>477.19986129650476</v>
      </c>
      <c r="R353" s="59">
        <v>603624.09780343587</v>
      </c>
      <c r="S353" s="59">
        <v>121506871.46036834</v>
      </c>
    </row>
    <row r="354" spans="2:19" x14ac:dyDescent="0.2">
      <c r="B354" s="59">
        <v>351</v>
      </c>
      <c r="C354" s="59">
        <v>54</v>
      </c>
      <c r="D354" s="59">
        <v>41.245301538293873</v>
      </c>
      <c r="E354" s="59">
        <v>464.07043295982328</v>
      </c>
      <c r="F354" s="59">
        <v>650.42514554293746</v>
      </c>
      <c r="G354" s="59">
        <v>1066.4574387836187</v>
      </c>
      <c r="H354" s="59">
        <v>2917.7804665996241</v>
      </c>
      <c r="J354" s="59">
        <v>115.09635932708062</v>
      </c>
      <c r="K354" s="59">
        <v>476.58765853784053</v>
      </c>
      <c r="L354" s="59">
        <v>190.82241473226568</v>
      </c>
      <c r="M354" s="59">
        <v>3414.1067680983579</v>
      </c>
      <c r="N354" s="59">
        <v>663.40801388015927</v>
      </c>
      <c r="P354" s="59">
        <v>475.89672765597487</v>
      </c>
      <c r="R354" s="59">
        <v>602942.20163412334</v>
      </c>
      <c r="S354" s="59">
        <v>121757862.28697398</v>
      </c>
    </row>
    <row r="355" spans="2:19" x14ac:dyDescent="0.2">
      <c r="B355" s="59">
        <v>352</v>
      </c>
      <c r="C355" s="59">
        <v>54</v>
      </c>
      <c r="D355" s="59">
        <v>40.823912040910969</v>
      </c>
      <c r="E355" s="59">
        <v>460.96884288097499</v>
      </c>
      <c r="F355" s="59">
        <v>646.90452791972018</v>
      </c>
      <c r="G355" s="59">
        <v>1062.1549215260407</v>
      </c>
      <c r="H355" s="59">
        <v>2913.8410605626377</v>
      </c>
      <c r="J355" s="59">
        <v>114.958626621457</v>
      </c>
      <c r="K355" s="59">
        <v>476.38540285419418</v>
      </c>
      <c r="L355" s="59">
        <v>190.70021999343496</v>
      </c>
      <c r="M355" s="59">
        <v>3427.0906452853947</v>
      </c>
      <c r="N355" s="59">
        <v>666.17184031523595</v>
      </c>
      <c r="P355" s="59">
        <v>474.5950884103691</v>
      </c>
      <c r="R355" s="59">
        <v>602255.48992576939</v>
      </c>
      <c r="S355" s="59">
        <v>122007942.05204144</v>
      </c>
    </row>
    <row r="356" spans="2:19" x14ac:dyDescent="0.2">
      <c r="B356" s="59">
        <v>353</v>
      </c>
      <c r="C356" s="59">
        <v>54</v>
      </c>
      <c r="D356" s="59">
        <v>40.40682773955966</v>
      </c>
      <c r="E356" s="59">
        <v>457.88656125962251</v>
      </c>
      <c r="F356" s="59">
        <v>643.39878983123401</v>
      </c>
      <c r="G356" s="59">
        <v>1057.8607969337741</v>
      </c>
      <c r="H356" s="59">
        <v>2909.8793009583087</v>
      </c>
      <c r="J356" s="59">
        <v>114.81987003612223</v>
      </c>
      <c r="K356" s="59">
        <v>476.17742990850894</v>
      </c>
      <c r="L356" s="59">
        <v>190.57590780035673</v>
      </c>
      <c r="M356" s="59">
        <v>3440.0661977105588</v>
      </c>
      <c r="N356" s="59">
        <v>668.9283178219556</v>
      </c>
      <c r="P356" s="59">
        <v>473.29495392630389</v>
      </c>
      <c r="R356" s="59">
        <v>601563.99694576068</v>
      </c>
      <c r="S356" s="59">
        <v>122257111.75822222</v>
      </c>
    </row>
    <row r="357" spans="2:19" x14ac:dyDescent="0.2">
      <c r="B357" s="59">
        <v>354</v>
      </c>
      <c r="C357" s="59">
        <v>54</v>
      </c>
      <c r="D357" s="59">
        <v>39.994004649487159</v>
      </c>
      <c r="E357" s="59">
        <v>454.82348429257308</v>
      </c>
      <c r="F357" s="59">
        <v>639.90791230658942</v>
      </c>
      <c r="G357" s="59">
        <v>1053.5751287564908</v>
      </c>
      <c r="H357" s="59">
        <v>2905.8953780756556</v>
      </c>
      <c r="J357" s="59">
        <v>114.68009838809436</v>
      </c>
      <c r="K357" s="59">
        <v>475.96376847029694</v>
      </c>
      <c r="L357" s="59">
        <v>190.44949020829148</v>
      </c>
      <c r="M357" s="59">
        <v>3453.0332811378153</v>
      </c>
      <c r="N357" s="59">
        <v>671.6774537147071</v>
      </c>
      <c r="P357" s="59">
        <v>471.99633449592824</v>
      </c>
      <c r="R357" s="59">
        <v>600867.75691858481</v>
      </c>
      <c r="S357" s="59">
        <v>122505372.42791206</v>
      </c>
    </row>
    <row r="358" spans="2:19" x14ac:dyDescent="0.2">
      <c r="B358" s="59">
        <v>355</v>
      </c>
      <c r="C358" s="59">
        <v>54</v>
      </c>
      <c r="D358" s="59">
        <v>39.585399235318235</v>
      </c>
      <c r="E358" s="59">
        <v>451.77950853149667</v>
      </c>
      <c r="F358" s="59">
        <v>636.43187583818622</v>
      </c>
      <c r="G358" s="59">
        <v>1049.2979799081577</v>
      </c>
      <c r="H358" s="59">
        <v>2901.8894818906988</v>
      </c>
      <c r="J358" s="59">
        <v>114.53932045686513</v>
      </c>
      <c r="K358" s="59">
        <v>475.74444733226505</v>
      </c>
      <c r="L358" s="59">
        <v>190.32097927290172</v>
      </c>
      <c r="M358" s="59">
        <v>3465.9917521623356</v>
      </c>
      <c r="N358" s="59">
        <v>674.41925537177588</v>
      </c>
      <c r="P358" s="59">
        <v>470.69924033701363</v>
      </c>
      <c r="R358" s="59">
        <v>600166.80402511416</v>
      </c>
      <c r="S358" s="59">
        <v>122752725.10304542</v>
      </c>
    </row>
    <row r="359" spans="2:19" x14ac:dyDescent="0.2">
      <c r="B359" s="59">
        <v>356</v>
      </c>
      <c r="C359" s="59">
        <v>54</v>
      </c>
      <c r="D359" s="59">
        <v>39.180968406464068</v>
      </c>
      <c r="E359" s="59">
        <v>448.75453088462825</v>
      </c>
      <c r="F359" s="59">
        <v>632.97066038984462</v>
      </c>
      <c r="G359" s="59">
        <v>1045.0294124701368</v>
      </c>
      <c r="H359" s="59">
        <v>2897.8618020599115</v>
      </c>
      <c r="J359" s="59">
        <v>114.39754498473751</v>
      </c>
      <c r="K359" s="59">
        <v>475.5194953094005</v>
      </c>
      <c r="L359" s="59">
        <v>190.19038704979118</v>
      </c>
      <c r="M359" s="59">
        <v>3478.9414682101601</v>
      </c>
      <c r="N359" s="59">
        <v>677.15373023492657</v>
      </c>
      <c r="P359" s="59">
        <v>469.40368159304643</v>
      </c>
      <c r="R359" s="59">
        <v>599461.17240189214</v>
      </c>
      <c r="S359" s="59">
        <v>122999170.84489101</v>
      </c>
    </row>
    <row r="360" spans="2:19" x14ac:dyDescent="0.2">
      <c r="B360" s="59">
        <v>357</v>
      </c>
      <c r="C360" s="59">
        <v>54</v>
      </c>
      <c r="D360" s="59">
        <v>38.780669512578029</v>
      </c>
      <c r="E360" s="59">
        <v>445.74844861841234</v>
      </c>
      <c r="F360" s="59">
        <v>629.52424540486368</v>
      </c>
      <c r="G360" s="59">
        <v>1040.7694876943378</v>
      </c>
      <c r="H360" s="59">
        <v>2893.8125279137303</v>
      </c>
      <c r="J360" s="59">
        <v>114.25478067715254</v>
      </c>
      <c r="K360" s="59">
        <v>475.28894123805321</v>
      </c>
      <c r="L360" s="59">
        <v>190.05772559404954</v>
      </c>
      <c r="M360" s="59">
        <v>3491.8822875378382</v>
      </c>
      <c r="N360" s="59">
        <v>679.88088580898557</v>
      </c>
      <c r="P360" s="59">
        <v>468.10966833332083</v>
      </c>
      <c r="R360" s="59">
        <v>598750.8961404193</v>
      </c>
      <c r="S360" s="59">
        <v>123244710.73384832</v>
      </c>
    </row>
    <row r="361" spans="2:19" x14ac:dyDescent="0.2">
      <c r="B361" s="59">
        <v>358</v>
      </c>
      <c r="C361" s="59">
        <v>54</v>
      </c>
      <c r="D361" s="59">
        <v>38.38446033905786</v>
      </c>
      <c r="E361" s="59">
        <v>442.76115935909098</v>
      </c>
      <c r="F361" s="59">
        <v>626.09260981400655</v>
      </c>
      <c r="G361" s="59">
        <v>1036.5182660064172</v>
      </c>
      <c r="H361" s="59">
        <v>2889.74184845013</v>
      </c>
      <c r="J361" s="59">
        <v>114.11103620300555</v>
      </c>
      <c r="K361" s="59">
        <v>475.0528139750146</v>
      </c>
      <c r="L361" s="59">
        <v>189.9230069598029</v>
      </c>
      <c r="M361" s="59">
        <v>3504.8140692320517</v>
      </c>
      <c r="N361" s="59">
        <v>682.60072966142366</v>
      </c>
      <c r="P361" s="59">
        <v>466.81721055303416</v>
      </c>
      <c r="R361" s="59">
        <v>598036.00928644114</v>
      </c>
      <c r="S361" s="59">
        <v>123489345.86924516</v>
      </c>
    </row>
    <row r="362" spans="2:19" x14ac:dyDescent="0.2">
      <c r="B362" s="59">
        <v>359</v>
      </c>
      <c r="C362" s="59">
        <v>54</v>
      </c>
      <c r="D362" s="59">
        <v>37.992299102593819</v>
      </c>
      <c r="E362" s="59">
        <v>439.79256109423568</v>
      </c>
      <c r="F362" s="59">
        <v>622.67573204341352</v>
      </c>
      <c r="G362" s="59">
        <v>1032.2758070090256</v>
      </c>
      <c r="H362" s="59">
        <v>2885.6499523282605</v>
      </c>
      <c r="J362" s="59">
        <v>113.96632019495198</v>
      </c>
      <c r="K362" s="59">
        <v>474.81114239659354</v>
      </c>
      <c r="L362" s="59">
        <v>189.78624319976927</v>
      </c>
      <c r="M362" s="59">
        <v>3517.7366732092169</v>
      </c>
      <c r="N362" s="59">
        <v>685.31326942194005</v>
      </c>
      <c r="P362" s="59">
        <v>465.5263181733834</v>
      </c>
      <c r="R362" s="59">
        <v>597316.54583923705</v>
      </c>
      <c r="S362" s="59">
        <v>123733077.36913635</v>
      </c>
    </row>
    <row r="363" spans="2:19" x14ac:dyDescent="0.2">
      <c r="B363" s="59">
        <v>360</v>
      </c>
      <c r="C363" s="59">
        <v>55</v>
      </c>
      <c r="D363" s="59">
        <v>37.604144446762319</v>
      </c>
      <c r="E363" s="59">
        <v>436.84255217422447</v>
      </c>
      <c r="F363" s="59">
        <v>619.27359002244327</v>
      </c>
      <c r="G363" s="59">
        <v>1028.0421694851016</v>
      </c>
      <c r="H363" s="59">
        <v>2881.5370278621449</v>
      </c>
      <c r="J363" s="59">
        <v>113.82064124970324</v>
      </c>
      <c r="K363" s="59">
        <v>474.56395539768931</v>
      </c>
      <c r="L363" s="59">
        <v>189.64744636481933</v>
      </c>
      <c r="M363" s="59">
        <v>3530.649960215067</v>
      </c>
      <c r="N363" s="59">
        <v>688.01851278204549</v>
      </c>
      <c r="P363" s="59">
        <v>464.2370010416638</v>
      </c>
      <c r="Q363" s="59">
        <v>5570.8440124999661</v>
      </c>
      <c r="R363" s="59">
        <v>596592.53975091071</v>
      </c>
      <c r="S363" s="59">
        <v>123975906.37010328</v>
      </c>
    </row>
    <row r="364" spans="2:19" x14ac:dyDescent="0.2">
      <c r="B364" s="59">
        <v>361</v>
      </c>
      <c r="C364" s="59">
        <v>55</v>
      </c>
      <c r="D364" s="59">
        <v>37.211807873034431</v>
      </c>
      <c r="E364" s="59">
        <v>433.81638209402723</v>
      </c>
      <c r="F364" s="59">
        <v>615.75198524693758</v>
      </c>
      <c r="G364" s="59">
        <v>1023.5946689311552</v>
      </c>
      <c r="H364" s="59">
        <v>2876.7789299917372</v>
      </c>
      <c r="J364" s="59">
        <v>113.64934678937543</v>
      </c>
      <c r="K364" s="59">
        <v>474.20845970052591</v>
      </c>
      <c r="L364" s="59">
        <v>189.46553822349628</v>
      </c>
      <c r="M364" s="59">
        <v>3543.5537918242139</v>
      </c>
      <c r="N364" s="59">
        <v>691.96908932549752</v>
      </c>
      <c r="P364" s="59">
        <v>462.84868424780933</v>
      </c>
      <c r="R364" s="59">
        <v>595734.7632087341</v>
      </c>
      <c r="S364" s="59">
        <v>124217781.54530881</v>
      </c>
    </row>
    <row r="365" spans="2:19" x14ac:dyDescent="0.2">
      <c r="B365" s="59">
        <v>362</v>
      </c>
      <c r="C365" s="59">
        <v>55</v>
      </c>
      <c r="D365" s="59">
        <v>36.823564677559105</v>
      </c>
      <c r="E365" s="59">
        <v>430.80988998652572</v>
      </c>
      <c r="F365" s="59">
        <v>612.2465675777155</v>
      </c>
      <c r="G365" s="59">
        <v>1019.1579839601872</v>
      </c>
      <c r="H365" s="59">
        <v>2872.002105915114</v>
      </c>
      <c r="J365" s="59">
        <v>113.4756397923135</v>
      </c>
      <c r="K365" s="59">
        <v>473.84917376533969</v>
      </c>
      <c r="L365" s="59">
        <v>189.28169102569061</v>
      </c>
      <c r="M365" s="59">
        <v>3556.4452346095104</v>
      </c>
      <c r="N365" s="59">
        <v>695.90814869004521</v>
      </c>
      <c r="P365" s="59">
        <v>461.46254198576747</v>
      </c>
      <c r="R365" s="59">
        <v>594872.85548174265</v>
      </c>
      <c r="S365" s="59">
        <v>124458704.46874163</v>
      </c>
    </row>
    <row r="366" spans="2:19" x14ac:dyDescent="0.2">
      <c r="B366" s="59">
        <v>363</v>
      </c>
      <c r="C366" s="59">
        <v>55</v>
      </c>
      <c r="D366" s="59">
        <v>36.439372152756569</v>
      </c>
      <c r="E366" s="59">
        <v>427.82296292990321</v>
      </c>
      <c r="F366" s="59">
        <v>608.75730346816476</v>
      </c>
      <c r="G366" s="59">
        <v>1014.7321645019764</v>
      </c>
      <c r="H366" s="59">
        <v>2867.2067556865622</v>
      </c>
      <c r="J366" s="59">
        <v>113.29956677356286</v>
      </c>
      <c r="K366" s="59">
        <v>473.48610157023012</v>
      </c>
      <c r="L366" s="59">
        <v>189.0959180982199</v>
      </c>
      <c r="M366" s="59">
        <v>3569.324147607168</v>
      </c>
      <c r="N366" s="59">
        <v>699.83570721145713</v>
      </c>
      <c r="P366" s="59">
        <v>460.07858326073205</v>
      </c>
      <c r="R366" s="59">
        <v>594006.857234761</v>
      </c>
      <c r="S366" s="59">
        <v>124698676.73307234</v>
      </c>
    </row>
    <row r="367" spans="2:19" x14ac:dyDescent="0.2">
      <c r="B367" s="59">
        <v>364</v>
      </c>
      <c r="C367" s="59">
        <v>55</v>
      </c>
      <c r="D367" s="59">
        <v>36.059188036629479</v>
      </c>
      <c r="E367" s="59">
        <v>424.85548846297036</v>
      </c>
      <c r="F367" s="59">
        <v>605.28415893019996</v>
      </c>
      <c r="G367" s="59">
        <v>1010.3172596340626</v>
      </c>
      <c r="H367" s="59">
        <v>2862.3930788227467</v>
      </c>
      <c r="J367" s="59">
        <v>113.12117343495522</v>
      </c>
      <c r="K367" s="59">
        <v>473.11924749344814</v>
      </c>
      <c r="L367" s="59">
        <v>188.90823280410694</v>
      </c>
      <c r="M367" s="59">
        <v>3582.1903910702176</v>
      </c>
      <c r="N367" s="59">
        <v>703.75178131066446</v>
      </c>
      <c r="P367" s="59">
        <v>458.69681697454354</v>
      </c>
      <c r="R367" s="59">
        <v>593136.80893179157</v>
      </c>
      <c r="S367" s="59">
        <v>124937699.9493773</v>
      </c>
    </row>
    <row r="368" spans="2:19" x14ac:dyDescent="0.2">
      <c r="B368" s="59">
        <v>365</v>
      </c>
      <c r="C368" s="59">
        <v>55</v>
      </c>
      <c r="D368" s="59">
        <v>35.682970508113975</v>
      </c>
      <c r="E368" s="59">
        <v>421.90735458593178</v>
      </c>
      <c r="F368" s="59">
        <v>601.82709954224174</v>
      </c>
      <c r="G368" s="59">
        <v>1005.9133175861521</v>
      </c>
      <c r="H368" s="59">
        <v>2857.5612742972135</v>
      </c>
      <c r="J368" s="59">
        <v>112.94050468156784</v>
      </c>
      <c r="K368" s="59">
        <v>472.74861630641175</v>
      </c>
      <c r="L368" s="59">
        <v>188.71864853829882</v>
      </c>
      <c r="M368" s="59">
        <v>3595.0438264611994</v>
      </c>
      <c r="N368" s="59">
        <v>707.65638749287086</v>
      </c>
      <c r="P368" s="59">
        <v>457.31725192640062</v>
      </c>
      <c r="R368" s="59">
        <v>592262.75083674002</v>
      </c>
      <c r="S368" s="59">
        <v>125175775.74686477</v>
      </c>
    </row>
    <row r="369" spans="2:19" x14ac:dyDescent="0.2">
      <c r="B369" s="59">
        <v>366</v>
      </c>
      <c r="C369" s="59">
        <v>55</v>
      </c>
      <c r="D369" s="59">
        <v>35.310678182479322</v>
      </c>
      <c r="E369" s="59">
        <v>418.97844976110184</v>
      </c>
      <c r="F369" s="59">
        <v>598.38609045711576</v>
      </c>
      <c r="G369" s="59">
        <v>1001.5203857445578</v>
      </c>
      <c r="H369" s="59">
        <v>2852.7115405349637</v>
      </c>
      <c r="J369" s="59">
        <v>112.75760463782696</v>
      </c>
      <c r="K369" s="59">
        <v>472.37421316681463</v>
      </c>
      <c r="L369" s="59">
        <v>188.52717872358849</v>
      </c>
      <c r="M369" s="59">
        <v>3607.884316444884</v>
      </c>
      <c r="N369" s="59">
        <v>711.54954234666889</v>
      </c>
      <c r="P369" s="59">
        <v>455.93989681356373</v>
      </c>
      <c r="R369" s="59">
        <v>591384.72301419394</v>
      </c>
      <c r="S369" s="59">
        <v>125412905.77260371</v>
      </c>
    </row>
    <row r="370" spans="2:19" x14ac:dyDescent="0.2">
      <c r="B370" s="59">
        <v>367</v>
      </c>
      <c r="C370" s="59">
        <v>55</v>
      </c>
      <c r="D370" s="59">
        <v>34.942270106775453</v>
      </c>
      <c r="E370" s="59">
        <v>416.06866291356977</v>
      </c>
      <c r="F370" s="59">
        <v>594.96109640987333</v>
      </c>
      <c r="G370" s="59">
        <v>997.13851065667279</v>
      </c>
      <c r="H370" s="59">
        <v>2847.8440754070994</v>
      </c>
      <c r="J370" s="59">
        <v>112.57251666326324</v>
      </c>
      <c r="K370" s="59">
        <v>471.99604361182685</v>
      </c>
      <c r="L370" s="59">
        <v>188.33383680673012</v>
      </c>
      <c r="M370" s="59">
        <v>3620.7117248810291</v>
      </c>
      <c r="N370" s="59">
        <v>715.43126254316132</v>
      </c>
      <c r="P370" s="59">
        <v>454.56476023205204</v>
      </c>
      <c r="R370" s="59">
        <v>590502.76533024921</v>
      </c>
      <c r="S370" s="59">
        <v>125649091.69125503</v>
      </c>
    </row>
    <row r="371" spans="2:19" x14ac:dyDescent="0.2">
      <c r="B371" s="59">
        <v>368</v>
      </c>
      <c r="C371" s="59">
        <v>55</v>
      </c>
      <c r="D371" s="59">
        <v>34.577705755328097</v>
      </c>
      <c r="E371" s="59">
        <v>413.17788343181542</v>
      </c>
      <c r="F371" s="59">
        <v>591.55208172553228</v>
      </c>
      <c r="G371" s="59">
        <v>992.76773803547496</v>
      </c>
      <c r="H371" s="59">
        <v>2842.9590762255375</v>
      </c>
      <c r="J371" s="59">
        <v>112.38528336792695</v>
      </c>
      <c r="K371" s="59">
        <v>471.6141135513862</v>
      </c>
      <c r="L371" s="59">
        <v>188.13863625473982</v>
      </c>
      <c r="M371" s="59">
        <v>3633.5259168171719</v>
      </c>
      <c r="N371" s="59">
        <v>719.30156483508813</v>
      </c>
      <c r="P371" s="59">
        <v>453.19185067733218</v>
      </c>
      <c r="R371" s="59">
        <v>589616.91745338065</v>
      </c>
      <c r="S371" s="59">
        <v>125884335.18480538</v>
      </c>
    </row>
    <row r="372" spans="2:19" x14ac:dyDescent="0.2">
      <c r="B372" s="59">
        <v>369</v>
      </c>
      <c r="C372" s="59">
        <v>55</v>
      </c>
      <c r="D372" s="59">
        <v>34.216945025280843</v>
      </c>
      <c r="E372" s="59">
        <v>410.30600116827611</v>
      </c>
      <c r="F372" s="59">
        <v>588.15901032673992</v>
      </c>
      <c r="G372" s="59">
        <v>988.40811276406316</v>
      </c>
      <c r="H372" s="59">
        <v>2838.0567397377968</v>
      </c>
      <c r="J372" s="59">
        <v>112.19594662746982</v>
      </c>
      <c r="K372" s="59">
        <v>471.22842926157881</v>
      </c>
      <c r="L372" s="59">
        <v>187.94159055137382</v>
      </c>
      <c r="M372" s="59">
        <v>3646.326758481463</v>
      </c>
      <c r="N372" s="59">
        <v>723.16046605595909</v>
      </c>
      <c r="P372" s="59">
        <v>451.82117654500047</v>
      </c>
      <c r="R372" s="59">
        <v>588727.21885535191</v>
      </c>
      <c r="S372" s="59">
        <v>126118637.95230328</v>
      </c>
    </row>
    <row r="373" spans="2:19" x14ac:dyDescent="0.2">
      <c r="B373" s="59">
        <v>370</v>
      </c>
      <c r="C373" s="59">
        <v>55</v>
      </c>
      <c r="D373" s="59">
        <v>33.859948232183747</v>
      </c>
      <c r="E373" s="59">
        <v>407.45290643986567</v>
      </c>
      <c r="F373" s="59">
        <v>584.78184574135787</v>
      </c>
      <c r="G373" s="59">
        <v>984.05967890022248</v>
      </c>
      <c r="H373" s="59">
        <v>2833.1372621218534</v>
      </c>
      <c r="J373" s="59">
        <v>112.00454759790159</v>
      </c>
      <c r="K373" s="59">
        <v>470.83899737810805</v>
      </c>
      <c r="L373" s="59">
        <v>187.74271319377604</v>
      </c>
      <c r="M373" s="59">
        <v>3659.1141172755406</v>
      </c>
      <c r="N373" s="59">
        <v>727.00798311919186</v>
      </c>
      <c r="P373" s="59">
        <v>450.45274613145705</v>
      </c>
      <c r="R373" s="59">
        <v>587833.70881216275</v>
      </c>
      <c r="S373" s="59">
        <v>126352001.70959792</v>
      </c>
    </row>
    <row r="374" spans="2:19" x14ac:dyDescent="0.2">
      <c r="B374" s="59">
        <v>371</v>
      </c>
      <c r="C374" s="59">
        <v>55</v>
      </c>
      <c r="D374" s="59">
        <v>33.50667610562796</v>
      </c>
      <c r="E374" s="59">
        <v>404.6184900284465</v>
      </c>
      <c r="F374" s="59">
        <v>581.42055110997012</v>
      </c>
      <c r="G374" s="59">
        <v>979.72247968101874</v>
      </c>
      <c r="H374" s="59">
        <v>2828.2008389810676</v>
      </c>
      <c r="J374" s="59">
        <v>111.81112673002737</v>
      </c>
      <c r="K374" s="59">
        <v>470.44582488985014</v>
      </c>
      <c r="L374" s="59">
        <v>187.54201768928797</v>
      </c>
      <c r="M374" s="59">
        <v>3671.8878617674495</v>
      </c>
      <c r="N374" s="59">
        <v>730.84413301725544</v>
      </c>
      <c r="P374" s="59">
        <v>449.08656763457344</v>
      </c>
      <c r="R374" s="59">
        <v>586936.42640502751</v>
      </c>
      <c r="S374" s="59">
        <v>126584428.18908034</v>
      </c>
    </row>
    <row r="375" spans="2:19" x14ac:dyDescent="0.2">
      <c r="B375" s="59">
        <v>372</v>
      </c>
      <c r="C375" s="59">
        <v>56</v>
      </c>
      <c r="D375" s="59">
        <v>33.157089784925908</v>
      </c>
      <c r="E375" s="59">
        <v>401.80264318125546</v>
      </c>
      <c r="F375" s="59">
        <v>578.07508919331349</v>
      </c>
      <c r="G375" s="59">
        <v>975.39655752741987</v>
      </c>
      <c r="H375" s="59">
        <v>2823.2476653391805</v>
      </c>
      <c r="J375" s="59">
        <v>111.64010752567083</v>
      </c>
      <c r="K375" s="59">
        <v>470.02453539039823</v>
      </c>
      <c r="L375" s="59">
        <v>187.33951755241367</v>
      </c>
      <c r="M375" s="59">
        <v>3684.6478616846039</v>
      </c>
      <c r="N375" s="59">
        <v>734.66893282081924</v>
      </c>
      <c r="P375" s="59">
        <v>447.72264915435284</v>
      </c>
      <c r="Q375" s="59">
        <v>5372.6717898522347</v>
      </c>
      <c r="R375" s="59">
        <v>586035.41052138433</v>
      </c>
      <c r="S375" s="59">
        <v>126815919.13942717</v>
      </c>
    </row>
    <row r="376" spans="2:19" x14ac:dyDescent="0.2">
      <c r="B376" s="59">
        <v>373</v>
      </c>
      <c r="C376" s="59">
        <v>56</v>
      </c>
      <c r="D376" s="59">
        <v>32.811150814836516</v>
      </c>
      <c r="E376" s="59">
        <v>399.00525761128409</v>
      </c>
      <c r="F376" s="59">
        <v>574.74542237963215</v>
      </c>
      <c r="G376" s="59">
        <v>971.08195404894423</v>
      </c>
      <c r="H376" s="59">
        <v>2818.2779356353822</v>
      </c>
      <c r="J376" s="59">
        <v>111.46658591414104</v>
      </c>
      <c r="K376" s="59">
        <v>469.59993747064692</v>
      </c>
      <c r="L376" s="59">
        <v>187.1352263019329</v>
      </c>
      <c r="M376" s="59">
        <v>3697.3941301452937</v>
      </c>
      <c r="N376" s="59">
        <v>738.48239967790721</v>
      </c>
      <c r="P376" s="59">
        <v>446.36098913989741</v>
      </c>
      <c r="R376" s="59">
        <v>585130.63541003736</v>
      </c>
      <c r="S376" s="59">
        <v>127046476.2999533</v>
      </c>
    </row>
    <row r="377" spans="2:19" x14ac:dyDescent="0.2">
      <c r="B377" s="59">
        <v>374</v>
      </c>
      <c r="C377" s="59">
        <v>56</v>
      </c>
      <c r="D377" s="59">
        <v>32.468821141335056</v>
      </c>
      <c r="E377" s="59">
        <v>396.22622549761445</v>
      </c>
      <c r="F377" s="59">
        <v>571.4315126919563</v>
      </c>
      <c r="G377" s="59">
        <v>966.77871004833401</v>
      </c>
      <c r="H377" s="59">
        <v>2813.291843719448</v>
      </c>
      <c r="J377" s="59">
        <v>111.29211734799951</v>
      </c>
      <c r="K377" s="59">
        <v>469.17052760135283</v>
      </c>
      <c r="L377" s="59">
        <v>186.92915665213789</v>
      </c>
      <c r="M377" s="59">
        <v>3710.1265345839615</v>
      </c>
      <c r="N377" s="59">
        <v>742.28455071586131</v>
      </c>
      <c r="P377" s="59">
        <v>445.00159583339314</v>
      </c>
      <c r="R377" s="59">
        <v>584222.14139169315</v>
      </c>
      <c r="S377" s="59">
        <v>127276101.42665832</v>
      </c>
    </row>
    <row r="378" spans="2:19" x14ac:dyDescent="0.2">
      <c r="B378" s="59">
        <v>375</v>
      </c>
      <c r="C378" s="59">
        <v>56</v>
      </c>
      <c r="D378" s="59">
        <v>32.130063107427127</v>
      </c>
      <c r="E378" s="59">
        <v>393.46543948571099</v>
      </c>
      <c r="F378" s="59">
        <v>568.13332179530539</v>
      </c>
      <c r="G378" s="59">
        <v>962.48686552625327</v>
      </c>
      <c r="H378" s="59">
        <v>2808.2895828469459</v>
      </c>
      <c r="J378" s="59">
        <v>111.11671417143781</v>
      </c>
      <c r="K378" s="59">
        <v>468.73633610385042</v>
      </c>
      <c r="L378" s="59">
        <v>186.72132137660606</v>
      </c>
      <c r="M378" s="59">
        <v>3722.8449524455573</v>
      </c>
      <c r="N378" s="59">
        <v>746.07540314090636</v>
      </c>
      <c r="P378" s="59">
        <v>443.64447678340122</v>
      </c>
      <c r="R378" s="59">
        <v>583309.96459820622</v>
      </c>
      <c r="S378" s="59">
        <v>127504796.290402</v>
      </c>
    </row>
    <row r="379" spans="2:19" x14ac:dyDescent="0.2">
      <c r="B379" s="59">
        <v>376</v>
      </c>
      <c r="C379" s="59">
        <v>56</v>
      </c>
      <c r="D379" s="59">
        <v>31.794839449006304</v>
      </c>
      <c r="E379" s="59">
        <v>390.72279268766937</v>
      </c>
      <c r="F379" s="59">
        <v>564.85081100381603</v>
      </c>
      <c r="G379" s="59">
        <v>958.20645968600957</v>
      </c>
      <c r="H379" s="59">
        <v>2803.2713456745137</v>
      </c>
      <c r="J379" s="59">
        <v>110.94038860882134</v>
      </c>
      <c r="K379" s="59">
        <v>468.29739330623534</v>
      </c>
      <c r="L379" s="59">
        <v>186.51173325289588</v>
      </c>
      <c r="M379" s="59">
        <v>3735.5492620997775</v>
      </c>
      <c r="N379" s="59">
        <v>749.8549742312556</v>
      </c>
      <c r="P379" s="59">
        <v>442.28963945708125</v>
      </c>
      <c r="R379" s="59">
        <v>582394.1410698531</v>
      </c>
      <c r="S379" s="59">
        <v>127732562.67670362</v>
      </c>
    </row>
    <row r="380" spans="2:19" x14ac:dyDescent="0.2">
      <c r="B380" s="59">
        <v>377</v>
      </c>
      <c r="C380" s="59">
        <v>56</v>
      </c>
      <c r="D380" s="59">
        <v>31.463113290755004</v>
      </c>
      <c r="E380" s="59">
        <v>387.99817868242297</v>
      </c>
      <c r="F380" s="59">
        <v>561.58394128779628</v>
      </c>
      <c r="G380" s="59">
        <v>953.93753093829753</v>
      </c>
      <c r="H380" s="59">
        <v>2798.2373242552053</v>
      </c>
      <c r="J380" s="59">
        <v>110.76315276661721</v>
      </c>
      <c r="K380" s="59">
        <v>467.85372954196237</v>
      </c>
      <c r="L380" s="59">
        <v>186.30040506106312</v>
      </c>
      <c r="M380" s="59">
        <v>3748.2393428394516</v>
      </c>
      <c r="N380" s="59">
        <v>753.62328133642939</v>
      </c>
      <c r="P380" s="59">
        <v>440.93709124043625</v>
      </c>
      <c r="R380" s="59">
        <v>581474.70675436466</v>
      </c>
      <c r="S380" s="59">
        <v>127959402.38554251</v>
      </c>
    </row>
    <row r="381" spans="2:19" x14ac:dyDescent="0.2">
      <c r="B381" s="59">
        <v>378</v>
      </c>
      <c r="C381" s="59">
        <v>56</v>
      </c>
      <c r="D381" s="59">
        <v>31.134848142088128</v>
      </c>
      <c r="E381" s="59">
        <v>385.29149151590769</v>
      </c>
      <c r="F381" s="59">
        <v>558.33267328070554</v>
      </c>
      <c r="G381" s="59">
        <v>949.68011690596416</v>
      </c>
      <c r="H381" s="59">
        <v>2793.1877100339075</v>
      </c>
      <c r="J381" s="59">
        <v>110.58501863527881</v>
      </c>
      <c r="K381" s="59">
        <v>467.40537514845204</v>
      </c>
      <c r="L381" s="59">
        <v>186.08734958222826</v>
      </c>
      <c r="M381" s="59">
        <v>3760.9150748788929</v>
      </c>
      <c r="N381" s="59">
        <v>757.38034187657593</v>
      </c>
      <c r="P381" s="59">
        <v>439.58683943855965</v>
      </c>
      <c r="R381" s="59">
        <v>580551.6975059869</v>
      </c>
      <c r="S381" s="59">
        <v>128185317.23115963</v>
      </c>
    </row>
    <row r="382" spans="2:19" x14ac:dyDescent="0.2">
      <c r="B382" s="59">
        <v>379</v>
      </c>
      <c r="C382" s="59">
        <v>56</v>
      </c>
      <c r="D382" s="59">
        <v>30.810007893139009</v>
      </c>
      <c r="E382" s="59">
        <v>382.60262570118618</v>
      </c>
      <c r="F382" s="59">
        <v>555.09696728606104</v>
      </c>
      <c r="G382" s="59">
        <v>945.43425442879447</v>
      </c>
      <c r="H382" s="59">
        <v>2788.1226938428254</v>
      </c>
      <c r="J382" s="59">
        <v>110.40599809108788</v>
      </c>
      <c r="K382" s="59">
        <v>466.95236046570585</v>
      </c>
      <c r="L382" s="59">
        <v>185.87257959719349</v>
      </c>
      <c r="M382" s="59">
        <v>3773.5763393522143</v>
      </c>
      <c r="N382" s="59">
        <v>761.12617334179299</v>
      </c>
      <c r="P382" s="59">
        <v>438.23889127588342</v>
      </c>
      <c r="R382" s="59">
        <v>579625.14908457187</v>
      </c>
      <c r="S382" s="59">
        <v>128410309.04186021</v>
      </c>
    </row>
    <row r="383" spans="2:19" x14ac:dyDescent="0.2">
      <c r="B383" s="59">
        <v>380</v>
      </c>
      <c r="C383" s="59">
        <v>56</v>
      </c>
      <c r="D383" s="59">
        <v>30.488556810787259</v>
      </c>
      <c r="E383" s="59">
        <v>379.93147621853177</v>
      </c>
      <c r="F383" s="59">
        <v>551.87678328427171</v>
      </c>
      <c r="G383" s="59">
        <v>941.19997956831708</v>
      </c>
      <c r="H383" s="59">
        <v>2783.0424658970387</v>
      </c>
      <c r="J383" s="59">
        <v>110.22610289795529</v>
      </c>
      <c r="K383" s="59">
        <v>466.49471583493056</v>
      </c>
      <c r="L383" s="59">
        <v>185.65610788510708</v>
      </c>
      <c r="M383" s="59">
        <v>3786.2230183116094</v>
      </c>
      <c r="N383" s="59">
        <v>764.86079329145207</v>
      </c>
      <c r="P383" s="59">
        <v>436.8932538964271</v>
      </c>
      <c r="R383" s="59">
        <v>578695.09715469321</v>
      </c>
      <c r="S383" s="59">
        <v>128634379.65981762</v>
      </c>
    </row>
    <row r="384" spans="2:19" x14ac:dyDescent="0.2">
      <c r="B384" s="59">
        <v>381</v>
      </c>
      <c r="C384" s="59">
        <v>56</v>
      </c>
      <c r="D384" s="59">
        <v>30.170459534728046</v>
      </c>
      <c r="E384" s="59">
        <v>377.27793851547301</v>
      </c>
      <c r="F384" s="59">
        <v>548.67208093939939</v>
      </c>
      <c r="G384" s="59">
        <v>936.97732761262773</v>
      </c>
      <c r="H384" s="59">
        <v>2777.9472157901241</v>
      </c>
      <c r="J384" s="59">
        <v>110.04534470918132</v>
      </c>
      <c r="K384" s="59">
        <v>466.03247159717108</v>
      </c>
      <c r="L384" s="59">
        <v>185.43794722217342</v>
      </c>
      <c r="M384" s="59">
        <v>3798.8549947255997</v>
      </c>
      <c r="N384" s="59">
        <v>768.58421935352328</v>
      </c>
      <c r="P384" s="59">
        <v>435.54993436404845</v>
      </c>
      <c r="R384" s="59">
        <v>577761.57728478999</v>
      </c>
      <c r="S384" s="59">
        <v>128857530.94087823</v>
      </c>
    </row>
    <row r="385" spans="2:19" x14ac:dyDescent="0.2">
      <c r="B385" s="59">
        <v>382</v>
      </c>
      <c r="C385" s="59">
        <v>56</v>
      </c>
      <c r="D385" s="59">
        <v>29.855681073582382</v>
      </c>
      <c r="E385" s="59">
        <v>374.64190850679978</v>
      </c>
      <c r="F385" s="59">
        <v>545.48281960584802</v>
      </c>
      <c r="G385" s="59">
        <v>932.76633308123098</v>
      </c>
      <c r="H385" s="59">
        <v>2772.8371324898499</v>
      </c>
      <c r="J385" s="59">
        <v>109.86373506917647</v>
      </c>
      <c r="K385" s="59">
        <v>465.56565809195229</v>
      </c>
      <c r="L385" s="59">
        <v>185.21811038040707</v>
      </c>
      <c r="M385" s="59">
        <v>3811.4721524772517</v>
      </c>
      <c r="N385" s="59">
        <v>772.29646922390259</v>
      </c>
      <c r="P385" s="59">
        <v>434.20893966269506</v>
      </c>
      <c r="R385" s="59">
        <v>576824.62494633428</v>
      </c>
      <c r="S385" s="59">
        <v>129079764.75436749</v>
      </c>
    </row>
    <row r="386" spans="2:19" x14ac:dyDescent="0.2">
      <c r="B386" s="59">
        <v>383</v>
      </c>
      <c r="C386" s="59">
        <v>56</v>
      </c>
      <c r="D386" s="59">
        <v>29.544186801048006</v>
      </c>
      <c r="E386" s="59">
        <v>372.02328257453104</v>
      </c>
      <c r="F386" s="59">
        <v>542.30895833498209</v>
      </c>
      <c r="G386" s="59">
        <v>928.56702972989876</v>
      </c>
      <c r="H386" s="59">
        <v>2767.7124043339368</v>
      </c>
      <c r="J386" s="59">
        <v>109.68128541514358</v>
      </c>
      <c r="K386" s="59">
        <v>465.09430565592999</v>
      </c>
      <c r="L386" s="59">
        <v>184.99661012642886</v>
      </c>
      <c r="M386" s="59">
        <v>3824.0743763623618</v>
      </c>
      <c r="N386" s="59">
        <v>775.99756066574014</v>
      </c>
      <c r="P386" s="59">
        <v>432.87027669665707</v>
      </c>
      <c r="R386" s="59">
        <v>575884.27551302244</v>
      </c>
      <c r="S386" s="59">
        <v>129301082.98289703</v>
      </c>
    </row>
    <row r="387" spans="2:19" x14ac:dyDescent="0.2">
      <c r="B387" s="59">
        <v>384</v>
      </c>
      <c r="C387" s="59">
        <v>57</v>
      </c>
      <c r="D387" s="59">
        <v>29.235942452090406</v>
      </c>
      <c r="E387" s="59">
        <v>369.42195756784571</v>
      </c>
      <c r="F387" s="59">
        <v>539.150455881673</v>
      </c>
      <c r="G387" s="59">
        <v>924.37945055554417</v>
      </c>
      <c r="H387" s="59">
        <v>2762.5732190258896</v>
      </c>
      <c r="J387" s="59">
        <v>109.4980070787222</v>
      </c>
      <c r="K387" s="59">
        <v>464.61844462155034</v>
      </c>
      <c r="L387" s="59">
        <v>184.77345922030273</v>
      </c>
      <c r="M387" s="59">
        <v>3836.6615520876121</v>
      </c>
      <c r="N387" s="59">
        <v>779.68751150877097</v>
      </c>
      <c r="P387" s="59">
        <v>431.53395229082093</v>
      </c>
      <c r="Q387" s="59">
        <v>5178.4074274898512</v>
      </c>
      <c r="R387" s="59">
        <v>574940.56425999047</v>
      </c>
      <c r="S387" s="59">
        <v>129521487.52217303</v>
      </c>
    </row>
    <row r="388" spans="2:19" x14ac:dyDescent="0.2">
      <c r="B388" s="59">
        <v>385</v>
      </c>
      <c r="C388" s="59">
        <v>57</v>
      </c>
      <c r="D388" s="59">
        <v>28.930914119173597</v>
      </c>
      <c r="E388" s="59">
        <v>366.83783080297667</v>
      </c>
      <c r="F388" s="59">
        <v>536.00727071077608</v>
      </c>
      <c r="G388" s="59">
        <v>920.203627801111</v>
      </c>
      <c r="H388" s="59">
        <v>2757.4197636308945</v>
      </c>
      <c r="J388" s="59">
        <v>109.3139112875962</v>
      </c>
      <c r="K388" s="59">
        <v>464.13810531571863</v>
      </c>
      <c r="L388" s="59">
        <v>184.5486704144115</v>
      </c>
      <c r="M388" s="59">
        <v>3849.2335662686964</v>
      </c>
      <c r="N388" s="59">
        <v>783.36633964864677</v>
      </c>
      <c r="P388" s="59">
        <v>430.19997319092448</v>
      </c>
      <c r="R388" s="59">
        <v>573993.52636304998</v>
      </c>
      <c r="S388" s="59">
        <v>129740980.28080563</v>
      </c>
    </row>
    <row r="389" spans="2:19" x14ac:dyDescent="0.2">
      <c r="B389" s="59">
        <v>386</v>
      </c>
      <c r="C389" s="59">
        <v>57</v>
      </c>
      <c r="D389" s="59">
        <v>28.629068248530221</v>
      </c>
      <c r="E389" s="59">
        <v>364.2708000630688</v>
      </c>
      <c r="F389" s="59">
        <v>532.87936100353704</v>
      </c>
      <c r="G389" s="59">
        <v>916.03959296047731</v>
      </c>
      <c r="H389" s="59">
        <v>2752.2522245717878</v>
      </c>
      <c r="J389" s="59">
        <v>109.12900916706526</v>
      </c>
      <c r="K389" s="59">
        <v>463.653318058477</v>
      </c>
      <c r="L389" s="59">
        <v>184.32225645237034</v>
      </c>
      <c r="M389" s="59">
        <v>3861.7903064284178</v>
      </c>
      <c r="N389" s="59">
        <v>787.03406304626992</v>
      </c>
      <c r="P389" s="59">
        <v>428.86834606381285</v>
      </c>
      <c r="R389" s="59">
        <v>573043.196897947</v>
      </c>
      <c r="S389" s="59">
        <v>129959563.1801195</v>
      </c>
    </row>
    <row r="390" spans="2:19" x14ac:dyDescent="0.2">
      <c r="B390" s="59">
        <v>387</v>
      </c>
      <c r="C390" s="59">
        <v>57</v>
      </c>
      <c r="D390" s="59">
        <v>28.330371636470556</v>
      </c>
      <c r="E390" s="59">
        <v>361.72076359800212</v>
      </c>
      <c r="F390" s="59">
        <v>529.76668466392937</v>
      </c>
      <c r="G390" s="59">
        <v>911.88737678337179</v>
      </c>
      <c r="H390" s="59">
        <v>2747.0707876250895</v>
      </c>
      <c r="J390" s="59">
        <v>108.94331174158118</v>
      </c>
      <c r="K390" s="59">
        <v>463.16411316169092</v>
      </c>
      <c r="L390" s="59">
        <v>184.09423006797621</v>
      </c>
      <c r="M390" s="59">
        <v>3874.331660994761</v>
      </c>
      <c r="N390" s="59">
        <v>790.69069972712884</v>
      </c>
      <c r="P390" s="59">
        <v>427.53907749769536</v>
      </c>
      <c r="R390" s="59">
        <v>572089.61083963967</v>
      </c>
      <c r="S390" s="59">
        <v>130177238.15396556</v>
      </c>
    </row>
    <row r="391" spans="2:19" x14ac:dyDescent="0.2">
      <c r="B391" s="59">
        <v>388</v>
      </c>
      <c r="C391" s="59">
        <v>57</v>
      </c>
      <c r="D391" s="59">
        <v>28.034791425730045</v>
      </c>
      <c r="E391" s="59">
        <v>359.18762012417989</v>
      </c>
      <c r="F391" s="59">
        <v>526.66919932492226</v>
      </c>
      <c r="G391" s="59">
        <v>907.74700928030313</v>
      </c>
      <c r="H391" s="59">
        <v>2741.8756379171073</v>
      </c>
      <c r="J391" s="59">
        <v>108.75682993624982</v>
      </c>
      <c r="K391" s="59">
        <v>462.67052092774497</v>
      </c>
      <c r="L391" s="59">
        <v>183.86460398419209</v>
      </c>
      <c r="M391" s="59">
        <v>3886.8575192989365</v>
      </c>
      <c r="N391" s="59">
        <v>794.33626778063558</v>
      </c>
      <c r="P391" s="59">
        <v>426.21217400240374</v>
      </c>
      <c r="R391" s="59">
        <v>571132.80306159589</v>
      </c>
      <c r="S391" s="59">
        <v>130394007.14853391</v>
      </c>
    </row>
    <row r="392" spans="2:19" x14ac:dyDescent="0.2">
      <c r="B392" s="59">
        <v>389</v>
      </c>
      <c r="C392" s="59">
        <v>57</v>
      </c>
      <c r="D392" s="59">
        <v>27.742295101854928</v>
      </c>
      <c r="E392" s="59">
        <v>356.67126882428295</v>
      </c>
      <c r="F392" s="59">
        <v>523.58686235468065</v>
      </c>
      <c r="G392" s="59">
        <v>903.61851972750117</v>
      </c>
      <c r="H392" s="59">
        <v>2736.6669599201064</v>
      </c>
      <c r="J392" s="59">
        <v>108.56957457829937</v>
      </c>
      <c r="K392" s="59">
        <v>462.17257164824758</v>
      </c>
      <c r="L392" s="59">
        <v>183.63339091216466</v>
      </c>
      <c r="M392" s="59">
        <v>3899.3677715733993</v>
      </c>
      <c r="N392" s="59">
        <v>797.97078535946457</v>
      </c>
      <c r="P392" s="59">
        <v>424.88764200965062</v>
      </c>
      <c r="R392" s="59">
        <v>570172.80833511066</v>
      </c>
      <c r="S392" s="59">
        <v>130609872.12216777</v>
      </c>
    </row>
    <row r="393" spans="2:19" x14ac:dyDescent="0.2">
      <c r="B393" s="59">
        <v>390</v>
      </c>
      <c r="C393" s="59">
        <v>57</v>
      </c>
      <c r="D393" s="59">
        <v>27.452850489625575</v>
      </c>
      <c r="E393" s="59">
        <v>354.17160934699075</v>
      </c>
      <c r="F393" s="59">
        <v>520.51963086269677</v>
      </c>
      <c r="G393" s="59">
        <v>899.50193667186829</v>
      </c>
      <c r="H393" s="59">
        <v>2731.4449374485462</v>
      </c>
      <c r="J393" s="59">
        <v>108.38155639851598</v>
      </c>
      <c r="K393" s="59">
        <v>461.67029560274489</v>
      </c>
      <c r="L393" s="59">
        <v>183.40060355027404</v>
      </c>
      <c r="M393" s="59">
        <v>3911.8623089498451</v>
      </c>
      <c r="N393" s="59">
        <v>801.59427067889374</v>
      </c>
      <c r="P393" s="59">
        <v>423.56548787328984</v>
      </c>
      <c r="R393" s="59">
        <v>569209.66132863995</v>
      </c>
      <c r="S393" s="59">
        <v>130824835.04517874</v>
      </c>
    </row>
    <row r="394" spans="2:19" x14ac:dyDescent="0.2">
      <c r="B394" s="59">
        <v>391</v>
      </c>
      <c r="C394" s="59">
        <v>57</v>
      </c>
      <c r="D394" s="59">
        <v>27.166425749517149</v>
      </c>
      <c r="E394" s="59">
        <v>351.68854180666966</v>
      </c>
      <c r="F394" s="59">
        <v>517.46746170585482</v>
      </c>
      <c r="G394" s="59">
        <v>895.39728793594145</v>
      </c>
      <c r="H394" s="59">
        <v>2726.2097536553865</v>
      </c>
      <c r="J394" s="59">
        <v>108.19278603264711</v>
      </c>
      <c r="K394" s="59">
        <v>461.16372305744375</v>
      </c>
      <c r="L394" s="59">
        <v>183.16625458321454</v>
      </c>
      <c r="M394" s="59">
        <v>3924.3410234571788</v>
      </c>
      <c r="N394" s="59">
        <v>805.20674201614747</v>
      </c>
      <c r="P394" s="59">
        <v>422.24571786957699</v>
      </c>
      <c r="R394" s="59">
        <v>568243.39660715323</v>
      </c>
      <c r="S394" s="59">
        <v>131038897.89966312</v>
      </c>
    </row>
    <row r="395" spans="2:19" x14ac:dyDescent="0.2">
      <c r="B395" s="59">
        <v>392</v>
      </c>
      <c r="C395" s="59">
        <v>57</v>
      </c>
      <c r="D395" s="59">
        <v>26.882989374197187</v>
      </c>
      <c r="E395" s="59">
        <v>349.22196678302896</v>
      </c>
      <c r="F395" s="59">
        <v>514.43031149442788</v>
      </c>
      <c r="G395" s="59">
        <v>891.30460062286295</v>
      </c>
      <c r="H395" s="59">
        <v>2720.9615910284583</v>
      </c>
      <c r="J395" s="59">
        <v>108.00327402277368</v>
      </c>
      <c r="K395" s="59">
        <v>460.6528842639438</v>
      </c>
      <c r="L395" s="59">
        <v>182.93035668110508</v>
      </c>
      <c r="M395" s="59">
        <v>3936.8038080194628</v>
      </c>
      <c r="N395" s="59">
        <v>808.80821770974069</v>
      </c>
      <c r="P395" s="59">
        <v>420.92833819743106</v>
      </c>
      <c r="R395" s="59">
        <v>567274.04863150232</v>
      </c>
      <c r="S395" s="59">
        <v>131252062.6793194</v>
      </c>
    </row>
    <row r="396" spans="2:19" x14ac:dyDescent="0.2">
      <c r="B396" s="59">
        <v>393</v>
      </c>
      <c r="C396" s="59">
        <v>57</v>
      </c>
      <c r="D396" s="59">
        <v>26.602510185059732</v>
      </c>
      <c r="E396" s="59">
        <v>346.77178532074583</v>
      </c>
      <c r="F396" s="59">
        <v>511.40813659800887</v>
      </c>
      <c r="G396" s="59">
        <v>887.22390112136054</v>
      </c>
      <c r="H396" s="59">
        <v>2715.700631386901</v>
      </c>
      <c r="J396" s="59">
        <v>107.81303081865161</v>
      </c>
      <c r="K396" s="59">
        <v>460.13780945797885</v>
      </c>
      <c r="L396" s="59">
        <v>182.69292249862826</v>
      </c>
      <c r="M396" s="59">
        <v>3949.250556453841</v>
      </c>
      <c r="N396" s="59">
        <v>812.39871615882566</v>
      </c>
      <c r="P396" s="59">
        <v>419.61335497869709</v>
      </c>
      <c r="R396" s="59">
        <v>566301.65175780584</v>
      </c>
      <c r="S396" s="59">
        <v>131464331.38926692</v>
      </c>
    </row>
    <row r="397" spans="2:19" x14ac:dyDescent="0.2">
      <c r="B397" s="59">
        <v>394</v>
      </c>
      <c r="C397" s="59">
        <v>57</v>
      </c>
      <c r="D397" s="59">
        <v>26.324957328795609</v>
      </c>
      <c r="E397" s="59">
        <v>344.33789892905907</v>
      </c>
      <c r="F397" s="59">
        <v>508.40089315137544</v>
      </c>
      <c r="G397" s="59">
        <v>883.1552151107345</v>
      </c>
      <c r="H397" s="59">
        <v>2710.4270558776675</v>
      </c>
      <c r="J397" s="59">
        <v>107.62206677902343</v>
      </c>
      <c r="K397" s="59">
        <v>459.61852885816717</v>
      </c>
      <c r="L397" s="59">
        <v>182.45396467419698</v>
      </c>
      <c r="M397" s="59">
        <v>3961.6811634684414</v>
      </c>
      <c r="N397" s="59">
        <v>815.97825582254029</v>
      </c>
      <c r="P397" s="59">
        <v>418.30077425840938</v>
      </c>
      <c r="R397" s="59">
        <v>565326.24023684976</v>
      </c>
      <c r="S397" s="59">
        <v>131675706.0458657</v>
      </c>
    </row>
    <row r="398" spans="2:19" x14ac:dyDescent="0.2">
      <c r="B398" s="59">
        <v>395</v>
      </c>
      <c r="C398" s="59">
        <v>57</v>
      </c>
      <c r="D398" s="59">
        <v>26.050300273998509</v>
      </c>
      <c r="E398" s="59">
        <v>341.92020958133247</v>
      </c>
      <c r="F398" s="59">
        <v>505.40853706028906</v>
      </c>
      <c r="G398" s="59">
        <v>879.09856756585214</v>
      </c>
      <c r="H398" s="59">
        <v>2705.1410449720952</v>
      </c>
      <c r="J398" s="59">
        <v>107.4303921729007</v>
      </c>
      <c r="K398" s="59">
        <v>459.09507266477141</v>
      </c>
      <c r="L398" s="59">
        <v>182.21349582914746</v>
      </c>
      <c r="M398" s="59">
        <v>3974.0955246602562</v>
      </c>
      <c r="N398" s="59">
        <v>819.54685521935812</v>
      </c>
      <c r="P398" s="59">
        <v>416.99060200505596</v>
      </c>
      <c r="R398" s="59">
        <v>564347.84821350314</v>
      </c>
      <c r="S398" s="59">
        <v>131886188.67653742</v>
      </c>
    </row>
    <row r="399" spans="2:19" x14ac:dyDescent="0.2">
      <c r="B399" s="59">
        <v>396</v>
      </c>
      <c r="C399" s="59">
        <v>58</v>
      </c>
      <c r="D399" s="59">
        <v>25.778508807806457</v>
      </c>
      <c r="E399" s="59">
        <v>339.51861971458897</v>
      </c>
      <c r="F399" s="59">
        <v>502.43102400722944</v>
      </c>
      <c r="G399" s="59">
        <v>875.05398276214851</v>
      </c>
      <c r="H399" s="59">
        <v>2699.8427784625405</v>
      </c>
      <c r="J399" s="59">
        <v>107.23801718081795</v>
      </c>
      <c r="K399" s="59">
        <v>458.56747105846739</v>
      </c>
      <c r="L399" s="59">
        <v>181.97152856695797</v>
      </c>
      <c r="M399" s="59">
        <v>3986.4935365130036</v>
      </c>
      <c r="N399" s="59">
        <v>823.10453292644036</v>
      </c>
      <c r="P399" s="59">
        <v>415.6828441108434</v>
      </c>
      <c r="Q399" s="59">
        <v>4988.1941293301215</v>
      </c>
      <c r="R399" s="59">
        <v>563366.5097261474</v>
      </c>
      <c r="S399" s="59">
        <v>132095781.31958759</v>
      </c>
    </row>
    <row r="400" spans="2:19" x14ac:dyDescent="0.2">
      <c r="B400" s="59">
        <v>397</v>
      </c>
      <c r="C400" s="59">
        <v>58</v>
      </c>
      <c r="D400" s="59">
        <v>25.509553032578342</v>
      </c>
      <c r="E400" s="59">
        <v>337.1330322290151</v>
      </c>
      <c r="F400" s="59">
        <v>499.46830945706387</v>
      </c>
      <c r="G400" s="59">
        <v>871.02148428063254</v>
      </c>
      <c r="H400" s="59">
        <v>2694.5324354590825</v>
      </c>
      <c r="J400" s="59">
        <v>107.04495189605871</v>
      </c>
      <c r="K400" s="59">
        <v>458.03575419912232</v>
      </c>
      <c r="L400" s="59">
        <v>181.72807547249187</v>
      </c>
      <c r="M400" s="59">
        <v>3998.875096394966</v>
      </c>
      <c r="N400" s="59">
        <v>826.6513075789901</v>
      </c>
      <c r="P400" s="59">
        <v>414.37750639196281</v>
      </c>
      <c r="R400" s="59">
        <v>562382.25870611961</v>
      </c>
      <c r="S400" s="59">
        <v>132304486.02402881</v>
      </c>
    </row>
    <row r="401" spans="2:19" x14ac:dyDescent="0.2">
      <c r="B401" s="59">
        <v>398</v>
      </c>
      <c r="C401" s="59">
        <v>58</v>
      </c>
      <c r="D401" s="59">
        <v>25.243403362605108</v>
      </c>
      <c r="E401" s="59">
        <v>334.76335048743738</v>
      </c>
      <c r="F401" s="59">
        <v>496.52034866265308</v>
      </c>
      <c r="G401" s="59">
        <v>867.00109501289865</v>
      </c>
      <c r="H401" s="59">
        <v>2689.2101943862872</v>
      </c>
      <c r="J401" s="59">
        <v>106.85120632585432</v>
      </c>
      <c r="K401" s="59">
        <v>457.49995222458227</v>
      </c>
      <c r="L401" s="59">
        <v>181.48314911126445</v>
      </c>
      <c r="M401" s="59">
        <v>4011.2401025568111</v>
      </c>
      <c r="N401" s="59">
        <v>830.18719786960787</v>
      </c>
      <c r="P401" s="59">
        <v>413.07459458885626</v>
      </c>
      <c r="R401" s="59">
        <v>561395.12897717056</v>
      </c>
      <c r="S401" s="59">
        <v>132512304.84940529</v>
      </c>
    </row>
    <row r="402" spans="2:19" x14ac:dyDescent="0.2">
      <c r="B402" s="59">
        <v>399</v>
      </c>
      <c r="C402" s="59">
        <v>58</v>
      </c>
      <c r="D402" s="59">
        <v>24.980030520855262</v>
      </c>
      <c r="E402" s="59">
        <v>332.40947831477035</v>
      </c>
      <c r="F402" s="59">
        <v>493.58709667039307</v>
      </c>
      <c r="G402" s="59">
        <v>862.99283716614173</v>
      </c>
      <c r="H402" s="59">
        <v>2683.876232980042</v>
      </c>
      <c r="J402" s="59">
        <v>106.65679039255622</v>
      </c>
      <c r="K402" s="59">
        <v>456.96009524946896</v>
      </c>
      <c r="L402" s="59">
        <v>181.23676202873241</v>
      </c>
      <c r="M402" s="59">
        <v>4023.5884541293917</v>
      </c>
      <c r="N402" s="59">
        <v>833.71222254764984</v>
      </c>
      <c r="P402" s="59">
        <v>411.77411436648424</v>
      </c>
      <c r="R402" s="59">
        <v>560405.15425493382</v>
      </c>
      <c r="S402" s="59">
        <v>132719239.86561847</v>
      </c>
    </row>
    <row r="403" spans="2:19" x14ac:dyDescent="0.2">
      <c r="B403" s="59">
        <v>400</v>
      </c>
      <c r="C403" s="59">
        <v>58</v>
      </c>
      <c r="D403" s="59">
        <v>24.719405535754341</v>
      </c>
      <c r="E403" s="59">
        <v>330.07131999743729</v>
      </c>
      <c r="F403" s="59">
        <v>490.66850832569401</v>
      </c>
      <c r="G403" s="59">
        <v>858.99673226817606</v>
      </c>
      <c r="H403" s="59">
        <v>2678.5307282844497</v>
      </c>
      <c r="J403" s="59">
        <v>106.46171393478224</v>
      </c>
      <c r="K403" s="59">
        <v>456.41621336398572</v>
      </c>
      <c r="L403" s="59">
        <v>180.98892674960524</v>
      </c>
      <c r="M403" s="59">
        <v>4035.9200511215295</v>
      </c>
      <c r="N403" s="59">
        <v>837.22640041858722</v>
      </c>
      <c r="P403" s="59">
        <v>410.47607131459364</v>
      </c>
      <c r="R403" s="59">
        <v>559412.36814640812</v>
      </c>
      <c r="S403" s="59">
        <v>132925293.15275383</v>
      </c>
    </row>
    <row r="404" spans="2:19" x14ac:dyDescent="0.2">
      <c r="B404" s="59">
        <v>401</v>
      </c>
      <c r="C404" s="59">
        <v>58</v>
      </c>
      <c r="D404" s="59">
        <v>24.461499737997972</v>
      </c>
      <c r="E404" s="59">
        <v>327.74878028276413</v>
      </c>
      <c r="F404" s="59">
        <v>487.76453827839634</v>
      </c>
      <c r="G404" s="59">
        <v>855.01280117245733</v>
      </c>
      <c r="H404" s="59">
        <v>2673.1738566487911</v>
      </c>
      <c r="J404" s="59">
        <v>106.26598670853751</v>
      </c>
      <c r="K404" s="59">
        <v>455.86833663273302</v>
      </c>
      <c r="L404" s="59">
        <v>180.73965577717777</v>
      </c>
      <c r="M404" s="59">
        <v>4048.2347944177777</v>
      </c>
      <c r="N404" s="59">
        <v>840.7297503433681</v>
      </c>
      <c r="P404" s="59">
        <v>409.18047094798686</v>
      </c>
      <c r="R404" s="59">
        <v>558416.80414945248</v>
      </c>
      <c r="S404" s="59">
        <v>133130466.80090883</v>
      </c>
    </row>
    <row r="405" spans="2:19" x14ac:dyDescent="0.2">
      <c r="B405" s="59">
        <v>402</v>
      </c>
      <c r="C405" s="59">
        <v>58</v>
      </c>
      <c r="D405" s="59">
        <v>24.206284757398194</v>
      </c>
      <c r="E405" s="59">
        <v>325.44176437834682</v>
      </c>
      <c r="F405" s="59">
        <v>484.87514098812505</v>
      </c>
      <c r="G405" s="59">
        <v>851.04106406310632</v>
      </c>
      <c r="H405" s="59">
        <v>2667.8057937245494</v>
      </c>
      <c r="J405" s="59">
        <v>106.06961838831066</v>
      </c>
      <c r="K405" s="59">
        <v>455.31649509353304</v>
      </c>
      <c r="L405" s="59">
        <v>180.48896159268293</v>
      </c>
      <c r="M405" s="59">
        <v>4060.5325857761673</v>
      </c>
      <c r="N405" s="59">
        <v>844.22229123778129</v>
      </c>
      <c r="P405" s="59">
        <v>407.88731870679095</v>
      </c>
      <c r="R405" s="59">
        <v>557418.49565229227</v>
      </c>
      <c r="S405" s="59">
        <v>133334762.91002207</v>
      </c>
    </row>
    <row r="406" spans="2:19" x14ac:dyDescent="0.2">
      <c r="B406" s="59">
        <v>403</v>
      </c>
      <c r="C406" s="59">
        <v>58</v>
      </c>
      <c r="D406" s="59">
        <v>23.953732519762674</v>
      </c>
      <c r="E406" s="59">
        <v>323.15017795139295</v>
      </c>
      <c r="F406" s="59">
        <v>482.00027072958187</v>
      </c>
      <c r="G406" s="59">
        <v>847.08154045993444</v>
      </c>
      <c r="H406" s="59">
        <v>2662.4267144624978</v>
      </c>
      <c r="J406" s="59">
        <v>105.8726185681458</v>
      </c>
      <c r="K406" s="59">
        <v>454.76071875626394</v>
      </c>
      <c r="L406" s="59">
        <v>180.23685665466405</v>
      </c>
      <c r="M406" s="59">
        <v>4072.8133278259361</v>
      </c>
      <c r="N406" s="59">
        <v>847.70404207182173</v>
      </c>
      <c r="P406" s="59">
        <v>406.5966199567282</v>
      </c>
      <c r="R406" s="59">
        <v>556417.47593303595</v>
      </c>
      <c r="S406" s="59">
        <v>133538183.5897035</v>
      </c>
    </row>
    <row r="407" spans="2:19" x14ac:dyDescent="0.2">
      <c r="B407" s="59">
        <v>404</v>
      </c>
      <c r="C407" s="59">
        <v>58</v>
      </c>
      <c r="D407" s="59">
        <v>23.703815243806485</v>
      </c>
      <c r="E407" s="59">
        <v>320.87392712803813</v>
      </c>
      <c r="F407" s="59">
        <v>479.13988159777654</v>
      </c>
      <c r="G407" s="59">
        <v>843.13424922346996</v>
      </c>
      <c r="H407" s="59">
        <v>2657.0367931098517</v>
      </c>
      <c r="J407" s="59">
        <v>105.6749967626909</v>
      </c>
      <c r="K407" s="59">
        <v>454.20103760170326</v>
      </c>
      <c r="L407" s="59">
        <v>179.98335339836615</v>
      </c>
      <c r="M407" s="59">
        <v>4085.0769240652398</v>
      </c>
      <c r="N407" s="59">
        <v>851.17502186905836</v>
      </c>
      <c r="P407" s="59">
        <v>405.30837998938671</v>
      </c>
      <c r="R407" s="59">
        <v>555413.7781592044</v>
      </c>
      <c r="S407" s="59">
        <v>133740730.95906596</v>
      </c>
    </row>
    <row r="408" spans="2:19" x14ac:dyDescent="0.2">
      <c r="B408" s="59">
        <v>405</v>
      </c>
      <c r="C408" s="59">
        <v>58</v>
      </c>
      <c r="D408" s="59">
        <v>23.456505438096105</v>
      </c>
      <c r="E408" s="59">
        <v>318.6129184926375</v>
      </c>
      <c r="F408" s="59">
        <v>476.29392751319722</v>
      </c>
      <c r="G408" s="59">
        <v>839.19920855998487</v>
      </c>
      <c r="H408" s="59">
        <v>2651.6362032074849</v>
      </c>
      <c r="J408" s="59">
        <v>105.47676240822305</v>
      </c>
      <c r="K408" s="59">
        <v>453.63748158038084</v>
      </c>
      <c r="L408" s="59">
        <v>179.72846423514514</v>
      </c>
      <c r="M408" s="59">
        <v>4097.3232788588484</v>
      </c>
      <c r="N408" s="59">
        <v>854.63524970600326</v>
      </c>
      <c r="P408" s="59">
        <v>404.0226040224922</v>
      </c>
      <c r="R408" s="59">
        <v>554407.43538726971</v>
      </c>
      <c r="S408" s="59">
        <v>133942407.14655769</v>
      </c>
    </row>
    <row r="409" spans="2:19" x14ac:dyDescent="0.2">
      <c r="B409" s="59">
        <v>406</v>
      </c>
      <c r="C409" s="59">
        <v>58</v>
      </c>
      <c r="D409" s="59">
        <v>23.211775898025302</v>
      </c>
      <c r="E409" s="59">
        <v>316.36705908703277</v>
      </c>
      <c r="F409" s="59">
        <v>473.46236222692073</v>
      </c>
      <c r="G409" s="59">
        <v>835.27643602652097</v>
      </c>
      <c r="H409" s="59">
        <v>2646.2251175872066</v>
      </c>
      <c r="J409" s="59">
        <v>105.27792486365134</v>
      </c>
      <c r="K409" s="59">
        <v>453.07008061144097</v>
      </c>
      <c r="L409" s="59">
        <v>179.4722015518947</v>
      </c>
      <c r="M409" s="59">
        <v>4109.5522974358237</v>
      </c>
      <c r="N409" s="59">
        <v>858.08474471148395</v>
      </c>
      <c r="P409" s="59">
        <v>402.7392972001802</v>
      </c>
      <c r="R409" s="59">
        <v>553398.48056220391</v>
      </c>
      <c r="S409" s="59">
        <v>134143214.28979614</v>
      </c>
    </row>
    <row r="410" spans="2:19" x14ac:dyDescent="0.2">
      <c r="B410" s="59">
        <v>407</v>
      </c>
      <c r="C410" s="59">
        <v>58</v>
      </c>
      <c r="D410" s="59">
        <v>22.96959970282257</v>
      </c>
      <c r="E410" s="59">
        <v>314.13625640979592</v>
      </c>
      <c r="F410" s="59">
        <v>470.64513932566297</v>
      </c>
      <c r="G410" s="59">
        <v>831.36594853591566</v>
      </c>
      <c r="H410" s="59">
        <v>2640.8037083691015</v>
      </c>
      <c r="J410" s="59">
        <v>105.07849341149752</v>
      </c>
      <c r="K410" s="59">
        <v>452.49886458151423</v>
      </c>
      <c r="L410" s="59">
        <v>179.21457771048992</v>
      </c>
      <c r="M410" s="59">
        <v>4121.7638858871842</v>
      </c>
      <c r="N410" s="59">
        <v>861.52352606601653</v>
      </c>
      <c r="P410" s="59">
        <v>401.4584645932689</v>
      </c>
      <c r="R410" s="59">
        <v>552386.94651703897</v>
      </c>
      <c r="S410" s="59">
        <v>134343154.53540286</v>
      </c>
    </row>
    <row r="411" spans="2:19" x14ac:dyDescent="0.2">
      <c r="B411" s="59">
        <v>408</v>
      </c>
      <c r="C411" s="59">
        <v>59</v>
      </c>
      <c r="D411" s="59">
        <v>22.729950212589788</v>
      </c>
      <c r="E411" s="59">
        <v>311.92041841544903</v>
      </c>
      <c r="F411" s="59">
        <v>467.84221223676985</v>
      </c>
      <c r="G411" s="59">
        <v>827.46776236182552</v>
      </c>
      <c r="H411" s="59">
        <v>2635.3721469589332</v>
      </c>
      <c r="J411" s="59">
        <v>104.8784772588554</v>
      </c>
      <c r="K411" s="59">
        <v>451.92386334359844</v>
      </c>
      <c r="L411" s="59">
        <v>178.95560504724716</v>
      </c>
      <c r="M411" s="59">
        <v>4133.9579511635511</v>
      </c>
      <c r="N411" s="59">
        <v>864.95161300118184</v>
      </c>
      <c r="P411" s="59">
        <v>400.18011119953252</v>
      </c>
      <c r="Q411" s="59">
        <v>4802.1613343943909</v>
      </c>
      <c r="R411" s="59">
        <v>551372.86597243533</v>
      </c>
      <c r="S411" s="59">
        <v>134542230.03883955</v>
      </c>
    </row>
    <row r="412" spans="2:19" x14ac:dyDescent="0.2">
      <c r="B412" s="59">
        <v>409</v>
      </c>
      <c r="C412" s="59">
        <v>59</v>
      </c>
      <c r="D412" s="59">
        <v>22.492801065371768</v>
      </c>
      <c r="E412" s="59">
        <v>309.71945351366179</v>
      </c>
      <c r="F412" s="59">
        <v>465.05353423314978</v>
      </c>
      <c r="G412" s="59">
        <v>823.58189314374829</v>
      </c>
      <c r="H412" s="59">
        <v>2629.9306040456067</v>
      </c>
      <c r="J412" s="59">
        <v>104.67788553832915</v>
      </c>
      <c r="K412" s="59">
        <v>451.34510671594944</v>
      </c>
      <c r="L412" s="59">
        <v>178.69529587239967</v>
      </c>
      <c r="M412" s="59">
        <v>4146.1344010727817</v>
      </c>
      <c r="N412" s="59">
        <v>868.36902479900266</v>
      </c>
      <c r="P412" s="59">
        <v>398.90424194397559</v>
      </c>
      <c r="R412" s="59">
        <v>550356.27153626049</v>
      </c>
      <c r="S412" s="59">
        <v>134740442.96424529</v>
      </c>
    </row>
    <row r="413" spans="2:19" x14ac:dyDescent="0.2">
      <c r="B413" s="59">
        <v>410</v>
      </c>
      <c r="C413" s="59">
        <v>59</v>
      </c>
      <c r="D413" s="59">
        <v>22.25812617425639</v>
      </c>
      <c r="E413" s="59">
        <v>307.53327056842642</v>
      </c>
      <c r="F413" s="59">
        <v>462.27905843814739</v>
      </c>
      <c r="G413" s="59">
        <v>819.70835589204194</v>
      </c>
      <c r="H413" s="59">
        <v>2624.4792495986972</v>
      </c>
      <c r="J413" s="59">
        <v>104.47672730895113</v>
      </c>
      <c r="K413" s="59">
        <v>450.76262448098083</v>
      </c>
      <c r="L413" s="59">
        <v>178.43366246958809</v>
      </c>
      <c r="M413" s="59">
        <v>4158.293144277588</v>
      </c>
      <c r="N413" s="59">
        <v>871.77578079132354</v>
      </c>
      <c r="P413" s="59">
        <v>397.63086167910762</v>
      </c>
      <c r="R413" s="59">
        <v>549337.19570317597</v>
      </c>
      <c r="S413" s="59">
        <v>134937795.48427486</v>
      </c>
    </row>
    <row r="414" spans="2:19" x14ac:dyDescent="0.2">
      <c r="B414" s="59">
        <v>411</v>
      </c>
      <c r="C414" s="59">
        <v>59</v>
      </c>
      <c r="D414" s="59">
        <v>22.025899724504981</v>
      </c>
      <c r="E414" s="59">
        <v>305.36177889721063</v>
      </c>
      <c r="F414" s="59">
        <v>459.51873783035956</v>
      </c>
      <c r="G414" s="59">
        <v>815.84716499294075</v>
      </c>
      <c r="H414" s="59">
        <v>2619.0182528660334</v>
      </c>
      <c r="J414" s="59">
        <v>104.27501155707978</v>
      </c>
      <c r="K414" s="59">
        <v>450.17644638417363</v>
      </c>
      <c r="L414" s="59">
        <v>178.17071709536577</v>
      </c>
      <c r="M414" s="59">
        <v>4170.434090293139</v>
      </c>
      <c r="N414" s="59">
        <v>875.17190035919305</v>
      </c>
      <c r="P414" s="59">
        <v>396.35997518521827</v>
      </c>
      <c r="R414" s="59">
        <v>548315.67085423414</v>
      </c>
      <c r="S414" s="59">
        <v>135134289.77993828</v>
      </c>
    </row>
    <row r="415" spans="2:19" x14ac:dyDescent="0.2">
      <c r="B415" s="59">
        <v>412</v>
      </c>
      <c r="C415" s="59">
        <v>59</v>
      </c>
      <c r="D415" s="59">
        <v>21.796096170712644</v>
      </c>
      <c r="E415" s="59">
        <v>303.20488827008955</v>
      </c>
      <c r="F415" s="59">
        <v>456.77252524839378</v>
      </c>
      <c r="G415" s="59">
        <v>811.99833421356743</v>
      </c>
      <c r="H415" s="59">
        <v>2613.5477823713486</v>
      </c>
      <c r="J415" s="59">
        <v>104.07274719727795</v>
      </c>
      <c r="K415" s="59">
        <v>449.5866021329951</v>
      </c>
      <c r="L415" s="59">
        <v>177.90647197871797</v>
      </c>
      <c r="M415" s="59">
        <v>4182.5571494846508</v>
      </c>
      <c r="N415" s="59">
        <v>878.55740293224721</v>
      </c>
      <c r="P415" s="59">
        <v>395.09158717065344</v>
      </c>
      <c r="R415" s="59">
        <v>547291.72925648338</v>
      </c>
      <c r="S415" s="59">
        <v>135329928.04044139</v>
      </c>
    </row>
    <row r="416" spans="2:19" x14ac:dyDescent="0.2">
      <c r="B416" s="59">
        <v>413</v>
      </c>
      <c r="C416" s="59">
        <v>59</v>
      </c>
      <c r="D416" s="59">
        <v>21.568690233998208</v>
      </c>
      <c r="E416" s="59">
        <v>301.06250890885633</v>
      </c>
      <c r="F416" s="59">
        <v>454.04037339556993</v>
      </c>
      <c r="G416" s="59">
        <v>808.16187670694092</v>
      </c>
      <c r="H416" s="59">
        <v>2608.0680059119859</v>
      </c>
      <c r="J416" s="59">
        <v>103.86994307317217</v>
      </c>
      <c r="K416" s="59">
        <v>448.99312139582719</v>
      </c>
      <c r="L416" s="59">
        <v>177.64093932059458</v>
      </c>
      <c r="M416" s="59">
        <v>4194.6622330649607</v>
      </c>
      <c r="N416" s="59">
        <v>881.93230798809566</v>
      </c>
      <c r="P416" s="59">
        <v>393.82570227209141</v>
      </c>
      <c r="R416" s="59">
        <v>546265.40306258074</v>
      </c>
      <c r="S416" s="59">
        <v>135524712.46302778</v>
      </c>
    </row>
    <row r="417" spans="2:19" x14ac:dyDescent="0.2">
      <c r="B417" s="59">
        <v>414</v>
      </c>
      <c r="C417" s="59">
        <v>59</v>
      </c>
      <c r="D417" s="59">
        <v>21.343656899223493</v>
      </c>
      <c r="E417" s="59">
        <v>298.93455148611235</v>
      </c>
      <c r="F417" s="59">
        <v>451.322234844565</v>
      </c>
      <c r="G417" s="59">
        <v>804.33780501697981</v>
      </c>
      <c r="H417" s="59">
        <v>2602.5790905566687</v>
      </c>
      <c r="J417" s="59">
        <v>103.6666079582933</v>
      </c>
      <c r="K417" s="59">
        <v>448.39603380090438</v>
      </c>
      <c r="L417" s="59">
        <v>177.374131293456</v>
      </c>
      <c r="M417" s="59">
        <v>4206.749253092089</v>
      </c>
      <c r="N417" s="59">
        <v>885.29663505170936</v>
      </c>
      <c r="P417" s="59">
        <v>392.56232505482023</v>
      </c>
      <c r="R417" s="59">
        <v>545236.7243104144</v>
      </c>
      <c r="S417" s="59">
        <v>135718645.25282153</v>
      </c>
    </row>
    <row r="418" spans="2:19" x14ac:dyDescent="0.2">
      <c r="B418" s="59">
        <v>415</v>
      </c>
      <c r="C418" s="59">
        <v>59</v>
      </c>
      <c r="D418" s="59">
        <v>21.120971412241595</v>
      </c>
      <c r="E418" s="59">
        <v>296.82092712433763</v>
      </c>
      <c r="F418" s="59">
        <v>448.61806204200218</v>
      </c>
      <c r="G418" s="59">
        <v>800.52613108349976</v>
      </c>
      <c r="H418" s="59">
        <v>2597.0812026433273</v>
      </c>
      <c r="J418" s="59">
        <v>103.46275055689904</v>
      </c>
      <c r="K418" s="59">
        <v>447.79536893526102</v>
      </c>
      <c r="L418" s="59">
        <v>177.10606004083158</v>
      </c>
      <c r="M418" s="59">
        <v>4218.8181224667906</v>
      </c>
      <c r="N418" s="59">
        <v>888.65040369481108</v>
      </c>
      <c r="P418" s="59">
        <v>391.30146001301489</v>
      </c>
      <c r="R418" s="59">
        <v>544205.72492273292</v>
      </c>
      <c r="S418" s="59">
        <v>135911728.6226714</v>
      </c>
    </row>
    <row r="419" spans="2:19" x14ac:dyDescent="0.2">
      <c r="B419" s="59">
        <v>416</v>
      </c>
      <c r="C419" s="59">
        <v>59</v>
      </c>
      <c r="D419" s="59">
        <v>20.900609277173874</v>
      </c>
      <c r="E419" s="59">
        <v>294.7215473949413</v>
      </c>
      <c r="F419" s="59">
        <v>445.92780731298416</v>
      </c>
      <c r="G419" s="59">
        <v>796.72686624720552</v>
      </c>
      <c r="H419" s="59">
        <v>2591.5745077769866</v>
      </c>
      <c r="J419" s="59">
        <v>103.25837950477866</v>
      </c>
      <c r="K419" s="59">
        <v>447.19115634368825</v>
      </c>
      <c r="L419" s="59">
        <v>176.83673767689021</v>
      </c>
      <c r="M419" s="59">
        <v>4230.8687549300857</v>
      </c>
      <c r="N419" s="59">
        <v>891.99363353526735</v>
      </c>
      <c r="P419" s="59">
        <v>390.04311157001547</v>
      </c>
      <c r="R419" s="59">
        <v>543172.43670678302</v>
      </c>
      <c r="S419" s="59">
        <v>136103964.79299596</v>
      </c>
    </row>
    <row r="420" spans="2:19" x14ac:dyDescent="0.2">
      <c r="B420" s="59">
        <v>417</v>
      </c>
      <c r="C420" s="59">
        <v>59</v>
      </c>
      <c r="D420" s="59">
        <v>20.682546253715362</v>
      </c>
      <c r="E420" s="59">
        <v>292.63632431729303</v>
      </c>
      <c r="F420" s="59">
        <v>443.25142286557127</v>
      </c>
      <c r="G420" s="59">
        <v>792.94002125467682</v>
      </c>
      <c r="H420" s="59">
        <v>2586.0591708277134</v>
      </c>
      <c r="J420" s="59">
        <v>103.05350337004049</v>
      </c>
      <c r="K420" s="59">
        <v>446.58342552770029</v>
      </c>
      <c r="L420" s="59">
        <v>176.5661762860228</v>
      </c>
      <c r="M420" s="59">
        <v>4242.9010650607852</v>
      </c>
      <c r="N420" s="59">
        <v>895.32634423648267</v>
      </c>
      <c r="P420" s="59">
        <v>388.78728407860598</v>
      </c>
      <c r="R420" s="59">
        <v>542136.89135395421</v>
      </c>
      <c r="S420" s="59">
        <v>136295355.9916299</v>
      </c>
    </row>
    <row r="421" spans="2:19" x14ac:dyDescent="0.2">
      <c r="B421" s="59">
        <v>418</v>
      </c>
      <c r="C421" s="59">
        <v>59</v>
      </c>
      <c r="D421" s="59">
        <v>20.466758354468265</v>
      </c>
      <c r="E421" s="59">
        <v>290.56517035773578</v>
      </c>
      <c r="F421" s="59">
        <v>440.58886079520494</v>
      </c>
      <c r="G421" s="59">
        <v>789.1656062633466</v>
      </c>
      <c r="H421" s="59">
        <v>2580.5353559286204</v>
      </c>
      <c r="J421" s="59">
        <v>102.84813065388242</v>
      </c>
      <c r="K421" s="59">
        <v>445.97220594451028</v>
      </c>
      <c r="L421" s="59">
        <v>176.2943879224359</v>
      </c>
      <c r="M421" s="59">
        <v>4254.9149682730003</v>
      </c>
      <c r="N421" s="59">
        <v>898.64855550679613</v>
      </c>
      <c r="P421" s="59">
        <v>387.53398182129325</v>
      </c>
      <c r="R421" s="59">
        <v>541099.12043943233</v>
      </c>
      <c r="S421" s="59">
        <v>136485904.45367151</v>
      </c>
    </row>
    <row r="422" spans="2:19" x14ac:dyDescent="0.2">
      <c r="B422" s="59">
        <v>419</v>
      </c>
      <c r="C422" s="59">
        <v>59</v>
      </c>
      <c r="D422" s="59">
        <v>20.253221842303311</v>
      </c>
      <c r="E422" s="59">
        <v>288.50799842858009</v>
      </c>
      <c r="F422" s="59">
        <v>437.9400730890768</v>
      </c>
      <c r="G422" s="59">
        <v>785.40363084647299</v>
      </c>
      <c r="H422" s="59">
        <v>2575.0032264739302</v>
      </c>
      <c r="J422" s="59">
        <v>102.64226979134595</v>
      </c>
      <c r="K422" s="59">
        <v>445.35752700601569</v>
      </c>
      <c r="L422" s="59">
        <v>176.0213846097565</v>
      </c>
      <c r="M422" s="59">
        <v>4266.9103808136397</v>
      </c>
      <c r="N422" s="59">
        <v>901.96028709888003</v>
      </c>
      <c r="P422" s="59">
        <v>386.2832090105864</v>
      </c>
      <c r="R422" s="59">
        <v>540059.15542185865</v>
      </c>
      <c r="S422" s="59">
        <v>136675612.42133123</v>
      </c>
    </row>
    <row r="423" spans="2:19" x14ac:dyDescent="0.2">
      <c r="B423" s="59">
        <v>420</v>
      </c>
      <c r="C423" s="59">
        <v>60</v>
      </c>
      <c r="D423" s="59">
        <v>20.041913227748612</v>
      </c>
      <c r="E423" s="59">
        <v>286.4647218870806</v>
      </c>
      <c r="F423" s="59">
        <v>435.30501163044426</v>
      </c>
      <c r="G423" s="59">
        <v>781.65410399810276</v>
      </c>
      <c r="H423" s="59">
        <v>2569.4629451170958</v>
      </c>
      <c r="J423" s="59">
        <v>102.43592915205411</v>
      </c>
      <c r="K423" s="59">
        <v>444.739418077793</v>
      </c>
      <c r="L423" s="59">
        <v>175.74717834064728</v>
      </c>
      <c r="M423" s="59">
        <v>4278.8872197598948</v>
      </c>
      <c r="N423" s="59">
        <v>905.26155880913984</v>
      </c>
      <c r="P423" s="59">
        <v>385.03496978927728</v>
      </c>
      <c r="Q423" s="59">
        <v>4620.4196374713274</v>
      </c>
      <c r="R423" s="59">
        <v>539017.02764299745</v>
      </c>
      <c r="S423" s="59">
        <v>136864482.1437813</v>
      </c>
    </row>
    <row r="424" spans="2:19" x14ac:dyDescent="0.2">
      <c r="B424" s="59">
        <v>421</v>
      </c>
      <c r="C424" s="59">
        <v>60</v>
      </c>
      <c r="D424" s="59">
        <v>19.826462660550316</v>
      </c>
      <c r="E424" s="59">
        <v>284.34454070579727</v>
      </c>
      <c r="F424" s="59">
        <v>432.54578161587619</v>
      </c>
      <c r="G424" s="59">
        <v>777.66951033842747</v>
      </c>
      <c r="H424" s="59">
        <v>2563.1010105030264</v>
      </c>
      <c r="J424" s="59">
        <v>102.19667899670222</v>
      </c>
      <c r="K424" s="59">
        <v>443.97707432904429</v>
      </c>
      <c r="L424" s="59">
        <v>175.416127803291</v>
      </c>
      <c r="M424" s="59">
        <v>4290.845403016715</v>
      </c>
      <c r="N424" s="59">
        <v>910.07741003057083</v>
      </c>
      <c r="P424" s="59">
        <v>383.66734049028736</v>
      </c>
      <c r="R424" s="59">
        <v>537802.07960199006</v>
      </c>
      <c r="S424" s="59">
        <v>137052456.21741021</v>
      </c>
    </row>
    <row r="425" spans="2:19" x14ac:dyDescent="0.2">
      <c r="B425" s="59">
        <v>422</v>
      </c>
      <c r="C425" s="59">
        <v>60</v>
      </c>
      <c r="D425" s="59">
        <v>19.613328186949399</v>
      </c>
      <c r="E425" s="59">
        <v>282.2393970126991</v>
      </c>
      <c r="F425" s="59">
        <v>429.80188518143427</v>
      </c>
      <c r="G425" s="59">
        <v>773.69982671097637</v>
      </c>
      <c r="H425" s="59">
        <v>2556.7350186294066</v>
      </c>
      <c r="J425" s="59">
        <v>101.95509492597904</v>
      </c>
      <c r="K425" s="59">
        <v>443.21380933654291</v>
      </c>
      <c r="L425" s="59">
        <v>175.08409024225338</v>
      </c>
      <c r="M425" s="59">
        <v>4302.7810625562361</v>
      </c>
      <c r="N425" s="59">
        <v>914.8764872175235</v>
      </c>
      <c r="P425" s="59">
        <v>382.30308041302055</v>
      </c>
      <c r="R425" s="59">
        <v>536585.74654695927</v>
      </c>
      <c r="S425" s="59">
        <v>137239537.45185199</v>
      </c>
    </row>
    <row r="426" spans="2:19" x14ac:dyDescent="0.2">
      <c r="B426" s="59">
        <v>423</v>
      </c>
      <c r="C426" s="59">
        <v>60</v>
      </c>
      <c r="D426" s="59">
        <v>19.402484908939694</v>
      </c>
      <c r="E426" s="59">
        <v>280.14919183666922</v>
      </c>
      <c r="F426" s="59">
        <v>427.07326017327847</v>
      </c>
      <c r="G426" s="59">
        <v>769.745047411207</v>
      </c>
      <c r="H426" s="59">
        <v>2550.3651356033702</v>
      </c>
      <c r="J426" s="59">
        <v>101.71123836507905</v>
      </c>
      <c r="K426" s="59">
        <v>442.44961418605322</v>
      </c>
      <c r="L426" s="59">
        <v>174.75107858677956</v>
      </c>
      <c r="M426" s="59">
        <v>4314.6941192608747</v>
      </c>
      <c r="N426" s="59">
        <v>919.65882966774973</v>
      </c>
      <c r="P426" s="59">
        <v>380.94219147953106</v>
      </c>
      <c r="R426" s="59">
        <v>535368.06644877803</v>
      </c>
      <c r="S426" s="59">
        <v>137425728.66270727</v>
      </c>
    </row>
    <row r="427" spans="2:19" x14ac:dyDescent="0.2">
      <c r="B427" s="59">
        <v>424</v>
      </c>
      <c r="C427" s="59">
        <v>60</v>
      </c>
      <c r="D427" s="59">
        <v>19.193908196168593</v>
      </c>
      <c r="E427" s="59">
        <v>278.07382676385163</v>
      </c>
      <c r="F427" s="59">
        <v>424.3598444202155</v>
      </c>
      <c r="G427" s="59">
        <v>765.80516617388696</v>
      </c>
      <c r="H427" s="59">
        <v>2543.9915265771601</v>
      </c>
      <c r="J427" s="59">
        <v>101.46516952989704</v>
      </c>
      <c r="K427" s="59">
        <v>441.68448051399844</v>
      </c>
      <c r="L427" s="59">
        <v>174.41710578447356</v>
      </c>
      <c r="M427" s="59">
        <v>4326.5844953215274</v>
      </c>
      <c r="N427" s="59">
        <v>924.4244767188211</v>
      </c>
      <c r="P427" s="59">
        <v>379.58467550938525</v>
      </c>
      <c r="R427" s="59">
        <v>534149.07695038815</v>
      </c>
      <c r="S427" s="59">
        <v>137611032.67131332</v>
      </c>
    </row>
    <row r="428" spans="2:19" x14ac:dyDescent="0.2">
      <c r="B428" s="59">
        <v>425</v>
      </c>
      <c r="C428" s="59">
        <v>60</v>
      </c>
      <c r="D428" s="59">
        <v>18.987573683059779</v>
      </c>
      <c r="E428" s="59">
        <v>276.01320393575645</v>
      </c>
      <c r="F428" s="59">
        <v>421.6615757378371</v>
      </c>
      <c r="G428" s="59">
        <v>761.88017617890102</v>
      </c>
      <c r="H428" s="59">
        <v>2537.6143557478813</v>
      </c>
      <c r="J428" s="59">
        <v>101.21694745207343</v>
      </c>
      <c r="K428" s="59">
        <v>440.91840049690444</v>
      </c>
      <c r="L428" s="59">
        <v>174.08218479578034</v>
      </c>
      <c r="M428" s="59">
        <v>4338.452114225026</v>
      </c>
      <c r="N428" s="59">
        <v>929.17346774678072</v>
      </c>
      <c r="P428" s="59">
        <v>378.23053422081961</v>
      </c>
      <c r="R428" s="59">
        <v>532928.81536895118</v>
      </c>
      <c r="S428" s="59">
        <v>137795452.30451727</v>
      </c>
    </row>
    <row r="429" spans="2:19" x14ac:dyDescent="0.2">
      <c r="B429" s="59">
        <v>426</v>
      </c>
      <c r="C429" s="59">
        <v>60</v>
      </c>
      <c r="D429" s="59">
        <v>18.783457265966888</v>
      </c>
      <c r="E429" s="59">
        <v>273.96722604735226</v>
      </c>
      <c r="F429" s="59">
        <v>418.97839193259915</v>
      </c>
      <c r="G429" s="59">
        <v>757.97007005703779</v>
      </c>
      <c r="H429" s="59">
        <v>2531.2337863573098</v>
      </c>
      <c r="J429" s="59">
        <v>100.96663000349753</v>
      </c>
      <c r="K429" s="59">
        <v>440.1513668410069</v>
      </c>
      <c r="L429" s="59">
        <v>173.74632858875145</v>
      </c>
      <c r="M429" s="59">
        <v>4350.2969007416705</v>
      </c>
      <c r="N429" s="59">
        <v>933.90584216480886</v>
      </c>
      <c r="P429" s="59">
        <v>376.87976923188347</v>
      </c>
      <c r="R429" s="59">
        <v>531707.31869806291</v>
      </c>
      <c r="S429" s="59">
        <v>137978990.3944521</v>
      </c>
    </row>
    <row r="430" spans="2:19" x14ac:dyDescent="0.2">
      <c r="B430" s="59">
        <v>427</v>
      </c>
      <c r="C430" s="59">
        <v>60</v>
      </c>
      <c r="D430" s="59">
        <v>18.581535100357744</v>
      </c>
      <c r="E430" s="59">
        <v>271.935796345146</v>
      </c>
      <c r="F430" s="59">
        <v>416.31023080584265</v>
      </c>
      <c r="G430" s="59">
        <v>754.07483989575542</v>
      </c>
      <c r="H430" s="59">
        <v>2524.8499806917589</v>
      </c>
      <c r="J430" s="59">
        <v>100.71427392028055</v>
      </c>
      <c r="K430" s="59">
        <v>439.38337277201936</v>
      </c>
      <c r="L430" s="59">
        <v>173.40955013408202</v>
      </c>
      <c r="M430" s="59">
        <v>4362.118780912856</v>
      </c>
      <c r="N430" s="59">
        <v>938.62163942190239</v>
      </c>
      <c r="P430" s="59">
        <v>375.53238206156857</v>
      </c>
      <c r="R430" s="59">
        <v>530484.623610029</v>
      </c>
      <c r="S430" s="59">
        <v>138161649.7783156</v>
      </c>
    </row>
    <row r="431" spans="2:19" x14ac:dyDescent="0.2">
      <c r="B431" s="59">
        <v>428</v>
      </c>
      <c r="C431" s="59">
        <v>60</v>
      </c>
      <c r="D431" s="59">
        <v>18.3817835980289</v>
      </c>
      <c r="E431" s="59">
        <v>269.91881862525122</v>
      </c>
      <c r="F431" s="59">
        <v>413.65703015775648</v>
      </c>
      <c r="G431" s="59">
        <v>750.19447724492579</v>
      </c>
      <c r="H431" s="59">
        <v>2518.4631000820041</v>
      </c>
      <c r="J431" s="59">
        <v>100.45993482620997</v>
      </c>
      <c r="K431" s="59">
        <v>438.61441202505972</v>
      </c>
      <c r="L431" s="59">
        <v>173.07186240040693</v>
      </c>
      <c r="M431" s="59">
        <v>4373.9176820387902</v>
      </c>
      <c r="N431" s="59">
        <v>943.32089900156768</v>
      </c>
      <c r="P431" s="59">
        <v>374.18837413092416</v>
      </c>
      <c r="R431" s="59">
        <v>529260.76645819354</v>
      </c>
      <c r="S431" s="59">
        <v>138343433.29815242</v>
      </c>
    </row>
    <row r="432" spans="2:19" x14ac:dyDescent="0.2">
      <c r="B432" s="59">
        <v>429</v>
      </c>
      <c r="C432" s="59">
        <v>60</v>
      </c>
      <c r="D432" s="59">
        <v>18.184179424350088</v>
      </c>
      <c r="E432" s="59">
        <v>267.91619723144453</v>
      </c>
      <c r="F432" s="59">
        <v>411.01872779128337</v>
      </c>
      <c r="G432" s="59">
        <v>746.3289731225575</v>
      </c>
      <c r="H432" s="59">
        <v>2512.073304903261</v>
      </c>
      <c r="J432" s="59">
        <v>100.20366725569676</v>
      </c>
      <c r="K432" s="59">
        <v>437.84447883473291</v>
      </c>
      <c r="L432" s="59">
        <v>172.73327834984491</v>
      </c>
      <c r="M432" s="59">
        <v>4385.6935326663024</v>
      </c>
      <c r="N432" s="59">
        <v>948.00366042052735</v>
      </c>
      <c r="P432" s="59">
        <v>372.84774676415884</v>
      </c>
      <c r="R432" s="59">
        <v>528035.78327931568</v>
      </c>
      <c r="S432" s="59">
        <v>138524343.80063882</v>
      </c>
    </row>
    <row r="433" spans="2:19" x14ac:dyDescent="0.2">
      <c r="B433" s="59">
        <v>430</v>
      </c>
      <c r="C433" s="59">
        <v>60</v>
      </c>
      <c r="D433" s="59">
        <v>17.988699495538324</v>
      </c>
      <c r="E433" s="59">
        <v>265.92783705321108</v>
      </c>
      <c r="F433" s="59">
        <v>408.39526151596863</v>
      </c>
      <c r="G433" s="59">
        <v>742.47831802049643</v>
      </c>
      <c r="H433" s="59">
        <v>2505.6807545752199</v>
      </c>
      <c r="J433" s="59">
        <v>99.945524676226327</v>
      </c>
      <c r="K433" s="59">
        <v>437.07356792536717</v>
      </c>
      <c r="L433" s="59">
        <v>172.39381093377932</v>
      </c>
      <c r="M433" s="59">
        <v>4397.4462625767537</v>
      </c>
      <c r="N433" s="59">
        <v>952.66996322744046</v>
      </c>
      <c r="P433" s="59">
        <v>371.51050118972819</v>
      </c>
      <c r="R433" s="59">
        <v>526809.70979599026</v>
      </c>
      <c r="S433" s="59">
        <v>138704384.13687056</v>
      </c>
    </row>
    <row r="434" spans="2:19" x14ac:dyDescent="0.2">
      <c r="B434" s="59">
        <v>431</v>
      </c>
      <c r="C434" s="59">
        <v>60</v>
      </c>
      <c r="D434" s="59">
        <v>17.795320975961285</v>
      </c>
      <c r="E434" s="59">
        <v>263.95364352377914</v>
      </c>
      <c r="F434" s="59">
        <v>405.78656915175321</v>
      </c>
      <c r="G434" s="59">
        <v>738.6425019101041</v>
      </c>
      <c r="H434" s="59">
        <v>2499.2856075621357</v>
      </c>
      <c r="J434" s="59">
        <v>99.685559510324325</v>
      </c>
      <c r="K434" s="59">
        <v>436.30167450140181</v>
      </c>
      <c r="L434" s="59">
        <v>172.05347308886536</v>
      </c>
      <c r="M434" s="59">
        <v>4409.1758027740407</v>
      </c>
      <c r="N434" s="59">
        <v>957.31984700163628</v>
      </c>
      <c r="P434" s="59">
        <v>370.17663854140886</v>
      </c>
      <c r="R434" s="59">
        <v>525582.58141910529</v>
      </c>
      <c r="S434" s="59">
        <v>138883557.16215357</v>
      </c>
    </row>
    <row r="435" spans="2:19" x14ac:dyDescent="0.2">
      <c r="B435" s="59">
        <v>432</v>
      </c>
      <c r="C435" s="59">
        <v>61</v>
      </c>
      <c r="D435" s="59">
        <v>17.604021275469702</v>
      </c>
      <c r="E435" s="59">
        <v>261.9935226181442</v>
      </c>
      <c r="F435" s="59">
        <v>403.19258853271072</v>
      </c>
      <c r="G435" s="59">
        <v>734.82151424791391</v>
      </c>
      <c r="H435" s="59">
        <v>2492.8880213729717</v>
      </c>
      <c r="J435" s="59">
        <v>99.455624446894802</v>
      </c>
      <c r="K435" s="59">
        <v>435.49699294807709</v>
      </c>
      <c r="L435" s="59">
        <v>171.7122777332533</v>
      </c>
      <c r="M435" s="59">
        <v>4420.8820854727055</v>
      </c>
      <c r="N435" s="59">
        <v>961.95335135186065</v>
      </c>
      <c r="P435" s="59">
        <v>368.84615985935983</v>
      </c>
      <c r="Q435" s="59">
        <v>4426.1539183123186</v>
      </c>
      <c r="R435" s="59">
        <v>524354.43325033376</v>
      </c>
      <c r="S435" s="59">
        <v>139061865.73579752</v>
      </c>
    </row>
    <row r="436" spans="2:19" x14ac:dyDescent="0.2">
      <c r="B436" s="59">
        <v>433</v>
      </c>
      <c r="C436" s="59">
        <v>61</v>
      </c>
      <c r="D436" s="59">
        <v>17.414778046758403</v>
      </c>
      <c r="E436" s="59">
        <v>260.04738085108335</v>
      </c>
      <c r="F436" s="59">
        <v>400.6132575107294</v>
      </c>
      <c r="G436" s="59">
        <v>731.0153439812633</v>
      </c>
      <c r="H436" s="59">
        <v>2486.4881525615979</v>
      </c>
      <c r="J436" s="59">
        <v>99.223205842069746</v>
      </c>
      <c r="K436" s="59">
        <v>434.69189793477119</v>
      </c>
      <c r="L436" s="59">
        <v>171.37023776301842</v>
      </c>
      <c r="M436" s="59">
        <v>4432.5652295936734</v>
      </c>
      <c r="N436" s="59">
        <v>966.57051591503614</v>
      </c>
      <c r="P436" s="59">
        <v>367.51905363124757</v>
      </c>
      <c r="R436" s="59">
        <v>523125.21603428689</v>
      </c>
      <c r="S436" s="59">
        <v>139239312.69240203</v>
      </c>
    </row>
    <row r="437" spans="2:19" x14ac:dyDescent="0.2">
      <c r="B437" s="59">
        <v>434</v>
      </c>
      <c r="C437" s="59">
        <v>61</v>
      </c>
      <c r="D437" s="59">
        <v>17.227569182755751</v>
      </c>
      <c r="E437" s="59">
        <v>258.11512527515964</v>
      </c>
      <c r="F437" s="59">
        <v>398.04851395913988</v>
      </c>
      <c r="G437" s="59">
        <v>727.22397955390375</v>
      </c>
      <c r="H437" s="59">
        <v>2480.0861567270413</v>
      </c>
      <c r="J437" s="59">
        <v>98.990321236651567</v>
      </c>
      <c r="K437" s="59">
        <v>433.88442534150636</v>
      </c>
      <c r="L437" s="59">
        <v>171.02736499757862</v>
      </c>
      <c r="M437" s="59">
        <v>4444.2251635567363</v>
      </c>
      <c r="N437" s="59">
        <v>971.17138016952742</v>
      </c>
      <c r="P437" s="59">
        <v>366.19532116823365</v>
      </c>
      <c r="R437" s="59">
        <v>521894.96674670646</v>
      </c>
      <c r="S437" s="59">
        <v>139415900.87122035</v>
      </c>
    </row>
    <row r="438" spans="2:19" x14ac:dyDescent="0.2">
      <c r="B438" s="59">
        <v>435</v>
      </c>
      <c r="C438" s="59">
        <v>61</v>
      </c>
      <c r="D438" s="59">
        <v>17.042372814041126</v>
      </c>
      <c r="E438" s="59">
        <v>256.19666347871731</v>
      </c>
      <c r="F438" s="59">
        <v>395.49829577628839</v>
      </c>
      <c r="G438" s="59">
        <v>723.44740891158688</v>
      </c>
      <c r="H438" s="59">
        <v>2473.6821885137911</v>
      </c>
      <c r="J438" s="59">
        <v>98.756983623498272</v>
      </c>
      <c r="K438" s="59">
        <v>433.0746034782249</v>
      </c>
      <c r="L438" s="59">
        <v>170.68367130820832</v>
      </c>
      <c r="M438" s="59">
        <v>4455.8618284698432</v>
      </c>
      <c r="N438" s="59">
        <v>975.75598362580115</v>
      </c>
      <c r="P438" s="59">
        <v>364.87496291517101</v>
      </c>
      <c r="R438" s="59">
        <v>520663.71687331097</v>
      </c>
      <c r="S438" s="59">
        <v>139591633.11420092</v>
      </c>
    </row>
    <row r="439" spans="2:19" x14ac:dyDescent="0.2">
      <c r="B439" s="59">
        <v>436</v>
      </c>
      <c r="C439" s="59">
        <v>61</v>
      </c>
      <c r="D439" s="59">
        <v>16.859167306290185</v>
      </c>
      <c r="E439" s="59">
        <v>254.29190358386791</v>
      </c>
      <c r="F439" s="59">
        <v>392.96254088905681</v>
      </c>
      <c r="G439" s="59">
        <v>719.68561950762614</v>
      </c>
      <c r="H439" s="59">
        <v>2467.2764016121532</v>
      </c>
      <c r="J439" s="59">
        <v>98.523205815977036</v>
      </c>
      <c r="K439" s="59">
        <v>432.26246060031798</v>
      </c>
      <c r="L439" s="59">
        <v>170.33916854635888</v>
      </c>
      <c r="M439" s="59">
        <v>4467.475166324647</v>
      </c>
      <c r="N439" s="59">
        <v>980.32436581370553</v>
      </c>
      <c r="P439" s="59">
        <v>363.55797924627802</v>
      </c>
      <c r="R439" s="59">
        <v>519431.49773469981</v>
      </c>
      <c r="S439" s="59">
        <v>139766512.26584551</v>
      </c>
    </row>
    <row r="440" spans="2:19" x14ac:dyDescent="0.2">
      <c r="B440" s="59">
        <v>437</v>
      </c>
      <c r="C440" s="59">
        <v>61</v>
      </c>
      <c r="D440" s="59">
        <v>16.677931257747566</v>
      </c>
      <c r="E440" s="59">
        <v>252.40075424446798</v>
      </c>
      <c r="F440" s="59">
        <v>390.44118725632956</v>
      </c>
      <c r="G440" s="59">
        <v>715.93859830843542</v>
      </c>
      <c r="H440" s="59">
        <v>2460.8689487586612</v>
      </c>
      <c r="J440" s="59">
        <v>98.289000451072383</v>
      </c>
      <c r="K440" s="59">
        <v>431.44802490720821</v>
      </c>
      <c r="L440" s="59">
        <v>169.99386854194444</v>
      </c>
      <c r="M440" s="59">
        <v>4479.0651199925669</v>
      </c>
      <c r="N440" s="59">
        <v>984.87656628156719</v>
      </c>
      <c r="P440" s="59">
        <v>362.24437046558768</v>
      </c>
      <c r="R440" s="59">
        <v>518198.34048588364</v>
      </c>
      <c r="S440" s="59">
        <v>139940541.17306852</v>
      </c>
    </row>
    <row r="441" spans="2:19" x14ac:dyDescent="0.2">
      <c r="B441" s="59">
        <v>438</v>
      </c>
      <c r="C441" s="59">
        <v>61</v>
      </c>
      <c r="D441" s="59">
        <v>16.498643496726782</v>
      </c>
      <c r="E441" s="59">
        <v>250.52312464408823</v>
      </c>
      <c r="F441" s="59">
        <v>387.93417287240823</v>
      </c>
      <c r="G441" s="59">
        <v>712.20633179904212</v>
      </c>
      <c r="H441" s="59">
        <v>2454.4599817365333</v>
      </c>
      <c r="J441" s="59">
        <v>98.054379992428323</v>
      </c>
      <c r="K441" s="59">
        <v>430.63132454095415</v>
      </c>
      <c r="L441" s="59">
        <v>169.64778310170033</v>
      </c>
      <c r="M441" s="59">
        <v>4490.6316332208262</v>
      </c>
      <c r="N441" s="59">
        <v>989.4126245952931</v>
      </c>
      <c r="P441" s="59">
        <v>360.93413680739513</v>
      </c>
      <c r="R441" s="59">
        <v>516964.27611585503</v>
      </c>
      <c r="S441" s="59">
        <v>140113722.68505746</v>
      </c>
    </row>
    <row r="442" spans="2:19" x14ac:dyDescent="0.2">
      <c r="B442" s="59">
        <v>439</v>
      </c>
      <c r="C442" s="59">
        <v>61</v>
      </c>
      <c r="D442" s="59">
        <v>16.321283079136968</v>
      </c>
      <c r="E442" s="59">
        <v>248.65892449397492</v>
      </c>
      <c r="F442" s="59">
        <v>385.44143577037403</v>
      </c>
      <c r="G442" s="59">
        <v>708.48880598857647</v>
      </c>
      <c r="H442" s="59">
        <v>2448.0496513761846</v>
      </c>
      <c r="J442" s="59">
        <v>97.819356733326018</v>
      </c>
      <c r="K442" s="59">
        <v>429.81238758487689</v>
      </c>
      <c r="L442" s="59">
        <v>169.30092400761157</v>
      </c>
      <c r="M442" s="59">
        <v>4502.1746506284626</v>
      </c>
      <c r="N442" s="59">
        <v>993.93258033747691</v>
      </c>
      <c r="P442" s="59">
        <v>359.62727843670524</v>
      </c>
      <c r="R442" s="59">
        <v>515729.33544719976</v>
      </c>
      <c r="S442" s="59">
        <v>140286059.65313444</v>
      </c>
    </row>
    <row r="443" spans="2:19" x14ac:dyDescent="0.2">
      <c r="B443" s="59">
        <v>440</v>
      </c>
      <c r="C443" s="59">
        <v>61</v>
      </c>
      <c r="D443" s="59">
        <v>16.145829286036246</v>
      </c>
      <c r="E443" s="59">
        <v>246.80806403100354</v>
      </c>
      <c r="F443" s="59">
        <v>382.9629140253989</v>
      </c>
      <c r="G443" s="59">
        <v>704.78600641573541</v>
      </c>
      <c r="H443" s="59">
        <v>2441.6381075557865</v>
      </c>
      <c r="J443" s="59">
        <v>97.583942799598489</v>
      </c>
      <c r="K443" s="59">
        <v>428.99124206220802</v>
      </c>
      <c r="L443" s="59">
        <v>168.95330301540847</v>
      </c>
      <c r="M443" s="59">
        <v>4513.6941177023145</v>
      </c>
      <c r="N443" s="59">
        <v>998.4364731065109</v>
      </c>
      <c r="P443" s="59">
        <v>358.32379544967978</v>
      </c>
      <c r="R443" s="59">
        <v>514493.54913574515</v>
      </c>
      <c r="S443" s="59">
        <v>140457554.93061909</v>
      </c>
    </row>
    <row r="444" spans="2:19" x14ac:dyDescent="0.2">
      <c r="B444" s="59">
        <v>441</v>
      </c>
      <c r="C444" s="59">
        <v>61</v>
      </c>
      <c r="D444" s="59">
        <v>15.972261621211356</v>
      </c>
      <c r="E444" s="59">
        <v>244.97045401562511</v>
      </c>
      <c r="F444" s="59">
        <v>380.49854575800578</v>
      </c>
      <c r="G444" s="59">
        <v>701.09791815422159</v>
      </c>
      <c r="H444" s="59">
        <v>2435.2254992018779</v>
      </c>
      <c r="J444" s="59">
        <v>97.348150152483541</v>
      </c>
      <c r="K444" s="59">
        <v>428.16791593475938</v>
      </c>
      <c r="L444" s="59">
        <v>168.60493185312677</v>
      </c>
      <c r="M444" s="59">
        <v>4525.1899807929876</v>
      </c>
      <c r="N444" s="59">
        <v>1002.9243425157022</v>
      </c>
      <c r="P444" s="59">
        <v>357.02368787408312</v>
      </c>
      <c r="R444" s="59">
        <v>513256.94767024508</v>
      </c>
      <c r="S444" s="59">
        <v>140628211.3726925</v>
      </c>
    </row>
    <row r="445" spans="2:19" x14ac:dyDescent="0.2">
      <c r="B445" s="59">
        <v>442</v>
      </c>
      <c r="C445" s="59">
        <v>61</v>
      </c>
      <c r="D445" s="59">
        <v>15.800559808783333</v>
      </c>
      <c r="E445" s="59">
        <v>243.14600572980561</v>
      </c>
      <c r="F445" s="59">
        <v>378.0482691372784</v>
      </c>
      <c r="G445" s="59">
        <v>697.42452581815667</v>
      </c>
      <c r="H445" s="59">
        <v>2428.8119742900253</v>
      </c>
      <c r="J445" s="59">
        <v>97.111990591416614</v>
      </c>
      <c r="K445" s="59">
        <v>427.34243710161371</v>
      </c>
      <c r="L445" s="59">
        <v>168.25582221972979</v>
      </c>
      <c r="M445" s="59">
        <v>4536.6621871107982</v>
      </c>
      <c r="N445" s="59">
        <v>1007.3962281923934</v>
      </c>
      <c r="P445" s="59">
        <v>355.72695566972823</v>
      </c>
      <c r="R445" s="59">
        <v>512019.5613720991</v>
      </c>
      <c r="S445" s="59">
        <v>140798031.83626232</v>
      </c>
    </row>
    <row r="446" spans="2:19" x14ac:dyDescent="0.2">
      <c r="B446" s="59">
        <v>443</v>
      </c>
      <c r="C446" s="59">
        <v>61</v>
      </c>
      <c r="D446" s="59">
        <v>15.630703790838913</v>
      </c>
      <c r="E446" s="59">
        <v>241.33463097495866</v>
      </c>
      <c r="F446" s="59">
        <v>375.61202238402115</v>
      </c>
      <c r="G446" s="59">
        <v>693.76581356746908</v>
      </c>
      <c r="H446" s="59">
        <v>2422.3976798455296</v>
      </c>
      <c r="J446" s="59">
        <v>96.875475756764601</v>
      </c>
      <c r="K446" s="59">
        <v>426.51483339783658</v>
      </c>
      <c r="L446" s="59">
        <v>167.90598578379021</v>
      </c>
      <c r="M446" s="59">
        <v>4548.1106847217015</v>
      </c>
      <c r="N446" s="59">
        <v>1011.8521697770902</v>
      </c>
      <c r="P446" s="59">
        <v>354.43359872892086</v>
      </c>
      <c r="R446" s="59">
        <v>510781.42039510544</v>
      </c>
      <c r="S446" s="59">
        <v>140967019.17982912</v>
      </c>
    </row>
    <row r="447" spans="2:19" x14ac:dyDescent="0.2">
      <c r="B447" s="59">
        <v>444</v>
      </c>
      <c r="C447" s="59">
        <v>62</v>
      </c>
      <c r="D447" s="59">
        <v>15.462673725087395</v>
      </c>
      <c r="E447" s="59">
        <v>239.53624206987175</v>
      </c>
      <c r="F447" s="59">
        <v>373.18974377386951</v>
      </c>
      <c r="G447" s="59">
        <v>690.12176511325629</v>
      </c>
      <c r="H447" s="59">
        <v>2415.9827619441853</v>
      </c>
      <c r="J447" s="59">
        <v>96.638617132502091</v>
      </c>
      <c r="K447" s="59">
        <v>425.685132593209</v>
      </c>
      <c r="L447" s="59">
        <v>167.55543418222908</v>
      </c>
      <c r="M447" s="59">
        <v>4559.5354225431984</v>
      </c>
      <c r="N447" s="59">
        <v>1016.2922069225915</v>
      </c>
      <c r="P447" s="59">
        <v>353.14361687690416</v>
      </c>
      <c r="Q447" s="59">
        <v>4237.7234025228499</v>
      </c>
      <c r="R447" s="59">
        <v>509542.55472524441</v>
      </c>
      <c r="S447" s="59">
        <v>141135176.263354</v>
      </c>
    </row>
    <row r="448" spans="2:19" x14ac:dyDescent="0.2">
      <c r="B448" s="59">
        <v>445</v>
      </c>
      <c r="C448" s="59">
        <v>62</v>
      </c>
      <c r="D448" s="59">
        <v>15.296449982542706</v>
      </c>
      <c r="E448" s="59">
        <v>237.75075184862655</v>
      </c>
      <c r="F448" s="59">
        <v>370.78137164035189</v>
      </c>
      <c r="G448" s="59">
        <v>686.49236372312021</v>
      </c>
      <c r="H448" s="59">
        <v>2409.5673657130824</v>
      </c>
      <c r="J448" s="59">
        <v>96.401426048831325</v>
      </c>
      <c r="K448" s="59">
        <v>424.85336239098075</v>
      </c>
      <c r="L448" s="59">
        <v>167.20417901910977</v>
      </c>
      <c r="M448" s="59">
        <v>4570.9363503402292</v>
      </c>
      <c r="N448" s="59">
        <v>1020.7163792931257</v>
      </c>
      <c r="P448" s="59">
        <v>351.85700987230115</v>
      </c>
      <c r="R448" s="59">
        <v>508302.99418049294</v>
      </c>
      <c r="S448" s="59">
        <v>141302505.94812718</v>
      </c>
    </row>
    <row r="449" spans="2:19" x14ac:dyDescent="0.2">
      <c r="B449" s="59">
        <v>446</v>
      </c>
      <c r="C449" s="59">
        <v>62</v>
      </c>
      <c r="D449" s="59">
        <v>15.132013145230372</v>
      </c>
      <c r="E449" s="59">
        <v>235.97807365851327</v>
      </c>
      <c r="F449" s="59">
        <v>368.38684437790243</v>
      </c>
      <c r="G449" s="59">
        <v>682.87759222647708</v>
      </c>
      <c r="H449" s="59">
        <v>2403.1516353314601</v>
      </c>
      <c r="J449" s="59">
        <v>96.16391368474703</v>
      </c>
      <c r="K449" s="59">
        <v>424.01955042664406</v>
      </c>
      <c r="L449" s="59">
        <v>166.85223186448488</v>
      </c>
      <c r="M449" s="59">
        <v>4582.3134187210489</v>
      </c>
      <c r="N449" s="59">
        <v>1025.1247265634922</v>
      </c>
      <c r="P449" s="59">
        <v>350.57377740755754</v>
      </c>
      <c r="R449" s="59">
        <v>507062.76841066772</v>
      </c>
      <c r="S449" s="59">
        <v>141469011.09663805</v>
      </c>
    </row>
    <row r="450" spans="2:19" x14ac:dyDescent="0.2">
      <c r="B450" s="59">
        <v>447</v>
      </c>
      <c r="C450" s="59">
        <v>62</v>
      </c>
      <c r="D450" s="59">
        <v>14.969344003919145</v>
      </c>
      <c r="E450" s="59">
        <v>234.21812135793962</v>
      </c>
      <c r="F450" s="59">
        <v>366.00610044482664</v>
      </c>
      <c r="G450" s="59">
        <v>679.27743301984037</v>
      </c>
      <c r="H450" s="59">
        <v>2396.7357140316039</v>
      </c>
      <c r="J450" s="59">
        <v>95.926091070547486</v>
      </c>
      <c r="K450" s="59">
        <v>423.18372426672755</v>
      </c>
      <c r="L450" s="59">
        <v>166.49960425329374</v>
      </c>
      <c r="M450" s="59">
        <v>4593.6665791330943</v>
      </c>
      <c r="N450" s="59">
        <v>1029.5172884182077</v>
      </c>
      <c r="P450" s="59">
        <v>349.29391910938278</v>
      </c>
      <c r="R450" s="59">
        <v>505821.9068972955</v>
      </c>
      <c r="S450" s="59">
        <v>141634694.5724462</v>
      </c>
    </row>
    <row r="451" spans="2:19" x14ac:dyDescent="0.2">
      <c r="B451" s="59">
        <v>448</v>
      </c>
      <c r="C451" s="59">
        <v>62</v>
      </c>
      <c r="D451" s="59">
        <v>14.808423555877015</v>
      </c>
      <c r="E451" s="59">
        <v>232.4708093143345</v>
      </c>
      <c r="F451" s="59">
        <v>363.63907836621894</v>
      </c>
      <c r="G451" s="59">
        <v>675.691868072077</v>
      </c>
      <c r="H451" s="59">
        <v>2390.319744099791</v>
      </c>
      <c r="J451" s="59">
        <v>95.68796909029291</v>
      </c>
      <c r="K451" s="59">
        <v>422.34591140761023</v>
      </c>
      <c r="L451" s="59">
        <v>166.14630768430885</v>
      </c>
      <c r="M451" s="59">
        <v>4604.9957838588334</v>
      </c>
      <c r="N451" s="59">
        <v>1033.8941045506563</v>
      </c>
      <c r="P451" s="59">
        <v>348.01743453919067</v>
      </c>
      <c r="R451" s="59">
        <v>504580.43895351008</v>
      </c>
      <c r="S451" s="59">
        <v>141799559.24005374</v>
      </c>
    </row>
    <row r="452" spans="2:19" x14ac:dyDescent="0.2">
      <c r="B452" s="59">
        <v>449</v>
      </c>
      <c r="C452" s="59">
        <v>62</v>
      </c>
      <c r="D452" s="59">
        <v>14.649233002651338</v>
      </c>
      <c r="E452" s="59">
        <v>230.73605240204677</v>
      </c>
      <c r="F452" s="59">
        <v>361.28571673683371</v>
      </c>
      <c r="G452" s="59">
        <v>672.120878929637</v>
      </c>
      <c r="H452" s="59">
        <v>2383.9038668772805</v>
      </c>
      <c r="J452" s="59">
        <v>95.449558484212417</v>
      </c>
      <c r="K452" s="59">
        <v>421.50613927435523</v>
      </c>
      <c r="L452" s="59">
        <v>165.7923536191291</v>
      </c>
      <c r="M452" s="59">
        <v>4616.3009860116072</v>
      </c>
      <c r="N452" s="59">
        <v>1038.2552146622468</v>
      </c>
      <c r="P452" s="59">
        <v>346.74432319353883</v>
      </c>
      <c r="R452" s="59">
        <v>503338.39372397459</v>
      </c>
      <c r="S452" s="59">
        <v>141963607.96477893</v>
      </c>
    </row>
    <row r="453" spans="2:19" x14ac:dyDescent="0.2">
      <c r="B453" s="59">
        <v>450</v>
      </c>
      <c r="C453" s="59">
        <v>62</v>
      </c>
      <c r="D453" s="59">
        <v>14.491753747872835</v>
      </c>
      <c r="E453" s="59">
        <v>229.0137660002394</v>
      </c>
      <c r="F453" s="59">
        <v>358.94595422390972</v>
      </c>
      <c r="G453" s="59">
        <v>668.56444672175587</v>
      </c>
      <c r="H453" s="59">
        <v>2377.4882227613484</v>
      </c>
      <c r="J453" s="59">
        <v>95.210869851060636</v>
      </c>
      <c r="K453" s="59">
        <v>420.66443521956319</v>
      </c>
      <c r="L453" s="59">
        <v>165.43775348121801</v>
      </c>
      <c r="M453" s="59">
        <v>4627.5821395314588</v>
      </c>
      <c r="N453" s="59">
        <v>1042.6006584615729</v>
      </c>
      <c r="P453" s="59">
        <v>345.47458450456736</v>
      </c>
      <c r="R453" s="59">
        <v>502095.80018482736</v>
      </c>
      <c r="S453" s="59">
        <v>142126843.61263072</v>
      </c>
    </row>
    <row r="454" spans="2:19" x14ac:dyDescent="0.2">
      <c r="B454" s="59">
        <v>451</v>
      </c>
      <c r="C454" s="59">
        <v>62</v>
      </c>
      <c r="D454" s="59">
        <v>14.335967395083202</v>
      </c>
      <c r="E454" s="59">
        <v>227.30386599077923</v>
      </c>
      <c r="F454" s="59">
        <v>356.61972956994839</v>
      </c>
      <c r="G454" s="59">
        <v>665.02255216562958</v>
      </c>
      <c r="H454" s="59">
        <v>2371.0729512063681</v>
      </c>
      <c r="J454" s="59">
        <v>94.971913650425122</v>
      </c>
      <c r="K454" s="59">
        <v>419.82082652224523</v>
      </c>
      <c r="L454" s="59">
        <v>165.08251865498522</v>
      </c>
      <c r="M454" s="59">
        <v>4638.8391991809558</v>
      </c>
      <c r="N454" s="59">
        <v>1046.93047566358</v>
      </c>
      <c r="P454" s="59">
        <v>344.20821784043613</v>
      </c>
      <c r="R454" s="59">
        <v>500852.68714365119</v>
      </c>
      <c r="S454" s="59">
        <v>142289269.05018485</v>
      </c>
    </row>
    <row r="455" spans="2:19" x14ac:dyDescent="0.2">
      <c r="B455" s="59">
        <v>452</v>
      </c>
      <c r="C455" s="59">
        <v>62</v>
      </c>
      <c r="D455" s="59">
        <v>14.181855745586057</v>
      </c>
      <c r="E455" s="59">
        <v>225.60626875612249</v>
      </c>
      <c r="F455" s="59">
        <v>354.30698159544698</v>
      </c>
      <c r="G455" s="59">
        <v>661.4951755715623</v>
      </c>
      <c r="H455" s="59">
        <v>2364.6581907249347</v>
      </c>
      <c r="J455" s="59">
        <v>94.732700204985761</v>
      </c>
      <c r="K455" s="59">
        <v>418.97534038671506</v>
      </c>
      <c r="L455" s="59">
        <v>164.72666048490959</v>
      </c>
      <c r="M455" s="59">
        <v>4650.0721205410018</v>
      </c>
      <c r="N455" s="59">
        <v>1051.2447059887354</v>
      </c>
      <c r="P455" s="59">
        <v>342.94522250576154</v>
      </c>
      <c r="R455" s="59">
        <v>499609.08323946432</v>
      </c>
      <c r="S455" s="59">
        <v>142450887.14446083</v>
      </c>
    </row>
    <row r="456" spans="2:19" x14ac:dyDescent="0.2">
      <c r="B456" s="59">
        <v>453</v>
      </c>
      <c r="C456" s="59">
        <v>62</v>
      </c>
      <c r="D456" s="59">
        <v>14.029400796321008</v>
      </c>
      <c r="E456" s="59">
        <v>223.92089117719664</v>
      </c>
      <c r="F456" s="59">
        <v>352.00764920158628</v>
      </c>
      <c r="G456" s="59">
        <v>657.98229684808678</v>
      </c>
      <c r="H456" s="59">
        <v>2358.2440788890331</v>
      </c>
      <c r="J456" s="59">
        <v>94.493239702727053</v>
      </c>
      <c r="K456" s="59">
        <v>418.1280039415002</v>
      </c>
      <c r="L456" s="59">
        <v>164.37019027470205</v>
      </c>
      <c r="M456" s="59">
        <v>4661.2808600066419</v>
      </c>
      <c r="N456" s="59">
        <v>1055.5433891622056</v>
      </c>
      <c r="P456" s="59">
        <v>341.68559774205204</v>
      </c>
      <c r="R456" s="59">
        <v>498365.01694273244</v>
      </c>
      <c r="S456" s="59">
        <v>142611700.76280034</v>
      </c>
    </row>
    <row r="457" spans="2:19" x14ac:dyDescent="0.2">
      <c r="B457" s="59">
        <v>454</v>
      </c>
      <c r="C457" s="59">
        <v>62</v>
      </c>
      <c r="D457" s="59">
        <v>13.878584737760557</v>
      </c>
      <c r="E457" s="59">
        <v>222.24765063127842</v>
      </c>
      <c r="F457" s="59">
        <v>349.72167137287397</v>
      </c>
      <c r="G457" s="59">
        <v>654.48389550705633</v>
      </c>
      <c r="H457" s="59">
        <v>2351.8307523312492</v>
      </c>
      <c r="J457" s="59">
        <v>94.253542199104501</v>
      </c>
      <c r="K457" s="59">
        <v>417.27884423827192</v>
      </c>
      <c r="L457" s="59">
        <v>164.01311928650702</v>
      </c>
      <c r="M457" s="59">
        <v>4672.4653747828625</v>
      </c>
      <c r="N457" s="59">
        <v>1059.8265649130367</v>
      </c>
      <c r="P457" s="59">
        <v>340.4293427281421</v>
      </c>
      <c r="R457" s="59">
        <v>497120.51655540062</v>
      </c>
      <c r="S457" s="59">
        <v>142771712.77274671</v>
      </c>
    </row>
    <row r="458" spans="2:19" x14ac:dyDescent="0.2">
      <c r="B458" s="59">
        <v>455</v>
      </c>
      <c r="C458" s="59">
        <v>62</v>
      </c>
      <c r="D458" s="59">
        <v>13.729389951829631</v>
      </c>
      <c r="E458" s="59">
        <v>220.58646498986874</v>
      </c>
      <c r="F458" s="59">
        <v>347.44898717974394</v>
      </c>
      <c r="G458" s="59">
        <v>650.99995066870986</v>
      </c>
      <c r="H458" s="59">
        <v>2345.418346746023</v>
      </c>
      <c r="J458" s="59">
        <v>94.013617619165984</v>
      </c>
      <c r="K458" s="59">
        <v>416.42788825079418</v>
      </c>
      <c r="L458" s="59">
        <v>163.65545874014057</v>
      </c>
      <c r="M458" s="59">
        <v>4683.6256228803841</v>
      </c>
      <c r="N458" s="59">
        <v>1064.0942729733408</v>
      </c>
      <c r="P458" s="59">
        <v>339.176456580626</v>
      </c>
      <c r="R458" s="59">
        <v>495875.61021094472</v>
      </c>
      <c r="S458" s="59">
        <v>142930926.04192564</v>
      </c>
    </row>
    <row r="459" spans="2:19" x14ac:dyDescent="0.2">
      <c r="B459" s="59">
        <v>456</v>
      </c>
      <c r="C459" s="59">
        <v>63</v>
      </c>
      <c r="D459" s="59">
        <v>13.581799009847463</v>
      </c>
      <c r="E459" s="59">
        <v>218.93725261656431</v>
      </c>
      <c r="F459" s="59">
        <v>345.18953578111166</v>
      </c>
      <c r="G459" s="59">
        <v>647.53044106670768</v>
      </c>
      <c r="H459" s="59">
        <v>2339.0069968909461</v>
      </c>
      <c r="J459" s="59">
        <v>93.773475759629264</v>
      </c>
      <c r="K459" s="59">
        <v>415.57516287389097</v>
      </c>
      <c r="L459" s="59">
        <v>163.29721981236389</v>
      </c>
      <c r="M459" s="59">
        <v>4694.7615631114522</v>
      </c>
      <c r="N459" s="59">
        <v>1068.346553077487</v>
      </c>
      <c r="P459" s="59">
        <v>337.9269383542898</v>
      </c>
      <c r="Q459" s="59">
        <v>4055.1232602514774</v>
      </c>
      <c r="R459" s="59">
        <v>494630.32587444066</v>
      </c>
      <c r="S459" s="59">
        <v>143089343.43792704</v>
      </c>
    </row>
    <row r="460" spans="2:19" x14ac:dyDescent="0.2">
      <c r="B460" s="59">
        <v>457</v>
      </c>
      <c r="C460" s="59">
        <v>63</v>
      </c>
      <c r="D460" s="59">
        <v>13.435794670491603</v>
      </c>
      <c r="E460" s="59">
        <v>217.29993236492643</v>
      </c>
      <c r="F460" s="59">
        <v>342.94325642688676</v>
      </c>
      <c r="G460" s="59">
        <v>644.07534505314061</v>
      </c>
      <c r="H460" s="59">
        <v>2332.5968365880981</v>
      </c>
      <c r="J460" s="59">
        <v>93.533126290916471</v>
      </c>
      <c r="K460" s="59">
        <v>414.72069492243185</v>
      </c>
      <c r="L460" s="59">
        <v>162.93841363619097</v>
      </c>
      <c r="M460" s="59">
        <v>4705.8731550856191</v>
      </c>
      <c r="N460" s="59">
        <v>1072.583444961298</v>
      </c>
      <c r="P460" s="59">
        <v>336.68078704254231</v>
      </c>
      <c r="R460" s="59">
        <v>493384.69134265173</v>
      </c>
      <c r="S460" s="59">
        <v>143246967.82818824</v>
      </c>
    </row>
    <row r="461" spans="2:19" x14ac:dyDescent="0.2">
      <c r="B461" s="59">
        <v>458</v>
      </c>
      <c r="C461" s="59">
        <v>63</v>
      </c>
      <c r="D461" s="59">
        <v>13.291359877783819</v>
      </c>
      <c r="E461" s="59">
        <v>215.67442357634724</v>
      </c>
      <c r="F461" s="59">
        <v>340.71008846044259</v>
      </c>
      <c r="G461" s="59">
        <v>640.6346406035093</v>
      </c>
      <c r="H461" s="59">
        <v>2326.187998725426</v>
      </c>
      <c r="J461" s="59">
        <v>93.292578759146622</v>
      </c>
      <c r="K461" s="59">
        <v>413.86451113033576</v>
      </c>
      <c r="L461" s="59">
        <v>162.57905130022874</v>
      </c>
      <c r="M461" s="59">
        <v>4716.9603592055282</v>
      </c>
      <c r="N461" s="59">
        <v>1076.8049883612512</v>
      </c>
      <c r="P461" s="59">
        <v>335.43800157784534</v>
      </c>
      <c r="R461" s="59">
        <v>492138.73424413189</v>
      </c>
      <c r="S461" s="59">
        <v>143403802.07987818</v>
      </c>
    </row>
    <row r="462" spans="2:19" x14ac:dyDescent="0.2">
      <c r="B462" s="59">
        <v>459</v>
      </c>
      <c r="C462" s="59">
        <v>63</v>
      </c>
      <c r="D462" s="59">
        <v>13.148477759097643</v>
      </c>
      <c r="E462" s="59">
        <v>214.0606460779135</v>
      </c>
      <c r="F462" s="59">
        <v>338.48997132104353</v>
      </c>
      <c r="G462" s="59">
        <v>637.20830532167633</v>
      </c>
      <c r="H462" s="59">
        <v>2319.7806152581638</v>
      </c>
      <c r="J462" s="59">
        <v>93.051842588087055</v>
      </c>
      <c r="K462" s="59">
        <v>413.0066381495929</v>
      </c>
      <c r="L462" s="59">
        <v>162.21914384804876</v>
      </c>
      <c r="M462" s="59">
        <v>4728.0231366626913</v>
      </c>
      <c r="N462" s="59">
        <v>1081.0112230136845</v>
      </c>
      <c r="P462" s="59">
        <v>334.19858083214206</v>
      </c>
      <c r="R462" s="59">
        <v>490892.48203934554</v>
      </c>
      <c r="S462" s="59">
        <v>143559849.05978289</v>
      </c>
    </row>
    <row r="463" spans="2:19" x14ac:dyDescent="0.2">
      <c r="B463" s="59">
        <v>460</v>
      </c>
      <c r="C463" s="59">
        <v>63</v>
      </c>
      <c r="D463" s="59">
        <v>13.007131623187343</v>
      </c>
      <c r="E463" s="59">
        <v>212.45852018026824</v>
      </c>
      <c r="F463" s="59">
        <v>336.28284454623059</v>
      </c>
      <c r="G463" s="59">
        <v>633.79631644478889</v>
      </c>
      <c r="H463" s="59">
        <v>2313.3748172102914</v>
      </c>
      <c r="J463" s="59">
        <v>92.810927081064719</v>
      </c>
      <c r="K463" s="59">
        <v>412.14710254930424</v>
      </c>
      <c r="L463" s="59">
        <v>161.85870227758903</v>
      </c>
      <c r="M463" s="59">
        <v>4739.0614494332667</v>
      </c>
      <c r="N463" s="59">
        <v>1085.2021886540081</v>
      </c>
      <c r="P463" s="59">
        <v>332.96252361728477</v>
      </c>
      <c r="R463" s="59">
        <v>489645.96202080254</v>
      </c>
      <c r="S463" s="59">
        <v>143715111.63419217</v>
      </c>
    </row>
    <row r="464" spans="2:19" x14ac:dyDescent="0.2">
      <c r="B464" s="59">
        <v>461</v>
      </c>
      <c r="C464" s="59">
        <v>63</v>
      </c>
      <c r="D464" s="59">
        <v>12.867304958238078</v>
      </c>
      <c r="E464" s="59">
        <v>210.86796667547048</v>
      </c>
      <c r="F464" s="59">
        <v>334.08864777416562</v>
      </c>
      <c r="G464" s="59">
        <v>630.39865084817347</v>
      </c>
      <c r="H464" s="59">
        <v>2306.9707346760351</v>
      </c>
      <c r="J464" s="59">
        <v>92.569841422838238</v>
      </c>
      <c r="K464" s="59">
        <v>411.28593081473872</v>
      </c>
      <c r="L464" s="59">
        <v>161.49773754058467</v>
      </c>
      <c r="M464" s="59">
        <v>4750.0752602738339</v>
      </c>
      <c r="N464" s="59">
        <v>1089.3779250159209</v>
      </c>
      <c r="P464" s="59">
        <v>331.72982868546143</v>
      </c>
      <c r="R464" s="59">
        <v>488399.20131320762</v>
      </c>
      <c r="S464" s="59">
        <v>143869592.66878733</v>
      </c>
    </row>
    <row r="465" spans="2:19" x14ac:dyDescent="0.2">
      <c r="B465" s="59">
        <v>462</v>
      </c>
      <c r="C465" s="59">
        <v>63</v>
      </c>
      <c r="D465" s="59">
        <v>12.728981429937019</v>
      </c>
      <c r="E465" s="59">
        <v>209.28890683485326</v>
      </c>
      <c r="F465" s="59">
        <v>331.90732074593438</v>
      </c>
      <c r="G465" s="59">
        <v>627.01528505020133</v>
      </c>
      <c r="H465" s="59">
        <v>2300.5684968214055</v>
      </c>
      <c r="J465" s="59">
        <v>92.328594681431554</v>
      </c>
      <c r="K465" s="59">
        <v>410.42314934640808</v>
      </c>
      <c r="L465" s="59">
        <v>161.13626054202658</v>
      </c>
      <c r="M465" s="59">
        <v>4761.0645327171706</v>
      </c>
      <c r="N465" s="59">
        <v>1093.5384718306314</v>
      </c>
      <c r="P465" s="59">
        <v>330.50049472962058</v>
      </c>
      <c r="R465" s="59">
        <v>487152.22687362373</v>
      </c>
      <c r="S465" s="59">
        <v>144023295.02853033</v>
      </c>
    </row>
    <row r="466" spans="2:19" x14ac:dyDescent="0.2">
      <c r="B466" s="59">
        <v>463</v>
      </c>
      <c r="C466" s="59">
        <v>63</v>
      </c>
      <c r="D466" s="59">
        <v>12.592144879565195</v>
      </c>
      <c r="E466" s="59">
        <v>207.7212624068801</v>
      </c>
      <c r="F466" s="59">
        <v>329.73880330780929</v>
      </c>
      <c r="G466" s="59">
        <v>623.64619521712518</v>
      </c>
      <c r="H466" s="59">
        <v>2294.1682318857747</v>
      </c>
      <c r="J466" s="59">
        <v>92.087195809930108</v>
      </c>
      <c r="K466" s="59">
        <v>409.55878445915863</v>
      </c>
      <c r="L466" s="59">
        <v>160.77428213964683</v>
      </c>
      <c r="M466" s="59">
        <v>4772.0292310680261</v>
      </c>
      <c r="N466" s="59">
        <v>1097.6838688260834</v>
      </c>
      <c r="P466" s="59">
        <v>329.27452038389549</v>
      </c>
      <c r="R466" s="59">
        <v>485905.06549164903</v>
      </c>
      <c r="S466" s="59">
        <v>144176221.57755381</v>
      </c>
    </row>
    <row r="467" spans="2:19" x14ac:dyDescent="0.2">
      <c r="B467" s="59">
        <v>464</v>
      </c>
      <c r="C467" s="59">
        <v>63</v>
      </c>
      <c r="D467" s="59">
        <v>12.456779322109869</v>
      </c>
      <c r="E467" s="59">
        <v>206.16495561500025</v>
      </c>
      <c r="F467" s="59">
        <v>327.58303541347215</v>
      </c>
      <c r="G467" s="59">
        <v>620.29135716788733</v>
      </c>
      <c r="H467" s="59">
        <v>2287.7700671834923</v>
      </c>
      <c r="J467" s="59">
        <v>91.845653648240258</v>
      </c>
      <c r="K467" s="59">
        <v>408.69286238128058</v>
      </c>
      <c r="L467" s="59">
        <v>160.41181314342967</v>
      </c>
      <c r="M467" s="59">
        <v>4782.9693203988982</v>
      </c>
      <c r="N467" s="59">
        <v>1101.8141557261893</v>
      </c>
      <c r="P467" s="59">
        <v>328.05190422402688</v>
      </c>
      <c r="R467" s="59">
        <v>484657.74378960615</v>
      </c>
      <c r="S467" s="59">
        <v>144328375.17905244</v>
      </c>
    </row>
    <row r="468" spans="2:19" x14ac:dyDescent="0.2">
      <c r="B468" s="59">
        <v>465</v>
      </c>
      <c r="C468" s="59">
        <v>63</v>
      </c>
      <c r="D468" s="59">
        <v>12.322868944397188</v>
      </c>
      <c r="E468" s="59">
        <v>204.61990915550291</v>
      </c>
      <c r="F468" s="59">
        <v>325.43995712619687</v>
      </c>
      <c r="G468" s="59">
        <v>616.95074637889786</v>
      </c>
      <c r="H468" s="59">
        <v>2281.374129105538</v>
      </c>
      <c r="J468" s="59">
        <v>91.60397692481294</v>
      </c>
      <c r="K468" s="59">
        <v>407.82540925363384</v>
      </c>
      <c r="L468" s="59">
        <v>160.04886431514723</v>
      </c>
      <c r="M468" s="59">
        <v>4793.8847665458088</v>
      </c>
      <c r="N468" s="59">
        <v>1105.929372250064</v>
      </c>
      <c r="P468" s="59">
        <v>326.83264476778442</v>
      </c>
      <c r="R468" s="59">
        <v>483410.28822274384</v>
      </c>
      <c r="S468" s="59">
        <v>144479758.69517556</v>
      </c>
    </row>
    <row r="469" spans="2:19" x14ac:dyDescent="0.2">
      <c r="B469" s="59">
        <v>466</v>
      </c>
      <c r="C469" s="59">
        <v>63</v>
      </c>
      <c r="D469" s="59">
        <v>12.190398103244918</v>
      </c>
      <c r="E469" s="59">
        <v>203.08604619537047</v>
      </c>
      <c r="F469" s="59">
        <v>323.30950862099354</v>
      </c>
      <c r="G469" s="59">
        <v>613.62433798878487</v>
      </c>
      <c r="H469" s="59">
        <v>2274.9805431212126</v>
      </c>
      <c r="J469" s="59">
        <v>91.362174258332175</v>
      </c>
      <c r="K469" s="59">
        <v>406.95645112879106</v>
      </c>
      <c r="L469" s="59">
        <v>159.6854463679191</v>
      </c>
      <c r="M469" s="59">
        <v>4804.7755361040827</v>
      </c>
      <c r="N469" s="59">
        <v>1110.029558111268</v>
      </c>
      <c r="P469" s="59">
        <v>325.61674047538696</v>
      </c>
      <c r="R469" s="59">
        <v>482162.72507945058</v>
      </c>
      <c r="S469" s="59">
        <v>144630374.98692062</v>
      </c>
    </row>
    <row r="470" spans="2:19" x14ac:dyDescent="0.2">
      <c r="B470" s="59">
        <v>467</v>
      </c>
      <c r="C470" s="59">
        <v>63</v>
      </c>
      <c r="D470" s="59">
        <v>12.059351323635035</v>
      </c>
      <c r="E470" s="59">
        <v>201.5632903701312</v>
      </c>
      <c r="F470" s="59">
        <v>321.19163018671316</v>
      </c>
      <c r="G470" s="59">
        <v>610.31210680311449</v>
      </c>
      <c r="H470" s="59">
        <v>2268.5894337798641</v>
      </c>
      <c r="J470" s="59">
        <v>91.120254159369352</v>
      </c>
      <c r="K470" s="59">
        <v>406.08601397019692</v>
      </c>
      <c r="L470" s="59">
        <v>159.32156996579451</v>
      </c>
      <c r="M470" s="59">
        <v>4815.6415964241278</v>
      </c>
      <c r="N470" s="59">
        <v>1114.1147530170526</v>
      </c>
      <c r="P470" s="59">
        <v>324.40418974992161</v>
      </c>
      <c r="R470" s="59">
        <v>480915.08048147871</v>
      </c>
      <c r="S470" s="59">
        <v>144780226.91402814</v>
      </c>
    </row>
    <row r="471" spans="2:19" x14ac:dyDescent="0.2">
      <c r="B471" s="59">
        <v>468</v>
      </c>
      <c r="C471" s="59">
        <v>64</v>
      </c>
      <c r="D471" s="59">
        <v>11.929713296905959</v>
      </c>
      <c r="E471" s="59">
        <v>200.05156578171142</v>
      </c>
      <c r="F471" s="59">
        <v>319.08626222811438</v>
      </c>
      <c r="G471" s="59">
        <v>607.0140272990817</v>
      </c>
      <c r="H471" s="59">
        <v>2262.2009247126534</v>
      </c>
      <c r="J471" s="59">
        <v>90.878225032004011</v>
      </c>
      <c r="K471" s="59">
        <v>405.2141236513441</v>
      </c>
      <c r="L471" s="59">
        <v>158.95724572335658</v>
      </c>
      <c r="M471" s="59">
        <v>4826.4829156072165</v>
      </c>
      <c r="N471" s="59">
        <v>1118.1849966676114</v>
      </c>
      <c r="P471" s="59">
        <v>323.19499093776142</v>
      </c>
      <c r="Q471" s="59">
        <v>3878.339891253137</v>
      </c>
      <c r="R471" s="59">
        <v>479667.38038417982</v>
      </c>
      <c r="S471" s="59">
        <v>144929317.33487758</v>
      </c>
    </row>
    <row r="472" spans="2:19" x14ac:dyDescent="0.2">
      <c r="B472" s="59">
        <v>469</v>
      </c>
      <c r="C472" s="59">
        <v>64</v>
      </c>
      <c r="D472" s="59">
        <v>11.80146887896422</v>
      </c>
      <c r="E472" s="59">
        <v>198.5507969962874</v>
      </c>
      <c r="F472" s="59">
        <v>316.99334526789227</v>
      </c>
      <c r="G472" s="59">
        <v>603.73007363017268</v>
      </c>
      <c r="H472" s="59">
        <v>2255.8151386343511</v>
      </c>
      <c r="J472" s="59">
        <v>90.636095175411782</v>
      </c>
      <c r="K472" s="59">
        <v>404.3408059549655</v>
      </c>
      <c r="L472" s="59">
        <v>158.59248420534752</v>
      </c>
      <c r="M472" s="59">
        <v>4837.2994625012707</v>
      </c>
      <c r="N472" s="59">
        <v>1122.2403287553363</v>
      </c>
      <c r="P472" s="59">
        <v>321.98914232898187</v>
      </c>
      <c r="R472" s="59">
        <v>478419.65057674976</v>
      </c>
      <c r="S472" s="59">
        <v>145077649.10638449</v>
      </c>
    </row>
    <row r="473" spans="2:19" x14ac:dyDescent="0.2">
      <c r="B473" s="59">
        <v>470</v>
      </c>
      <c r="C473" s="59">
        <v>64</v>
      </c>
      <c r="D473" s="59">
        <v>11.674603088515354</v>
      </c>
      <c r="E473" s="59">
        <v>197.06090904213733</v>
      </c>
      <c r="F473" s="59">
        <v>314.91281994866915</v>
      </c>
      <c r="G473" s="59">
        <v>600.46021963079647</v>
      </c>
      <c r="H473" s="59">
        <v>2249.4321973451733</v>
      </c>
      <c r="J473" s="59">
        <v>90.393872785420371</v>
      </c>
      <c r="K473" s="59">
        <v>403.4660865722426</v>
      </c>
      <c r="L473" s="59">
        <v>158.2272959263141</v>
      </c>
      <c r="M473" s="59">
        <v>4848.0912066966512</v>
      </c>
      <c r="N473" s="59">
        <v>1126.2807889640796</v>
      </c>
      <c r="P473" s="59">
        <v>320.78664215777621</v>
      </c>
      <c r="R473" s="59">
        <v>477171.91668248398</v>
      </c>
      <c r="S473" s="59">
        <v>145225225.08389869</v>
      </c>
    </row>
    <row r="474" spans="2:19" x14ac:dyDescent="0.2">
      <c r="B474" s="59">
        <v>471</v>
      </c>
      <c r="C474" s="59">
        <v>64</v>
      </c>
      <c r="D474" s="59">
        <v>11.549101105313815</v>
      </c>
      <c r="E474" s="59">
        <v>195.58182740749308</v>
      </c>
      <c r="F474" s="59">
        <v>312.84462703494893</v>
      </c>
      <c r="G474" s="59">
        <v>597.20443882088796</v>
      </c>
      <c r="H474" s="59">
        <v>2243.0522217326516</v>
      </c>
      <c r="J474" s="59">
        <v>90.151565956034233</v>
      </c>
      <c r="K474" s="59">
        <v>402.58999110202967</v>
      </c>
      <c r="L474" s="59">
        <v>157.86169135027257</v>
      </c>
      <c r="M474" s="59">
        <v>4858.8581185219491</v>
      </c>
      <c r="N474" s="59">
        <v>1130.3064169684189</v>
      </c>
      <c r="P474" s="59">
        <v>319.58748860286909</v>
      </c>
      <c r="R474" s="59">
        <v>475924.20415904169</v>
      </c>
      <c r="S474" s="59">
        <v>145372048.12110367</v>
      </c>
    </row>
    <row r="475" spans="2:19" x14ac:dyDescent="0.2">
      <c r="B475" s="59">
        <v>472</v>
      </c>
      <c r="C475" s="59">
        <v>64</v>
      </c>
      <c r="D475" s="59">
        <v>11.424948268431692</v>
      </c>
      <c r="E475" s="59">
        <v>194.11347803839266</v>
      </c>
      <c r="F475" s="59">
        <v>310.78870741503425</v>
      </c>
      <c r="G475" s="59">
        <v>593.96270441048136</v>
      </c>
      <c r="H475" s="59">
        <v>2236.6753317735352</v>
      </c>
      <c r="J475" s="59">
        <v>89.909182680928552</v>
      </c>
      <c r="K475" s="59">
        <v>401.71254505009392</v>
      </c>
      <c r="L475" s="59">
        <v>157.49568089039221</v>
      </c>
      <c r="M475" s="59">
        <v>4869.6001690397816</v>
      </c>
      <c r="N475" s="59">
        <v>1134.3172524329286</v>
      </c>
      <c r="P475" s="59">
        <v>318.39167978792932</v>
      </c>
      <c r="R475" s="59">
        <v>474676.53829871921</v>
      </c>
      <c r="S475" s="59">
        <v>145518121.06991708</v>
      </c>
    </row>
    <row r="476" spans="2:19" x14ac:dyDescent="0.2">
      <c r="B476" s="59">
        <v>473</v>
      </c>
      <c r="C476" s="59">
        <v>64</v>
      </c>
      <c r="D476" s="59">
        <v>11.302130074546051</v>
      </c>
      <c r="E476" s="59">
        <v>192.65578733653285</v>
      </c>
      <c r="F476" s="59">
        <v>308.74500210290751</v>
      </c>
      <c r="G476" s="59">
        <v>590.73498930425319</v>
      </c>
      <c r="H476" s="59">
        <v>2230.30164653573</v>
      </c>
      <c r="J476" s="59">
        <v>89.666730854913382</v>
      </c>
      <c r="K476" s="59">
        <v>400.83377382837131</v>
      </c>
      <c r="L476" s="59">
        <v>157.12927490869694</v>
      </c>
      <c r="M476" s="59">
        <v>4880.3173300425933</v>
      </c>
      <c r="N476" s="59">
        <v>1138.3133350114558</v>
      </c>
      <c r="P476" s="59">
        <v>317.19921378198131</v>
      </c>
      <c r="R476" s="59">
        <v>473428.94422873185</v>
      </c>
      <c r="S476" s="59">
        <v>145663446.78039229</v>
      </c>
    </row>
    <row r="477" spans="2:19" x14ac:dyDescent="0.2">
      <c r="B477" s="59">
        <v>474</v>
      </c>
      <c r="C477" s="59">
        <v>64</v>
      </c>
      <c r="D477" s="59">
        <v>11.18063217624468</v>
      </c>
      <c r="E477" s="59">
        <v>191.20868215712269</v>
      </c>
      <c r="F477" s="59">
        <v>306.71345224007598</v>
      </c>
      <c r="G477" s="59">
        <v>587.52126610603693</v>
      </c>
      <c r="H477" s="59">
        <v>2223.9312841802694</v>
      </c>
      <c r="J477" s="59">
        <v>89.424218275368418</v>
      </c>
      <c r="K477" s="59">
        <v>399.95370275423784</v>
      </c>
      <c r="L477" s="59">
        <v>156.76248371578407</v>
      </c>
      <c r="M477" s="59">
        <v>4891.0095740484585</v>
      </c>
      <c r="N477" s="59">
        <v>1142.2947043464019</v>
      </c>
      <c r="P477" s="59">
        <v>316.01008859981482</v>
      </c>
      <c r="R477" s="59">
        <v>472181.44691150397</v>
      </c>
      <c r="S477" s="59">
        <v>145808028.10062116</v>
      </c>
    </row>
    <row r="478" spans="2:19" x14ac:dyDescent="0.2">
      <c r="B478" s="59">
        <v>475</v>
      </c>
      <c r="C478" s="59">
        <v>64</v>
      </c>
      <c r="D478" s="59">
        <v>11.06044038035005</v>
      </c>
      <c r="E478" s="59">
        <v>189.77208980673768</v>
      </c>
      <c r="F478" s="59">
        <v>304.69399909738144</v>
      </c>
      <c r="G478" s="59">
        <v>584.32150712330667</v>
      </c>
      <c r="H478" s="59">
        <v>2217.5643619633179</v>
      </c>
      <c r="J478" s="59">
        <v>89.181652643649286</v>
      </c>
      <c r="K478" s="59">
        <v>399.07235704979615</v>
      </c>
      <c r="L478" s="59">
        <v>156.39531757055971</v>
      </c>
      <c r="M478" s="59">
        <v>4901.6768742968943</v>
      </c>
      <c r="N478" s="59">
        <v>1146.2614000680071</v>
      </c>
      <c r="P478" s="59">
        <v>314.82430220239382</v>
      </c>
      <c r="R478" s="59">
        <v>470934.07114496682</v>
      </c>
      <c r="S478" s="59">
        <v>145951867.87663785</v>
      </c>
    </row>
    <row r="479" spans="2:19" x14ac:dyDescent="0.2">
      <c r="B479" s="59">
        <v>476</v>
      </c>
      <c r="C479" s="59">
        <v>64</v>
      </c>
      <c r="D479" s="59">
        <v>10.941540646261286</v>
      </c>
      <c r="E479" s="59">
        <v>188.34593804117497</v>
      </c>
      <c r="F479" s="59">
        <v>302.68658407677464</v>
      </c>
      <c r="G479" s="59">
        <v>581.1356843716319</v>
      </c>
      <c r="H479" s="59">
        <v>2211.2009962382085</v>
      </c>
      <c r="J479" s="59">
        <v>88.93904156646569</v>
      </c>
      <c r="K479" s="59">
        <v>398.18976184117747</v>
      </c>
      <c r="L479" s="59">
        <v>156.02778667999013</v>
      </c>
      <c r="M479" s="59">
        <v>4912.3192047446737</v>
      </c>
      <c r="N479" s="59">
        <v>1150.2134617936422</v>
      </c>
      <c r="P479" s="59">
        <v>313.64185249726387</v>
      </c>
      <c r="R479" s="59">
        <v>469686.84156286379</v>
      </c>
      <c r="S479" s="59">
        <v>146094968.95232376</v>
      </c>
    </row>
    <row r="480" spans="2:19" x14ac:dyDescent="0.2">
      <c r="B480" s="59">
        <v>477</v>
      </c>
      <c r="C480" s="59">
        <v>64</v>
      </c>
      <c r="D480" s="59">
        <v>10.823919084313978</v>
      </c>
      <c r="E480" s="59">
        <v>186.93015506330985</v>
      </c>
      <c r="F480" s="59">
        <v>300.6911487130551</v>
      </c>
      <c r="G480" s="59">
        <v>577.96376957910229</v>
      </c>
      <c r="H480" s="59">
        <v>2204.8413024575107</v>
      </c>
      <c r="J480" s="59">
        <v>88.696392557232429</v>
      </c>
      <c r="K480" s="59">
        <v>397.30594215785823</v>
      </c>
      <c r="L480" s="59">
        <v>155.65990119886837</v>
      </c>
      <c r="M480" s="59">
        <v>4922.9365400616462</v>
      </c>
      <c r="N480" s="59">
        <v>1154.1509291271038</v>
      </c>
      <c r="P480" s="59">
        <v>312.46273733895816</v>
      </c>
      <c r="R480" s="59">
        <v>468439.78263506317</v>
      </c>
      <c r="S480" s="59">
        <v>146237334.16931361</v>
      </c>
    </row>
    <row r="481" spans="2:19" x14ac:dyDescent="0.2">
      <c r="B481" s="59">
        <v>478</v>
      </c>
      <c r="C481" s="59">
        <v>64</v>
      </c>
      <c r="D481" s="59">
        <v>10.707561954157603</v>
      </c>
      <c r="E481" s="59">
        <v>185.52466952095349</v>
      </c>
      <c r="F481" s="59">
        <v>298.70763467557663</v>
      </c>
      <c r="G481" s="59">
        <v>574.80573419072243</v>
      </c>
      <c r="H481" s="59">
        <v>2198.4853951751306</v>
      </c>
      <c r="J481" s="59">
        <v>88.453713037393456</v>
      </c>
      <c r="K481" s="59">
        <v>396.42092293199215</v>
      </c>
      <c r="L481" s="59">
        <v>155.29167122959572</v>
      </c>
      <c r="M481" s="59">
        <v>4933.5288556265641</v>
      </c>
      <c r="N481" s="59">
        <v>1158.0738416579152</v>
      </c>
      <c r="P481" s="59">
        <v>311.28695452940218</v>
      </c>
      <c r="R481" s="59">
        <v>467192.9186678775</v>
      </c>
      <c r="S481" s="59">
        <v>146378966.36690244</v>
      </c>
    </row>
    <row r="482" spans="2:19" x14ac:dyDescent="0.2">
      <c r="B482" s="59">
        <v>479</v>
      </c>
      <c r="C482" s="59">
        <v>64</v>
      </c>
      <c r="D482" s="59">
        <v>10.592455663150409</v>
      </c>
      <c r="E482" s="59">
        <v>184.12941050471215</v>
      </c>
      <c r="F482" s="59">
        <v>296.73598376991873</v>
      </c>
      <c r="G482" s="59">
        <v>571.66154937277713</v>
      </c>
      <c r="H482" s="59">
        <v>2192.1333880484422</v>
      </c>
      <c r="J482" s="59">
        <v>88.211010337719983</v>
      </c>
      <c r="K482" s="59">
        <v>395.53472899775653</v>
      </c>
      <c r="L482" s="59">
        <v>154.92310682197717</v>
      </c>
      <c r="M482" s="59">
        <v>4944.0961275229165</v>
      </c>
      <c r="N482" s="59">
        <v>1161.9822389606306</v>
      </c>
      <c r="P482" s="59">
        <v>310.11450181831725</v>
      </c>
      <c r="R482" s="59">
        <v>465946.27380438958</v>
      </c>
      <c r="S482" s="59">
        <v>146519868.38195392</v>
      </c>
    </row>
    <row r="483" spans="2:19" x14ac:dyDescent="0.2">
      <c r="B483" s="59">
        <v>480</v>
      </c>
      <c r="C483" s="59">
        <v>65</v>
      </c>
      <c r="D483" s="59">
        <v>10.478586764771542</v>
      </c>
      <c r="E483" s="59">
        <v>182.7443075458481</v>
      </c>
      <c r="F483" s="59">
        <v>294.77613793952469</v>
      </c>
      <c r="G483" s="59">
        <v>568.53118601716665</v>
      </c>
      <c r="H483" s="59">
        <v>2185.7853938404501</v>
      </c>
      <c r="J483" s="59">
        <v>87.968291699582863</v>
      </c>
      <c r="K483" s="59">
        <v>394.64738509071344</v>
      </c>
      <c r="L483" s="59">
        <v>154.55421797303072</v>
      </c>
      <c r="M483" s="59">
        <v>4954.6383325347661</v>
      </c>
      <c r="N483" s="59">
        <v>1165.8761605941472</v>
      </c>
      <c r="P483" s="59">
        <v>308.94537690362256</v>
      </c>
      <c r="Q483" s="59">
        <v>3707.3445228434712</v>
      </c>
      <c r="R483" s="59">
        <v>464699.87202478515</v>
      </c>
      <c r="S483" s="59">
        <v>146660043.04880968</v>
      </c>
    </row>
    <row r="484" spans="2:19" x14ac:dyDescent="0.2">
      <c r="B484" s="59">
        <v>481</v>
      </c>
      <c r="C484" s="59">
        <v>65</v>
      </c>
      <c r="D484" s="59">
        <v>10.360877306780608</v>
      </c>
      <c r="E484" s="59">
        <v>181.28096419882851</v>
      </c>
      <c r="F484" s="59">
        <v>292.68556413396891</v>
      </c>
      <c r="G484" s="59">
        <v>565.13982467247047</v>
      </c>
      <c r="H484" s="59">
        <v>2178.3850614816242</v>
      </c>
      <c r="J484" s="59">
        <v>87.683046268545326</v>
      </c>
      <c r="K484" s="59">
        <v>393.56816961105812</v>
      </c>
      <c r="L484" s="59">
        <v>154.11031342145591</v>
      </c>
      <c r="M484" s="59">
        <v>4965.1554481425965</v>
      </c>
      <c r="N484" s="59">
        <v>1171.6307307626728</v>
      </c>
      <c r="P484" s="59">
        <v>307.63025383299913</v>
      </c>
      <c r="R484" s="59">
        <v>463229.13220854546</v>
      </c>
      <c r="S484" s="59">
        <v>146799425.61706585</v>
      </c>
    </row>
    <row r="485" spans="2:19" x14ac:dyDescent="0.2">
      <c r="B485" s="59">
        <v>482</v>
      </c>
      <c r="C485" s="59">
        <v>65</v>
      </c>
      <c r="D485" s="59">
        <v>10.244490118367773</v>
      </c>
      <c r="E485" s="59">
        <v>179.82900915926632</v>
      </c>
      <c r="F485" s="59">
        <v>290.6086317355722</v>
      </c>
      <c r="G485" s="59">
        <v>561.7653712687121</v>
      </c>
      <c r="H485" s="59">
        <v>2170.9956079240501</v>
      </c>
      <c r="J485" s="59">
        <v>87.395431792453081</v>
      </c>
      <c r="K485" s="59">
        <v>392.49142689198368</v>
      </c>
      <c r="L485" s="59">
        <v>153.66649726568025</v>
      </c>
      <c r="M485" s="59">
        <v>4975.6423692466196</v>
      </c>
      <c r="N485" s="59">
        <v>1177.3611645972967</v>
      </c>
      <c r="P485" s="59">
        <v>306.31965291336161</v>
      </c>
      <c r="R485" s="59">
        <v>461759.99610533059</v>
      </c>
      <c r="S485" s="59">
        <v>146938019.64695457</v>
      </c>
    </row>
    <row r="486" spans="2:19" x14ac:dyDescent="0.2">
      <c r="B486" s="59">
        <v>483</v>
      </c>
      <c r="C486" s="59">
        <v>65</v>
      </c>
      <c r="D486" s="59">
        <v>10.129410346038108</v>
      </c>
      <c r="E486" s="59">
        <v>178.38835775945603</v>
      </c>
      <c r="F486" s="59">
        <v>288.54526476268683</v>
      </c>
      <c r="G486" s="59">
        <v>558.40777369642171</v>
      </c>
      <c r="H486" s="59">
        <v>2163.6171324262291</v>
      </c>
      <c r="J486" s="59">
        <v>87.105529673372274</v>
      </c>
      <c r="K486" s="59">
        <v>391.41712299737986</v>
      </c>
      <c r="L486" s="59">
        <v>153.22277950882224</v>
      </c>
      <c r="M486" s="59">
        <v>4986.0990861408345</v>
      </c>
      <c r="N486" s="59">
        <v>1183.0675426887617</v>
      </c>
      <c r="P486" s="59">
        <v>305.01356704681655</v>
      </c>
      <c r="R486" s="59">
        <v>460292.49279284303</v>
      </c>
      <c r="S486" s="59">
        <v>147075828.69338247</v>
      </c>
    </row>
    <row r="487" spans="2:19" x14ac:dyDescent="0.2">
      <c r="B487" s="59">
        <v>484</v>
      </c>
      <c r="C487" s="59">
        <v>65</v>
      </c>
      <c r="D487" s="59">
        <v>10.015623303150948</v>
      </c>
      <c r="E487" s="59">
        <v>176.95892591219055</v>
      </c>
      <c r="F487" s="59">
        <v>286.49538750645814</v>
      </c>
      <c r="G487" s="59">
        <v>555.0669796673335</v>
      </c>
      <c r="H487" s="59">
        <v>2156.2497331573131</v>
      </c>
      <c r="J487" s="59">
        <v>86.813419529387659</v>
      </c>
      <c r="K487" s="59">
        <v>390.34522484046551</v>
      </c>
      <c r="L487" s="59">
        <v>152.77917016799341</v>
      </c>
      <c r="M487" s="59">
        <v>4996.5255903930447</v>
      </c>
      <c r="N487" s="59">
        <v>1188.7499455226646</v>
      </c>
      <c r="P487" s="59">
        <v>303.71198905260002</v>
      </c>
      <c r="R487" s="59">
        <v>458826.65090366191</v>
      </c>
      <c r="S487" s="59">
        <v>147212856.30576181</v>
      </c>
    </row>
    <row r="488" spans="2:19" x14ac:dyDescent="0.2">
      <c r="B488" s="59">
        <v>485</v>
      </c>
      <c r="C488" s="59">
        <v>65</v>
      </c>
      <c r="D488" s="59">
        <v>9.9031144680455512</v>
      </c>
      <c r="E488" s="59">
        <v>175.54063010741518</v>
      </c>
      <c r="F488" s="59">
        <v>284.45892453180369</v>
      </c>
      <c r="G488" s="59">
        <v>551.74293671910732</v>
      </c>
      <c r="H488" s="59">
        <v>2148.8935072018025</v>
      </c>
      <c r="J488" s="59">
        <v>86.519179233059262</v>
      </c>
      <c r="K488" s="59">
        <v>389.27570016760399</v>
      </c>
      <c r="L488" s="59">
        <v>152.3356792672125</v>
      </c>
      <c r="M488" s="59">
        <v>5006.9218748262292</v>
      </c>
      <c r="N488" s="59">
        <v>1194.408453477723</v>
      </c>
      <c r="P488" s="59">
        <v>302.41491166871475</v>
      </c>
      <c r="R488" s="59">
        <v>457362.49862971541</v>
      </c>
      <c r="S488" s="59">
        <v>147349106.02784482</v>
      </c>
    </row>
    <row r="489" spans="2:19" x14ac:dyDescent="0.2">
      <c r="B489" s="59">
        <v>486</v>
      </c>
      <c r="C489" s="59">
        <v>65</v>
      </c>
      <c r="D489" s="59">
        <v>9.79186948218784</v>
      </c>
      <c r="E489" s="59">
        <v>174.13338740889176</v>
      </c>
      <c r="F489" s="59">
        <v>282.43580067835768</v>
      </c>
      <c r="G489" s="59">
        <v>548.43559222000727</v>
      </c>
      <c r="H489" s="59">
        <v>2141.5485505642632</v>
      </c>
      <c r="J489" s="59">
        <v>86.222884949031396</v>
      </c>
      <c r="K489" s="59">
        <v>388.20851754239061</v>
      </c>
      <c r="L489" s="59">
        <v>151.8923168307137</v>
      </c>
      <c r="M489" s="59">
        <v>5017.2879335000862</v>
      </c>
      <c r="N489" s="59">
        <v>1200.0431468240722</v>
      </c>
      <c r="P489" s="59">
        <v>301.12232755354205</v>
      </c>
      <c r="R489" s="59">
        <v>455900.06372681918</v>
      </c>
      <c r="S489" s="59">
        <v>147484581.39756152</v>
      </c>
    </row>
    <row r="490" spans="2:19" x14ac:dyDescent="0.2">
      <c r="B490" s="59">
        <v>487</v>
      </c>
      <c r="C490" s="59">
        <v>65</v>
      </c>
      <c r="D490" s="59">
        <v>9.6818741483379291</v>
      </c>
      <c r="E490" s="59">
        <v>172.7371154508736</v>
      </c>
      <c r="F490" s="59">
        <v>280.42594106138085</v>
      </c>
      <c r="G490" s="59">
        <v>545.1448933735378</v>
      </c>
      <c r="H490" s="59">
        <v>2134.2149581740609</v>
      </c>
      <c r="J490" s="59">
        <v>85.92461117081298</v>
      </c>
      <c r="K490" s="59">
        <v>387.14364633000656</v>
      </c>
      <c r="L490" s="59">
        <v>151.4490928766316</v>
      </c>
      <c r="M490" s="59">
        <v>5027.6237616927683</v>
      </c>
      <c r="N490" s="59">
        <v>1205.6541057215913</v>
      </c>
      <c r="P490" s="59">
        <v>299.83422928742954</v>
      </c>
      <c r="R490" s="59">
        <v>454439.37351927342</v>
      </c>
      <c r="S490" s="59">
        <v>147619285.94686079</v>
      </c>
    </row>
    <row r="491" spans="2:19" x14ac:dyDescent="0.2">
      <c r="B491" s="59">
        <v>488</v>
      </c>
      <c r="C491" s="59">
        <v>65</v>
      </c>
      <c r="D491" s="59">
        <v>9.5731144287382666</v>
      </c>
      <c r="E491" s="59">
        <v>171.35173243479073</v>
      </c>
      <c r="F491" s="59">
        <v>278.42927107263637</v>
      </c>
      <c r="G491" s="59">
        <v>541.8707872230367</v>
      </c>
      <c r="H491" s="59">
        <v>2126.8928238901117</v>
      </c>
      <c r="J491" s="59">
        <v>85.624430756747685</v>
      </c>
      <c r="K491" s="59">
        <v>386.08105668183595</v>
      </c>
      <c r="L491" s="59">
        <v>151.00601741104549</v>
      </c>
      <c r="M491" s="59">
        <v>5037.9293558827994</v>
      </c>
      <c r="N491" s="59">
        <v>1211.2414102182599</v>
      </c>
      <c r="P491" s="59">
        <v>298.55060937425384</v>
      </c>
      <c r="R491" s="59">
        <v>452980.45490451081</v>
      </c>
      <c r="S491" s="59">
        <v>147753223.20155472</v>
      </c>
    </row>
    <row r="492" spans="2:19" x14ac:dyDescent="0.2">
      <c r="B492" s="59">
        <v>489</v>
      </c>
      <c r="C492" s="59">
        <v>65</v>
      </c>
      <c r="D492" s="59">
        <v>9.4655764433221066</v>
      </c>
      <c r="E492" s="59">
        <v>169.97715712594623</v>
      </c>
      <c r="F492" s="59">
        <v>276.44571638123205</v>
      </c>
      <c r="G492" s="59">
        <v>538.61322065622619</v>
      </c>
      <c r="H492" s="59">
        <v>2119.5822405056492</v>
      </c>
      <c r="J492" s="59">
        <v>85.322414965191783</v>
      </c>
      <c r="K492" s="59">
        <v>385.020719520341</v>
      </c>
      <c r="L492" s="59">
        <v>150.56310042236652</v>
      </c>
      <c r="M492" s="59">
        <v>5048.2047137311838</v>
      </c>
      <c r="N492" s="59">
        <v>1216.8051402485432</v>
      </c>
      <c r="P492" s="59">
        <v>297.27146024295996</v>
      </c>
      <c r="R492" s="59">
        <v>451523.33435778681</v>
      </c>
      <c r="S492" s="59">
        <v>147886396.68116635</v>
      </c>
    </row>
    <row r="493" spans="2:19" x14ac:dyDescent="0.2">
      <c r="B493" s="59">
        <v>490</v>
      </c>
      <c r="C493" s="59">
        <v>65</v>
      </c>
      <c r="D493" s="59">
        <v>9.3592464679421212</v>
      </c>
      <c r="E493" s="59">
        <v>168.61330885022301</v>
      </c>
      <c r="F493" s="59">
        <v>274.47520293442966</v>
      </c>
      <c r="G493" s="59">
        <v>535.37214040972162</v>
      </c>
      <c r="H493" s="59">
        <v>2112.2832997530095</v>
      </c>
      <c r="J493" s="59">
        <v>85.018633488917601</v>
      </c>
      <c r="K493" s="59">
        <v>383.9626065241917</v>
      </c>
      <c r="L493" s="59">
        <v>150.12035187605207</v>
      </c>
      <c r="M493" s="59">
        <v>5058.4498340637083</v>
      </c>
      <c r="N493" s="59">
        <v>1222.3453756318065</v>
      </c>
      <c r="P493" s="59">
        <v>295.99677424907577</v>
      </c>
      <c r="R493" s="59">
        <v>450068.03793690645</v>
      </c>
      <c r="S493" s="59">
        <v>148018809.89878055</v>
      </c>
    </row>
    <row r="494" spans="2:19" x14ac:dyDescent="0.2">
      <c r="B494" s="59">
        <v>491</v>
      </c>
      <c r="C494" s="59">
        <v>65</v>
      </c>
      <c r="D494" s="59">
        <v>9.2541109326189055</v>
      </c>
      <c r="E494" s="59">
        <v>167.26010749080186</v>
      </c>
      <c r="F494" s="59">
        <v>272.5176569584217</v>
      </c>
      <c r="G494" s="59">
        <v>532.14749307349757</v>
      </c>
      <c r="H494" s="59">
        <v>2104.9960923084273</v>
      </c>
      <c r="J494" s="59">
        <v>84.713154488759656</v>
      </c>
      <c r="K494" s="59">
        <v>382.90669011364548</v>
      </c>
      <c r="L494" s="59">
        <v>149.67778170963254</v>
      </c>
      <c r="M494" s="59">
        <v>5068.6647168534391</v>
      </c>
      <c r="N494" s="59">
        <v>1227.8621960707583</v>
      </c>
      <c r="P494" s="59">
        <v>294.72654367620373</v>
      </c>
      <c r="R494" s="59">
        <v>448614.59128698072</v>
      </c>
      <c r="S494" s="59">
        <v>148150466.36089826</v>
      </c>
    </row>
    <row r="495" spans="2:19" x14ac:dyDescent="0.2">
      <c r="B495" s="59">
        <v>492</v>
      </c>
      <c r="C495" s="59">
        <v>66</v>
      </c>
      <c r="D495" s="59">
        <v>9.1501564198091536</v>
      </c>
      <c r="E495" s="59">
        <v>165.91747348489037</v>
      </c>
      <c r="F495" s="59">
        <v>270.57300495907566</v>
      </c>
      <c r="G495" s="59">
        <v>528.93922509531228</v>
      </c>
      <c r="H495" s="59">
        <v>2097.7207077968515</v>
      </c>
      <c r="J495" s="59">
        <v>84.447366340885083</v>
      </c>
      <c r="K495" s="59">
        <v>381.81162172180836</v>
      </c>
      <c r="L495" s="59">
        <v>149.23539982803561</v>
      </c>
      <c r="M495" s="59">
        <v>5078.8493632034142</v>
      </c>
      <c r="N495" s="59">
        <v>1233.3556811499207</v>
      </c>
      <c r="P495" s="59">
        <v>293.46076073748861</v>
      </c>
      <c r="Q495" s="59">
        <v>3521.5291288498634</v>
      </c>
      <c r="R495" s="59">
        <v>447163.01964520547</v>
      </c>
      <c r="S495" s="59">
        <v>148281369.56729373</v>
      </c>
    </row>
    <row r="496" spans="2:19" x14ac:dyDescent="0.2">
      <c r="B496" s="59">
        <v>493</v>
      </c>
      <c r="C496" s="59">
        <v>66</v>
      </c>
      <c r="D496" s="59">
        <v>9.0473696626932973</v>
      </c>
      <c r="E496" s="59">
        <v>164.58532782046294</v>
      </c>
      <c r="F496" s="59">
        <v>268.6411737226469</v>
      </c>
      <c r="G496" s="59">
        <v>525.74728278509031</v>
      </c>
      <c r="H496" s="59">
        <v>2090.4572347967714</v>
      </c>
      <c r="J496" s="59">
        <v>84.178970703264994</v>
      </c>
      <c r="K496" s="59">
        <v>380.71949770287966</v>
      </c>
      <c r="L496" s="59">
        <v>148.79321609919469</v>
      </c>
      <c r="M496" s="59">
        <v>5089.004016372869</v>
      </c>
      <c r="N496" s="59">
        <v>1238.82591033413</v>
      </c>
      <c r="P496" s="59">
        <v>292.19940138698507</v>
      </c>
      <c r="R496" s="59">
        <v>445713.23863294168</v>
      </c>
      <c r="S496" s="59">
        <v>148411522.97898388</v>
      </c>
    </row>
    <row r="497" spans="2:19" x14ac:dyDescent="0.2">
      <c r="B497" s="59">
        <v>494</v>
      </c>
      <c r="C497" s="59">
        <v>66</v>
      </c>
      <c r="D497" s="59">
        <v>8.9457375434823767</v>
      </c>
      <c r="E497" s="59">
        <v>163.26359203301223</v>
      </c>
      <c r="F497" s="59">
        <v>266.72209031646014</v>
      </c>
      <c r="G497" s="59">
        <v>522.57161231926307</v>
      </c>
      <c r="H497" s="59">
        <v>2083.2057608450596</v>
      </c>
      <c r="J497" s="59">
        <v>83.91056867527189</v>
      </c>
      <c r="K497" s="59">
        <v>379.62776532729862</v>
      </c>
      <c r="L497" s="59">
        <v>148.35123898401559</v>
      </c>
      <c r="M497" s="59">
        <v>5099.1286713466252</v>
      </c>
      <c r="N497" s="59">
        <v>1244.2729626095145</v>
      </c>
      <c r="P497" s="59">
        <v>290.94245832029037</v>
      </c>
      <c r="R497" s="59">
        <v>444265.27610163757</v>
      </c>
      <c r="S497" s="59">
        <v>148540930.05121678</v>
      </c>
    </row>
    <row r="498" spans="2:19" x14ac:dyDescent="0.2">
      <c r="B498" s="59">
        <v>495</v>
      </c>
      <c r="C498" s="59">
        <v>66</v>
      </c>
      <c r="D498" s="59">
        <v>8.845247091743925</v>
      </c>
      <c r="E498" s="59">
        <v>161.9521882023117</v>
      </c>
      <c r="F498" s="59">
        <v>264.81568208955997</v>
      </c>
      <c r="G498" s="59">
        <v>519.41215974506792</v>
      </c>
      <c r="H498" s="59">
        <v>2075.9663724418265</v>
      </c>
      <c r="J498" s="59">
        <v>83.642173508685374</v>
      </c>
      <c r="K498" s="59">
        <v>378.53644402721676</v>
      </c>
      <c r="L498" s="59">
        <v>147.90947700600856</v>
      </c>
      <c r="M498" s="59">
        <v>5109.223339035103</v>
      </c>
      <c r="N498" s="59">
        <v>1249.6969168524795</v>
      </c>
      <c r="P498" s="59">
        <v>289.68992316595029</v>
      </c>
      <c r="R498" s="59">
        <v>442819.15281766769</v>
      </c>
      <c r="S498" s="59">
        <v>148669594.23138309</v>
      </c>
    </row>
    <row r="499" spans="2:19" x14ac:dyDescent="0.2">
      <c r="B499" s="59">
        <v>496</v>
      </c>
      <c r="C499" s="59">
        <v>66</v>
      </c>
      <c r="D499" s="59">
        <v>8.7458854827466688</v>
      </c>
      <c r="E499" s="59">
        <v>160.65103894918974</v>
      </c>
      <c r="F499" s="59">
        <v>262.92187667333121</v>
      </c>
      <c r="G499" s="59">
        <v>516.26887098480597</v>
      </c>
      <c r="H499" s="59">
        <v>2068.7391550552888</v>
      </c>
      <c r="J499" s="59">
        <v>83.373798204474397</v>
      </c>
      <c r="K499" s="59">
        <v>377.44555315067953</v>
      </c>
      <c r="L499" s="59">
        <v>147.46793865887142</v>
      </c>
      <c r="M499" s="59">
        <v>5119.2880310343689</v>
      </c>
      <c r="N499" s="59">
        <v>1255.0978518062461</v>
      </c>
      <c r="P499" s="59">
        <v>288.44178751314843</v>
      </c>
      <c r="R499" s="59">
        <v>441374.8893408748</v>
      </c>
      <c r="S499" s="59">
        <v>148797518.95894709</v>
      </c>
    </row>
    <row r="500" spans="2:19" x14ac:dyDescent="0.2">
      <c r="B500" s="59">
        <v>497</v>
      </c>
      <c r="C500" s="59">
        <v>66</v>
      </c>
      <c r="D500" s="59">
        <v>8.6476400358238141</v>
      </c>
      <c r="E500" s="59">
        <v>159.36006743231513</v>
      </c>
      <c r="F500" s="59">
        <v>261.04060198208924</v>
      </c>
      <c r="G500" s="59">
        <v>513.14169184005868</v>
      </c>
      <c r="H500" s="59">
        <v>2061.5241931266492</v>
      </c>
      <c r="J500" s="59">
        <v>83.105455517633104</v>
      </c>
      <c r="K500" s="59">
        <v>376.35511196042029</v>
      </c>
      <c r="L500" s="59">
        <v>147.02663240449297</v>
      </c>
      <c r="M500" s="59">
        <v>5129.3227596204879</v>
      </c>
      <c r="N500" s="59">
        <v>1260.4758460800324</v>
      </c>
      <c r="P500" s="59">
        <v>287.19804291227143</v>
      </c>
      <c r="R500" s="59">
        <v>439932.50602482492</v>
      </c>
      <c r="S500" s="59">
        <v>148924707.66537881</v>
      </c>
    </row>
    <row r="501" spans="2:19" x14ac:dyDescent="0.2">
      <c r="B501" s="59">
        <v>498</v>
      </c>
      <c r="C501" s="59">
        <v>66</v>
      </c>
      <c r="D501" s="59">
        <v>8.5504982127547269</v>
      </c>
      <c r="E501" s="59">
        <v>158.07919734499424</v>
      </c>
      <c r="F501" s="59">
        <v>259.17178621364047</v>
      </c>
      <c r="G501" s="59">
        <v>510.0305679958629</v>
      </c>
      <c r="H501" s="59">
        <v>2054.3215700749893</v>
      </c>
      <c r="J501" s="59">
        <v>82.837157961913434</v>
      </c>
      <c r="K501" s="59">
        <v>375.26513963268548</v>
      </c>
      <c r="L501" s="59">
        <v>146.58556667105648</v>
      </c>
      <c r="M501" s="59">
        <v>5139.3275377438622</v>
      </c>
      <c r="N501" s="59">
        <v>1265.8309781482433</v>
      </c>
      <c r="P501" s="59">
        <v>285.95868087547069</v>
      </c>
      <c r="R501" s="59">
        <v>438492.02301711269</v>
      </c>
      <c r="S501" s="59">
        <v>149051163.77408704</v>
      </c>
    </row>
    <row r="502" spans="2:19" x14ac:dyDescent="0.2">
      <c r="B502" s="59">
        <v>499</v>
      </c>
      <c r="C502" s="59">
        <v>66</v>
      </c>
      <c r="D502" s="59">
        <v>8.4544476161647815</v>
      </c>
      <c r="E502" s="59">
        <v>156.80835291197982</v>
      </c>
      <c r="F502" s="59">
        <v>257.31535784981423</v>
      </c>
      <c r="G502" s="59">
        <v>506.93544502484542</v>
      </c>
      <c r="H502" s="59">
        <v>2047.1313683021735</v>
      </c>
      <c r="J502" s="59">
        <v>82.568917814456867</v>
      </c>
      <c r="K502" s="59">
        <v>374.17565525609029</v>
      </c>
      <c r="L502" s="59">
        <v>146.14474985123954</v>
      </c>
      <c r="M502" s="59">
        <v>5149.3023790235684</v>
      </c>
      <c r="N502" s="59">
        <v>1271.1633263496699</v>
      </c>
      <c r="P502" s="59">
        <v>284.72369287722069</v>
      </c>
      <c r="R502" s="59">
        <v>437053.46025971329</v>
      </c>
      <c r="S502" s="59">
        <v>149176890.70035347</v>
      </c>
    </row>
    <row r="503" spans="2:19" x14ac:dyDescent="0.2">
      <c r="B503" s="59">
        <v>500</v>
      </c>
      <c r="C503" s="59">
        <v>66</v>
      </c>
      <c r="D503" s="59">
        <v>8.3594759879431972</v>
      </c>
      <c r="E503" s="59">
        <v>155.54745888629148</v>
      </c>
      <c r="F503" s="59">
        <v>255.47124565696538</v>
      </c>
      <c r="G503" s="59">
        <v>503.85626839131652</v>
      </c>
      <c r="H503" s="59">
        <v>2039.9536691977642</v>
      </c>
      <c r="J503" s="59">
        <v>82.300747120327401</v>
      </c>
      <c r="K503" s="59">
        <v>373.08667783050464</v>
      </c>
      <c r="L503" s="59">
        <v>145.7041903005059</v>
      </c>
      <c r="M503" s="59">
        <v>5159.2472977416846</v>
      </c>
      <c r="N503" s="59">
        <v>1276.4729688866996</v>
      </c>
      <c r="P503" s="59">
        <v>283.49307035487499</v>
      </c>
      <c r="R503" s="59">
        <v>435616.83748937969</v>
      </c>
      <c r="S503" s="59">
        <v>149301891.85126787</v>
      </c>
    </row>
    <row r="504" spans="2:19" x14ac:dyDescent="0.2">
      <c r="B504" s="59">
        <v>501</v>
      </c>
      <c r="C504" s="59">
        <v>66</v>
      </c>
      <c r="D504" s="59">
        <v>8.2655712076786347</v>
      </c>
      <c r="E504" s="59">
        <v>154.29644054604802</v>
      </c>
      <c r="F504" s="59">
        <v>253.63937868644913</v>
      </c>
      <c r="G504" s="59">
        <v>500.792983455323</v>
      </c>
      <c r="H504" s="59">
        <v>2032.7885531439467</v>
      </c>
      <c r="J504" s="59">
        <v>82.032657696948064</v>
      </c>
      <c r="K504" s="59">
        <v>371.99822626596858</v>
      </c>
      <c r="L504" s="59">
        <v>145.26389633548592</v>
      </c>
      <c r="M504" s="59">
        <v>5169.1623088376209</v>
      </c>
      <c r="N504" s="59">
        <v>1281.7599838245342</v>
      </c>
      <c r="P504" s="59">
        <v>282.26680470921792</v>
      </c>
      <c r="R504" s="59">
        <v>434182.17423808231</v>
      </c>
      <c r="S504" s="59">
        <v>149426170.62566423</v>
      </c>
    </row>
    <row r="505" spans="2:19" x14ac:dyDescent="0.2">
      <c r="B505" s="59">
        <v>502</v>
      </c>
      <c r="C505" s="59">
        <v>66</v>
      </c>
      <c r="D505" s="59">
        <v>8.1727212911123779</v>
      </c>
      <c r="E505" s="59">
        <v>153.05522369131174</v>
      </c>
      <c r="F505" s="59">
        <v>251.8196862750676</v>
      </c>
      <c r="G505" s="59">
        <v>497.74553547666062</v>
      </c>
      <c r="H505" s="59">
        <v>2025.6360995204657</v>
      </c>
      <c r="J505" s="59">
        <v>81.764661138443074</v>
      </c>
      <c r="K505" s="59">
        <v>370.91031938163712</v>
      </c>
      <c r="L505" s="59">
        <v>144.82387623244171</v>
      </c>
      <c r="M505" s="59">
        <v>5179.0474279024447</v>
      </c>
      <c r="N505" s="59">
        <v>1287.0244490904186</v>
      </c>
      <c r="P505" s="59">
        <v>281.04488730501367</v>
      </c>
      <c r="R505" s="59">
        <v>432749.48983348848</v>
      </c>
      <c r="S505" s="59">
        <v>149549730.41405806</v>
      </c>
    </row>
    <row r="506" spans="2:19" x14ac:dyDescent="0.2">
      <c r="B506" s="59">
        <v>503</v>
      </c>
      <c r="C506" s="59">
        <v>66</v>
      </c>
      <c r="D506" s="59">
        <v>8.0809143886088819</v>
      </c>
      <c r="E506" s="59">
        <v>151.82373464094451</v>
      </c>
      <c r="F506" s="59">
        <v>250.01209804548904</v>
      </c>
      <c r="G506" s="59">
        <v>494.71386961884656</v>
      </c>
      <c r="H506" s="59">
        <v>2018.4963867095694</v>
      </c>
      <c r="J506" s="59">
        <v>81.496768819887748</v>
      </c>
      <c r="K506" s="59">
        <v>369.82297590475372</v>
      </c>
      <c r="L506" s="59">
        <v>144.38413822581353</v>
      </c>
      <c r="M506" s="59">
        <v>5188.9026711732104</v>
      </c>
      <c r="N506" s="59">
        <v>1292.2664424728791</v>
      </c>
      <c r="P506" s="59">
        <v>279.82730947155164</v>
      </c>
      <c r="R506" s="59">
        <v>431318.80339948024</v>
      </c>
      <c r="S506" s="59">
        <v>149672574.59858456</v>
      </c>
    </row>
    <row r="507" spans="2:19" x14ac:dyDescent="0.2">
      <c r="B507" s="59">
        <v>504</v>
      </c>
      <c r="C507" s="59">
        <v>67</v>
      </c>
      <c r="D507" s="59">
        <v>7.9901387836435092</v>
      </c>
      <c r="E507" s="59">
        <v>150.60190022947603</v>
      </c>
      <c r="F507" s="59">
        <v>248.21654390664003</v>
      </c>
      <c r="G507" s="59">
        <v>491.6979309530513</v>
      </c>
      <c r="H507" s="59">
        <v>2011.3694921009651</v>
      </c>
      <c r="J507" s="59">
        <v>81.228991901468277</v>
      </c>
      <c r="K507" s="59">
        <v>368.73621446965211</v>
      </c>
      <c r="L507" s="59">
        <v>143.94469050684418</v>
      </c>
      <c r="M507" s="59">
        <v>5198.7280555272919</v>
      </c>
      <c r="N507" s="59">
        <v>1297.4860416209708</v>
      </c>
      <c r="P507" s="59">
        <v>278.61406250318885</v>
      </c>
      <c r="Q507" s="59">
        <v>3343.3687500382662</v>
      </c>
      <c r="R507" s="59">
        <v>429890.13385670783</v>
      </c>
      <c r="S507" s="59">
        <v>149794706.55293807</v>
      </c>
    </row>
    <row r="508" spans="2:19" x14ac:dyDescent="0.2">
      <c r="B508" s="59">
        <v>505</v>
      </c>
      <c r="C508" s="59">
        <v>67</v>
      </c>
      <c r="D508" s="59">
        <v>7.9003828913072471</v>
      </c>
      <c r="E508" s="59">
        <v>149.38964780398405</v>
      </c>
      <c r="F508" s="59">
        <v>246.4329540540709</v>
      </c>
      <c r="G508" s="59">
        <v>488.69766446199117</v>
      </c>
      <c r="H508" s="59">
        <v>2004.2554920967823</v>
      </c>
      <c r="J508" s="59">
        <v>80.961341332553204</v>
      </c>
      <c r="K508" s="59">
        <v>367.65005361678612</v>
      </c>
      <c r="L508" s="59">
        <v>143.50554122227797</v>
      </c>
      <c r="M508" s="59">
        <v>5208.523598476716</v>
      </c>
      <c r="N508" s="59">
        <v>1302.6833240435342</v>
      </c>
      <c r="P508" s="59">
        <v>277.40513765988862</v>
      </c>
      <c r="R508" s="59">
        <v>428463.49992317712</v>
      </c>
      <c r="S508" s="59">
        <v>149916129.64231235</v>
      </c>
    </row>
    <row r="509" spans="2:19" x14ac:dyDescent="0.2">
      <c r="B509" s="59">
        <v>506</v>
      </c>
      <c r="C509" s="59">
        <v>67</v>
      </c>
      <c r="D509" s="59">
        <v>7.8116352568282288</v>
      </c>
      <c r="E509" s="59">
        <v>148.18690522098683</v>
      </c>
      <c r="F509" s="59">
        <v>244.66125897029488</v>
      </c>
      <c r="G509" s="59">
        <v>485.71301504378067</v>
      </c>
      <c r="H509" s="59">
        <v>1997.1544621165438</v>
      </c>
      <c r="J509" s="59">
        <v>80.693827855678791</v>
      </c>
      <c r="K509" s="59">
        <v>366.56451179178691</v>
      </c>
      <c r="L509" s="59">
        <v>143.06669847313137</v>
      </c>
      <c r="M509" s="59">
        <v>5218.2893181625095</v>
      </c>
      <c r="N509" s="59">
        <v>1307.8583671084625</v>
      </c>
      <c r="P509" s="59">
        <v>276.20052616775604</v>
      </c>
      <c r="R509" s="59">
        <v>427038.92011486919</v>
      </c>
      <c r="S509" s="59">
        <v>150036847.223342</v>
      </c>
    </row>
    <row r="510" spans="2:19" x14ac:dyDescent="0.2">
      <c r="B510" s="59">
        <v>507</v>
      </c>
      <c r="C510" s="59">
        <v>67</v>
      </c>
      <c r="D510" s="59">
        <v>7.7238845541098584</v>
      </c>
      <c r="E510" s="59">
        <v>146.99360084334779</v>
      </c>
      <c r="F510" s="59">
        <v>242.90138942510131</v>
      </c>
      <c r="G510" s="59">
        <v>482.74392751574544</v>
      </c>
      <c r="H510" s="59">
        <v>1990.0664766021459</v>
      </c>
      <c r="J510" s="59">
        <v>80.426462010450038</v>
      </c>
      <c r="K510" s="59">
        <v>365.47960734454722</v>
      </c>
      <c r="L510" s="59">
        <v>142.62817031353225</v>
      </c>
      <c r="M510" s="59">
        <v>5228.0252333490462</v>
      </c>
      <c r="N510" s="59">
        <v>1313.0112480419773</v>
      </c>
      <c r="P510" s="59">
        <v>275.00021921956966</v>
      </c>
      <c r="R510" s="59">
        <v>425616.41274638998</v>
      </c>
      <c r="S510" s="59">
        <v>150156862.64404497</v>
      </c>
    </row>
    <row r="511" spans="2:19" x14ac:dyDescent="0.2">
      <c r="B511" s="59">
        <v>508</v>
      </c>
      <c r="C511" s="59">
        <v>67</v>
      </c>
      <c r="D511" s="59">
        <v>7.6371195842853581</v>
      </c>
      <c r="E511" s="59">
        <v>145.80966353719236</v>
      </c>
      <c r="F511" s="59">
        <v>241.15327647584346</v>
      </c>
      <c r="G511" s="59">
        <v>479.79034661819588</v>
      </c>
      <c r="H511" s="59">
        <v>1982.9916090228455</v>
      </c>
      <c r="J511" s="59">
        <v>80.15925413735927</v>
      </c>
      <c r="K511" s="59">
        <v>364.39535852833245</v>
      </c>
      <c r="L511" s="59">
        <v>142.18996474962481</v>
      </c>
      <c r="M511" s="59">
        <v>5237.7313634184102</v>
      </c>
      <c r="N511" s="59">
        <v>1318.1420439279138</v>
      </c>
      <c r="P511" s="59">
        <v>273.80420797531042</v>
      </c>
      <c r="R511" s="59">
        <v>424195.99593164847</v>
      </c>
      <c r="S511" s="59">
        <v>150276179.24376601</v>
      </c>
    </row>
    <row r="512" spans="2:19" x14ac:dyDescent="0.2">
      <c r="B512" s="59">
        <v>509</v>
      </c>
      <c r="C512" s="59">
        <v>67</v>
      </c>
      <c r="D512" s="59">
        <v>7.5513292742885527</v>
      </c>
      <c r="E512" s="59">
        <v>144.63502266883719</v>
      </c>
      <c r="F512" s="59">
        <v>239.41685146770098</v>
      </c>
      <c r="G512" s="59">
        <v>476.85221701816141</v>
      </c>
      <c r="H512" s="59">
        <v>1975.9299318802532</v>
      </c>
      <c r="J512" s="59">
        <v>79.892214381524141</v>
      </c>
      <c r="K512" s="59">
        <v>363.31178349891775</v>
      </c>
      <c r="L512" s="59">
        <v>141.75208973853762</v>
      </c>
      <c r="M512" s="59">
        <v>5247.4077283647657</v>
      </c>
      <c r="N512" s="59">
        <v>1323.2508317070169</v>
      </c>
      <c r="P512" s="59">
        <v>272.61248356268646</v>
      </c>
      <c r="R512" s="59">
        <v>422777.68758456182</v>
      </c>
      <c r="S512" s="59">
        <v>150394800.35312125</v>
      </c>
    </row>
    <row r="513" spans="2:19" x14ac:dyDescent="0.2">
      <c r="B513" s="59">
        <v>510</v>
      </c>
      <c r="C513" s="59">
        <v>67</v>
      </c>
      <c r="D513" s="59">
        <v>7.4665026754407116</v>
      </c>
      <c r="E513" s="59">
        <v>143.46960810173181</v>
      </c>
      <c r="F513" s="59">
        <v>237.69204603391782</v>
      </c>
      <c r="G513" s="59">
        <v>473.92948331308594</v>
      </c>
      <c r="H513" s="59">
        <v>1968.8815167133353</v>
      </c>
      <c r="J513" s="59">
        <v>79.625352696346781</v>
      </c>
      <c r="K513" s="59">
        <v>362.22890031375107</v>
      </c>
      <c r="L513" s="59">
        <v>141.31455318741195</v>
      </c>
      <c r="M513" s="59">
        <v>5257.054348788738</v>
      </c>
      <c r="N513" s="59">
        <v>1328.3376881762438</v>
      </c>
      <c r="P513" s="59">
        <v>271.42503707765474</v>
      </c>
      <c r="R513" s="59">
        <v>421361.50541978551</v>
      </c>
      <c r="S513" s="59">
        <v>150512729.29394376</v>
      </c>
    </row>
    <row r="514" spans="2:19" x14ac:dyDescent="0.2">
      <c r="B514" s="59">
        <v>511</v>
      </c>
      <c r="C514" s="59">
        <v>67</v>
      </c>
      <c r="D514" s="59">
        <v>7.3826289620532606</v>
      </c>
      <c r="E514" s="59">
        <v>142.31335019341253</v>
      </c>
      <c r="F514" s="59">
        <v>235.97879209601561</v>
      </c>
      <c r="G514" s="59">
        <v>471.02209003448422</v>
      </c>
      <c r="H514" s="59">
        <v>1961.8464341034198</v>
      </c>
      <c r="J514" s="59">
        <v>79.35867884709603</v>
      </c>
      <c r="K514" s="59">
        <v>361.1467269311417</v>
      </c>
      <c r="L514" s="59">
        <v>140.877362952488</v>
      </c>
      <c r="M514" s="59">
        <v>5266.6712458918128</v>
      </c>
      <c r="N514" s="59">
        <v>1333.4026899880789</v>
      </c>
      <c r="P514" s="59">
        <v>270.24185958493911</v>
      </c>
      <c r="R514" s="59">
        <v>419947.46695346764</v>
      </c>
      <c r="S514" s="59">
        <v>150629969.3792302</v>
      </c>
    </row>
    <row r="515" spans="2:19" x14ac:dyDescent="0.2">
      <c r="B515" s="59">
        <v>512</v>
      </c>
      <c r="C515" s="59">
        <v>67</v>
      </c>
      <c r="D515" s="59">
        <v>7.2996974300461952</v>
      </c>
      <c r="E515" s="59">
        <v>141.16617979246899</v>
      </c>
      <c r="F515" s="59">
        <v>234.27702186398304</v>
      </c>
      <c r="G515" s="59">
        <v>468.12998165155989</v>
      </c>
      <c r="H515" s="59">
        <v>1954.8247536792096</v>
      </c>
      <c r="J515" s="59">
        <v>79.092202414414189</v>
      </c>
      <c r="K515" s="59">
        <v>360.06528120947365</v>
      </c>
      <c r="L515" s="59">
        <v>140.44052683824646</v>
      </c>
      <c r="M515" s="59">
        <v>5276.2584414707435</v>
      </c>
      <c r="N515" s="59">
        <v>1338.4459136498572</v>
      </c>
      <c r="P515" s="59">
        <v>269.06294211854487</v>
      </c>
      <c r="R515" s="59">
        <v>418535.58950402506</v>
      </c>
      <c r="S515" s="59">
        <v>150746523.91308847</v>
      </c>
    </row>
    <row r="516" spans="2:19" x14ac:dyDescent="0.2">
      <c r="B516" s="59">
        <v>513</v>
      </c>
      <c r="C516" s="59">
        <v>67</v>
      </c>
      <c r="D516" s="59">
        <v>7.2176974955820095</v>
      </c>
      <c r="E516" s="59">
        <v>140.02802823552312</v>
      </c>
      <c r="F516" s="59">
        <v>232.58666783644162</v>
      </c>
      <c r="G516" s="59">
        <v>465.2531025747848</v>
      </c>
      <c r="H516" s="59">
        <v>1947.8165441218007</v>
      </c>
      <c r="J516" s="59">
        <v>78.825932797750141</v>
      </c>
      <c r="K516" s="59">
        <v>358.98458090644397</v>
      </c>
      <c r="L516" s="59">
        <v>140.00405259660323</v>
      </c>
      <c r="M516" s="59">
        <v>5285.8159579119783</v>
      </c>
      <c r="N516" s="59">
        <v>1343.467435523095</v>
      </c>
      <c r="P516" s="59">
        <v>267.88827568227009</v>
      </c>
      <c r="R516" s="59">
        <v>417125.89019294101</v>
      </c>
      <c r="S516" s="59">
        <v>150862396.1906864</v>
      </c>
    </row>
    <row r="517" spans="2:19" x14ac:dyDescent="0.2">
      <c r="B517" s="59">
        <v>514</v>
      </c>
      <c r="C517" s="59">
        <v>67</v>
      </c>
      <c r="D517" s="59">
        <v>7.1366186937149712</v>
      </c>
      <c r="E517" s="59">
        <v>138.89882734422073</v>
      </c>
      <c r="F517" s="59">
        <v>230.9076628007881</v>
      </c>
      <c r="G517" s="59">
        <v>462.39139715944037</v>
      </c>
      <c r="H517" s="59">
        <v>1940.821873169705</v>
      </c>
      <c r="J517" s="59">
        <v>78.559879218720539</v>
      </c>
      <c r="K517" s="59">
        <v>357.9046436783251</v>
      </c>
      <c r="L517" s="59">
        <v>139.567947926155</v>
      </c>
      <c r="M517" s="59">
        <v>5295.3438181861002</v>
      </c>
      <c r="N517" s="59">
        <v>1348.4673318228329</v>
      </c>
      <c r="P517" s="59">
        <v>266.71785125021302</v>
      </c>
      <c r="R517" s="59">
        <v>415718.38594558206</v>
      </c>
      <c r="S517" s="59">
        <v>150977589.49820149</v>
      </c>
    </row>
    <row r="518" spans="2:19" x14ac:dyDescent="0.2">
      <c r="B518" s="59">
        <v>515</v>
      </c>
      <c r="C518" s="59">
        <v>67</v>
      </c>
      <c r="D518" s="59">
        <v>7.0564506770555733</v>
      </c>
      <c r="E518" s="59">
        <v>137.77850942223563</v>
      </c>
      <c r="F518" s="59">
        <v>229.23993983331394</v>
      </c>
      <c r="G518" s="59">
        <v>459.5448097091205</v>
      </c>
      <c r="H518" s="59">
        <v>1933.8408076238784</v>
      </c>
      <c r="J518" s="59">
        <v>78.294050724400421</v>
      </c>
      <c r="K518" s="59">
        <v>356.82548707925127</v>
      </c>
      <c r="L518" s="59">
        <v>139.13222047147343</v>
      </c>
      <c r="M518" s="59">
        <v>5304.8420458422879</v>
      </c>
      <c r="N518" s="59">
        <v>1353.4456786169862</v>
      </c>
      <c r="P518" s="59">
        <v>265.55165976727602</v>
      </c>
      <c r="R518" s="59">
        <v>414313.09349203366</v>
      </c>
      <c r="S518" s="59">
        <v>151092107.1127716</v>
      </c>
    </row>
    <row r="519" spans="2:19" x14ac:dyDescent="0.2">
      <c r="B519" s="59">
        <v>516</v>
      </c>
      <c r="C519" s="59">
        <v>68</v>
      </c>
      <c r="D519" s="59">
        <v>6.9771832144499824</v>
      </c>
      <c r="E519" s="59">
        <v>136.66700725228642</v>
      </c>
      <c r="F519" s="59">
        <v>227.58343229930222</v>
      </c>
      <c r="G519" s="59">
        <v>456.71328447919694</v>
      </c>
      <c r="H519" s="59">
        <v>1926.8734133527523</v>
      </c>
      <c r="J519" s="59">
        <v>78.028456190545057</v>
      </c>
      <c r="K519" s="59">
        <v>355.74712856052838</v>
      </c>
      <c r="L519" s="59">
        <v>138.69687782244603</v>
      </c>
      <c r="M519" s="59">
        <v>5314.3106650027912</v>
      </c>
      <c r="N519" s="59">
        <v>1358.4025518257049</v>
      </c>
      <c r="P519" s="59">
        <v>264.38969214966636</v>
      </c>
      <c r="Q519" s="59">
        <v>3172.6763057959965</v>
      </c>
      <c r="R519" s="59">
        <v>412910.02936795267</v>
      </c>
      <c r="S519" s="59">
        <v>151205952.30244678</v>
      </c>
    </row>
    <row r="520" spans="2:19" x14ac:dyDescent="0.2">
      <c r="B520" s="59">
        <v>517</v>
      </c>
      <c r="C520" s="59">
        <v>68</v>
      </c>
      <c r="D520" s="59">
        <v>6.8988061896743273</v>
      </c>
      <c r="E520" s="59">
        <v>135.56425409316606</v>
      </c>
      <c r="F520" s="59">
        <v>225.93807385310225</v>
      </c>
      <c r="G520" s="59">
        <v>453.89676568024692</v>
      </c>
      <c r="H520" s="59">
        <v>1919.9197552972701</v>
      </c>
      <c r="J520" s="59">
        <v>77.763104324744447</v>
      </c>
      <c r="K520" s="59">
        <v>354.66958546996705</v>
      </c>
      <c r="L520" s="59">
        <v>138.26192751366165</v>
      </c>
      <c r="M520" s="59">
        <v>5323.7497003574281</v>
      </c>
      <c r="N520" s="59">
        <v>1363.3380272207426</v>
      </c>
      <c r="P520" s="59">
        <v>263.2319392853932</v>
      </c>
      <c r="R520" s="59">
        <v>411509.20991543634</v>
      </c>
      <c r="S520" s="59">
        <v>151319128.32614198</v>
      </c>
    </row>
    <row r="521" spans="2:19" x14ac:dyDescent="0.2">
      <c r="B521" s="59">
        <v>518</v>
      </c>
      <c r="C521" s="59">
        <v>68</v>
      </c>
      <c r="D521" s="59">
        <v>6.8213096001436524</v>
      </c>
      <c r="E521" s="59">
        <v>134.47018367678393</v>
      </c>
      <c r="F521" s="59">
        <v>224.30379843818238</v>
      </c>
      <c r="G521" s="59">
        <v>451.09519748144317</v>
      </c>
      <c r="H521" s="59">
        <v>1912.9798974759253</v>
      </c>
      <c r="J521" s="59">
        <v>77.498003669511931</v>
      </c>
      <c r="K521" s="59">
        <v>353.59287505123854</v>
      </c>
      <c r="L521" s="59">
        <v>137.82737702383878</v>
      </c>
      <c r="M521" s="59">
        <v>5333.1591771581006</v>
      </c>
      <c r="N521" s="59">
        <v>1368.2521804248349</v>
      </c>
      <c r="P521" s="59">
        <v>262.07839203476101</v>
      </c>
      <c r="R521" s="59">
        <v>410110.65128390637</v>
      </c>
      <c r="S521" s="59">
        <v>151431638.43359089</v>
      </c>
    </row>
    <row r="522" spans="2:19" x14ac:dyDescent="0.2">
      <c r="B522" s="59">
        <v>519</v>
      </c>
      <c r="C522" s="59">
        <v>68</v>
      </c>
      <c r="D522" s="59">
        <v>6.7446835556353717</v>
      </c>
      <c r="E522" s="59">
        <v>133.38473020522088</v>
      </c>
      <c r="F522" s="59">
        <v>222.68054028716114</v>
      </c>
      <c r="G522" s="59">
        <v>448.30852401390689</v>
      </c>
      <c r="H522" s="59">
        <v>1906.0539029898046</v>
      </c>
      <c r="J522" s="59">
        <v>77.233162605308451</v>
      </c>
      <c r="K522" s="59">
        <v>352.51701444325295</v>
      </c>
      <c r="L522" s="59">
        <v>137.39323377529465</v>
      </c>
      <c r="M522" s="59">
        <v>5342.5391212133318</v>
      </c>
      <c r="N522" s="59">
        <v>1373.1450869110868</v>
      </c>
      <c r="P522" s="59">
        <v>260.92904123085953</v>
      </c>
      <c r="R522" s="59">
        <v>408714.36943100626</v>
      </c>
      <c r="S522" s="59">
        <v>151543485.86530069</v>
      </c>
    </row>
    <row r="523" spans="2:19" x14ac:dyDescent="0.2">
      <c r="B523" s="59">
        <v>520</v>
      </c>
      <c r="C523" s="59">
        <v>68</v>
      </c>
      <c r="D523" s="59">
        <v>6.6689182770270676</v>
      </c>
      <c r="E523" s="59">
        <v>132.30782834779694</v>
      </c>
      <c r="F523" s="59">
        <v>221.06823392181721</v>
      </c>
      <c r="G523" s="59">
        <v>445.53668937402347</v>
      </c>
      <c r="H523" s="59">
        <v>1899.1418340276325</v>
      </c>
      <c r="J523" s="59">
        <v>76.968589353503887</v>
      </c>
      <c r="K523" s="59">
        <v>351.44202067955962</v>
      </c>
      <c r="L523" s="59">
        <v>136.95950513345369</v>
      </c>
      <c r="M523" s="59">
        <v>5351.88955888282</v>
      </c>
      <c r="N523" s="59">
        <v>1378.0168220023691</v>
      </c>
      <c r="P523" s="59">
        <v>259.78387768005047</v>
      </c>
      <c r="R523" s="59">
        <v>407320.38012351276</v>
      </c>
      <c r="S523" s="59">
        <v>151654673.85250786</v>
      </c>
    </row>
    <row r="524" spans="2:19" x14ac:dyDescent="0.2">
      <c r="B524" s="59">
        <v>521</v>
      </c>
      <c r="C524" s="59">
        <v>68</v>
      </c>
      <c r="D524" s="59">
        <v>6.5940040950484633</v>
      </c>
      <c r="E524" s="59">
        <v>131.23941323815183</v>
      </c>
      <c r="F524" s="59">
        <v>219.46681415307856</v>
      </c>
      <c r="G524" s="59">
        <v>442.7796376267213</v>
      </c>
      <c r="H524" s="59">
        <v>1892.2437518708184</v>
      </c>
      <c r="J524" s="59">
        <v>76.704291979276775</v>
      </c>
      <c r="K524" s="59">
        <v>350.36791068776944</v>
      </c>
      <c r="L524" s="59">
        <v>136.52619840639326</v>
      </c>
      <c r="M524" s="59">
        <v>5361.2105170720224</v>
      </c>
      <c r="N524" s="59">
        <v>1382.8674608707229</v>
      </c>
      <c r="P524" s="59">
        <v>258.64289216245027</v>
      </c>
      <c r="R524" s="59">
        <v>405928.69893825869</v>
      </c>
      <c r="S524" s="59">
        <v>151765205.6171349</v>
      </c>
    </row>
    <row r="525" spans="2:19" x14ac:dyDescent="0.2">
      <c r="B525" s="59">
        <v>522</v>
      </c>
      <c r="C525" s="59">
        <v>68</v>
      </c>
      <c r="D525" s="59">
        <v>6.5199314490474185</v>
      </c>
      <c r="E525" s="59">
        <v>130.17942047133837</v>
      </c>
      <c r="F525" s="59">
        <v>217.87621608099096</v>
      </c>
      <c r="G525" s="59">
        <v>440.03731280871415</v>
      </c>
      <c r="H525" s="59">
        <v>1885.3597168985057</v>
      </c>
      <c r="J525" s="59">
        <v>76.440278394453898</v>
      </c>
      <c r="K525" s="59">
        <v>349.29470128899823</v>
      </c>
      <c r="L525" s="59">
        <v>136.09332084442551</v>
      </c>
      <c r="M525" s="59">
        <v>5370.5020232267552</v>
      </c>
      <c r="N525" s="59">
        <v>1387.6970785367746</v>
      </c>
      <c r="P525" s="59">
        <v>257.50607543240966</v>
      </c>
      <c r="R525" s="59">
        <v>404539.34126306709</v>
      </c>
      <c r="S525" s="59">
        <v>151875084.37174815</v>
      </c>
    </row>
    <row r="526" spans="2:19" x14ac:dyDescent="0.2">
      <c r="B526" s="59">
        <v>523</v>
      </c>
      <c r="C526" s="59">
        <v>68</v>
      </c>
      <c r="D526" s="59">
        <v>6.4466908857697858</v>
      </c>
      <c r="E526" s="59">
        <v>129.1277861009288</v>
      </c>
      <c r="F526" s="59">
        <v>216.29637509466622</v>
      </c>
      <c r="G526" s="59">
        <v>437.30965893170691</v>
      </c>
      <c r="H526" s="59">
        <v>1878.4897885926221</v>
      </c>
      <c r="J526" s="59">
        <v>76.176556360290917</v>
      </c>
      <c r="K526" s="59">
        <v>348.22240919733144</v>
      </c>
      <c r="L526" s="59">
        <v>135.66087963971327</v>
      </c>
      <c r="M526" s="59">
        <v>5379.7641053278157</v>
      </c>
      <c r="N526" s="59">
        <v>1392.5057498691588</v>
      </c>
      <c r="P526" s="59">
        <v>256.37341821898968</v>
      </c>
      <c r="R526" s="59">
        <v>403152.32229769608</v>
      </c>
      <c r="S526" s="59">
        <v>151984313.31951651</v>
      </c>
    </row>
    <row r="527" spans="2:19" x14ac:dyDescent="0.2">
      <c r="B527" s="59">
        <v>524</v>
      </c>
      <c r="C527" s="59">
        <v>68</v>
      </c>
      <c r="D527" s="59">
        <v>6.3742730581529718</v>
      </c>
      <c r="E527" s="59">
        <v>128.08444663613378</v>
      </c>
      <c r="F527" s="59">
        <v>214.72722687221071</v>
      </c>
      <c r="G527" s="59">
        <v>434.59661998556504</v>
      </c>
      <c r="H527" s="59">
        <v>1871.634025542932</v>
      </c>
      <c r="J527" s="59">
        <v>75.913133490195577</v>
      </c>
      <c r="K527" s="59">
        <v>347.15105101930965</v>
      </c>
      <c r="L527" s="59">
        <v>135.22888192591915</v>
      </c>
      <c r="M527" s="59">
        <v>5388.9967918856346</v>
      </c>
      <c r="N527" s="59">
        <v>1397.2935495839499</v>
      </c>
      <c r="P527" s="59">
        <v>255.24491122643397</v>
      </c>
      <c r="R527" s="59">
        <v>401767.65705479303</v>
      </c>
      <c r="S527" s="59">
        <v>152092895.65417111</v>
      </c>
    </row>
    <row r="528" spans="2:19" x14ac:dyDescent="0.2">
      <c r="B528" s="59">
        <v>525</v>
      </c>
      <c r="C528" s="59">
        <v>68</v>
      </c>
      <c r="D528" s="59">
        <v>6.3026687241330537</v>
      </c>
      <c r="E528" s="59">
        <v>127.04933903893456</v>
      </c>
      <c r="F528" s="59">
        <v>213.16870738063409</v>
      </c>
      <c r="G528" s="59">
        <v>431.89813994144811</v>
      </c>
      <c r="H528" s="59">
        <v>1864.7924854520893</v>
      </c>
      <c r="J528" s="59">
        <v>75.650017252394505</v>
      </c>
      <c r="K528" s="59">
        <v>346.08064325343412</v>
      </c>
      <c r="L528" s="59">
        <v>134.79733477788571</v>
      </c>
      <c r="M528" s="59">
        <v>5398.200111934947</v>
      </c>
      <c r="N528" s="59">
        <v>1402.0605522441035</v>
      </c>
      <c r="P528" s="59">
        <v>254.12054513463806</v>
      </c>
      <c r="R528" s="59">
        <v>400385.36036085722</v>
      </c>
      <c r="S528" s="59">
        <v>152200834.55996606</v>
      </c>
    </row>
    <row r="529" spans="2:19" x14ac:dyDescent="0.2">
      <c r="B529" s="59">
        <v>526</v>
      </c>
      <c r="C529" s="59">
        <v>68</v>
      </c>
      <c r="D529" s="59">
        <v>6.2318687454652926</v>
      </c>
      <c r="E529" s="59">
        <v>126.02240072122798</v>
      </c>
      <c r="F529" s="59">
        <v>211.62075287573893</v>
      </c>
      <c r="G529" s="59">
        <v>429.21416275490731</v>
      </c>
      <c r="H529" s="59">
        <v>1857.9652251406892</v>
      </c>
      <c r="J529" s="59">
        <v>75.387214972545081</v>
      </c>
      <c r="K529" s="59">
        <v>345.01120228969279</v>
      </c>
      <c r="L529" s="59">
        <v>134.36624521134587</v>
      </c>
      <c r="M529" s="59">
        <v>5407.3740950294869</v>
      </c>
      <c r="N529" s="59">
        <v>1406.8068322589045</v>
      </c>
      <c r="P529" s="59">
        <v>253.00031059961455</v>
      </c>
      <c r="R529" s="59">
        <v>399005.44685721147</v>
      </c>
      <c r="S529" s="59">
        <v>152308133.21163997</v>
      </c>
    </row>
    <row r="530" spans="2:19" x14ac:dyDescent="0.2">
      <c r="B530" s="59">
        <v>527</v>
      </c>
      <c r="C530" s="59">
        <v>68</v>
      </c>
      <c r="D530" s="59">
        <v>6.1618640865578991</v>
      </c>
      <c r="E530" s="59">
        <v>125.00356954198442</v>
      </c>
      <c r="F530" s="59">
        <v>210.08329990199124</v>
      </c>
      <c r="G530" s="59">
        <v>426.54463236894748</v>
      </c>
      <c r="H530" s="59">
        <v>1851.1523005523231</v>
      </c>
      <c r="J530" s="59">
        <v>75.124733836293402</v>
      </c>
      <c r="K530" s="59">
        <v>343.94274440910596</v>
      </c>
      <c r="L530" s="59">
        <v>133.93562018266215</v>
      </c>
      <c r="M530" s="59">
        <v>5416.5187712367115</v>
      </c>
      <c r="N530" s="59">
        <v>1411.5324638834268</v>
      </c>
      <c r="P530" s="59">
        <v>251.88419825395547</v>
      </c>
      <c r="R530" s="59">
        <v>397627.93100098043</v>
      </c>
      <c r="S530" s="59">
        <v>152414794.77437866</v>
      </c>
    </row>
    <row r="531" spans="2:19" x14ac:dyDescent="0.2">
      <c r="B531" s="59">
        <v>528</v>
      </c>
      <c r="C531" s="59">
        <v>69</v>
      </c>
      <c r="D531" s="59">
        <v>6.0926458133188985</v>
      </c>
      <c r="E531" s="59">
        <v>123.99278380441869</v>
      </c>
      <c r="F531" s="59">
        <v>208.55628529237242</v>
      </c>
      <c r="G531" s="59">
        <v>423.8894927170536</v>
      </c>
      <c r="H531" s="59">
        <v>1844.3537667586309</v>
      </c>
      <c r="J531" s="59">
        <v>74.862580891779672</v>
      </c>
      <c r="K531" s="59">
        <v>342.87528578329136</v>
      </c>
      <c r="L531" s="59">
        <v>133.50546658859312</v>
      </c>
      <c r="M531" s="59">
        <v>5425.6341711325467</v>
      </c>
      <c r="N531" s="59">
        <v>1416.2375212179984</v>
      </c>
      <c r="P531" s="59">
        <v>250.77219870729078</v>
      </c>
      <c r="Q531" s="59">
        <v>3009.2663844874896</v>
      </c>
      <c r="R531" s="59">
        <v>396252.82706607587</v>
      </c>
      <c r="S531" s="59">
        <v>152520822.40377855</v>
      </c>
    </row>
    <row r="532" spans="2:19" x14ac:dyDescent="0.2">
      <c r="B532" s="59">
        <v>529</v>
      </c>
      <c r="C532" s="59">
        <v>69</v>
      </c>
      <c r="D532" s="59">
        <v>6.0242050920159498</v>
      </c>
      <c r="E532" s="59">
        <v>122.98998225317403</v>
      </c>
      <c r="F532" s="59">
        <v>207.03964616821298</v>
      </c>
      <c r="G532" s="59">
        <v>421.2486877261822</v>
      </c>
      <c r="H532" s="59">
        <v>1837.5696779643531</v>
      </c>
      <c r="J532" s="59">
        <v>74.600763052092134</v>
      </c>
      <c r="K532" s="59">
        <v>341.80884247404833</v>
      </c>
      <c r="L532" s="59">
        <v>133.07579126608641</v>
      </c>
      <c r="M532" s="59">
        <v>5434.7203257961601</v>
      </c>
      <c r="N532" s="59">
        <v>1420.9220782076786</v>
      </c>
      <c r="P532" s="59">
        <v>249.6643025467435</v>
      </c>
      <c r="R532" s="59">
        <v>394880.14914418809</v>
      </c>
      <c r="S532" s="59">
        <v>152626219.24581125</v>
      </c>
    </row>
    <row r="533" spans="2:19" x14ac:dyDescent="0.2">
      <c r="B533" s="59">
        <v>530</v>
      </c>
      <c r="C533" s="59">
        <v>69</v>
      </c>
      <c r="D533" s="59">
        <v>5.9565331881489705</v>
      </c>
      <c r="E533" s="59">
        <v>121.99510407151899</v>
      </c>
      <c r="F533" s="59">
        <v>205.53331993900798</v>
      </c>
      <c r="G533" s="59">
        <v>418.62216131971741</v>
      </c>
      <c r="H533" s="59">
        <v>1830.8000875123832</v>
      </c>
      <c r="J533" s="59">
        <v>74.339287097670606</v>
      </c>
      <c r="K533" s="59">
        <v>340.74343043296091</v>
      </c>
      <c r="L533" s="59">
        <v>132.64660099209669</v>
      </c>
      <c r="M533" s="59">
        <v>5443.7772668047592</v>
      </c>
      <c r="N533" s="59">
        <v>1425.5862086417396</v>
      </c>
      <c r="P533" s="59">
        <v>248.56050033738143</v>
      </c>
      <c r="R533" s="59">
        <v>393509.91114578274</v>
      </c>
      <c r="S533" s="59">
        <v>152730988.43678883</v>
      </c>
    </row>
    <row r="534" spans="2:19" x14ac:dyDescent="0.2">
      <c r="B534" s="59">
        <v>531</v>
      </c>
      <c r="C534" s="59">
        <v>69</v>
      </c>
      <c r="D534" s="59">
        <v>5.8896214653354306</v>
      </c>
      <c r="E534" s="59">
        <v>121.00808887855743</v>
      </c>
      <c r="F534" s="59">
        <v>204.03724430221496</v>
      </c>
      <c r="G534" s="59">
        <v>416.00985742039262</v>
      </c>
      <c r="H534" s="59">
        <v>1824.0450478888174</v>
      </c>
      <c r="J534" s="59">
        <v>74.07815967866091</v>
      </c>
      <c r="K534" s="59">
        <v>339.67906550101952</v>
      </c>
      <c r="L534" s="59">
        <v>132.21790248342768</v>
      </c>
      <c r="M534" s="59">
        <v>5452.8050262284169</v>
      </c>
      <c r="N534" s="59">
        <v>1430.2299861531606</v>
      </c>
      <c r="P534" s="59">
        <v>247.46078262266553</v>
      </c>
      <c r="R534" s="59">
        <v>392142.12680110295</v>
      </c>
      <c r="S534" s="59">
        <v>152835133.10333014</v>
      </c>
    </row>
    <row r="535" spans="2:19" x14ac:dyDescent="0.2">
      <c r="B535" s="59">
        <v>532</v>
      </c>
      <c r="C535" s="59">
        <v>69</v>
      </c>
      <c r="D535" s="59">
        <v>5.8234613842081631</v>
      </c>
      <c r="E535" s="59">
        <v>120.02887672645147</v>
      </c>
      <c r="F535" s="59">
        <v>202.55135724303432</v>
      </c>
      <c r="G535" s="59">
        <v>413.4117199531774</v>
      </c>
      <c r="H535" s="59">
        <v>1817.3046107280038</v>
      </c>
      <c r="J535" s="59">
        <v>73.81738731722109</v>
      </c>
      <c r="K535" s="59">
        <v>338.61576340826076</v>
      </c>
      <c r="L535" s="59">
        <v>131.78970239659711</v>
      </c>
      <c r="M535" s="59">
        <v>5461.8036366249216</v>
      </c>
      <c r="N535" s="59">
        <v>1434.853484218128</v>
      </c>
      <c r="P535" s="59">
        <v>246.36513992489492</v>
      </c>
      <c r="R535" s="59">
        <v>390776.80966117536</v>
      </c>
      <c r="S535" s="59">
        <v>152938656.36232811</v>
      </c>
    </row>
    <row r="536" spans="2:19" x14ac:dyDescent="0.2">
      <c r="B536" s="59">
        <v>533</v>
      </c>
      <c r="C536" s="59">
        <v>69</v>
      </c>
      <c r="D536" s="59">
        <v>5.7580445013255579</v>
      </c>
      <c r="E536" s="59">
        <v>119.05740809765757</v>
      </c>
      <c r="F536" s="59">
        <v>201.07559703417252</v>
      </c>
      <c r="G536" s="59">
        <v>410.8276928481298</v>
      </c>
      <c r="H536" s="59">
        <v>1810.5788268175893</v>
      </c>
      <c r="J536" s="59">
        <v>73.556976409780589</v>
      </c>
      <c r="K536" s="59">
        <v>337.55353977342514</v>
      </c>
      <c r="L536" s="59">
        <v>131.36200732772363</v>
      </c>
      <c r="M536" s="59">
        <v>5470.7731310346553</v>
      </c>
      <c r="N536" s="59">
        <v>1439.4567761555443</v>
      </c>
      <c r="P536" s="59">
        <v>245.27356274564821</v>
      </c>
      <c r="R536" s="59">
        <v>389413.97309882077</v>
      </c>
      <c r="S536" s="59">
        <v>153041561.32091781</v>
      </c>
    </row>
    <row r="537" spans="2:19" x14ac:dyDescent="0.2">
      <c r="B537" s="59">
        <v>534</v>
      </c>
      <c r="C537" s="59">
        <v>69</v>
      </c>
      <c r="D537" s="59">
        <v>5.6933624680940005</v>
      </c>
      <c r="E537" s="59">
        <v>118.09362390217557</v>
      </c>
      <c r="F537" s="59">
        <v>199.60990223558852</v>
      </c>
      <c r="G537" s="59">
        <v>408.25772004321487</v>
      </c>
      <c r="H537" s="59">
        <v>1803.8677461035641</v>
      </c>
      <c r="J537" s="59">
        <v>73.296933229253426</v>
      </c>
      <c r="K537" s="59">
        <v>336.49241010363255</v>
      </c>
      <c r="L537" s="59">
        <v>130.9348238124347</v>
      </c>
      <c r="M537" s="59">
        <v>5479.7135429755008</v>
      </c>
      <c r="N537" s="59">
        <v>1444.0399351265455</v>
      </c>
      <c r="P537" s="59">
        <v>244.18604156622175</v>
      </c>
      <c r="R537" s="59">
        <v>388053.63030966761</v>
      </c>
      <c r="S537" s="59">
        <v>153143851.07644546</v>
      </c>
    </row>
    <row r="538" spans="2:19" x14ac:dyDescent="0.2">
      <c r="B538" s="59">
        <v>535</v>
      </c>
      <c r="C538" s="59">
        <v>69</v>
      </c>
      <c r="D538" s="59">
        <v>5.6294070297024108</v>
      </c>
      <c r="E538" s="59">
        <v>117.13746547481084</v>
      </c>
      <c r="F538" s="59">
        <v>198.15421169422359</v>
      </c>
      <c r="G538" s="59">
        <v>405.70174548708889</v>
      </c>
      <c r="H538" s="59">
        <v>1797.1714176953042</v>
      </c>
      <c r="J538" s="59">
        <v>73.037263927206311</v>
      </c>
      <c r="K538" s="59">
        <v>335.43238979407522</v>
      </c>
      <c r="L538" s="59">
        <v>130.50815832579431</v>
      </c>
      <c r="M538" s="59">
        <v>5488.6249064377707</v>
      </c>
      <c r="N538" s="59">
        <v>1448.6030341340277</v>
      </c>
      <c r="P538" s="59">
        <v>243.10256684806447</v>
      </c>
      <c r="R538" s="59">
        <v>386695.79431316856</v>
      </c>
      <c r="S538" s="59">
        <v>153245528.71643835</v>
      </c>
    </row>
    <row r="539" spans="2:19" x14ac:dyDescent="0.2">
      <c r="B539" s="59">
        <v>536</v>
      </c>
      <c r="C539" s="59">
        <v>69</v>
      </c>
      <c r="D539" s="59">
        <v>5.5661700240687537</v>
      </c>
      <c r="E539" s="59">
        <v>116.18887457244956</v>
      </c>
      <c r="F539" s="59">
        <v>196.70846454371483</v>
      </c>
      <c r="G539" s="59">
        <v>403.15971314185009</v>
      </c>
      <c r="H539" s="59">
        <v>1790.4898898706103</v>
      </c>
      <c r="J539" s="59">
        <v>72.777974535982793</v>
      </c>
      <c r="K539" s="59">
        <v>334.37349412772733</v>
      </c>
      <c r="L539" s="59">
        <v>130.08201728224998</v>
      </c>
      <c r="M539" s="59">
        <v>5497.5072558791708</v>
      </c>
      <c r="N539" s="59">
        <v>1453.1461460221797</v>
      </c>
      <c r="P539" s="59">
        <v>242.02312903320924</v>
      </c>
      <c r="R539" s="59">
        <v>385340.47795362002</v>
      </c>
      <c r="S539" s="59">
        <v>153346597.31857565</v>
      </c>
    </row>
    <row r="540" spans="2:19" x14ac:dyDescent="0.2">
      <c r="B540" s="59">
        <v>537</v>
      </c>
      <c r="C540" s="59">
        <v>69</v>
      </c>
      <c r="D540" s="59">
        <v>5.5036433807983816</v>
      </c>
      <c r="E540" s="59">
        <v>115.24779337134692</v>
      </c>
      <c r="F540" s="59">
        <v>195.2726002040927</v>
      </c>
      <c r="G540" s="59">
        <v>400.63156698575563</v>
      </c>
      <c r="H540" s="59">
        <v>1783.823210080745</v>
      </c>
      <c r="J540" s="59">
        <v>72.519070970784355</v>
      </c>
      <c r="K540" s="59">
        <v>333.31573827507185</v>
      </c>
      <c r="L540" s="59">
        <v>129.65640703559799</v>
      </c>
      <c r="M540" s="59">
        <v>5506.3606262197854</v>
      </c>
      <c r="N540" s="59">
        <v>1457.6693434760259</v>
      </c>
      <c r="P540" s="59">
        <v>240.94771854470108</v>
      </c>
      <c r="R540" s="59">
        <v>383987.69390118361</v>
      </c>
      <c r="S540" s="59">
        <v>153447059.95065999</v>
      </c>
    </row>
    <row r="541" spans="2:19" x14ac:dyDescent="0.2">
      <c r="B541" s="59">
        <v>538</v>
      </c>
      <c r="C541" s="59">
        <v>69</v>
      </c>
      <c r="D541" s="59">
        <v>5.4418191201540793</v>
      </c>
      <c r="E541" s="59">
        <v>114.3141644644285</v>
      </c>
      <c r="F541" s="59">
        <v>193.84655838146273</v>
      </c>
      <c r="G541" s="59">
        <v>398.11725101590537</v>
      </c>
      <c r="H541" s="59">
        <v>1777.1714249554641</v>
      </c>
      <c r="J541" s="59">
        <v>72.260559031709377</v>
      </c>
      <c r="K541" s="59">
        <v>332.25913729384382</v>
      </c>
      <c r="L541" s="59">
        <v>129.23133387896587</v>
      </c>
      <c r="M541" s="59">
        <v>5515.1850528370933</v>
      </c>
      <c r="N541" s="59">
        <v>1462.1726990209772</v>
      </c>
      <c r="P541" s="59">
        <v>239.87632578702181</v>
      </c>
      <c r="R541" s="59">
        <v>382637.45465290907</v>
      </c>
      <c r="S541" s="59">
        <v>153546919.67059004</v>
      </c>
    </row>
    <row r="542" spans="2:19" x14ac:dyDescent="0.2">
      <c r="B542" s="59">
        <v>539</v>
      </c>
      <c r="C542" s="59">
        <v>69</v>
      </c>
      <c r="D542" s="59">
        <v>5.3806893520376819</v>
      </c>
      <c r="E542" s="59">
        <v>113.38793085860473</v>
      </c>
      <c r="F542" s="59">
        <v>192.43027906767196</v>
      </c>
      <c r="G542" s="59">
        <v>395.61670925089265</v>
      </c>
      <c r="H542" s="59">
        <v>1770.5345803080472</v>
      </c>
      <c r="J542" s="59">
        <v>72.002444405750936</v>
      </c>
      <c r="K542" s="59">
        <v>331.20370612878969</v>
      </c>
      <c r="L542" s="59">
        <v>128.80680404481171</v>
      </c>
      <c r="M542" s="59">
        <v>5523.98057156101</v>
      </c>
      <c r="N542" s="59">
        <v>1466.6562850223877</v>
      </c>
      <c r="P542" s="59">
        <v>238.80894114651176</v>
      </c>
      <c r="R542" s="59">
        <v>381289.77253375924</v>
      </c>
      <c r="S542" s="59">
        <v>153646179.52633387</v>
      </c>
    </row>
    <row r="543" spans="2:19" x14ac:dyDescent="0.2">
      <c r="B543" s="59">
        <v>540</v>
      </c>
      <c r="C543" s="59">
        <v>70</v>
      </c>
      <c r="D543" s="59">
        <v>5.3202462749831252</v>
      </c>
      <c r="E543" s="59">
        <v>112.46903597209838</v>
      </c>
      <c r="F543" s="59">
        <v>191.02370253995997</v>
      </c>
      <c r="G543" s="59">
        <v>393.12988573342193</v>
      </c>
      <c r="H543" s="59">
        <v>1763.9127211403218</v>
      </c>
      <c r="J543" s="59">
        <v>71.744732668754409</v>
      </c>
      <c r="K543" s="59">
        <v>330.14945961144281</v>
      </c>
      <c r="L543" s="59">
        <v>128.38282370493914</v>
      </c>
      <c r="M543" s="59">
        <v>5532.7472186689602</v>
      </c>
      <c r="N543" s="59">
        <v>1471.1201736851224</v>
      </c>
      <c r="P543" s="59">
        <v>237.74555499178783</v>
      </c>
      <c r="Q543" s="59">
        <v>2852.946659901454</v>
      </c>
      <c r="R543" s="59">
        <v>379944.65969763539</v>
      </c>
      <c r="S543" s="59">
        <v>153744842.55590317</v>
      </c>
    </row>
    <row r="544" spans="2:19" x14ac:dyDescent="0.2">
      <c r="B544" s="59">
        <v>541</v>
      </c>
      <c r="C544" s="59">
        <v>70</v>
      </c>
      <c r="D544" s="59">
        <v>5.2568466735395765</v>
      </c>
      <c r="E544" s="59">
        <v>111.48056979053756</v>
      </c>
      <c r="F544" s="59">
        <v>189.49623649719283</v>
      </c>
      <c r="G544" s="59">
        <v>390.38808577764269</v>
      </c>
      <c r="H544" s="59">
        <v>1756.1005512882377</v>
      </c>
      <c r="J544" s="59">
        <v>71.43840372001192</v>
      </c>
      <c r="K544" s="59">
        <v>328.87081032918019</v>
      </c>
      <c r="L544" s="59">
        <v>127.87167070766252</v>
      </c>
      <c r="M544" s="59">
        <v>5541.4850308809773</v>
      </c>
      <c r="N544" s="59">
        <v>1477.6117943350218</v>
      </c>
      <c r="P544" s="59">
        <v>236.52369821158075</v>
      </c>
      <c r="R544" s="59">
        <v>378342.49927761039</v>
      </c>
      <c r="S544" s="59">
        <v>153842844.53572047</v>
      </c>
    </row>
    <row r="545" spans="2:19" x14ac:dyDescent="0.2">
      <c r="B545" s="59">
        <v>542</v>
      </c>
      <c r="C545" s="59">
        <v>70</v>
      </c>
      <c r="D545" s="59">
        <v>5.1942025840132295</v>
      </c>
      <c r="E545" s="59">
        <v>110.5006287750421</v>
      </c>
      <c r="F545" s="59">
        <v>187.98035298915994</v>
      </c>
      <c r="G545" s="59">
        <v>387.66345579424586</v>
      </c>
      <c r="H545" s="59">
        <v>1748.3133074881073</v>
      </c>
      <c r="J545" s="59">
        <v>71.129874541970551</v>
      </c>
      <c r="K545" s="59">
        <v>327.59796743603044</v>
      </c>
      <c r="L545" s="59">
        <v>127.36171799456329</v>
      </c>
      <c r="M545" s="59">
        <v>5550.1880745164844</v>
      </c>
      <c r="N545" s="59">
        <v>1484.0704178803874</v>
      </c>
      <c r="P545" s="59">
        <v>235.30737945984686</v>
      </c>
      <c r="R545" s="59">
        <v>376744.94414552825</v>
      </c>
      <c r="S545" s="59">
        <v>153940189.33915171</v>
      </c>
    </row>
    <row r="546" spans="2:19" x14ac:dyDescent="0.2">
      <c r="B546" s="59">
        <v>543</v>
      </c>
      <c r="C546" s="59">
        <v>70</v>
      </c>
      <c r="D546" s="59">
        <v>5.1323050032204049</v>
      </c>
      <c r="E546" s="59">
        <v>109.52914143406709</v>
      </c>
      <c r="F546" s="59">
        <v>186.47597148161503</v>
      </c>
      <c r="G546" s="59">
        <v>384.95590843057221</v>
      </c>
      <c r="H546" s="59">
        <v>1740.5509916198216</v>
      </c>
      <c r="J546" s="59">
        <v>70.819242248592744</v>
      </c>
      <c r="K546" s="59">
        <v>326.33086575662742</v>
      </c>
      <c r="L546" s="59">
        <v>126.85296977021332</v>
      </c>
      <c r="M546" s="59">
        <v>5558.856413108414</v>
      </c>
      <c r="N546" s="59">
        <v>1490.4961911468608</v>
      </c>
      <c r="P546" s="59">
        <v>234.09658051237071</v>
      </c>
      <c r="R546" s="59">
        <v>375152.00655711367</v>
      </c>
      <c r="S546" s="59">
        <v>154036880.82454666</v>
      </c>
    </row>
    <row r="547" spans="2:19" x14ac:dyDescent="0.2">
      <c r="B547" s="59">
        <v>544</v>
      </c>
      <c r="C547" s="59">
        <v>70</v>
      </c>
      <c r="D547" s="59">
        <v>5.0711450352653618</v>
      </c>
      <c r="E547" s="59">
        <v>108.56603684958337</v>
      </c>
      <c r="F547" s="59">
        <v>184.98301191374668</v>
      </c>
      <c r="G547" s="59">
        <v>382.26535656229328</v>
      </c>
      <c r="H547" s="59">
        <v>1732.8136047064866</v>
      </c>
      <c r="J547" s="59">
        <v>70.506601601430901</v>
      </c>
      <c r="K547" s="59">
        <v>325.06944135934725</v>
      </c>
      <c r="L547" s="59">
        <v>126.34543026364048</v>
      </c>
      <c r="M547" s="59">
        <v>5567.4901112039033</v>
      </c>
      <c r="N547" s="59">
        <v>1496.8892605043077</v>
      </c>
      <c r="P547" s="59">
        <v>232.89128311528944</v>
      </c>
      <c r="R547" s="59">
        <v>373563.69827884802</v>
      </c>
      <c r="S547" s="59">
        <v>154132922.83515564</v>
      </c>
    </row>
    <row r="548" spans="2:19" x14ac:dyDescent="0.2">
      <c r="B548" s="59">
        <v>545</v>
      </c>
      <c r="C548" s="59">
        <v>70</v>
      </c>
      <c r="D548" s="59">
        <v>5.0107138902617825</v>
      </c>
      <c r="E548" s="59">
        <v>107.61124467281856</v>
      </c>
      <c r="F548" s="59">
        <v>183.50139469648065</v>
      </c>
      <c r="G548" s="59">
        <v>379.59171329544358</v>
      </c>
      <c r="H548" s="59">
        <v>1725.101146922271</v>
      </c>
      <c r="J548" s="59">
        <v>70.192045062975168</v>
      </c>
      <c r="K548" s="59">
        <v>323.81363153293069</v>
      </c>
      <c r="L548" s="59">
        <v>125.83910372012336</v>
      </c>
      <c r="M548" s="59">
        <v>5576.0892343410933</v>
      </c>
      <c r="N548" s="59">
        <v>1503.2497718656066</v>
      </c>
      <c r="P548" s="59">
        <v>231.69146898698969</v>
      </c>
      <c r="R548" s="59">
        <v>371980.03059498005</v>
      </c>
      <c r="S548" s="59">
        <v>154228319.19904932</v>
      </c>
    </row>
    <row r="549" spans="2:19" x14ac:dyDescent="0.2">
      <c r="B549" s="59">
        <v>546</v>
      </c>
      <c r="C549" s="59">
        <v>70</v>
      </c>
      <c r="D549" s="59">
        <v>4.9510028830694965</v>
      </c>
      <c r="E549" s="59">
        <v>106.66469512002504</v>
      </c>
      <c r="F549" s="59">
        <v>182.0310407107726</v>
      </c>
      <c r="G549" s="59">
        <v>376.93489196841233</v>
      </c>
      <c r="H549" s="59">
        <v>1717.4136176002221</v>
      </c>
      <c r="J549" s="59">
        <v>69.875662848787641</v>
      </c>
      <c r="K549" s="59">
        <v>322.56337476351854</v>
      </c>
      <c r="L549" s="59">
        <v>125.33399439347482</v>
      </c>
      <c r="M549" s="59">
        <v>5584.6538490262301</v>
      </c>
      <c r="N549" s="59">
        <v>1509.5778706854921</v>
      </c>
      <c r="P549" s="59">
        <v>230.49711981996748</v>
      </c>
      <c r="R549" s="59">
        <v>370401.01431457838</v>
      </c>
      <c r="S549" s="59">
        <v>154323073.72904211</v>
      </c>
    </row>
    <row r="550" spans="2:19" x14ac:dyDescent="0.2">
      <c r="B550" s="59">
        <v>547</v>
      </c>
      <c r="C550" s="59">
        <v>70</v>
      </c>
      <c r="D550" s="59">
        <v>4.892003432046252</v>
      </c>
      <c r="E550" s="59">
        <v>105.72631896827474</v>
      </c>
      <c r="F550" s="59">
        <v>180.5718713058917</v>
      </c>
      <c r="G550" s="59">
        <v>374.29480615389383</v>
      </c>
      <c r="H550" s="59">
        <v>1709.7510152400487</v>
      </c>
      <c r="J550" s="59">
        <v>69.557542978450897</v>
      </c>
      <c r="K550" s="59">
        <v>321.31861071209346</v>
      </c>
      <c r="L550" s="59">
        <v>124.83010653879114</v>
      </c>
      <c r="M550" s="59">
        <v>5593.1840227110642</v>
      </c>
      <c r="N550" s="59">
        <v>1515.87370195945</v>
      </c>
      <c r="P550" s="59">
        <v>229.30821728265158</v>
      </c>
      <c r="R550" s="59">
        <v>368826.6597786175</v>
      </c>
      <c r="S550" s="59">
        <v>154417190.22261849</v>
      </c>
    </row>
    <row r="551" spans="2:19" x14ac:dyDescent="0.2">
      <c r="B551" s="59">
        <v>548</v>
      </c>
      <c r="C551" s="59">
        <v>70</v>
      </c>
      <c r="D551" s="59">
        <v>4.833707057814367</v>
      </c>
      <c r="E551" s="59">
        <v>104.79604755128065</v>
      </c>
      <c r="F551" s="59">
        <v>179.12380829769529</v>
      </c>
      <c r="G551" s="59">
        <v>371.67136966079835</v>
      </c>
      <c r="H551" s="59">
        <v>1702.1133375158727</v>
      </c>
      <c r="J551" s="59">
        <v>69.237771325358054</v>
      </c>
      <c r="K551" s="59">
        <v>320.07928019232116</v>
      </c>
      <c r="L551" s="59">
        <v>124.32744440564491</v>
      </c>
      <c r="M551" s="59">
        <v>5601.6798237705552</v>
      </c>
      <c r="N551" s="59">
        <v>1522.1374102226639</v>
      </c>
      <c r="P551" s="59">
        <v>228.12474302119065</v>
      </c>
      <c r="R551" s="59">
        <v>367256.97686708684</v>
      </c>
      <c r="S551" s="59">
        <v>154510672.46186271</v>
      </c>
    </row>
    <row r="552" spans="2:19" x14ac:dyDescent="0.2">
      <c r="B552" s="59">
        <v>549</v>
      </c>
      <c r="C552" s="59">
        <v>70</v>
      </c>
      <c r="D552" s="59">
        <v>4.7761053820420791</v>
      </c>
      <c r="E552" s="59">
        <v>103.873812755245</v>
      </c>
      <c r="F552" s="59">
        <v>177.68677396689489</v>
      </c>
      <c r="G552" s="59">
        <v>369.06449653612253</v>
      </c>
      <c r="H552" s="59">
        <v>1694.5005812839477</v>
      </c>
      <c r="J552" s="59">
        <v>68.916431665370794</v>
      </c>
      <c r="K552" s="59">
        <v>318.84532514878356</v>
      </c>
      <c r="L552" s="59">
        <v>123.82601223170052</v>
      </c>
      <c r="M552" s="59">
        <v>5610.1413214808854</v>
      </c>
      <c r="N552" s="59">
        <v>1528.3691395490121</v>
      </c>
      <c r="P552" s="59">
        <v>226.94667866120477</v>
      </c>
      <c r="R552" s="59">
        <v>365691.97500611452</v>
      </c>
      <c r="S552" s="59">
        <v>154603524.21339157</v>
      </c>
    </row>
    <row r="553" spans="2:19" x14ac:dyDescent="0.2">
      <c r="B553" s="59">
        <v>550</v>
      </c>
      <c r="C553" s="59">
        <v>70</v>
      </c>
      <c r="D553" s="59">
        <v>4.7191901262394111</v>
      </c>
      <c r="E553" s="59">
        <v>102.95954701473389</v>
      </c>
      <c r="F553" s="59">
        <v>176.26069105731398</v>
      </c>
      <c r="G553" s="59">
        <v>366.47410106678069</v>
      </c>
      <c r="H553" s="59">
        <v>1686.9127425903441</v>
      </c>
      <c r="J553" s="59">
        <v>68.593605724371457</v>
      </c>
      <c r="K553" s="59">
        <v>317.61668863559811</v>
      </c>
      <c r="L553" s="59">
        <v>123.32581423673197</v>
      </c>
      <c r="M553" s="59">
        <v>5618.5685859977766</v>
      </c>
      <c r="N553" s="59">
        <v>1534.569033550114</v>
      </c>
      <c r="P553" s="59">
        <v>225.77400580950163</v>
      </c>
      <c r="R553" s="59">
        <v>364131.66317509813</v>
      </c>
      <c r="S553" s="59">
        <v>154695749.22829038</v>
      </c>
    </row>
    <row r="554" spans="2:19" x14ac:dyDescent="0.2">
      <c r="B554" s="59">
        <v>551</v>
      </c>
      <c r="C554" s="59">
        <v>70</v>
      </c>
      <c r="D554" s="59">
        <v>4.6629531105683917</v>
      </c>
      <c r="E554" s="59">
        <v>102.05318330857843</v>
      </c>
      <c r="F554" s="59">
        <v>174.84548277413768</v>
      </c>
      <c r="G554" s="59">
        <v>363.90009778139694</v>
      </c>
      <c r="H554" s="59">
        <v>1679.3498166786032</v>
      </c>
      <c r="J554" s="59">
        <v>68.269373224734252</v>
      </c>
      <c r="K554" s="59">
        <v>316.39331479541562</v>
      </c>
      <c r="L554" s="59">
        <v>122.8268546170239</v>
      </c>
      <c r="M554" s="59">
        <v>5626.9616883351191</v>
      </c>
      <c r="N554" s="59">
        <v>1540.737235374427</v>
      </c>
      <c r="P554" s="59">
        <v>224.60670605575842</v>
      </c>
      <c r="R554" s="59">
        <v>362576.04991383443</v>
      </c>
      <c r="S554" s="59">
        <v>154787351.24205199</v>
      </c>
    </row>
    <row r="555" spans="2:19" x14ac:dyDescent="0.2">
      <c r="B555" s="59">
        <v>552</v>
      </c>
      <c r="C555" s="59">
        <v>71</v>
      </c>
      <c r="D555" s="59">
        <v>4.6073862526674514</v>
      </c>
      <c r="E555" s="59">
        <v>101.15465515580212</v>
      </c>
      <c r="F555" s="59">
        <v>173.44107278215478</v>
      </c>
      <c r="G555" s="59">
        <v>361.34240145205843</v>
      </c>
      <c r="H555" s="59">
        <v>1671.8117979973561</v>
      </c>
      <c r="J555" s="59">
        <v>67.990996677305986</v>
      </c>
      <c r="K555" s="59">
        <v>315.1279640922258</v>
      </c>
      <c r="L555" s="59">
        <v>122.32913754013713</v>
      </c>
      <c r="M555" s="59">
        <v>5635.3207003439074</v>
      </c>
      <c r="N555" s="59">
        <v>1546.8738877063897</v>
      </c>
      <c r="P555" s="59">
        <v>223.44476097416907</v>
      </c>
      <c r="Q555" s="59">
        <v>2681.3371316900289</v>
      </c>
      <c r="R555" s="59">
        <v>361025.14332964114</v>
      </c>
      <c r="S555" s="59">
        <v>154878333.97451884</v>
      </c>
    </row>
    <row r="556" spans="2:19" x14ac:dyDescent="0.2">
      <c r="B556" s="59">
        <v>553</v>
      </c>
      <c r="C556" s="59">
        <v>71</v>
      </c>
      <c r="D556" s="59">
        <v>4.5524815664898313</v>
      </c>
      <c r="E556" s="59">
        <v>100.26389661157445</v>
      </c>
      <c r="F556" s="59">
        <v>172.04738520399215</v>
      </c>
      <c r="G556" s="59">
        <v>358.80092709603059</v>
      </c>
      <c r="H556" s="59">
        <v>1664.2986802079099</v>
      </c>
      <c r="J556" s="59">
        <v>67.71010546437617</v>
      </c>
      <c r="K556" s="59">
        <v>313.86875400815245</v>
      </c>
      <c r="L556" s="59">
        <v>121.83266714002121</v>
      </c>
      <c r="M556" s="59">
        <v>5643.6459699358438</v>
      </c>
      <c r="N556" s="59">
        <v>1552.9791327656142</v>
      </c>
      <c r="P556" s="59">
        <v>222.28813363781211</v>
      </c>
      <c r="R556" s="59">
        <v>359478.82639583421</v>
      </c>
      <c r="S556" s="59">
        <v>154968701.09847835</v>
      </c>
    </row>
    <row r="557" spans="2:19" x14ac:dyDescent="0.2">
      <c r="B557" s="59">
        <v>554</v>
      </c>
      <c r="C557" s="59">
        <v>71</v>
      </c>
      <c r="D557" s="59">
        <v>4.4982311611558279</v>
      </c>
      <c r="E557" s="59">
        <v>99.380842263190658</v>
      </c>
      <c r="F557" s="59">
        <v>170.66434461834223</v>
      </c>
      <c r="G557" s="59">
        <v>356.27558997743415</v>
      </c>
      <c r="H557" s="59">
        <v>1656.8104561918028</v>
      </c>
      <c r="J557" s="59">
        <v>67.429639152190006</v>
      </c>
      <c r="K557" s="59">
        <v>312.61277832819371</v>
      </c>
      <c r="L557" s="59">
        <v>121.33744595273897</v>
      </c>
      <c r="M557" s="59">
        <v>5651.9375606451949</v>
      </c>
      <c r="N557" s="59">
        <v>1559.0531117097612</v>
      </c>
      <c r="P557" s="59">
        <v>221.13680634248854</v>
      </c>
      <c r="R557" s="59">
        <v>357937.11055211275</v>
      </c>
      <c r="S557" s="59">
        <v>155058456.2722424</v>
      </c>
    </row>
    <row r="558" spans="2:19" x14ac:dyDescent="0.2">
      <c r="B558" s="59">
        <v>555</v>
      </c>
      <c r="C558" s="59">
        <v>71</v>
      </c>
      <c r="D558" s="59">
        <v>4.444627239818721</v>
      </c>
      <c r="E558" s="59">
        <v>98.505427226077416</v>
      </c>
      <c r="F558" s="59">
        <v>169.29187605818333</v>
      </c>
      <c r="G558" s="59">
        <v>353.76630560888458</v>
      </c>
      <c r="H558" s="59">
        <v>1649.3471180583219</v>
      </c>
      <c r="J558" s="59">
        <v>67.14961022179348</v>
      </c>
      <c r="K558" s="59">
        <v>311.36004017941258</v>
      </c>
      <c r="L558" s="59">
        <v>120.84347659930236</v>
      </c>
      <c r="M558" s="59">
        <v>5660.1955535552179</v>
      </c>
      <c r="N558" s="59">
        <v>1565.0959652529921</v>
      </c>
      <c r="P558" s="59">
        <v>219.99076024179288</v>
      </c>
      <c r="R558" s="59">
        <v>356399.9992653621</v>
      </c>
      <c r="S558" s="59">
        <v>155147603.13769528</v>
      </c>
    </row>
    <row r="559" spans="2:19" x14ac:dyDescent="0.2">
      <c r="B559" s="59">
        <v>556</v>
      </c>
      <c r="C559" s="59">
        <v>71</v>
      </c>
      <c r="D559" s="59">
        <v>4.3916620985442147</v>
      </c>
      <c r="E559" s="59">
        <v>97.637587139824433</v>
      </c>
      <c r="F559" s="59">
        <v>167.92990500899347</v>
      </c>
      <c r="G559" s="59">
        <v>351.27298975309463</v>
      </c>
      <c r="H559" s="59">
        <v>1641.9086571519906</v>
      </c>
      <c r="J559" s="59">
        <v>66.87003083710033</v>
      </c>
      <c r="K559" s="59">
        <v>310.1105426396141</v>
      </c>
      <c r="L559" s="59">
        <v>120.35076168102024</v>
      </c>
      <c r="M559" s="59">
        <v>5668.4200300609145</v>
      </c>
      <c r="N559" s="59">
        <v>1571.1078336289077</v>
      </c>
      <c r="P559" s="59">
        <v>218.8499765101451</v>
      </c>
      <c r="R559" s="59">
        <v>354867.49581581849</v>
      </c>
      <c r="S559" s="59">
        <v>155236145.32030919</v>
      </c>
    </row>
    <row r="560" spans="2:19" x14ac:dyDescent="0.2">
      <c r="B560" s="59">
        <v>557</v>
      </c>
      <c r="C560" s="59">
        <v>71</v>
      </c>
      <c r="D560" s="59">
        <v>4.3393281252032292</v>
      </c>
      <c r="E560" s="59">
        <v>96.777258164241857</v>
      </c>
      <c r="F560" s="59">
        <v>166.57835740695782</v>
      </c>
      <c r="G560" s="59">
        <v>348.79555842443961</v>
      </c>
      <c r="H560" s="59">
        <v>1634.49506406002</v>
      </c>
      <c r="J560" s="59">
        <v>66.590912851716624</v>
      </c>
      <c r="K560" s="59">
        <v>308.86428873617507</v>
      </c>
      <c r="L560" s="59">
        <v>119.85930377727377</v>
      </c>
      <c r="M560" s="59">
        <v>5676.6110718630634</v>
      </c>
      <c r="N560" s="59">
        <v>1577.0888565909131</v>
      </c>
      <c r="P560" s="59">
        <v>217.71443634326016</v>
      </c>
      <c r="R560" s="59">
        <v>353339.60329801927</v>
      </c>
      <c r="S560" s="59">
        <v>155324086.42916027</v>
      </c>
    </row>
    <row r="561" spans="2:19" x14ac:dyDescent="0.2">
      <c r="B561" s="59">
        <v>558</v>
      </c>
      <c r="C561" s="59">
        <v>71</v>
      </c>
      <c r="D561" s="59">
        <v>4.2876177983778909</v>
      </c>
      <c r="E561" s="59">
        <v>95.924376975443352</v>
      </c>
      <c r="F561" s="59">
        <v>165.23715963716987</v>
      </c>
      <c r="G561" s="59">
        <v>346.33392789048662</v>
      </c>
      <c r="H561" s="59">
        <v>1627.1063286197277</v>
      </c>
      <c r="J561" s="59">
        <v>66.312267815614106</v>
      </c>
      <c r="K561" s="59">
        <v>307.62128144491214</v>
      </c>
      <c r="L561" s="59">
        <v>119.36910544341643</v>
      </c>
      <c r="M561" s="59">
        <v>5684.7687609622599</v>
      </c>
      <c r="N561" s="59">
        <v>1583.0391734125963</v>
      </c>
      <c r="P561" s="59">
        <v>216.58412095861254</v>
      </c>
      <c r="R561" s="59">
        <v>351816.32462180429</v>
      </c>
      <c r="S561" s="59">
        <v>155411430.05694529</v>
      </c>
    </row>
    <row r="562" spans="2:19" x14ac:dyDescent="0.2">
      <c r="B562" s="59">
        <v>559</v>
      </c>
      <c r="C562" s="59">
        <v>71</v>
      </c>
      <c r="D562" s="59">
        <v>4.2365236862805542</v>
      </c>
      <c r="E562" s="59">
        <v>95.078880761954679</v>
      </c>
      <c r="F562" s="59">
        <v>163.90623853182703</v>
      </c>
      <c r="G562" s="59">
        <v>343.88801467348753</v>
      </c>
      <c r="H562" s="59">
        <v>1619.7424399259226</v>
      </c>
      <c r="J562" s="59">
        <v>66.034106981655768</v>
      </c>
      <c r="K562" s="59">
        <v>306.38152368898778</v>
      </c>
      <c r="L562" s="59">
        <v>118.88016920879346</v>
      </c>
      <c r="M562" s="59">
        <v>5692.8931796529778</v>
      </c>
      <c r="N562" s="59">
        <v>1588.9589228881175</v>
      </c>
      <c r="P562" s="59">
        <v>215.45901159589476</v>
      </c>
      <c r="R562" s="59">
        <v>350297.66251336498</v>
      </c>
      <c r="S562" s="59">
        <v>155498179.77999899</v>
      </c>
    </row>
    <row r="563" spans="2:19" x14ac:dyDescent="0.2">
      <c r="B563" s="59">
        <v>560</v>
      </c>
      <c r="C563" s="59">
        <v>71</v>
      </c>
      <c r="D563" s="59">
        <v>4.1860384456857114</v>
      </c>
      <c r="E563" s="59">
        <v>94.240707220847838</v>
      </c>
      <c r="F563" s="59">
        <v>162.5855213684203</v>
      </c>
      <c r="G563" s="59">
        <v>341.45773555183621</v>
      </c>
      <c r="H563" s="59">
        <v>1612.403386338254</v>
      </c>
      <c r="J563" s="59">
        <v>65.756441311977099</v>
      </c>
      <c r="K563" s="59">
        <v>305.14501833785334</v>
      </c>
      <c r="L563" s="59">
        <v>118.39249757487539</v>
      </c>
      <c r="M563" s="59">
        <v>5700.9844105176426</v>
      </c>
      <c r="N563" s="59">
        <v>1594.8482433326119</v>
      </c>
      <c r="P563" s="59">
        <v>214.33908951747048</v>
      </c>
      <c r="R563" s="59">
        <v>348783.61951633665</v>
      </c>
      <c r="S563" s="59">
        <v>155584339.15831196</v>
      </c>
    </row>
    <row r="564" spans="2:19" x14ac:dyDescent="0.2">
      <c r="B564" s="59">
        <v>561</v>
      </c>
      <c r="C564" s="59">
        <v>71</v>
      </c>
      <c r="D564" s="59">
        <v>4.1361548208746237</v>
      </c>
      <c r="E564" s="59">
        <v>93.409794553900426</v>
      </c>
      <c r="F564" s="59">
        <v>161.27493586791886</v>
      </c>
      <c r="G564" s="59">
        <v>339.04300756149036</v>
      </c>
      <c r="H564" s="59">
        <v>1605.0891554885281</v>
      </c>
      <c r="J564" s="59">
        <v>65.479281484226107</v>
      </c>
      <c r="K564" s="59">
        <v>303.91176820622837</v>
      </c>
      <c r="L564" s="59">
        <v>117.90609301350085</v>
      </c>
      <c r="M564" s="59">
        <v>5709.0425364207331</v>
      </c>
      <c r="N564" s="59">
        <v>1600.7072725826031</v>
      </c>
      <c r="P564" s="59">
        <v>213.22433600882175</v>
      </c>
      <c r="R564" s="59">
        <v>347274.19799293403</v>
      </c>
      <c r="S564" s="59">
        <v>155669911.73554924</v>
      </c>
    </row>
    <row r="565" spans="2:19" x14ac:dyDescent="0.2">
      <c r="B565" s="59">
        <v>562</v>
      </c>
      <c r="C565" s="59">
        <v>71</v>
      </c>
      <c r="D565" s="59">
        <v>4.0868656425925343</v>
      </c>
      <c r="E565" s="59">
        <v>92.586081463780374</v>
      </c>
      <c r="F565" s="59">
        <v>159.97441019294931</v>
      </c>
      <c r="G565" s="59">
        <v>336.64374799735856</v>
      </c>
      <c r="H565" s="59">
        <v>1597.7997342879898</v>
      </c>
      <c r="J565" s="59">
        <v>65.202637897665483</v>
      </c>
      <c r="K565" s="59">
        <v>302.68177605311593</v>
      </c>
      <c r="L565" s="59">
        <v>117.42095796522372</v>
      </c>
      <c r="M565" s="59">
        <v>5717.0676405028989</v>
      </c>
      <c r="N565" s="59">
        <v>1606.5361479964292</v>
      </c>
      <c r="P565" s="59">
        <v>212.11473237899088</v>
      </c>
      <c r="R565" s="59">
        <v>345769.40012512368</v>
      </c>
      <c r="S565" s="59">
        <v>155754901.03906941</v>
      </c>
    </row>
    <row r="566" spans="2:19" x14ac:dyDescent="0.2">
      <c r="B566" s="59">
        <v>563</v>
      </c>
      <c r="C566" s="59">
        <v>71</v>
      </c>
      <c r="D566" s="59">
        <v>4.0381638270183062</v>
      </c>
      <c r="E566" s="59">
        <v>91.769507150255677</v>
      </c>
      <c r="F566" s="59">
        <v>158.68387294597019</v>
      </c>
      <c r="G566" s="59">
        <v>334.25987441465264</v>
      </c>
      <c r="H566" s="59">
        <v>1590.5351089345684</v>
      </c>
      <c r="J566" s="59">
        <v>64.926520679140054</v>
      </c>
      <c r="K566" s="59">
        <v>301.45504458085253</v>
      </c>
      <c r="L566" s="59">
        <v>116.93709483776027</v>
      </c>
      <c r="M566" s="59">
        <v>5725.0598061751052</v>
      </c>
      <c r="N566" s="59">
        <v>1612.3350064546808</v>
      </c>
      <c r="P566" s="59">
        <v>211.01025996101643</v>
      </c>
      <c r="R566" s="59">
        <v>344269.22791583388</v>
      </c>
      <c r="S566" s="59">
        <v>155839310.57994449</v>
      </c>
    </row>
    <row r="567" spans="2:19" x14ac:dyDescent="0.2">
      <c r="B567" s="59">
        <v>564</v>
      </c>
      <c r="C567" s="59">
        <v>72</v>
      </c>
      <c r="D567" s="59">
        <v>3.9900423747463383</v>
      </c>
      <c r="E567" s="59">
        <v>90.960011306429237</v>
      </c>
      <c r="F567" s="59">
        <v>157.40325316744187</v>
      </c>
      <c r="G567" s="59">
        <v>331.89130463020564</v>
      </c>
      <c r="H567" s="59">
        <v>1583.2952649200909</v>
      </c>
      <c r="J567" s="59">
        <v>64.65093968891243</v>
      </c>
      <c r="K567" s="59">
        <v>300.23157643419268</v>
      </c>
      <c r="L567" s="59">
        <v>116.45450600453178</v>
      </c>
      <c r="M567" s="59">
        <v>5733.0191171128035</v>
      </c>
      <c r="N567" s="59">
        <v>1618.1039843606495</v>
      </c>
      <c r="P567" s="59">
        <v>209.91090011236386</v>
      </c>
      <c r="Q567" s="59">
        <v>2518.9308013483665</v>
      </c>
      <c r="R567" s="59">
        <v>342773.68319019664</v>
      </c>
      <c r="S567" s="59">
        <v>155923143.85298029</v>
      </c>
    </row>
    <row r="568" spans="2:19" x14ac:dyDescent="0.2">
      <c r="B568" s="59">
        <v>565</v>
      </c>
      <c r="C568" s="59">
        <v>72</v>
      </c>
      <c r="D568" s="59">
        <v>3.942494369780611</v>
      </c>
      <c r="E568" s="59">
        <v>90.157534114998541</v>
      </c>
      <c r="F568" s="59">
        <v>156.13248033399188</v>
      </c>
      <c r="G568" s="59">
        <v>329.53795672375594</v>
      </c>
      <c r="H568" s="59">
        <v>1576.0801870374589</v>
      </c>
      <c r="J568" s="59">
        <v>64.375904526369965</v>
      </c>
      <c r="K568" s="59">
        <v>299.01137419942683</v>
      </c>
      <c r="L568" s="59">
        <v>115.9731938032984</v>
      </c>
      <c r="M568" s="59">
        <v>5740.9456572501322</v>
      </c>
      <c r="N568" s="59">
        <v>1623.8432176407905</v>
      </c>
      <c r="P568" s="59">
        <v>208.81663421535006</v>
      </c>
      <c r="R568" s="59">
        <v>341282.76759682153</v>
      </c>
      <c r="S568" s="59">
        <v>156006404.33673748</v>
      </c>
    </row>
    <row r="569" spans="2:19" x14ac:dyDescent="0.2">
      <c r="B569" s="59">
        <v>566</v>
      </c>
      <c r="C569" s="59">
        <v>72</v>
      </c>
      <c r="D569" s="59">
        <v>3.8955129785407254</v>
      </c>
      <c r="E569" s="59">
        <v>89.362016244540172</v>
      </c>
      <c r="F569" s="59">
        <v>154.87148435657622</v>
      </c>
      <c r="G569" s="59">
        <v>327.19974903919808</v>
      </c>
      <c r="H569" s="59">
        <v>1568.8898593877921</v>
      </c>
      <c r="J569" s="59">
        <v>64.101424535605986</v>
      </c>
      <c r="K569" s="59">
        <v>297.79444040353252</v>
      </c>
      <c r="L569" s="59">
        <v>115.49316053488043</v>
      </c>
      <c r="M569" s="59">
        <v>5748.8395107741444</v>
      </c>
      <c r="N569" s="59">
        <v>1629.5528417451935</v>
      </c>
      <c r="P569" s="59">
        <v>207.72744367756283</v>
      </c>
      <c r="R569" s="59">
        <v>339796.48260909785</v>
      </c>
      <c r="S569" s="59">
        <v>156089095.49355334</v>
      </c>
    </row>
    <row r="570" spans="2:19" x14ac:dyDescent="0.2">
      <c r="B570" s="59">
        <v>567</v>
      </c>
      <c r="C570" s="59">
        <v>72</v>
      </c>
      <c r="D570" s="59">
        <v>3.8490914488797818</v>
      </c>
      <c r="E570" s="59">
        <v>88.573398845818943</v>
      </c>
      <c r="F570" s="59">
        <v>153.6201955786367</v>
      </c>
      <c r="G570" s="59">
        <v>324.87660018579999</v>
      </c>
      <c r="H570" s="59">
        <v>1561.7242653875346</v>
      </c>
      <c r="J570" s="59">
        <v>63.827508810878065</v>
      </c>
      <c r="K570" s="59">
        <v>296.58077751335787</v>
      </c>
      <c r="L570" s="59">
        <v>115.0144084619629</v>
      </c>
      <c r="M570" s="59">
        <v>5756.7007621190669</v>
      </c>
      <c r="N570" s="59">
        <v>1635.2329916480685</v>
      </c>
      <c r="P570" s="59">
        <v>206.64330993227415</v>
      </c>
      <c r="R570" s="59">
        <v>338314.82952652301</v>
      </c>
      <c r="S570" s="59">
        <v>156171220.76956394</v>
      </c>
    </row>
    <row r="571" spans="2:19" x14ac:dyDescent="0.2">
      <c r="B571" s="59">
        <v>568</v>
      </c>
      <c r="C571" s="59">
        <v>72</v>
      </c>
      <c r="D571" s="59">
        <v>3.8032231091139646</v>
      </c>
      <c r="E571" s="59">
        <v>87.791623548121692</v>
      </c>
      <c r="F571" s="59">
        <v>152.37854477425449</v>
      </c>
      <c r="G571" s="59">
        <v>322.56842903938769</v>
      </c>
      <c r="H571" s="59">
        <v>1554.5833877755294</v>
      </c>
      <c r="J571" s="59">
        <v>63.554166201946131</v>
      </c>
      <c r="K571" s="59">
        <v>295.37038793483646</v>
      </c>
      <c r="L571" s="59">
        <v>114.53693980797993</v>
      </c>
      <c r="M571" s="59">
        <v>5764.5294959605944</v>
      </c>
      <c r="N571" s="59">
        <v>1640.8838018482397</v>
      </c>
      <c r="P571" s="59">
        <v>205.56421443884835</v>
      </c>
      <c r="R571" s="59">
        <v>336837.8094760559</v>
      </c>
      <c r="S571" s="59">
        <v>156252783.59472716</v>
      </c>
    </row>
    <row r="572" spans="2:19" x14ac:dyDescent="0.2">
      <c r="B572" s="59">
        <v>569</v>
      </c>
      <c r="C572" s="59">
        <v>72</v>
      </c>
      <c r="D572" s="59">
        <v>3.7579013670636896</v>
      </c>
      <c r="E572" s="59">
        <v>87.016632455615422</v>
      </c>
      <c r="F572" s="59">
        <v>151.14646314630025</v>
      </c>
      <c r="G572" s="59">
        <v>320.27515474349747</v>
      </c>
      <c r="H572" s="59">
        <v>1547.4672086200546</v>
      </c>
      <c r="J572" s="59">
        <v>63.281405319293214</v>
      </c>
      <c r="K572" s="59">
        <v>294.16327401223373</v>
      </c>
      <c r="L572" s="59">
        <v>114.06075675607525</v>
      </c>
      <c r="M572" s="59">
        <v>5772.3257972102165</v>
      </c>
      <c r="N572" s="59">
        <v>1646.5054063696539</v>
      </c>
      <c r="P572" s="59">
        <v>204.49013868314427</v>
      </c>
      <c r="R572" s="59">
        <v>335365.42341349163</v>
      </c>
      <c r="S572" s="59">
        <v>156333787.38284624</v>
      </c>
    </row>
    <row r="573" spans="2:19" x14ac:dyDescent="0.2">
      <c r="B573" s="59">
        <v>570</v>
      </c>
      <c r="C573" s="59">
        <v>72</v>
      </c>
      <c r="D573" s="59">
        <v>3.7131197091061807</v>
      </c>
      <c r="E573" s="59">
        <v>86.248368143729849</v>
      </c>
      <c r="F573" s="59">
        <v>149.92388232458086</v>
      </c>
      <c r="G573" s="59">
        <v>317.99669671049577</v>
      </c>
      <c r="H573" s="59">
        <v>1540.3757093258264</v>
      </c>
      <c r="J573" s="59">
        <v>63.009234539231421</v>
      </c>
      <c r="K573" s="59">
        <v>292.95943802742363</v>
      </c>
      <c r="L573" s="59">
        <v>113.58586144813546</v>
      </c>
      <c r="M573" s="59">
        <v>5780.0897510095765</v>
      </c>
      <c r="N573" s="59">
        <v>1652.0979387618975</v>
      </c>
      <c r="P573" s="59">
        <v>203.42106417791214</v>
      </c>
      <c r="R573" s="59">
        <v>333897.67212485767</v>
      </c>
      <c r="S573" s="59">
        <v>156414235.53159389</v>
      </c>
    </row>
    <row r="574" spans="2:19" x14ac:dyDescent="0.2">
      <c r="B574" s="59">
        <v>571</v>
      </c>
      <c r="C574" s="59">
        <v>72</v>
      </c>
      <c r="D574" s="59">
        <v>3.668871699239332</v>
      </c>
      <c r="E574" s="59">
        <v>85.486773655564136</v>
      </c>
      <c r="F574" s="59">
        <v>148.71073436398322</v>
      </c>
      <c r="G574" s="59">
        <v>315.73297462266737</v>
      </c>
      <c r="H574" s="59">
        <v>1533.3088706409662</v>
      </c>
      <c r="J574" s="59">
        <v>62.737662008895811</v>
      </c>
      <c r="K574" s="59">
        <v>291.75888219919506</v>
      </c>
      <c r="L574" s="59">
        <v>113.11225598389285</v>
      </c>
      <c r="M574" s="59">
        <v>5787.821442724874</v>
      </c>
      <c r="N574" s="59">
        <v>1657.6615321007259</v>
      </c>
      <c r="P574" s="59">
        <v>202.35697246318472</v>
      </c>
      <c r="R574" s="59">
        <v>332434.55622782797</v>
      </c>
      <c r="S574" s="59">
        <v>156494131.42253709</v>
      </c>
    </row>
    <row r="575" spans="2:19" x14ac:dyDescent="0.2">
      <c r="B575" s="59">
        <v>572</v>
      </c>
      <c r="C575" s="59">
        <v>72</v>
      </c>
      <c r="D575" s="59">
        <v>3.6251509781567299</v>
      </c>
      <c r="E575" s="59">
        <v>84.731792498317745</v>
      </c>
      <c r="F575" s="59">
        <v>147.506951742615</v>
      </c>
      <c r="G575" s="59">
        <v>313.48390843327229</v>
      </c>
      <c r="H575" s="59">
        <v>1526.2666726639322</v>
      </c>
      <c r="J575" s="59">
        <v>62.466695651128646</v>
      </c>
      <c r="K575" s="59">
        <v>290.56160868258792</v>
      </c>
      <c r="L575" s="59">
        <v>112.63994242009454</v>
      </c>
      <c r="M575" s="59">
        <v>5795.5209579412949</v>
      </c>
      <c r="N575" s="59">
        <v>1663.1963189886037</v>
      </c>
      <c r="P575" s="59">
        <v>201.297845106663</v>
      </c>
      <c r="R575" s="59">
        <v>330976.07617315446</v>
      </c>
      <c r="S575" s="59">
        <v>156573478.42116249</v>
      </c>
    </row>
    <row r="576" spans="2:19" x14ac:dyDescent="0.2">
      <c r="B576" s="59">
        <v>573</v>
      </c>
      <c r="C576" s="59">
        <v>72</v>
      </c>
      <c r="D576" s="59">
        <v>3.5819512623336958</v>
      </c>
      <c r="E576" s="59">
        <v>83.983368639745336</v>
      </c>
      <c r="F576" s="59">
        <v>146.31246735994293</v>
      </c>
      <c r="G576" s="59">
        <v>311.24941836757137</v>
      </c>
      <c r="H576" s="59">
        <v>1519.2490948504162</v>
      </c>
      <c r="J576" s="59">
        <v>62.196343169256558</v>
      </c>
      <c r="K576" s="59">
        <v>289.3676195682574</v>
      </c>
      <c r="L576" s="59">
        <v>112.16892276973495</v>
      </c>
      <c r="M576" s="59">
        <v>5803.1883824574898</v>
      </c>
      <c r="N576" s="59">
        <v>1668.7024315552555</v>
      </c>
      <c r="P576" s="59">
        <v>200.24366370409626</v>
      </c>
      <c r="R576" s="59">
        <v>329522.23224611324</v>
      </c>
      <c r="S576" s="59">
        <v>156652279.8769024</v>
      </c>
    </row>
    <row r="577" spans="2:19" x14ac:dyDescent="0.2">
      <c r="B577" s="59">
        <v>574</v>
      </c>
      <c r="C577" s="59">
        <v>72</v>
      </c>
      <c r="D577" s="59">
        <v>3.5392663431242193</v>
      </c>
      <c r="E577" s="59">
        <v>83.241446504635448</v>
      </c>
      <c r="F577" s="59">
        <v>145.1272145349285</v>
      </c>
      <c r="G577" s="59">
        <v>309.02942492382118</v>
      </c>
      <c r="H577" s="59">
        <v>1512.2561160202042</v>
      </c>
      <c r="J577" s="59">
        <v>61.926612051763001</v>
      </c>
      <c r="K577" s="59">
        <v>288.17691688186682</v>
      </c>
      <c r="L577" s="59">
        <v>111.69919900134884</v>
      </c>
      <c r="M577" s="59">
        <v>5810.8238022800833</v>
      </c>
      <c r="N577" s="59">
        <v>1674.1800014582279</v>
      </c>
      <c r="P577" s="59">
        <v>199.19440987965689</v>
      </c>
      <c r="R577" s="59">
        <v>328073.02456796536</v>
      </c>
      <c r="S577" s="59">
        <v>156730539.12316138</v>
      </c>
    </row>
    <row r="578" spans="2:19" x14ac:dyDescent="0.2">
      <c r="B578" s="59">
        <v>575</v>
      </c>
      <c r="C578" s="59">
        <v>72</v>
      </c>
      <c r="D578" s="59">
        <v>3.4970900858686558</v>
      </c>
      <c r="E578" s="59">
        <v>82.505970971313033</v>
      </c>
      <c r="F578" s="59">
        <v>143.95112700416138</v>
      </c>
      <c r="G578" s="59">
        <v>306.82384887423859</v>
      </c>
      <c r="H578" s="59">
        <v>1505.2877143640014</v>
      </c>
      <c r="J578" s="59">
        <v>61.657509576858473</v>
      </c>
      <c r="K578" s="59">
        <v>286.98950258350771</v>
      </c>
      <c r="L578" s="59">
        <v>111.23077303836206</v>
      </c>
      <c r="M578" s="59">
        <v>5818.4273036182303</v>
      </c>
      <c r="N578" s="59">
        <v>1679.6291598834616</v>
      </c>
      <c r="P578" s="59">
        <v>198.15006528630934</v>
      </c>
      <c r="R578" s="59">
        <v>326628.45309742878</v>
      </c>
      <c r="S578" s="59">
        <v>156808259.47734332</v>
      </c>
    </row>
    <row r="579" spans="2:19" x14ac:dyDescent="0.2">
      <c r="B579" s="59">
        <v>576</v>
      </c>
      <c r="C579" s="59">
        <v>73</v>
      </c>
      <c r="D579" s="59">
        <v>3.4554164290120544</v>
      </c>
      <c r="E579" s="59">
        <v>81.776887368165603</v>
      </c>
      <c r="F579" s="59">
        <v>142.78413891999088</v>
      </c>
      <c r="G579" s="59">
        <v>304.63261126593505</v>
      </c>
      <c r="H579" s="59">
        <v>1498.3438674502227</v>
      </c>
      <c r="J579" s="59">
        <v>61.389042816950692</v>
      </c>
      <c r="K579" s="59">
        <v>285.80537856714722</v>
      </c>
      <c r="L579" s="59">
        <v>110.7636467584973</v>
      </c>
      <c r="M579" s="59">
        <v>5825.9989728782075</v>
      </c>
      <c r="N579" s="59">
        <v>1685.0500375458748</v>
      </c>
      <c r="P579" s="59">
        <v>197.11061160617413</v>
      </c>
      <c r="Q579" s="59">
        <v>2365.3273392740898</v>
      </c>
      <c r="R579" s="59">
        <v>325188.51763216249</v>
      </c>
      <c r="S579" s="59">
        <v>156885444.24087942</v>
      </c>
    </row>
    <row r="580" spans="2:19" x14ac:dyDescent="0.2">
      <c r="B580" s="59">
        <v>577</v>
      </c>
      <c r="C580" s="59">
        <v>73</v>
      </c>
      <c r="D580" s="59">
        <v>3.414239383232994</v>
      </c>
      <c r="E580" s="59">
        <v>81.054141470192945</v>
      </c>
      <c r="F580" s="59">
        <v>141.6261848486555</v>
      </c>
      <c r="G580" s="59">
        <v>302.4556334218214</v>
      </c>
      <c r="H580" s="59">
        <v>1491.424552231746</v>
      </c>
      <c r="J580" s="59">
        <v>61.121218643017073</v>
      </c>
      <c r="K580" s="59">
        <v>284.62454666010149</v>
      </c>
      <c r="L580" s="59">
        <v>110.2978219932325</v>
      </c>
      <c r="M580" s="59">
        <v>5833.5388966580476</v>
      </c>
      <c r="N580" s="59">
        <v>1690.442764689956</v>
      </c>
      <c r="P580" s="59">
        <v>196.07603055088606</v>
      </c>
      <c r="R580" s="59">
        <v>323753.21781025897</v>
      </c>
      <c r="S580" s="59">
        <v>156962096.69925633</v>
      </c>
    </row>
    <row r="581" spans="2:19" x14ac:dyDescent="0.2">
      <c r="B581" s="59">
        <v>578</v>
      </c>
      <c r="C581" s="59">
        <v>73</v>
      </c>
      <c r="D581" s="59">
        <v>3.373553030582801</v>
      </c>
      <c r="E581" s="59">
        <v>80.337679495580176</v>
      </c>
      <c r="F581" s="59">
        <v>140.47719976841071</v>
      </c>
      <c r="G581" s="59">
        <v>300.29283694148307</v>
      </c>
      <c r="H581" s="59">
        <v>1484.5297450526314</v>
      </c>
      <c r="J581" s="59">
        <v>60.85404372888172</v>
      </c>
      <c r="K581" s="59">
        <v>283.44700862253558</v>
      </c>
      <c r="L581" s="59">
        <v>109.83330052730935</v>
      </c>
      <c r="M581" s="59">
        <v>5841.0471617422199</v>
      </c>
      <c r="N581" s="59">
        <v>1695.8074710903686</v>
      </c>
      <c r="P581" s="59">
        <v>195.04630386194722</v>
      </c>
      <c r="R581" s="59">
        <v>322322.55311174563</v>
      </c>
      <c r="S581" s="59">
        <v>157038220.12204525</v>
      </c>
    </row>
    <row r="582" spans="2:19" x14ac:dyDescent="0.2">
      <c r="B582" s="59">
        <v>579</v>
      </c>
      <c r="C582" s="59">
        <v>73</v>
      </c>
      <c r="D582" s="59">
        <v>3.3333515236350224</v>
      </c>
      <c r="E582" s="59">
        <v>79.627448102294238</v>
      </c>
      <c r="F582" s="59">
        <v>139.33711906765541</v>
      </c>
      <c r="G582" s="59">
        <v>298.14414370202627</v>
      </c>
      <c r="H582" s="59">
        <v>1477.6594216548026</v>
      </c>
      <c r="J582" s="59">
        <v>60.587524555399014</v>
      </c>
      <c r="K582" s="59">
        <v>282.2727661469882</v>
      </c>
      <c r="L582" s="59">
        <v>109.37008409828952</v>
      </c>
      <c r="M582" s="59">
        <v>5848.5238550963486</v>
      </c>
      <c r="N582" s="59">
        <v>1701.1442860525647</v>
      </c>
      <c r="P582" s="59">
        <v>194.02141331107467</v>
      </c>
      <c r="R582" s="59">
        <v>320896.52286009322</v>
      </c>
      <c r="S582" s="59">
        <v>157113817.76293132</v>
      </c>
    </row>
    <row r="583" spans="2:19" x14ac:dyDescent="0.2">
      <c r="B583" s="59">
        <v>580</v>
      </c>
      <c r="C583" s="59">
        <v>73</v>
      </c>
      <c r="D583" s="59">
        <v>3.2936290846450382</v>
      </c>
      <c r="E583" s="59">
        <v>78.923394384703457</v>
      </c>
      <c r="F583" s="59">
        <v>138.20587854305685</v>
      </c>
      <c r="G583" s="59">
        <v>296.00947585889548</v>
      </c>
      <c r="H583" s="59">
        <v>1470.8135571846947</v>
      </c>
      <c r="J583" s="59">
        <v>60.321667414546077</v>
      </c>
      <c r="K583" s="59">
        <v>281.10182085792178</v>
      </c>
      <c r="L583" s="59">
        <v>108.90817439615655</v>
      </c>
      <c r="M583" s="59">
        <v>5855.969063861975</v>
      </c>
      <c r="N583" s="59">
        <v>1706.4533384134088</v>
      </c>
      <c r="P583" s="59">
        <v>193.00134070054278</v>
      </c>
      <c r="R583" s="59">
        <v>319475.12622373027</v>
      </c>
      <c r="S583" s="59">
        <v>157188892.85974374</v>
      </c>
    </row>
    <row r="584" spans="2:19" x14ac:dyDescent="0.2">
      <c r="B584" s="59">
        <v>581</v>
      </c>
      <c r="C584" s="59">
        <v>73</v>
      </c>
      <c r="D584" s="59">
        <v>3.2543800047196849</v>
      </c>
      <c r="E584" s="59">
        <v>78.225465870220233</v>
      </c>
      <c r="F584" s="59">
        <v>137.08341439767466</v>
      </c>
      <c r="G584" s="59">
        <v>293.88875584666243</v>
      </c>
      <c r="H584" s="59">
        <v>1463.9921261998647</v>
      </c>
      <c r="J584" s="59">
        <v>60.05647841342595</v>
      </c>
      <c r="K584" s="59">
        <v>279.9341743112966</v>
      </c>
      <c r="L584" s="59">
        <v>108.44757306296111</v>
      </c>
      <c r="M584" s="59">
        <v>5863.3828753513662</v>
      </c>
      <c r="N584" s="59">
        <v>1711.7347565418122</v>
      </c>
      <c r="P584" s="59">
        <v>191.98606786352042</v>
      </c>
      <c r="R584" s="59">
        <v>318058.36221756227</v>
      </c>
      <c r="S584" s="59">
        <v>157263448.63448641</v>
      </c>
    </row>
    <row r="585" spans="2:19" x14ac:dyDescent="0.2">
      <c r="B585" s="59">
        <v>582</v>
      </c>
      <c r="C585" s="59">
        <v>73</v>
      </c>
      <c r="D585" s="59">
        <v>3.2155986429967753</v>
      </c>
      <c r="E585" s="59">
        <v>77.533610515966714</v>
      </c>
      <c r="F585" s="59">
        <v>135.96966323908367</v>
      </c>
      <c r="G585" s="59">
        <v>291.78190637978702</v>
      </c>
      <c r="H585" s="59">
        <v>1457.1951026755667</v>
      </c>
      <c r="J585" s="59">
        <v>59.791963478183725</v>
      </c>
      <c r="K585" s="59">
        <v>278.76982799416902</v>
      </c>
      <c r="L585" s="59">
        <v>107.9882816925076</v>
      </c>
      <c r="M585" s="59">
        <v>5870.7653770423658</v>
      </c>
      <c r="N585" s="59">
        <v>1716.988668339377</v>
      </c>
      <c r="P585" s="59">
        <v>190.97557666440255</v>
      </c>
      <c r="R585" s="59">
        <v>316646.22970449476</v>
      </c>
      <c r="S585" s="59">
        <v>157337488.29336902</v>
      </c>
    </row>
    <row r="586" spans="2:19" x14ac:dyDescent="0.2">
      <c r="B586" s="59">
        <v>583</v>
      </c>
      <c r="C586" s="59">
        <v>73</v>
      </c>
      <c r="D586" s="59">
        <v>3.177279425834397</v>
      </c>
      <c r="E586" s="59">
        <v>76.847776705463247</v>
      </c>
      <c r="F586" s="59">
        <v>134.86456207749626</v>
      </c>
      <c r="G586" s="59">
        <v>289.68885045335037</v>
      </c>
      <c r="H586" s="59">
        <v>1450.4224600112905</v>
      </c>
      <c r="J586" s="59">
        <v>59.528128357837424</v>
      </c>
      <c r="K586" s="59">
        <v>277.60878332431281</v>
      </c>
      <c r="L586" s="59">
        <v>107.53030183008026</v>
      </c>
      <c r="M586" s="59">
        <v>5878.1166565732892</v>
      </c>
      <c r="N586" s="59">
        <v>1722.21520124105</v>
      </c>
      <c r="P586" s="59">
        <v>189.96984899913727</v>
      </c>
      <c r="R586" s="59">
        <v>315238.72739695961</v>
      </c>
      <c r="S586" s="59">
        <v>157411015.0268389</v>
      </c>
    </row>
    <row r="587" spans="2:19" x14ac:dyDescent="0.2">
      <c r="B587" s="59">
        <v>584</v>
      </c>
      <c r="C587" s="59">
        <v>73</v>
      </c>
      <c r="D587" s="59">
        <v>3.1394168460098704</v>
      </c>
      <c r="E587" s="59">
        <v>76.167913245339591</v>
      </c>
      <c r="F587" s="59">
        <v>133.76804832388376</v>
      </c>
      <c r="G587" s="59">
        <v>287.60951134376069</v>
      </c>
      <c r="H587" s="59">
        <v>1443.6741710372653</v>
      </c>
      <c r="J587" s="59">
        <v>59.264978628025666</v>
      </c>
      <c r="K587" s="59">
        <v>276.45104164986361</v>
      </c>
      <c r="L587" s="59">
        <v>107.07363497220676</v>
      </c>
      <c r="M587" s="59">
        <v>5885.4368017378638</v>
      </c>
      <c r="N587" s="59">
        <v>1727.4144822157855</v>
      </c>
      <c r="P587" s="59">
        <v>188.96886679554697</v>
      </c>
      <c r="R587" s="59">
        <v>313835.85385844309</v>
      </c>
      <c r="S587" s="59">
        <v>157484032.00961316</v>
      </c>
    </row>
    <row r="588" spans="2:19" x14ac:dyDescent="0.2">
      <c r="B588" s="59">
        <v>585</v>
      </c>
      <c r="C588" s="59">
        <v>73</v>
      </c>
      <c r="D588" s="59">
        <v>3.1020054619282527</v>
      </c>
      <c r="E588" s="59">
        <v>75.493969362068796</v>
      </c>
      <c r="F588" s="59">
        <v>132.68005978809765</v>
      </c>
      <c r="G588" s="59">
        <v>285.54381260943171</v>
      </c>
      <c r="H588" s="59">
        <v>1436.9502080209263</v>
      </c>
      <c r="J588" s="59">
        <v>59.002519694673957</v>
      </c>
      <c r="K588" s="59">
        <v>275.29660424898583</v>
      </c>
      <c r="L588" s="59">
        <v>106.61828256645747</v>
      </c>
      <c r="M588" s="59">
        <v>5892.7259004802154</v>
      </c>
      <c r="N588" s="59">
        <v>1732.5866377672194</v>
      </c>
      <c r="P588" s="59">
        <v>187.97261201364495</v>
      </c>
      <c r="R588" s="59">
        <v>312437.6075050151</v>
      </c>
      <c r="S588" s="59">
        <v>157556542.40071151</v>
      </c>
    </row>
    <row r="589" spans="2:19" x14ac:dyDescent="0.2">
      <c r="B589" s="59">
        <v>586</v>
      </c>
      <c r="C589" s="59">
        <v>73</v>
      </c>
      <c r="D589" s="59">
        <v>3.0650398968402741</v>
      </c>
      <c r="E589" s="59">
        <v>74.825894698723459</v>
      </c>
      <c r="F589" s="59">
        <v>131.60053467699046</v>
      </c>
      <c r="G589" s="59">
        <v>283.49167809143444</v>
      </c>
      <c r="H589" s="59">
        <v>1430.2505426733464</v>
      </c>
      <c r="J589" s="59">
        <v>58.740756797581433</v>
      </c>
      <c r="K589" s="59">
        <v>274.14547232956124</v>
      </c>
      <c r="L589" s="59">
        <v>106.16424601127885</v>
      </c>
      <c r="M589" s="59">
        <v>5899.9840408898981</v>
      </c>
      <c r="N589" s="59">
        <v>1737.7317939343498</v>
      </c>
      <c r="P589" s="59">
        <v>186.98106664594675</v>
      </c>
      <c r="R589" s="59">
        <v>311043.98660685919</v>
      </c>
      <c r="S589" s="59">
        <v>157628549.34348962</v>
      </c>
    </row>
    <row r="590" spans="2:19" x14ac:dyDescent="0.2">
      <c r="B590" s="59">
        <v>587</v>
      </c>
      <c r="C590" s="59">
        <v>73</v>
      </c>
      <c r="D590" s="59">
        <v>3.0285148380695941</v>
      </c>
      <c r="E590" s="59">
        <v>74.163639311754466</v>
      </c>
      <c r="F590" s="59">
        <v>130.52941159253638</v>
      </c>
      <c r="G590" s="59">
        <v>281.45303191412239</v>
      </c>
      <c r="H590" s="59">
        <v>1423.5751461556308</v>
      </c>
      <c r="J590" s="59">
        <v>58.479695013929891</v>
      </c>
      <c r="K590" s="59">
        <v>272.99764702889934</v>
      </c>
      <c r="L590" s="59">
        <v>105.71152665585912</v>
      </c>
      <c r="M590" s="59">
        <v>5907.211311196972</v>
      </c>
      <c r="N590" s="59">
        <v>1742.8500762922304</v>
      </c>
      <c r="P590" s="59">
        <v>185.99421271777638</v>
      </c>
      <c r="R590" s="59">
        <v>309654.98928980151</v>
      </c>
      <c r="S590" s="59">
        <v>157700055.96567285</v>
      </c>
    </row>
    <row r="591" spans="2:19" x14ac:dyDescent="0.2">
      <c r="B591" s="59">
        <v>588</v>
      </c>
      <c r="C591" s="59">
        <v>74</v>
      </c>
      <c r="D591" s="59">
        <v>2.9924250362492648</v>
      </c>
      <c r="E591" s="59">
        <v>73.507153667791911</v>
      </c>
      <c r="F591" s="59">
        <v>129.46662952995212</v>
      </c>
      <c r="G591" s="59">
        <v>279.42779848573065</v>
      </c>
      <c r="H591" s="59">
        <v>1416.9239890852762</v>
      </c>
      <c r="J591" s="59">
        <v>58.219339261716804</v>
      </c>
      <c r="K591" s="59">
        <v>271.85312941346837</v>
      </c>
      <c r="L591" s="59">
        <v>105.26012580002471</v>
      </c>
      <c r="M591" s="59">
        <v>5914.4077997671238</v>
      </c>
      <c r="N591" s="59">
        <v>1747.9416099526707</v>
      </c>
      <c r="P591" s="59">
        <v>185.01203228756762</v>
      </c>
      <c r="Q591" s="59">
        <v>2220.1443874508113</v>
      </c>
      <c r="R591" s="59">
        <v>308270.6135368392</v>
      </c>
      <c r="S591" s="59">
        <v>157771065.37939066</v>
      </c>
    </row>
    <row r="592" spans="2:19" x14ac:dyDescent="0.2">
      <c r="B592" s="59">
        <v>589</v>
      </c>
      <c r="C592" s="59">
        <v>74</v>
      </c>
      <c r="D592" s="59">
        <v>2.9567653045672944</v>
      </c>
      <c r="E592" s="59">
        <v>72.856388640468268</v>
      </c>
      <c r="F592" s="59">
        <v>128.4121278758179</v>
      </c>
      <c r="G592" s="59">
        <v>277.41590249894904</v>
      </c>
      <c r="H592" s="59">
        <v>1410.2970415424934</v>
      </c>
      <c r="J592" s="59">
        <v>57.959694303114091</v>
      </c>
      <c r="K592" s="59">
        <v>270.71192047864753</v>
      </c>
      <c r="L592" s="59">
        <v>104.81004469416598</v>
      </c>
      <c r="M592" s="59">
        <v>5921.5735950968365</v>
      </c>
      <c r="N592" s="59">
        <v>1753.0065195649445</v>
      </c>
      <c r="P592" s="59">
        <v>184.03450744716045</v>
      </c>
      <c r="R592" s="59">
        <v>306890.85718966677</v>
      </c>
      <c r="S592" s="59">
        <v>157841580.68121135</v>
      </c>
    </row>
    <row r="593" spans="2:19" x14ac:dyDescent="0.2">
      <c r="B593" s="59">
        <v>590</v>
      </c>
      <c r="C593" s="59">
        <v>74</v>
      </c>
      <c r="D593" s="59">
        <v>2.9215305180212008</v>
      </c>
      <c r="E593" s="59">
        <v>72.211295507263472</v>
      </c>
      <c r="F593" s="59">
        <v>127.36584640619877</v>
      </c>
      <c r="G593" s="59">
        <v>275.41726893146966</v>
      </c>
      <c r="H593" s="59">
        <v>1403.6942730764952</v>
      </c>
      <c r="J593" s="59">
        <v>57.70076474775427</v>
      </c>
      <c r="K593" s="59">
        <v>269.57402114849873</v>
      </c>
      <c r="L593" s="59">
        <v>104.36128453919078</v>
      </c>
      <c r="M593" s="59">
        <v>5928.7087858086015</v>
      </c>
      <c r="N593" s="59">
        <v>1758.0449293165107</v>
      </c>
      <c r="P593" s="59">
        <v>183.06162032209249</v>
      </c>
      <c r="R593" s="59">
        <v>305515.71795020025</v>
      </c>
      <c r="S593" s="59">
        <v>157911604.95217746</v>
      </c>
    </row>
    <row r="594" spans="2:19" x14ac:dyDescent="0.2">
      <c r="B594" s="59">
        <v>591</v>
      </c>
      <c r="C594" s="59">
        <v>74</v>
      </c>
      <c r="D594" s="59">
        <v>2.8867156126814479</v>
      </c>
      <c r="E594" s="59">
        <v>71.571825946371987</v>
      </c>
      <c r="F594" s="59">
        <v>126.32772528476647</v>
      </c>
      <c r="G594" s="59">
        <v>273.43182304650924</v>
      </c>
      <c r="H594" s="59">
        <v>1397.1156527117457</v>
      </c>
      <c r="J594" s="59">
        <v>57.442555055945689</v>
      </c>
      <c r="K594" s="59">
        <v>268.43943227555832</v>
      </c>
      <c r="L594" s="59">
        <v>103.91384648650434</v>
      </c>
      <c r="M594" s="59">
        <v>5935.8134606461817</v>
      </c>
      <c r="N594" s="59">
        <v>1763.0569629337397</v>
      </c>
      <c r="P594" s="59">
        <v>182.09335307188559</v>
      </c>
      <c r="R594" s="59">
        <v>304145.19338209787</v>
      </c>
      <c r="S594" s="59">
        <v>157981141.25784153</v>
      </c>
    </row>
    <row r="595" spans="2:19" x14ac:dyDescent="0.2">
      <c r="B595" s="59">
        <v>592</v>
      </c>
      <c r="C595" s="59">
        <v>74</v>
      </c>
      <c r="D595" s="59">
        <v>2.8523155849636606</v>
      </c>
      <c r="E595" s="59">
        <v>70.937932033591693</v>
      </c>
      <c r="F595" s="59">
        <v>125.29770506092194</v>
      </c>
      <c r="G595" s="59">
        <v>271.45949039330657</v>
      </c>
      <c r="H595" s="59">
        <v>1390.5611489541764</v>
      </c>
      <c r="J595" s="59">
        <v>57.185069541818365</v>
      </c>
      <c r="K595" s="59">
        <v>267.3081546406483</v>
      </c>
      <c r="L595" s="59">
        <v>103.46773163801436</v>
      </c>
      <c r="M595" s="59">
        <v>5942.8877084699134</v>
      </c>
      <c r="N595" s="59">
        <v>1768.0427436826499</v>
      </c>
      <c r="P595" s="59">
        <v>181.1296878903276</v>
      </c>
      <c r="R595" s="59">
        <v>302779.28091227775</v>
      </c>
      <c r="S595" s="59">
        <v>158050192.64830232</v>
      </c>
    </row>
    <row r="596" spans="2:19" x14ac:dyDescent="0.2">
      <c r="B596" s="59">
        <v>593</v>
      </c>
      <c r="C596" s="59">
        <v>74</v>
      </c>
      <c r="D596" s="59">
        <v>2.8183254909095101</v>
      </c>
      <c r="E596" s="59">
        <v>70.309566239234371</v>
      </c>
      <c r="F596" s="59">
        <v>124.27572666791866</v>
      </c>
      <c r="G596" s="59">
        <v>269.50019680759499</v>
      </c>
      <c r="H596" s="59">
        <v>1384.0307297973634</v>
      </c>
      <c r="J596" s="59">
        <v>56.928312376402033</v>
      </c>
      <c r="K596" s="59">
        <v>266.18018895270609</v>
      </c>
      <c r="L596" s="59">
        <v>103.02294104615983</v>
      </c>
      <c r="M596" s="59">
        <v>5949.9316182520633</v>
      </c>
      <c r="N596" s="59">
        <v>1773.0023943696526</v>
      </c>
      <c r="P596" s="59">
        <v>180.17060700574939</v>
      </c>
      <c r="R596" s="59">
        <v>301417.97783243103</v>
      </c>
      <c r="S596" s="59">
        <v>158118762.15824163</v>
      </c>
    </row>
    <row r="597" spans="2:19" x14ac:dyDescent="0.2">
      <c r="B597" s="59">
        <v>594</v>
      </c>
      <c r="C597" s="59">
        <v>74</v>
      </c>
      <c r="D597" s="59">
        <v>2.7847404454761717</v>
      </c>
      <c r="E597" s="59">
        <v>69.686681425057827</v>
      </c>
      <c r="F597" s="59">
        <v>123.26173142098689</v>
      </c>
      <c r="G597" s="59">
        <v>267.55386841205097</v>
      </c>
      <c r="H597" s="59">
        <v>1377.5243627286709</v>
      </c>
      <c r="J597" s="59">
        <v>56.672287590637936</v>
      </c>
      <c r="K597" s="59">
        <v>265.05553584863293</v>
      </c>
      <c r="L597" s="59">
        <v>102.57947571396249</v>
      </c>
      <c r="M597" s="59">
        <v>5956.9452790722235</v>
      </c>
      <c r="N597" s="59">
        <v>1777.9360373423056</v>
      </c>
      <c r="P597" s="59">
        <v>179.21609268129706</v>
      </c>
      <c r="R597" s="59">
        <v>300061.28130053036</v>
      </c>
      <c r="S597" s="59">
        <v>158186852.80696142</v>
      </c>
    </row>
    <row r="598" spans="2:19" x14ac:dyDescent="0.2">
      <c r="B598" s="59">
        <v>595</v>
      </c>
      <c r="C598" s="59">
        <v>74</v>
      </c>
      <c r="D598" s="59">
        <v>2.7515556218342474</v>
      </c>
      <c r="E598" s="59">
        <v>69.069230841219436</v>
      </c>
      <c r="F598" s="59">
        <v>122.25566101545904</v>
      </c>
      <c r="G598" s="59">
        <v>265.62043161671824</v>
      </c>
      <c r="H598" s="59">
        <v>1371.042014735357</v>
      </c>
      <c r="J598" s="59">
        <v>56.416999078325837</v>
      </c>
      <c r="K598" s="59">
        <v>263.93419589316034</v>
      </c>
      <c r="L598" s="59">
        <v>102.13733659509973</v>
      </c>
      <c r="M598" s="59">
        <v>5963.9287801127575</v>
      </c>
      <c r="N598" s="59">
        <v>1782.8437944900741</v>
      </c>
      <c r="P598" s="59">
        <v>178.26612721519956</v>
      </c>
      <c r="R598" s="59">
        <v>298709.18834233377</v>
      </c>
      <c r="S598" s="59">
        <v>158254467.59842154</v>
      </c>
    </row>
    <row r="599" spans="2:19" x14ac:dyDescent="0.2">
      <c r="B599" s="59">
        <v>596</v>
      </c>
      <c r="C599" s="59">
        <v>74</v>
      </c>
      <c r="D599" s="59">
        <v>2.7187662506740558</v>
      </c>
      <c r="E599" s="59">
        <v>68.457168123251037</v>
      </c>
      <c r="F599" s="59">
        <v>121.25745752489625</v>
      </c>
      <c r="G599" s="59">
        <v>263.6998131194083</v>
      </c>
      <c r="H599" s="59">
        <v>1364.5836523106443</v>
      </c>
      <c r="J599" s="59">
        <v>56.162450599007684</v>
      </c>
      <c r="K599" s="59">
        <v>262.81616957873433</v>
      </c>
      <c r="L599" s="59">
        <v>101.69652459399772</v>
      </c>
      <c r="M599" s="59">
        <v>5970.8822106542902</v>
      </c>
      <c r="N599" s="59">
        <v>1787.7257872451012</v>
      </c>
      <c r="P599" s="59">
        <v>177.32069294103172</v>
      </c>
      <c r="R599" s="59">
        <v>297361.69585288235</v>
      </c>
      <c r="S599" s="59">
        <v>158321609.52127776</v>
      </c>
    </row>
    <row r="600" spans="2:19" x14ac:dyDescent="0.2">
      <c r="B600" s="59">
        <v>597</v>
      </c>
      <c r="C600" s="59">
        <v>74</v>
      </c>
      <c r="D600" s="59">
        <v>2.68636761952019</v>
      </c>
      <c r="E600" s="59">
        <v>67.85044728905504</v>
      </c>
      <c r="F600" s="59">
        <v>120.26706339921638</v>
      </c>
      <c r="G600" s="59">
        <v>261.79193990607763</v>
      </c>
      <c r="H600" s="59">
        <v>1358.1492414597535</v>
      </c>
      <c r="J600" s="59">
        <v>55.908645780789421</v>
      </c>
      <c r="K600" s="59">
        <v>261.70145732541675</v>
      </c>
      <c r="L600" s="59">
        <v>101.25704056594392</v>
      </c>
      <c r="M600" s="59">
        <v>5977.8056600712462</v>
      </c>
      <c r="N600" s="59">
        <v>1792.5821365829859</v>
      </c>
      <c r="P600" s="59">
        <v>176.37977222797244</v>
      </c>
      <c r="R600" s="59">
        <v>296018.80059799267</v>
      </c>
      <c r="S600" s="59">
        <v>158388281.54892024</v>
      </c>
    </row>
    <row r="601" spans="2:19" x14ac:dyDescent="0.2">
      <c r="B601" s="59">
        <v>598</v>
      </c>
      <c r="C601" s="59">
        <v>74</v>
      </c>
      <c r="D601" s="59">
        <v>2.654355072054241</v>
      </c>
      <c r="E601" s="59">
        <v>67.249022735921599</v>
      </c>
      <c r="F601" s="59">
        <v>119.28442146282339</v>
      </c>
      <c r="G601" s="59">
        <v>259.8967392511812</v>
      </c>
      <c r="H601" s="59">
        <v>1351.7387477059021</v>
      </c>
      <c r="J601" s="59">
        <v>55.655588123102227</v>
      </c>
      <c r="K601" s="59">
        <v>260.59005948080369</v>
      </c>
      <c r="L601" s="59">
        <v>100.81888531721775</v>
      </c>
      <c r="M601" s="59">
        <v>5984.6992178274304</v>
      </c>
      <c r="N601" s="59">
        <v>1797.4129630235684</v>
      </c>
      <c r="P601" s="59">
        <v>175.44334748105848</v>
      </c>
      <c r="R601" s="59">
        <v>294680.49921574205</v>
      </c>
      <c r="S601" s="59">
        <v>158454486.63951263</v>
      </c>
    </row>
    <row r="602" spans="2:19" x14ac:dyDescent="0.2">
      <c r="B602" s="59">
        <v>599</v>
      </c>
      <c r="C602" s="59">
        <v>74</v>
      </c>
      <c r="D602" s="59">
        <v>2.6227240074455946</v>
      </c>
      <c r="E602" s="59">
        <v>66.652849237566855</v>
      </c>
      <c r="F602" s="59">
        <v>118.30947491273848</v>
      </c>
      <c r="G602" s="59">
        <v>258.01413871800378</v>
      </c>
      <c r="H602" s="59">
        <v>1345.3521360962663</v>
      </c>
      <c r="J602" s="59">
        <v>55.403280999404679</v>
      </c>
      <c r="K602" s="59">
        <v>259.48197631996027</v>
      </c>
      <c r="L602" s="59">
        <v>100.38205960523847</v>
      </c>
      <c r="M602" s="59">
        <v>5991.5629734716558</v>
      </c>
      <c r="N602" s="59">
        <v>1802.2183866317246</v>
      </c>
      <c r="P602" s="59">
        <v>174.51140114143388</v>
      </c>
      <c r="R602" s="59">
        <v>293346.78821794817</v>
      </c>
      <c r="S602" s="59">
        <v>158520227.73603126</v>
      </c>
    </row>
    <row r="603" spans="2:19" x14ac:dyDescent="0.2">
      <c r="B603" s="59">
        <v>600</v>
      </c>
      <c r="C603" s="59">
        <v>75</v>
      </c>
      <c r="D603" s="59">
        <v>2.5914698796902012</v>
      </c>
      <c r="E603" s="59">
        <v>66.061881941191956</v>
      </c>
      <c r="F603" s="59">
        <v>117.34216731673293</v>
      </c>
      <c r="G603" s="59">
        <v>256.14406615896814</v>
      </c>
      <c r="H603" s="59">
        <v>1338.9893712079067</v>
      </c>
      <c r="J603" s="59">
        <v>55.151727659827039</v>
      </c>
      <c r="K603" s="59">
        <v>258.37720804537179</v>
      </c>
      <c r="L603" s="59">
        <v>99.946564138729428</v>
      </c>
      <c r="M603" s="59">
        <v>5998.3970166334193</v>
      </c>
      <c r="N603" s="59">
        <v>1806.9985270181674</v>
      </c>
      <c r="P603" s="59">
        <v>173.58391568659459</v>
      </c>
      <c r="Q603" s="59">
        <v>2083.0069882391349</v>
      </c>
      <c r="R603" s="59">
        <v>292017.66399164079</v>
      </c>
      <c r="S603" s="59">
        <v>158585507.76630503</v>
      </c>
    </row>
    <row r="604" spans="2:19" x14ac:dyDescent="0.2">
      <c r="B604" s="59">
        <v>601</v>
      </c>
      <c r="C604" s="59">
        <v>75</v>
      </c>
      <c r="D604" s="59">
        <v>2.5575648154309212</v>
      </c>
      <c r="E604" s="59">
        <v>65.399004168964851</v>
      </c>
      <c r="F604" s="59">
        <v>116.24554341625993</v>
      </c>
      <c r="G604" s="59">
        <v>253.98761497206888</v>
      </c>
      <c r="H604" s="59">
        <v>1331.0882628872489</v>
      </c>
      <c r="J604" s="59">
        <v>54.836587551489259</v>
      </c>
      <c r="K604" s="59">
        <v>256.97431471085764</v>
      </c>
      <c r="L604" s="59">
        <v>99.395795253069224</v>
      </c>
      <c r="M604" s="59">
        <v>6005.2014370186198</v>
      </c>
      <c r="N604" s="59">
        <v>1814.3138752059956</v>
      </c>
      <c r="P604" s="59">
        <v>172.45835906232793</v>
      </c>
      <c r="R604" s="59">
        <v>290352.43552586943</v>
      </c>
      <c r="S604" s="59">
        <v>158650253.6729455</v>
      </c>
    </row>
    <row r="605" spans="2:19" x14ac:dyDescent="0.2">
      <c r="B605" s="59">
        <v>602</v>
      </c>
      <c r="C605" s="59">
        <v>75</v>
      </c>
      <c r="D605" s="59">
        <v>2.5241033424290333</v>
      </c>
      <c r="E605" s="59">
        <v>64.742700799155259</v>
      </c>
      <c r="F605" s="59">
        <v>115.1588457835733</v>
      </c>
      <c r="G605" s="59">
        <v>251.84823141159458</v>
      </c>
      <c r="H605" s="59">
        <v>1323.2275424612694</v>
      </c>
      <c r="J605" s="59">
        <v>54.518977934629007</v>
      </c>
      <c r="K605" s="59">
        <v>255.58154787990807</v>
      </c>
      <c r="L605" s="59">
        <v>98.847506973992367</v>
      </c>
      <c r="M605" s="59">
        <v>6011.9683859148736</v>
      </c>
      <c r="N605" s="59">
        <v>1821.5821574985803</v>
      </c>
      <c r="P605" s="59">
        <v>171.33961841964521</v>
      </c>
      <c r="R605" s="59">
        <v>288695.27430173132</v>
      </c>
      <c r="S605" s="59">
        <v>158714469.50837725</v>
      </c>
    </row>
    <row r="606" spans="2:19" x14ac:dyDescent="0.2">
      <c r="B606" s="59">
        <v>603</v>
      </c>
      <c r="C606" s="59">
        <v>75</v>
      </c>
      <c r="D606" s="59">
        <v>2.4910796570322535</v>
      </c>
      <c r="E606" s="59">
        <v>64.092907673419404</v>
      </c>
      <c r="F606" s="59">
        <v>114.08198863711966</v>
      </c>
      <c r="G606" s="59">
        <v>249.72579286107958</v>
      </c>
      <c r="H606" s="59">
        <v>1315.40706191084</v>
      </c>
      <c r="J606" s="59">
        <v>54.199032856325601</v>
      </c>
      <c r="K606" s="59">
        <v>254.19877879332543</v>
      </c>
      <c r="L606" s="59">
        <v>98.301693273408361</v>
      </c>
      <c r="M606" s="59">
        <v>6018.6980086502526</v>
      </c>
      <c r="N606" s="59">
        <v>1828.8036556872021</v>
      </c>
      <c r="P606" s="59">
        <v>170.22765833496888</v>
      </c>
      <c r="R606" s="59">
        <v>287046.16472167731</v>
      </c>
      <c r="S606" s="59">
        <v>158778159.3001993</v>
      </c>
    </row>
    <row r="607" spans="2:19" x14ac:dyDescent="0.2">
      <c r="B607" s="59">
        <v>604</v>
      </c>
      <c r="C607" s="59">
        <v>75</v>
      </c>
      <c r="D607" s="59">
        <v>2.4584880315194151</v>
      </c>
      <c r="E607" s="59">
        <v>63.449561245144018</v>
      </c>
      <c r="F607" s="59">
        <v>113.0148868846448</v>
      </c>
      <c r="G607" s="59">
        <v>247.62017744025675</v>
      </c>
      <c r="H607" s="59">
        <v>1307.626673178688</v>
      </c>
      <c r="J607" s="59">
        <v>53.876882716010563</v>
      </c>
      <c r="K607" s="59">
        <v>252.82588097961187</v>
      </c>
      <c r="L607" s="59">
        <v>97.758348215095552</v>
      </c>
      <c r="M607" s="59">
        <v>6025.3904511696237</v>
      </c>
      <c r="N607" s="59">
        <v>1835.9786501394108</v>
      </c>
      <c r="P607" s="59">
        <v>169.12244347006262</v>
      </c>
      <c r="R607" s="59">
        <v>285405.09069615148</v>
      </c>
      <c r="S607" s="59">
        <v>158841327.0512031</v>
      </c>
    </row>
    <row r="608" spans="2:19" x14ac:dyDescent="0.2">
      <c r="B608" s="59">
        <v>605</v>
      </c>
      <c r="C608" s="59">
        <v>75</v>
      </c>
      <c r="D608" s="59">
        <v>2.4263228131070362</v>
      </c>
      <c r="E608" s="59">
        <v>62.812598573814412</v>
      </c>
      <c r="F608" s="59">
        <v>111.95745611833597</v>
      </c>
      <c r="G608" s="59">
        <v>245.53126400237986</v>
      </c>
      <c r="H608" s="59">
        <v>1299.886228176809</v>
      </c>
      <c r="J608" s="59">
        <v>53.552654354715202</v>
      </c>
      <c r="K608" s="59">
        <v>251.46273021180815</v>
      </c>
      <c r="L608" s="59">
        <v>97.217465943375075</v>
      </c>
      <c r="M608" s="59">
        <v>6032.0458600039465</v>
      </c>
      <c r="N608" s="59">
        <v>1843.1074198017141</v>
      </c>
      <c r="P608" s="59">
        <v>168.02393857410038</v>
      </c>
      <c r="R608" s="59">
        <v>283772.03565504856</v>
      </c>
      <c r="S608" s="59">
        <v>158903976.73939416</v>
      </c>
    </row>
    <row r="609" spans="2:19" x14ac:dyDescent="0.2">
      <c r="B609" s="59">
        <v>606</v>
      </c>
      <c r="C609" s="59">
        <v>75</v>
      </c>
      <c r="D609" s="59">
        <v>2.3945784229688858</v>
      </c>
      <c r="E609" s="59">
        <v>62.181957319431639</v>
      </c>
      <c r="F609" s="59">
        <v>110.90961260998934</v>
      </c>
      <c r="G609" s="59">
        <v>243.45893213153226</v>
      </c>
      <c r="H609" s="59">
        <v>1292.185578793795</v>
      </c>
      <c r="J609" s="59">
        <v>53.226471142171022</v>
      </c>
      <c r="K609" s="59">
        <v>250.10920446513819</v>
      </c>
      <c r="L609" s="59">
        <v>96.679040672495304</v>
      </c>
      <c r="M609" s="59">
        <v>6038.664382240122</v>
      </c>
      <c r="N609" s="59">
        <v>1850.1902422023618</v>
      </c>
      <c r="P609" s="59">
        <v>166.93210848567298</v>
      </c>
      <c r="R609" s="59">
        <v>282146.98255915375</v>
      </c>
      <c r="S609" s="59">
        <v>158966112.31801662</v>
      </c>
    </row>
    <row r="610" spans="2:19" x14ac:dyDescent="0.2">
      <c r="B610" s="59">
        <v>607</v>
      </c>
      <c r="C610" s="59">
        <v>75</v>
      </c>
      <c r="D610" s="59">
        <v>2.3632493552683762</v>
      </c>
      <c r="E610" s="59">
        <v>61.557575736978173</v>
      </c>
      <c r="F610" s="59">
        <v>109.87127330620213</v>
      </c>
      <c r="G610" s="59">
        <v>241.40306213992224</v>
      </c>
      <c r="H610" s="59">
        <v>1284.5245769020812</v>
      </c>
      <c r="J610" s="59">
        <v>52.898453061814493</v>
      </c>
      <c r="K610" s="59">
        <v>248.76518387544456</v>
      </c>
      <c r="L610" s="59">
        <v>96.143066676691546</v>
      </c>
      <c r="M610" s="59">
        <v>6045.2461654913823</v>
      </c>
      <c r="N610" s="59">
        <v>1857.2273934542202</v>
      </c>
      <c r="P610" s="59">
        <v>165.84691813473458</v>
      </c>
      <c r="R610" s="59">
        <v>280529.91391155066</v>
      </c>
      <c r="S610" s="59">
        <v>159027737.71558127</v>
      </c>
    </row>
    <row r="611" spans="2:19" x14ac:dyDescent="0.2">
      <c r="B611" s="59">
        <v>608</v>
      </c>
      <c r="C611" s="59">
        <v>75</v>
      </c>
      <c r="D611" s="59">
        <v>2.332330176203615</v>
      </c>
      <c r="E611" s="59">
        <v>60.939392670931852</v>
      </c>
      <c r="F611" s="59">
        <v>108.8423558235897</v>
      </c>
      <c r="G611" s="59">
        <v>239.36353506516528</v>
      </c>
      <c r="H611" s="59">
        <v>1276.9030743651094</v>
      </c>
      <c r="J611" s="59">
        <v>52.568716793746781</v>
      </c>
      <c r="K611" s="59">
        <v>247.43055069840037</v>
      </c>
      <c r="L611" s="59">
        <v>95.609538280887193</v>
      </c>
      <c r="M611" s="59">
        <v>6051.7913578682364</v>
      </c>
      <c r="N611" s="59">
        <v>1864.219148257735</v>
      </c>
      <c r="P611" s="59">
        <v>164.76833254448891</v>
      </c>
      <c r="R611" s="59">
        <v>278920.81176898751</v>
      </c>
      <c r="S611" s="59">
        <v>159088856.83589661</v>
      </c>
    </row>
    <row r="612" spans="2:19" x14ac:dyDescent="0.2">
      <c r="B612" s="59">
        <v>609</v>
      </c>
      <c r="C612" s="59">
        <v>75</v>
      </c>
      <c r="D612" s="59">
        <v>2.3018155230649513</v>
      </c>
      <c r="E612" s="59">
        <v>60.327347549827628</v>
      </c>
      <c r="F612" s="59">
        <v>107.82277844402761</v>
      </c>
      <c r="G612" s="59">
        <v>237.34023266755403</v>
      </c>
      <c r="H612" s="59">
        <v>1269.3209230444097</v>
      </c>
      <c r="J612" s="59">
        <v>52.23737579569756</v>
      </c>
      <c r="K612" s="59">
        <v>246.1051892694833</v>
      </c>
      <c r="L612" s="59">
        <v>95.078449852004127</v>
      </c>
      <c r="M612" s="59">
        <v>6058.3001079499545</v>
      </c>
      <c r="N612" s="59">
        <v>1871.1657799039817</v>
      </c>
      <c r="P612" s="59">
        <v>163.69631683321714</v>
      </c>
      <c r="R612" s="59">
        <v>277319.65775318886</v>
      </c>
      <c r="S612" s="59">
        <v>159149473.55810311</v>
      </c>
    </row>
    <row r="613" spans="2:19" x14ac:dyDescent="0.2">
      <c r="B613" s="59">
        <v>610</v>
      </c>
      <c r="C613" s="59">
        <v>75</v>
      </c>
      <c r="D613" s="59">
        <v>2.2717001033048514</v>
      </c>
      <c r="E613" s="59">
        <v>59.721380380866805</v>
      </c>
      <c r="F613" s="59">
        <v>106.81246010991852</v>
      </c>
      <c r="G613" s="59">
        <v>235.3330374273161</v>
      </c>
      <c r="H613" s="59">
        <v>1261.7779748066018</v>
      </c>
      <c r="J613" s="59">
        <v>51.90454038204107</v>
      </c>
      <c r="K613" s="59">
        <v>244.78898596469759</v>
      </c>
      <c r="L613" s="59">
        <v>94.549795790851462</v>
      </c>
      <c r="M613" s="59">
        <v>6064.7725647566049</v>
      </c>
      <c r="N613" s="59">
        <v>1878.0675602778019</v>
      </c>
      <c r="P613" s="59">
        <v>162.63083621604818</v>
      </c>
      <c r="R613" s="59">
        <v>275726.43306210387</v>
      </c>
      <c r="S613" s="59">
        <v>159209591.73671043</v>
      </c>
    </row>
    <row r="614" spans="2:19" x14ac:dyDescent="0.2">
      <c r="B614" s="59">
        <v>611</v>
      </c>
      <c r="C614" s="59">
        <v>75</v>
      </c>
      <c r="D614" s="59">
        <v>2.2419786936199464</v>
      </c>
      <c r="E614" s="59">
        <v>59.121431744573329</v>
      </c>
      <c r="F614" s="59">
        <v>105.81132041948408</v>
      </c>
      <c r="G614" s="59">
        <v>233.34183254186019</v>
      </c>
      <c r="H614" s="59">
        <v>1254.2740815303148</v>
      </c>
      <c r="J614" s="59">
        <v>51.570317800911212</v>
      </c>
      <c r="K614" s="59">
        <v>243.48182916203012</v>
      </c>
      <c r="L614" s="59">
        <v>94.023570524563382</v>
      </c>
      <c r="M614" s="59">
        <v>6071.2088777216277</v>
      </c>
      <c r="N614" s="59">
        <v>1884.9247598610204</v>
      </c>
      <c r="P614" s="59">
        <v>161.57185600667233</v>
      </c>
      <c r="R614" s="59">
        <v>274141.11848108063</v>
      </c>
      <c r="S614" s="59">
        <v>159269215.20163763</v>
      </c>
    </row>
    <row r="615" spans="2:19" x14ac:dyDescent="0.2">
      <c r="B615" s="59">
        <v>612</v>
      </c>
      <c r="C615" s="59">
        <v>76</v>
      </c>
      <c r="D615" s="59">
        <v>2.2126461390450856</v>
      </c>
      <c r="E615" s="59">
        <v>58.527442789496817</v>
      </c>
      <c r="F615" s="59">
        <v>104.81927962208168</v>
      </c>
      <c r="G615" s="59">
        <v>231.36650192301084</v>
      </c>
      <c r="H615" s="59">
        <v>1246.8090951130262</v>
      </c>
      <c r="J615" s="59">
        <v>51.296025831653907</v>
      </c>
      <c r="K615" s="59">
        <v>242.12239568143505</v>
      </c>
      <c r="L615" s="59">
        <v>93.499768499557831</v>
      </c>
      <c r="M615" s="59">
        <v>6077.6091966649528</v>
      </c>
      <c r="N615" s="59">
        <v>1891.737647735745</v>
      </c>
      <c r="P615" s="59">
        <v>160.51934161899939</v>
      </c>
      <c r="Q615" s="59">
        <v>1926.2320994279928</v>
      </c>
      <c r="R615" s="59">
        <v>272563.69439395878</v>
      </c>
      <c r="S615" s="59">
        <v>159328347.75825635</v>
      </c>
    </row>
    <row r="616" spans="2:19" x14ac:dyDescent="0.2">
      <c r="B616" s="59">
        <v>613</v>
      </c>
      <c r="C616" s="59">
        <v>76</v>
      </c>
      <c r="D616" s="59">
        <v>2.1836973520592458</v>
      </c>
      <c r="E616" s="59">
        <v>57.939355226961915</v>
      </c>
      <c r="F616" s="59">
        <v>103.83625861354619</v>
      </c>
      <c r="G616" s="59">
        <v>229.40693019423253</v>
      </c>
      <c r="H616" s="59">
        <v>1239.3828674778226</v>
      </c>
      <c r="J616" s="59">
        <v>51.018783459110693</v>
      </c>
      <c r="K616" s="59">
        <v>240.77320306800431</v>
      </c>
      <c r="L616" s="59">
        <v>92.978384174989401</v>
      </c>
      <c r="M616" s="59">
        <v>6083.9740288455359</v>
      </c>
      <c r="N616" s="59">
        <v>1898.5064915877426</v>
      </c>
      <c r="P616" s="59">
        <v>159.47323458496433</v>
      </c>
      <c r="R616" s="59">
        <v>270993.97900758206</v>
      </c>
      <c r="S616" s="59">
        <v>159386993.15242487</v>
      </c>
    </row>
    <row r="617" spans="2:19" x14ac:dyDescent="0.2">
      <c r="B617" s="59">
        <v>614</v>
      </c>
      <c r="C617" s="59">
        <v>76</v>
      </c>
      <c r="D617" s="59">
        <v>2.1551273117031373</v>
      </c>
      <c r="E617" s="59">
        <v>57.357111325863642</v>
      </c>
      <c r="F617" s="59">
        <v>102.86217893155656</v>
      </c>
      <c r="G617" s="59">
        <v>227.46300268784296</v>
      </c>
      <c r="H617" s="59">
        <v>1231.9952505800804</v>
      </c>
      <c r="J617" s="59">
        <v>50.74233767820612</v>
      </c>
      <c r="K617" s="59">
        <v>239.43051384503656</v>
      </c>
      <c r="L617" s="59">
        <v>92.459409993223844</v>
      </c>
      <c r="M617" s="59">
        <v>6090.3035111268609</v>
      </c>
      <c r="N617" s="59">
        <v>1905.2315565196318</v>
      </c>
      <c r="P617" s="59">
        <v>158.43350157345387</v>
      </c>
      <c r="R617" s="59">
        <v>269431.95789089805</v>
      </c>
      <c r="S617" s="59">
        <v>159445155.1070964</v>
      </c>
    </row>
    <row r="618" spans="2:19" x14ac:dyDescent="0.2">
      <c r="B618" s="59">
        <v>615</v>
      </c>
      <c r="C618" s="59">
        <v>76</v>
      </c>
      <c r="D618" s="59">
        <v>2.1269310627083544</v>
      </c>
      <c r="E618" s="59">
        <v>56.780653907508331</v>
      </c>
      <c r="F618" s="59">
        <v>101.89696275102733</v>
      </c>
      <c r="G618" s="59">
        <v>225.53460544221656</v>
      </c>
      <c r="H618" s="59">
        <v>1224.6460964140672</v>
      </c>
      <c r="J618" s="59">
        <v>50.466701527805355</v>
      </c>
      <c r="K618" s="59">
        <v>238.09430197877359</v>
      </c>
      <c r="L618" s="59">
        <v>91.942838571962682</v>
      </c>
      <c r="M618" s="59">
        <v>6096.5978020497932</v>
      </c>
      <c r="N618" s="59">
        <v>1911.9131062941435</v>
      </c>
      <c r="P618" s="59">
        <v>157.40010791510301</v>
      </c>
      <c r="R618" s="59">
        <v>267877.60660625802</v>
      </c>
      <c r="S618" s="59">
        <v>159502837.32028124</v>
      </c>
    </row>
    <row r="619" spans="2:19" x14ac:dyDescent="0.2">
      <c r="B619" s="59">
        <v>616</v>
      </c>
      <c r="C619" s="59">
        <v>76</v>
      </c>
      <c r="D619" s="59">
        <v>2.0991037146379199</v>
      </c>
      <c r="E619" s="59">
        <v>56.209926340499855</v>
      </c>
      <c r="F619" s="59">
        <v>100.94053287952515</v>
      </c>
      <c r="G619" s="59">
        <v>223.62162519897802</v>
      </c>
      <c r="H619" s="59">
        <v>1217.3352570194663</v>
      </c>
      <c r="J619" s="59">
        <v>50.191887592203187</v>
      </c>
      <c r="K619" s="59">
        <v>236.76454157118866</v>
      </c>
      <c r="L619" s="59">
        <v>91.428662569890832</v>
      </c>
      <c r="M619" s="59">
        <v>6102.8570598472861</v>
      </c>
      <c r="N619" s="59">
        <v>1918.5514032663305</v>
      </c>
      <c r="P619" s="59">
        <v>156.37301908693229</v>
      </c>
      <c r="R619" s="59">
        <v>266330.90065332426</v>
      </c>
      <c r="S619" s="59">
        <v>159560043.46517104</v>
      </c>
    </row>
    <row r="620" spans="2:19" x14ac:dyDescent="0.2">
      <c r="B620" s="59">
        <v>617</v>
      </c>
      <c r="C620" s="59">
        <v>76</v>
      </c>
      <c r="D620" s="59">
        <v>2.071640441038074</v>
      </c>
      <c r="E620" s="59">
        <v>55.6448725356707</v>
      </c>
      <c r="F620" s="59">
        <v>99.992812752710023</v>
      </c>
      <c r="G620" s="59">
        <v>221.72394940018657</v>
      </c>
      <c r="H620" s="59">
        <v>1210.0625844878223</v>
      </c>
      <c r="J620" s="59">
        <v>49.917908012345059</v>
      </c>
      <c r="K620" s="59">
        <v>235.44120685741001</v>
      </c>
      <c r="L620" s="59">
        <v>90.916874683327848</v>
      </c>
      <c r="M620" s="59">
        <v>6109.0814424402106</v>
      </c>
      <c r="N620" s="59">
        <v>1925.1467083892851</v>
      </c>
      <c r="P620" s="59">
        <v>155.35220071222062</v>
      </c>
      <c r="R620" s="59">
        <v>264791.81547018292</v>
      </c>
      <c r="S620" s="59">
        <v>159616777.19026303</v>
      </c>
    </row>
    <row r="621" spans="2:19" x14ac:dyDescent="0.2">
      <c r="B621" s="59">
        <v>618</v>
      </c>
      <c r="C621" s="59">
        <v>76</v>
      </c>
      <c r="D621" s="59">
        <v>2.0445364786011591</v>
      </c>
      <c r="E621" s="59">
        <v>55.085436941057587</v>
      </c>
      <c r="F621" s="59">
        <v>99.053726429801557</v>
      </c>
      <c r="G621" s="59">
        <v>219.84146618551125</v>
      </c>
      <c r="H621" s="59">
        <v>1202.8279309689101</v>
      </c>
      <c r="J621" s="59">
        <v>49.644774496780819</v>
      </c>
      <c r="K621" s="59">
        <v>234.12427220320882</v>
      </c>
      <c r="L621" s="59">
        <v>90.40746764306607</v>
      </c>
      <c r="M621" s="59">
        <v>6115.2711074332155</v>
      </c>
      <c r="N621" s="59">
        <v>1931.6992812198534</v>
      </c>
      <c r="P621" s="59">
        <v>154.33761856037182</v>
      </c>
      <c r="R621" s="59">
        <v>263260.32643451833</v>
      </c>
      <c r="S621" s="59">
        <v>159673042.11948383</v>
      </c>
    </row>
    <row r="622" spans="2:19" x14ac:dyDescent="0.2">
      <c r="B622" s="59">
        <v>619</v>
      </c>
      <c r="C622" s="59">
        <v>76</v>
      </c>
      <c r="D622" s="59">
        <v>2.0177871263394604</v>
      </c>
      <c r="E622" s="59">
        <v>54.531564536921266</v>
      </c>
      <c r="F622" s="59">
        <v>98.123198589070029</v>
      </c>
      <c r="G622" s="59">
        <v>217.97406438939763</v>
      </c>
      <c r="H622" s="59">
        <v>1195.6311486770276</v>
      </c>
      <c r="J622" s="59">
        <v>49.372498332357559</v>
      </c>
      <c r="K622" s="59">
        <v>232.81371210255</v>
      </c>
      <c r="L622" s="59">
        <v>89.900434211387079</v>
      </c>
      <c r="M622" s="59">
        <v>6121.4262121106121</v>
      </c>
      <c r="N622" s="59">
        <v>1938.2093799243432</v>
      </c>
      <c r="P622" s="59">
        <v>153.32923854677449</v>
      </c>
      <c r="R622" s="59">
        <v>261736.4088648441</v>
      </c>
      <c r="S622" s="59">
        <v>159728841.85231307</v>
      </c>
    </row>
    <row r="623" spans="2:19" x14ac:dyDescent="0.2">
      <c r="B623" s="59">
        <v>620</v>
      </c>
      <c r="C623" s="59">
        <v>76</v>
      </c>
      <c r="D623" s="59">
        <v>1.9913877447698525</v>
      </c>
      <c r="E623" s="59">
        <v>53.983200830810148</v>
      </c>
      <c r="F623" s="59">
        <v>97.201154523352287</v>
      </c>
      <c r="G623" s="59">
        <v>216.12163353822615</v>
      </c>
      <c r="H623" s="59">
        <v>1188.4720898972114</v>
      </c>
      <c r="J623" s="59">
        <v>49.101090394657703</v>
      </c>
      <c r="K623" s="59">
        <v>231.5095011752048</v>
      </c>
      <c r="L623" s="59">
        <v>89.395767179248267</v>
      </c>
      <c r="M623" s="59">
        <v>6127.5469134322984</v>
      </c>
      <c r="N623" s="59">
        <v>1944.6772612842267</v>
      </c>
      <c r="P623" s="59">
        <v>152.32702673265575</v>
      </c>
      <c r="R623" s="59">
        <v>260220.03802178669</v>
      </c>
      <c r="S623" s="59">
        <v>159784179.96390688</v>
      </c>
    </row>
    <row r="624" spans="2:19" x14ac:dyDescent="0.2">
      <c r="B624" s="59">
        <v>621</v>
      </c>
      <c r="C624" s="59">
        <v>76</v>
      </c>
      <c r="D624" s="59">
        <v>1.9653337551091137</v>
      </c>
      <c r="E624" s="59">
        <v>53.440291852667379</v>
      </c>
      <c r="F624" s="59">
        <v>96.287520135592501</v>
      </c>
      <c r="G624" s="59">
        <v>214.28406384746273</v>
      </c>
      <c r="H624" s="59">
        <v>1181.3506069913776</v>
      </c>
      <c r="J624" s="59">
        <v>48.830561158188587</v>
      </c>
      <c r="K624" s="59">
        <v>230.21161416442354</v>
      </c>
      <c r="L624" s="59">
        <v>88.89345936363182</v>
      </c>
      <c r="M624" s="59">
        <v>6133.6333680297139</v>
      </c>
      <c r="N624" s="59">
        <v>1951.1031807018383</v>
      </c>
      <c r="P624" s="59">
        <v>151.33094932492847</v>
      </c>
      <c r="R624" s="59">
        <v>258711.18910941653</v>
      </c>
      <c r="S624" s="59">
        <v>159839060.00522107</v>
      </c>
    </row>
    <row r="625" spans="2:19" x14ac:dyDescent="0.2">
      <c r="B625" s="59">
        <v>622</v>
      </c>
      <c r="C625" s="59">
        <v>76</v>
      </c>
      <c r="D625" s="59">
        <v>1.9396206384797694</v>
      </c>
      <c r="E625" s="59">
        <v>52.902784149981073</v>
      </c>
      <c r="F625" s="59">
        <v>95.382221934407667</v>
      </c>
      <c r="G625" s="59">
        <v>212.46124621880165</v>
      </c>
      <c r="H625" s="59">
        <v>1174.2665524043866</v>
      </c>
      <c r="J625" s="59">
        <v>48.560920706329362</v>
      </c>
      <c r="K625" s="59">
        <v>228.92002593466742</v>
      </c>
      <c r="L625" s="59">
        <v>88.393503605048551</v>
      </c>
      <c r="M625" s="59">
        <v>6139.6857322018368</v>
      </c>
      <c r="N625" s="59">
        <v>1957.4873922060665</v>
      </c>
      <c r="P625" s="59">
        <v>150.34097267603201</v>
      </c>
      <c r="R625" s="59">
        <v>257209.83727662347</v>
      </c>
      <c r="S625" s="59">
        <v>159893485.50313407</v>
      </c>
    </row>
    <row r="626" spans="2:19" x14ac:dyDescent="0.2">
      <c r="B626" s="59">
        <v>623</v>
      </c>
      <c r="C626" s="59">
        <v>76</v>
      </c>
      <c r="D626" s="59">
        <v>1.9142439351263258</v>
      </c>
      <c r="E626" s="59">
        <v>52.370624782977281</v>
      </c>
      <c r="F626" s="59">
        <v>94.485187029677931</v>
      </c>
      <c r="G626" s="59">
        <v>210.6530722373013</v>
      </c>
      <c r="H626" s="59">
        <v>1167.2197786700344</v>
      </c>
      <c r="J626" s="59">
        <v>48.292178741041091</v>
      </c>
      <c r="K626" s="59">
        <v>227.6347114693981</v>
      </c>
      <c r="L626" s="59">
        <v>87.895892765189515</v>
      </c>
      <c r="M626" s="59">
        <v>6145.7041619112197</v>
      </c>
      <c r="N626" s="59">
        <v>1963.8301484580402</v>
      </c>
      <c r="P626" s="59">
        <v>149.35706328376705</v>
      </c>
      <c r="R626" s="59">
        <v>255715.95761853195</v>
      </c>
      <c r="S626" s="59">
        <v>159947459.96056986</v>
      </c>
    </row>
    <row r="627" spans="2:19" x14ac:dyDescent="0.2">
      <c r="B627" s="59">
        <v>624</v>
      </c>
      <c r="C627" s="59">
        <v>77</v>
      </c>
      <c r="D627" s="59">
        <v>1.8891992436417564</v>
      </c>
      <c r="E627" s="59">
        <v>51.843761319855417</v>
      </c>
      <c r="F627" s="59">
        <v>93.596343128161649</v>
      </c>
      <c r="G627" s="59">
        <v>208.85943416851316</v>
      </c>
      <c r="H627" s="59">
        <v>1160.2101384169689</v>
      </c>
      <c r="J627" s="59">
        <v>48.02434459234567</v>
      </c>
      <c r="K627" s="59">
        <v>226.35564586892366</v>
      </c>
      <c r="L627" s="59">
        <v>87.400619724718425</v>
      </c>
      <c r="M627" s="59">
        <v>6151.6888127800676</v>
      </c>
      <c r="N627" s="59">
        <v>1970.1317007568093</v>
      </c>
      <c r="P627" s="59">
        <v>148.37918779112377</v>
      </c>
      <c r="Q627" s="59">
        <v>1780.5502534934853</v>
      </c>
      <c r="R627" s="59">
        <v>254229.52517795231</v>
      </c>
      <c r="S627" s="59">
        <v>160000986.85662049</v>
      </c>
    </row>
    <row r="628" spans="2:19" x14ac:dyDescent="0.2">
      <c r="B628" s="59">
        <v>625</v>
      </c>
      <c r="C628" s="59">
        <v>77</v>
      </c>
      <c r="D628" s="59">
        <v>1.86448222020411</v>
      </c>
      <c r="E628" s="59">
        <v>51.322141832065761</v>
      </c>
      <c r="F628" s="59">
        <v>92.715618529135142</v>
      </c>
      <c r="G628" s="59">
        <v>207.08022495560411</v>
      </c>
      <c r="H628" s="59">
        <v>1153.2374843745331</v>
      </c>
      <c r="J628" s="59">
        <v>47.757427227579157</v>
      </c>
      <c r="K628" s="59">
        <v>225.08280434830004</v>
      </c>
      <c r="L628" s="59">
        <v>86.907677381198454</v>
      </c>
      <c r="M628" s="59">
        <v>6157.6398400863663</v>
      </c>
      <c r="N628" s="59">
        <v>1976.3922990450199</v>
      </c>
      <c r="P628" s="59">
        <v>147.40731298610419</v>
      </c>
      <c r="R628" s="59">
        <v>252750.51494686535</v>
      </c>
      <c r="S628" s="59">
        <v>160054069.64666852</v>
      </c>
    </row>
    <row r="629" spans="2:19" x14ac:dyDescent="0.2">
      <c r="B629" s="59">
        <v>626</v>
      </c>
      <c r="C629" s="59">
        <v>77</v>
      </c>
      <c r="D629" s="59">
        <v>1.8400885778231062</v>
      </c>
      <c r="E629" s="59">
        <v>50.805714889628732</v>
      </c>
      <c r="F629" s="59">
        <v>91.842942120057145</v>
      </c>
      <c r="G629" s="59">
        <v>205.31533821647261</v>
      </c>
      <c r="H629" s="59">
        <v>1146.3016693785346</v>
      </c>
      <c r="J629" s="59">
        <v>47.491435260424815</v>
      </c>
      <c r="K629" s="59">
        <v>223.8161622352863</v>
      </c>
      <c r="L629" s="59">
        <v>86.417058647147087</v>
      </c>
      <c r="M629" s="59">
        <v>6163.5573987600501</v>
      </c>
      <c r="N629" s="59">
        <v>1982.6121919145819</v>
      </c>
      <c r="P629" s="59">
        <v>146.44140580153797</v>
      </c>
      <c r="R629" s="59">
        <v>251278.90186793596</v>
      </c>
      <c r="S629" s="59">
        <v>160106711.76250926</v>
      </c>
    </row>
    <row r="630" spans="2:19" x14ac:dyDescent="0.2">
      <c r="B630" s="59">
        <v>627</v>
      </c>
      <c r="C630" s="59">
        <v>77</v>
      </c>
      <c r="D630" s="59">
        <v>1.8160140855965872</v>
      </c>
      <c r="E630" s="59">
        <v>50.294429556495544</v>
      </c>
      <c r="F630" s="59">
        <v>90.978243372257921</v>
      </c>
      <c r="G630" s="59">
        <v>203.56466824085905</v>
      </c>
      <c r="H630" s="59">
        <v>1139.4025463769435</v>
      </c>
      <c r="J630" s="59">
        <v>47.226376959731255</v>
      </c>
      <c r="K630" s="59">
        <v>222.55569496835292</v>
      </c>
      <c r="L630" s="59">
        <v>85.928756448212937</v>
      </c>
      <c r="M630" s="59">
        <v>6169.4416433792239</v>
      </c>
      <c r="N630" s="59">
        <v>1988.7916266123332</v>
      </c>
      <c r="P630" s="59">
        <v>145.48143331489243</v>
      </c>
      <c r="R630" s="59">
        <v>249814.66083605334</v>
      </c>
      <c r="S630" s="59">
        <v>160158916.6124728</v>
      </c>
    </row>
    <row r="631" spans="2:19" x14ac:dyDescent="0.2">
      <c r="B631" s="59">
        <v>628</v>
      </c>
      <c r="C631" s="59">
        <v>77</v>
      </c>
      <c r="D631" s="59">
        <v>1.7922545679766986</v>
      </c>
      <c r="E631" s="59">
        <v>49.788235385949946</v>
      </c>
      <c r="F631" s="59">
        <v>90.121452336652993</v>
      </c>
      <c r="G631" s="59">
        <v>201.82810998745046</v>
      </c>
      <c r="H631" s="59">
        <v>1132.5399684355173</v>
      </c>
      <c r="J631" s="59">
        <v>46.962260258120693</v>
      </c>
      <c r="K631" s="59">
        <v>221.30137809474192</v>
      </c>
      <c r="L631" s="59">
        <v>85.442763721468893</v>
      </c>
      <c r="M631" s="59">
        <v>6175.2927281664333</v>
      </c>
      <c r="N631" s="59">
        <v>1994.9308490456947</v>
      </c>
      <c r="P631" s="59">
        <v>144.52736274807643</v>
      </c>
      <c r="R631" s="59">
        <v>248357.76669989462</v>
      </c>
      <c r="S631" s="59">
        <v>160210687.58154589</v>
      </c>
    </row>
    <row r="632" spans="2:19" x14ac:dyDescent="0.2">
      <c r="B632" s="59">
        <v>629</v>
      </c>
      <c r="C632" s="59">
        <v>77</v>
      </c>
      <c r="D632" s="59">
        <v>1.7688059040456701</v>
      </c>
      <c r="E632" s="59">
        <v>49.287082416050737</v>
      </c>
      <c r="F632" s="59">
        <v>89.272499639481438</v>
      </c>
      <c r="G632" s="59">
        <v>200.10555908098013</v>
      </c>
      <c r="H632" s="59">
        <v>1125.7137887433539</v>
      </c>
      <c r="J632" s="59">
        <v>46.699092760392453</v>
      </c>
      <c r="K632" s="59">
        <v>220.0531872685774</v>
      </c>
      <c r="L632" s="59">
        <v>84.959073413816057</v>
      </c>
      <c r="M632" s="59">
        <v>6181.1108069849879</v>
      </c>
      <c r="N632" s="59">
        <v>2001.030103788321</v>
      </c>
      <c r="P632" s="59">
        <v>143.57916146723827</v>
      </c>
      <c r="R632" s="59">
        <v>246908.19426350895</v>
      </c>
      <c r="S632" s="59">
        <v>160262028.0314936</v>
      </c>
    </row>
    <row r="633" spans="2:19" x14ac:dyDescent="0.2">
      <c r="B633" s="59">
        <v>630</v>
      </c>
      <c r="C633" s="59">
        <v>77</v>
      </c>
      <c r="D633" s="59">
        <v>1.7456640268010726</v>
      </c>
      <c r="E633" s="59">
        <v>48.790921165114653</v>
      </c>
      <c r="F633" s="59">
        <v>88.431316478068709</v>
      </c>
      <c r="G633" s="59">
        <v>198.39691180932221</v>
      </c>
      <c r="H633" s="59">
        <v>1118.9238606183758</v>
      </c>
      <c r="J633" s="59">
        <v>46.436881751726553</v>
      </c>
      <c r="K633" s="59">
        <v>218.8110982490258</v>
      </c>
      <c r="L633" s="59">
        <v>84.477678480493125</v>
      </c>
      <c r="M633" s="59">
        <v>6186.8960333353352</v>
      </c>
      <c r="N633" s="59">
        <v>2007.0896340857432</v>
      </c>
      <c r="P633" s="59">
        <v>142.63679698255763</v>
      </c>
      <c r="R633" s="59">
        <v>245465.91828791989</v>
      </c>
      <c r="S633" s="59">
        <v>160312941.30098087</v>
      </c>
    </row>
    <row r="634" spans="2:19" x14ac:dyDescent="0.2">
      <c r="B634" s="59">
        <v>631</v>
      </c>
      <c r="C634" s="59">
        <v>77</v>
      </c>
      <c r="D634" s="59">
        <v>1.7228249224504253</v>
      </c>
      <c r="E634" s="59">
        <v>48.299702627239355</v>
      </c>
      <c r="F634" s="59">
        <v>87.597834616614023</v>
      </c>
      <c r="G634" s="59">
        <v>196.70206512058169</v>
      </c>
      <c r="H634" s="59">
        <v>1112.1700375127402</v>
      </c>
      <c r="J634" s="59">
        <v>46.17563420569212</v>
      </c>
      <c r="K634" s="59">
        <v>217.57508689850442</v>
      </c>
      <c r="L634" s="59">
        <v>83.99857188368631</v>
      </c>
      <c r="M634" s="59">
        <v>6192.6485603514911</v>
      </c>
      <c r="N634" s="59">
        <v>2013.1096818610065</v>
      </c>
      <c r="P634" s="59">
        <v>141.7002369480318</v>
      </c>
      <c r="R634" s="59">
        <v>244030.91349274272</v>
      </c>
      <c r="S634" s="59">
        <v>160363430.70569369</v>
      </c>
    </row>
    <row r="635" spans="2:19" x14ac:dyDescent="0.2">
      <c r="B635" s="59">
        <v>632</v>
      </c>
      <c r="C635" s="59">
        <v>77</v>
      </c>
      <c r="D635" s="59">
        <v>1.7002846297150322</v>
      </c>
      <c r="E635" s="59">
        <v>47.81337826786617</v>
      </c>
      <c r="F635" s="59">
        <v>86.771986382002112</v>
      </c>
      <c r="G635" s="59">
        <v>195.02091662018026</v>
      </c>
      <c r="H635" s="59">
        <v>1105.4521730181821</v>
      </c>
      <c r="J635" s="59">
        <v>45.915356792065388</v>
      </c>
      <c r="K635" s="59">
        <v>216.34512918093742</v>
      </c>
      <c r="L635" s="59">
        <v>83.52174659123483</v>
      </c>
      <c r="M635" s="59">
        <v>6198.3685407975245</v>
      </c>
      <c r="N635" s="59">
        <v>2019.0904877202981</v>
      </c>
      <c r="P635" s="59">
        <v>140.76944916125612</v>
      </c>
      <c r="R635" s="59">
        <v>242603.15455781532</v>
      </c>
      <c r="S635" s="59">
        <v>160413499.53846043</v>
      </c>
    </row>
    <row r="636" spans="2:19" x14ac:dyDescent="0.2">
      <c r="B636" s="59">
        <v>633</v>
      </c>
      <c r="C636" s="59">
        <v>77</v>
      </c>
      <c r="D636" s="59">
        <v>1.6780392391429273</v>
      </c>
      <c r="E636" s="59">
        <v>47.331900019382289</v>
      </c>
      <c r="F636" s="59">
        <v>85.95370465963947</v>
      </c>
      <c r="G636" s="59">
        <v>193.35336456793794</v>
      </c>
      <c r="H636" s="59">
        <v>1098.7701208712863</v>
      </c>
      <c r="J636" s="59">
        <v>45.65605588446175</v>
      </c>
      <c r="K636" s="59">
        <v>215.12120116005804</v>
      </c>
      <c r="L636" s="59">
        <v>83.047195575427509</v>
      </c>
      <c r="M636" s="59">
        <v>6204.0561270640974</v>
      </c>
      <c r="N636" s="59">
        <v>2025.032290958572</v>
      </c>
      <c r="P636" s="59">
        <v>139.84440156319852</v>
      </c>
      <c r="R636" s="59">
        <v>241182.61612483975</v>
      </c>
      <c r="S636" s="59">
        <v>160463151.06937265</v>
      </c>
    </row>
    <row r="637" spans="2:19" x14ac:dyDescent="0.2">
      <c r="B637" s="59">
        <v>634</v>
      </c>
      <c r="C637" s="59">
        <v>77</v>
      </c>
      <c r="D637" s="59">
        <v>1.6560848924308074</v>
      </c>
      <c r="E637" s="59">
        <v>46.855220276762033</v>
      </c>
      <c r="F637" s="59">
        <v>85.142922889314903</v>
      </c>
      <c r="G637" s="59">
        <v>191.69930787515113</v>
      </c>
      <c r="H637" s="59">
        <v>1092.1237349586906</v>
      </c>
      <c r="J637" s="59">
        <v>45.397737567786336</v>
      </c>
      <c r="K637" s="59">
        <v>213.90327899775625</v>
      </c>
      <c r="L637" s="59">
        <v>82.574911811885897</v>
      </c>
      <c r="M637" s="59">
        <v>6209.7114711650647</v>
      </c>
      <c r="N637" s="59">
        <v>2030.9353295651633</v>
      </c>
      <c r="P637" s="59">
        <v>138.92506223796872</v>
      </c>
      <c r="R637" s="59">
        <v>239769.27279903239</v>
      </c>
      <c r="S637" s="59">
        <v>160512388.54590592</v>
      </c>
    </row>
    <row r="638" spans="2:19" x14ac:dyDescent="0.2">
      <c r="B638" s="59">
        <v>635</v>
      </c>
      <c r="C638" s="59">
        <v>77</v>
      </c>
      <c r="D638" s="59">
        <v>1.6344177817548375</v>
      </c>
      <c r="E638" s="59">
        <v>46.383291893246962</v>
      </c>
      <c r="F638" s="59">
        <v>84.339575061084432</v>
      </c>
      <c r="G638" s="59">
        <v>190.05864610166731</v>
      </c>
      <c r="H638" s="59">
        <v>1085.5128693222207</v>
      </c>
      <c r="J638" s="59">
        <v>45.140407645507459</v>
      </c>
      <c r="K638" s="59">
        <v>212.69133895247052</v>
      </c>
      <c r="L638" s="59">
        <v>82.104888278529884</v>
      </c>
      <c r="M638" s="59">
        <v>6215.334724734128</v>
      </c>
      <c r="N638" s="59">
        <v>2036.7998402293958</v>
      </c>
      <c r="P638" s="59">
        <v>138.01139941258177</v>
      </c>
      <c r="R638" s="59">
        <v>238363.09915078132</v>
      </c>
      <c r="S638" s="59">
        <v>160561215.19304037</v>
      </c>
    </row>
    <row r="639" spans="2:19" x14ac:dyDescent="0.2">
      <c r="B639" s="59">
        <v>636</v>
      </c>
      <c r="C639" s="59">
        <v>78</v>
      </c>
      <c r="D639" s="59">
        <v>1.6130341491102118</v>
      </c>
      <c r="E639" s="59">
        <v>45.916068176064414</v>
      </c>
      <c r="F639" s="59">
        <v>83.543595711180473</v>
      </c>
      <c r="G639" s="59">
        <v>188.43127945295649</v>
      </c>
      <c r="H639" s="59">
        <v>1078.9373781639563</v>
      </c>
      <c r="J639" s="59">
        <v>44.884071646757143</v>
      </c>
      <c r="K639" s="59">
        <v>211.48535737762299</v>
      </c>
      <c r="L639" s="59">
        <v>81.637117954621559</v>
      </c>
      <c r="M639" s="59">
        <v>6220.9260390215522</v>
      </c>
      <c r="N639" s="59">
        <v>2042.626058346184</v>
      </c>
      <c r="P639" s="59">
        <v>137.10338145671599</v>
      </c>
      <c r="Q639" s="59">
        <v>1645.240577480592</v>
      </c>
      <c r="R639" s="59">
        <v>236964.06971730781</v>
      </c>
      <c r="S639" s="59">
        <v>160609634.21338111</v>
      </c>
    </row>
    <row r="640" spans="2:19" x14ac:dyDescent="0.2">
      <c r="B640" s="59">
        <v>637</v>
      </c>
      <c r="C640" s="59">
        <v>78</v>
      </c>
      <c r="D640" s="59">
        <v>1.5919302856593531</v>
      </c>
      <c r="E640" s="59">
        <v>45.453502882184232</v>
      </c>
      <c r="F640" s="59">
        <v>82.754919917945188</v>
      </c>
      <c r="G640" s="59">
        <v>186.81710877717987</v>
      </c>
      <c r="H640" s="59">
        <v>1072.3971158512309</v>
      </c>
      <c r="J640" s="59">
        <v>44.628734833262875</v>
      </c>
      <c r="K640" s="59">
        <v>210.28531072009704</v>
      </c>
      <c r="L640" s="59">
        <v>81.17159381988364</v>
      </c>
      <c r="M640" s="59">
        <v>6226.4855648909379</v>
      </c>
      <c r="N640" s="59">
        <v>2048.4142180216249</v>
      </c>
      <c r="P640" s="59">
        <v>136.20097688246585</v>
      </c>
      <c r="R640" s="59">
        <v>235572.15900433189</v>
      </c>
      <c r="S640" s="59">
        <v>160657648.78727844</v>
      </c>
    </row>
    <row r="641" spans="2:19" x14ac:dyDescent="0.2">
      <c r="B641" s="59">
        <v>638</v>
      </c>
      <c r="C641" s="59">
        <v>78</v>
      </c>
      <c r="D641" s="59">
        <v>1.5711025310886433</v>
      </c>
      <c r="E641" s="59">
        <v>44.995550214113322</v>
      </c>
      <c r="F641" s="59">
        <v>81.97348329778805</v>
      </c>
      <c r="G641" s="59">
        <v>185.21603556225597</v>
      </c>
      <c r="H641" s="59">
        <v>1065.8919369215632</v>
      </c>
      <c r="J641" s="59">
        <v>44.374402206114624</v>
      </c>
      <c r="K641" s="59">
        <v>209.09117551875616</v>
      </c>
      <c r="L641" s="59">
        <v>80.708308853688649</v>
      </c>
      <c r="M641" s="59">
        <v>6232.0134528160543</v>
      </c>
      <c r="N641" s="59">
        <v>2054.1645520785833</v>
      </c>
      <c r="P641" s="59">
        <v>135.30415434408914</v>
      </c>
      <c r="R641" s="59">
        <v>234187.34148773862</v>
      </c>
      <c r="S641" s="59">
        <v>160705262.07294783</v>
      </c>
    </row>
    <row r="642" spans="2:19" x14ac:dyDescent="0.2">
      <c r="B642" s="59">
        <v>639</v>
      </c>
      <c r="C642" s="59">
        <v>78</v>
      </c>
      <c r="D642" s="59">
        <v>1.5505472729735668</v>
      </c>
      <c r="E642" s="59">
        <v>44.542164815727759</v>
      </c>
      <c r="F642" s="59">
        <v>81.199222001167513</v>
      </c>
      <c r="G642" s="59">
        <v>183.62796193292451</v>
      </c>
      <c r="H642" s="59">
        <v>1059.4216960875228</v>
      </c>
      <c r="J642" s="59">
        <v>44.121078512370971</v>
      </c>
      <c r="K642" s="59">
        <v>207.90292840300327</v>
      </c>
      <c r="L642" s="59">
        <v>80.247256034315356</v>
      </c>
      <c r="M642" s="59">
        <v>6237.5098528777326</v>
      </c>
      <c r="N642" s="59">
        <v>2059.8772920622678</v>
      </c>
      <c r="P642" s="59">
        <v>134.41288263774925</v>
      </c>
      <c r="R642" s="59">
        <v>232809.59161524457</v>
      </c>
      <c r="S642" s="59">
        <v>160752477.20658973</v>
      </c>
    </row>
    <row r="643" spans="2:19" x14ac:dyDescent="0.2">
      <c r="B643" s="59">
        <v>640</v>
      </c>
      <c r="C643" s="59">
        <v>78</v>
      </c>
      <c r="D643" s="59">
        <v>1.5302609461521626</v>
      </c>
      <c r="E643" s="59">
        <v>44.093301768142084</v>
      </c>
      <c r="F643" s="59">
        <v>80.432072708596678</v>
      </c>
      <c r="G643" s="59">
        <v>182.05279064780817</v>
      </c>
      <c r="H643" s="59">
        <v>1052.9862482415294</v>
      </c>
      <c r="J643" s="59">
        <v>43.868768251508321</v>
      </c>
      <c r="K643" s="59">
        <v>206.72054609137967</v>
      </c>
      <c r="L643" s="59">
        <v>79.788428338269142</v>
      </c>
      <c r="M643" s="59">
        <v>6242.974914760819</v>
      </c>
      <c r="N643" s="59">
        <v>2065.5526682458008</v>
      </c>
      <c r="P643" s="59">
        <v>133.52713070125205</v>
      </c>
      <c r="R643" s="59">
        <v>231438.88380806282</v>
      </c>
      <c r="S643" s="59">
        <v>160799297.30250922</v>
      </c>
    </row>
    <row r="644" spans="2:19" x14ac:dyDescent="0.2">
      <c r="B644" s="59">
        <v>641</v>
      </c>
      <c r="C644" s="59">
        <v>78</v>
      </c>
      <c r="D644" s="59">
        <v>1.5102400321066718</v>
      </c>
      <c r="E644" s="59">
        <v>43.648916585615588</v>
      </c>
      <c r="F644" s="59">
        <v>79.671972626673067</v>
      </c>
      <c r="G644" s="59">
        <v>180.49042509647262</v>
      </c>
      <c r="H644" s="59">
        <v>1046.5854484605863</v>
      </c>
      <c r="J644" s="59">
        <v>43.617475681716883</v>
      </c>
      <c r="K644" s="59">
        <v>205.54400539020267</v>
      </c>
      <c r="L644" s="59">
        <v>79.331818739662978</v>
      </c>
      <c r="M644" s="59">
        <v>6248.4087877511902</v>
      </c>
      <c r="N644" s="59">
        <v>2071.1909096357786</v>
      </c>
      <c r="P644" s="59">
        <v>132.64686761377797</v>
      </c>
      <c r="R644" s="59">
        <v>230075.19246256491</v>
      </c>
      <c r="S644" s="59">
        <v>160845725.45323542</v>
      </c>
    </row>
    <row r="645" spans="2:19" x14ac:dyDescent="0.2">
      <c r="B645" s="59">
        <v>642</v>
      </c>
      <c r="C645" s="59">
        <v>78</v>
      </c>
      <c r="D645" s="59">
        <v>1.4904810583532762</v>
      </c>
      <c r="E645" s="59">
        <v>43.208965211495133</v>
      </c>
      <c r="F645" s="59">
        <v>78.918859484132199</v>
      </c>
      <c r="G645" s="59">
        <v>178.9407692964852</v>
      </c>
      <c r="H645" s="59">
        <v>1040.2191520109493</v>
      </c>
      <c r="J645" s="59">
        <v>43.367204826047008</v>
      </c>
      <c r="K645" s="59">
        <v>204.3732831922409</v>
      </c>
      <c r="L645" s="59">
        <v>78.877420209655995</v>
      </c>
      <c r="M645" s="59">
        <v>6253.8116207328248</v>
      </c>
      <c r="N645" s="59">
        <v>2076.7922439778222</v>
      </c>
      <c r="P645" s="59">
        <v>131.77206259560882</v>
      </c>
      <c r="R645" s="59">
        <v>228718.49195193849</v>
      </c>
      <c r="S645" s="59">
        <v>160891764.7296406</v>
      </c>
    </row>
    <row r="646" spans="2:19" x14ac:dyDescent="0.2">
      <c r="B646" s="59">
        <v>643</v>
      </c>
      <c r="C646" s="59">
        <v>78</v>
      </c>
      <c r="D646" s="59">
        <v>1.4709805978398207</v>
      </c>
      <c r="E646" s="59">
        <v>42.773404014194334</v>
      </c>
      <c r="F646" s="59">
        <v>78.172671527925189</v>
      </c>
      <c r="G646" s="59">
        <v>177.40372789047223</v>
      </c>
      <c r="H646" s="59">
        <v>1033.8872143527306</v>
      </c>
      <c r="J646" s="59">
        <v>43.117959478409553</v>
      </c>
      <c r="K646" s="59">
        <v>203.20835647542671</v>
      </c>
      <c r="L646" s="59">
        <v>78.425225715946624</v>
      </c>
      <c r="M646" s="59">
        <v>6259.1835621849414</v>
      </c>
      <c r="N646" s="59">
        <v>2082.3568977621198</v>
      </c>
      <c r="P646" s="59">
        <v>130.90268500784998</v>
      </c>
      <c r="R646" s="59">
        <v>227368.75662783979</v>
      </c>
      <c r="S646" s="59">
        <v>160937418.18105933</v>
      </c>
    </row>
    <row r="647" spans="2:19" x14ac:dyDescent="0.2">
      <c r="B647" s="59">
        <v>644</v>
      </c>
      <c r="C647" s="59">
        <v>78</v>
      </c>
      <c r="D647" s="59">
        <v>1.4517352683514164</v>
      </c>
      <c r="E647" s="59">
        <v>42.342189783208745</v>
      </c>
      <c r="F647" s="59">
        <v>77.433347519320066</v>
      </c>
      <c r="G647" s="59">
        <v>175.87920614317534</v>
      </c>
      <c r="H647" s="59">
        <v>1027.5894911444382</v>
      </c>
      <c r="J647" s="59">
        <v>42.869743209433715</v>
      </c>
      <c r="K647" s="59">
        <v>202.04920230160454</v>
      </c>
      <c r="L647" s="59">
        <v>77.975228222317625</v>
      </c>
      <c r="M647" s="59">
        <v>6264.5247601791934</v>
      </c>
      <c r="N647" s="59">
        <v>2087.885096228963</v>
      </c>
      <c r="P647" s="59">
        <v>130.03870435214756</v>
      </c>
      <c r="R647" s="59">
        <v>226025.96082203917</v>
      </c>
      <c r="S647" s="59">
        <v>160982688.83540711</v>
      </c>
    </row>
    <row r="648" spans="2:19" x14ac:dyDescent="0.2">
      <c r="B648" s="59">
        <v>645</v>
      </c>
      <c r="C648" s="59">
        <v>78</v>
      </c>
      <c r="D648" s="59">
        <v>1.4327417319238187</v>
      </c>
      <c r="E648" s="59">
        <v>41.915279725166748</v>
      </c>
      <c r="F648" s="59">
        <v>76.700826730026861</v>
      </c>
      <c r="G648" s="59">
        <v>174.36710993850727</v>
      </c>
      <c r="H648" s="59">
        <v>1021.3258382474528</v>
      </c>
      <c r="J648" s="59">
        <v>42.622559372185698</v>
      </c>
      <c r="K648" s="59">
        <v>200.89579781531458</v>
      </c>
      <c r="L648" s="59">
        <v>77.527420688230166</v>
      </c>
      <c r="M648" s="59">
        <v>6269.835362376929</v>
      </c>
      <c r="N648" s="59">
        <v>2093.3770633742693</v>
      </c>
      <c r="P648" s="59">
        <v>129.180090270401</v>
      </c>
      <c r="R648" s="59">
        <v>224690.07884805946</v>
      </c>
      <c r="S648" s="59">
        <v>161027579.69929901</v>
      </c>
    </row>
    <row r="649" spans="2:19" x14ac:dyDescent="0.2">
      <c r="B649" s="59">
        <v>646</v>
      </c>
      <c r="C649" s="59">
        <v>78</v>
      </c>
      <c r="D649" s="59">
        <v>1.4139966942644822</v>
      </c>
      <c r="E649" s="59">
        <v>41.492631459915849</v>
      </c>
      <c r="F649" s="59">
        <v>75.975048938346433</v>
      </c>
      <c r="G649" s="59">
        <v>172.86734577660695</v>
      </c>
      <c r="H649" s="59">
        <v>1015.0961117304406</v>
      </c>
      <c r="J649" s="59">
        <v>42.376411107751608</v>
      </c>
      <c r="K649" s="59">
        <v>199.74812024261098</v>
      </c>
      <c r="L649" s="59">
        <v>77.081796068464399</v>
      </c>
      <c r="M649" s="59">
        <v>6275.1155160265062</v>
      </c>
      <c r="N649" s="59">
        <v>2098.8330219550985</v>
      </c>
      <c r="P649" s="59">
        <v>128.32681254447093</v>
      </c>
      <c r="R649" s="59">
        <v>223361.08500280537</v>
      </c>
      <c r="S649" s="59">
        <v>161072093.75816795</v>
      </c>
    </row>
    <row r="650" spans="2:19" x14ac:dyDescent="0.2">
      <c r="B650" s="59">
        <v>647</v>
      </c>
      <c r="C650" s="59">
        <v>78</v>
      </c>
      <c r="D650" s="59">
        <v>1.3954969041811884</v>
      </c>
      <c r="E650" s="59">
        <v>41.074203016644134</v>
      </c>
      <c r="F650" s="59">
        <v>75.255954425342878</v>
      </c>
      <c r="G650" s="59">
        <v>171.37982077089453</v>
      </c>
      <c r="H650" s="59">
        <v>1008.9001678737036</v>
      </c>
      <c r="J650" s="59">
        <v>42.131301350687693</v>
      </c>
      <c r="K650" s="59">
        <v>198.60614688991362</v>
      </c>
      <c r="L650" s="59">
        <v>76.638347312804228</v>
      </c>
      <c r="M650" s="59">
        <v>6280.3653679606741</v>
      </c>
      <c r="N650" s="59">
        <v>2104.2531934951598</v>
      </c>
      <c r="P650" s="59">
        <v>127.47884109588254</v>
      </c>
      <c r="R650" s="59">
        <v>222038.95356818341</v>
      </c>
      <c r="S650" s="59">
        <v>161116233.97638291</v>
      </c>
    </row>
    <row r="651" spans="2:19" x14ac:dyDescent="0.2">
      <c r="B651" s="59">
        <v>648</v>
      </c>
      <c r="C651" s="59">
        <v>79</v>
      </c>
      <c r="D651" s="59">
        <v>1.3772391530181511</v>
      </c>
      <c r="E651" s="59">
        <v>40.659952830036524</v>
      </c>
      <c r="F651" s="59">
        <v>74.543483971039535</v>
      </c>
      <c r="G651" s="59">
        <v>169.90444264512632</v>
      </c>
      <c r="H651" s="59">
        <v>1002.7378631734678</v>
      </c>
      <c r="J651" s="59">
        <v>41.887232834341255</v>
      </c>
      <c r="K651" s="59">
        <v>197.4698551428929</v>
      </c>
      <c r="L651" s="59">
        <v>76.197067365763658</v>
      </c>
      <c r="M651" s="59">
        <v>6285.5850645940127</v>
      </c>
      <c r="N651" s="59">
        <v>2109.6377982903068</v>
      </c>
      <c r="P651" s="59">
        <v>126.63614598552455</v>
      </c>
      <c r="Q651" s="59">
        <v>1519.6337518262947</v>
      </c>
      <c r="R651" s="59">
        <v>220723.65881271177</v>
      </c>
      <c r="S651" s="59">
        <v>161160003.29736668</v>
      </c>
    </row>
    <row r="652" spans="2:19" x14ac:dyDescent="0.2">
      <c r="B652" s="59">
        <v>649</v>
      </c>
      <c r="C652" s="59">
        <v>79</v>
      </c>
      <c r="D652" s="59">
        <v>1.359220274099497</v>
      </c>
      <c r="E652" s="59">
        <v>40.249839736465567</v>
      </c>
      <c r="F652" s="59">
        <v>73.837578850638437</v>
      </c>
      <c r="G652" s="59">
        <v>168.44111973045008</v>
      </c>
      <c r="H652" s="59">
        <v>996.60905434610959</v>
      </c>
      <c r="J652" s="59">
        <v>41.644208096045119</v>
      </c>
      <c r="K652" s="59">
        <v>196.33922246538651</v>
      </c>
      <c r="L652" s="59">
        <v>75.757949166352731</v>
      </c>
      <c r="M652" s="59">
        <v>6290.7747519204322</v>
      </c>
      <c r="N652" s="59">
        <v>2114.9870554140257</v>
      </c>
      <c r="P652" s="59">
        <v>125.79869741334355</v>
      </c>
      <c r="R652" s="59">
        <v>219415.17499311839</v>
      </c>
      <c r="S652" s="59">
        <v>161203404.64371353</v>
      </c>
    </row>
    <row r="653" spans="2:19" x14ac:dyDescent="0.2">
      <c r="B653" s="59">
        <v>650</v>
      </c>
      <c r="C653" s="59">
        <v>79</v>
      </c>
      <c r="D653" s="59">
        <v>1.3414371421800286</v>
      </c>
      <c r="E653" s="59">
        <v>39.843822970216522</v>
      </c>
      <c r="F653" s="59">
        <v>73.138180830763218</v>
      </c>
      <c r="G653" s="59">
        <v>166.98976096246062</v>
      </c>
      <c r="H653" s="59">
        <v>990.51359833232164</v>
      </c>
      <c r="J653" s="59">
        <v>41.402229482188837</v>
      </c>
      <c r="K653" s="59">
        <v>195.21422639834782</v>
      </c>
      <c r="L653" s="59">
        <v>75.320985647880747</v>
      </c>
      <c r="M653" s="59">
        <v>6295.9345755107352</v>
      </c>
      <c r="N653" s="59">
        <v>2120.3011827229111</v>
      </c>
      <c r="P653" s="59">
        <v>124.96646571803431</v>
      </c>
      <c r="R653" s="59">
        <v>218113.47635592773</v>
      </c>
      <c r="S653" s="59">
        <v>161246440.91730663</v>
      </c>
    </row>
    <row r="654" spans="2:19" x14ac:dyDescent="0.2">
      <c r="B654" s="59">
        <v>651</v>
      </c>
      <c r="C654" s="59">
        <v>79</v>
      </c>
      <c r="D654" s="59">
        <v>1.3238866729031733</v>
      </c>
      <c r="E654" s="59">
        <v>39.441862159746357</v>
      </c>
      <c r="F654" s="59">
        <v>72.445232165725415</v>
      </c>
      <c r="G654" s="59">
        <v>165.55027587825626</v>
      </c>
      <c r="H654" s="59">
        <v>984.45135230121662</v>
      </c>
      <c r="J654" s="59">
        <v>41.16129915316948</v>
      </c>
      <c r="K654" s="59">
        <v>194.0948445588246</v>
      </c>
      <c r="L654" s="59">
        <v>74.886169737794802</v>
      </c>
      <c r="M654" s="59">
        <v>6301.0646805102369</v>
      </c>
      <c r="N654" s="59">
        <v>2125.5803968621321</v>
      </c>
      <c r="P654" s="59">
        <v>124.13942137672583</v>
      </c>
      <c r="R654" s="59">
        <v>216818.5371390346</v>
      </c>
      <c r="S654" s="59">
        <v>161289114.99943522</v>
      </c>
    </row>
    <row r="655" spans="2:19" x14ac:dyDescent="0.2">
      <c r="B655" s="59">
        <v>652</v>
      </c>
      <c r="C655" s="59">
        <v>79</v>
      </c>
      <c r="D655" s="59">
        <v>1.3065658222660235</v>
      </c>
      <c r="E655" s="59">
        <v>39.043917323976473</v>
      </c>
      <c r="F655" s="59">
        <v>71.758675593813948</v>
      </c>
      <c r="G655" s="59">
        <v>164.12257461349617</v>
      </c>
      <c r="H655" s="59">
        <v>978.42217365437205</v>
      </c>
      <c r="J655" s="59">
        <v>40.92141908822488</v>
      </c>
      <c r="K655" s="59">
        <v>192.98105463896812</v>
      </c>
      <c r="L655" s="59">
        <v>74.453494357551676</v>
      </c>
      <c r="M655" s="59">
        <v>6306.1652116364457</v>
      </c>
      <c r="N655" s="59">
        <v>2130.8249132708911</v>
      </c>
      <c r="P655" s="59">
        <v>123.31753500466313</v>
      </c>
      <c r="R655" s="59">
        <v>215530.33157326482</v>
      </c>
      <c r="S655" s="59">
        <v>161331429.75091141</v>
      </c>
    </row>
    <row r="656" spans="2:19" x14ac:dyDescent="0.2">
      <c r="B656" s="59">
        <v>653</v>
      </c>
      <c r="C656" s="59">
        <v>79</v>
      </c>
      <c r="D656" s="59">
        <v>1.2894715860913764</v>
      </c>
      <c r="E656" s="59">
        <v>38.649948868618814</v>
      </c>
      <c r="F656" s="59">
        <v>71.078454333607922</v>
      </c>
      <c r="G656" s="59">
        <v>162.70656789945886</v>
      </c>
      <c r="H656" s="59">
        <v>972.42592002981451</v>
      </c>
      <c r="J656" s="59">
        <v>40.682591090152158</v>
      </c>
      <c r="K656" s="59">
        <v>191.87283440507102</v>
      </c>
      <c r="L656" s="59">
        <v>74.022952422521158</v>
      </c>
      <c r="M656" s="59">
        <v>6311.2363131768034</v>
      </c>
      <c r="N656" s="59">
        <v>2136.0349461878664</v>
      </c>
      <c r="P656" s="59">
        <v>122.50077735488514</v>
      </c>
      <c r="R656" s="59">
        <v>214248.83388392197</v>
      </c>
      <c r="S656" s="59">
        <v>161373388.01218694</v>
      </c>
    </row>
    <row r="657" spans="2:19" x14ac:dyDescent="0.2">
      <c r="B657" s="59">
        <v>654</v>
      </c>
      <c r="C657" s="59">
        <v>79</v>
      </c>
      <c r="D657" s="59">
        <v>1.2726009995066809</v>
      </c>
      <c r="E657" s="59">
        <v>38.259917582535095</v>
      </c>
      <c r="F657" s="59">
        <v>70.404512080312529</v>
      </c>
      <c r="G657" s="59">
        <v>161.30216706010197</v>
      </c>
      <c r="H657" s="59">
        <v>966.46244930594492</v>
      </c>
      <c r="J657" s="59">
        <v>40.444816789914242</v>
      </c>
      <c r="K657" s="59">
        <v>190.77016169663418</v>
      </c>
      <c r="L657" s="59">
        <v>73.594536841919094</v>
      </c>
      <c r="M657" s="59">
        <v>6316.2781289864861</v>
      </c>
      <c r="N657" s="59">
        <v>2141.2107086566507</v>
      </c>
      <c r="P657" s="59">
        <v>121.68911931789862</v>
      </c>
      <c r="R657" s="59">
        <v>212974.01829232008</v>
      </c>
      <c r="S657" s="59">
        <v>161414992.60346946</v>
      </c>
    </row>
    <row r="658" spans="2:19" x14ac:dyDescent="0.2">
      <c r="B658" s="59">
        <v>655</v>
      </c>
      <c r="C658" s="59">
        <v>79</v>
      </c>
      <c r="D658" s="59">
        <v>1.2559511364298019</v>
      </c>
      <c r="E658" s="59">
        <v>37.873784634128882</v>
      </c>
      <c r="F658" s="59">
        <v>69.736793002117992</v>
      </c>
      <c r="G658" s="59">
        <v>159.90928400912375</v>
      </c>
      <c r="H658" s="59">
        <v>960.53161960540479</v>
      </c>
      <c r="J658" s="59">
        <v>40.208097651137038</v>
      </c>
      <c r="K658" s="59">
        <v>189.67301442546116</v>
      </c>
      <c r="L658" s="59">
        <v>73.168240518768457</v>
      </c>
      <c r="M658" s="59">
        <v>6321.29080248626</v>
      </c>
      <c r="N658" s="59">
        <v>2146.3524125311737</v>
      </c>
      <c r="P658" s="59">
        <v>120.88253192134812</v>
      </c>
      <c r="R658" s="59">
        <v>211705.85901730103</v>
      </c>
      <c r="S658" s="59">
        <v>161456246.32483861</v>
      </c>
    </row>
    <row r="659" spans="2:19" x14ac:dyDescent="0.2">
      <c r="B659" s="59">
        <v>656</v>
      </c>
      <c r="C659" s="59">
        <v>79</v>
      </c>
      <c r="D659" s="59">
        <v>1.2395191090615121</v>
      </c>
      <c r="E659" s="59">
        <v>37.491511567770232</v>
      </c>
      <c r="F659" s="59">
        <v>69.075241736581503</v>
      </c>
      <c r="G659" s="59">
        <v>158.52783124702631</v>
      </c>
      <c r="H659" s="59">
        <v>954.63328929888439</v>
      </c>
      <c r="J659" s="59">
        <v>39.972434974499869</v>
      </c>
      <c r="K659" s="59">
        <v>188.58137057477995</v>
      </c>
      <c r="L659" s="59">
        <v>72.744056349886748</v>
      </c>
      <c r="M659" s="59">
        <v>6326.2744766603992</v>
      </c>
      <c r="N659" s="59">
        <v>2151.4602684811157</v>
      </c>
      <c r="P659" s="59">
        <v>120.0809863296823</v>
      </c>
      <c r="R659" s="59">
        <v>210444.33027673699</v>
      </c>
      <c r="S659" s="59">
        <v>161497151.95636201</v>
      </c>
    </row>
    <row r="660" spans="2:19" x14ac:dyDescent="0.2">
      <c r="B660" s="59">
        <v>657</v>
      </c>
      <c r="C660" s="59">
        <v>79</v>
      </c>
      <c r="D660" s="59">
        <v>1.223302067384624</v>
      </c>
      <c r="E660" s="59">
        <v>37.113060300252641</v>
      </c>
      <c r="F660" s="59">
        <v>68.419803387032118</v>
      </c>
      <c r="G660" s="59">
        <v>157.15772185818079</v>
      </c>
      <c r="H660" s="59">
        <v>948.76731700887262</v>
      </c>
      <c r="J660" s="59">
        <v>39.737829902021701</v>
      </c>
      <c r="K660" s="59">
        <v>187.49520819839145</v>
      </c>
      <c r="L660" s="59">
        <v>72.321977225898266</v>
      </c>
      <c r="M660" s="59">
        <v>6331.2292940546604</v>
      </c>
      <c r="N660" s="59">
        <v>2156.5344859973106</v>
      </c>
      <c r="P660" s="59">
        <v>119.28445384381648</v>
      </c>
      <c r="R660" s="59">
        <v>209189.40628901703</v>
      </c>
      <c r="S660" s="59">
        <v>161537712.25821066</v>
      </c>
    </row>
    <row r="661" spans="2:19" x14ac:dyDescent="0.2">
      <c r="B661" s="59">
        <v>658</v>
      </c>
      <c r="C661" s="59">
        <v>79</v>
      </c>
      <c r="D661" s="59">
        <v>1.2072971986696752</v>
      </c>
      <c r="E661" s="59">
        <v>36.738393117282008</v>
      </c>
      <c r="F661" s="59">
        <v>67.770423518998484</v>
      </c>
      <c r="G661" s="59">
        <v>155.79886950789475</v>
      </c>
      <c r="H661" s="59">
        <v>942.93356161334964</v>
      </c>
      <c r="J661" s="59">
        <v>39.504283421245681</v>
      </c>
      <c r="K661" s="59">
        <v>186.41450541984361</v>
      </c>
      <c r="L661" s="59">
        <v>71.901996031269746</v>
      </c>
      <c r="M661" s="59">
        <v>6336.1553967743139</v>
      </c>
      <c r="N661" s="59">
        <v>2161.5752733971372</v>
      </c>
      <c r="P661" s="59">
        <v>118.49290590079143</v>
      </c>
      <c r="R661" s="59">
        <v>207941.06127451756</v>
      </c>
      <c r="S661" s="59">
        <v>161577929.97077429</v>
      </c>
    </row>
    <row r="662" spans="2:19" x14ac:dyDescent="0.2">
      <c r="B662" s="59">
        <v>659</v>
      </c>
      <c r="C662" s="59">
        <v>79</v>
      </c>
      <c r="D662" s="59">
        <v>1.1915017269870802</v>
      </c>
      <c r="E662" s="59">
        <v>36.367472669997348</v>
      </c>
      <c r="F662" s="59">
        <v>67.127048156659257</v>
      </c>
      <c r="G662" s="59">
        <v>154.45118843948211</v>
      </c>
      <c r="H662" s="59">
        <v>937.13188224942246</v>
      </c>
      <c r="J662" s="59">
        <v>39.271796369324306</v>
      </c>
      <c r="K662" s="59">
        <v>185.33924043163114</v>
      </c>
      <c r="L662" s="59">
        <v>71.484105644367915</v>
      </c>
      <c r="M662" s="59">
        <v>6341.0529264822344</v>
      </c>
      <c r="N662" s="59">
        <v>2166.5828378298988</v>
      </c>
      <c r="P662" s="59">
        <v>117.70631407342894</v>
      </c>
      <c r="R662" s="59">
        <v>206699.26945705654</v>
      </c>
      <c r="S662" s="59">
        <v>161617807.81477636</v>
      </c>
    </row>
    <row r="663" spans="2:19" x14ac:dyDescent="0.2">
      <c r="B663" s="59">
        <v>660</v>
      </c>
      <c r="C663" s="59">
        <v>80</v>
      </c>
      <c r="D663" s="59">
        <v>1.175912912725666</v>
      </c>
      <c r="E663" s="59">
        <v>36.000261971523003</v>
      </c>
      <c r="F663" s="59">
        <v>66.489623779316275</v>
      </c>
      <c r="G663" s="59">
        <v>153.11459347133544</v>
      </c>
      <c r="H663" s="59">
        <v>931.36213831690441</v>
      </c>
      <c r="J663" s="59">
        <v>39.040369437007691</v>
      </c>
      <c r="K663" s="59">
        <v>184.26939149441981</v>
      </c>
      <c r="L663" s="59">
        <v>71.068298937537676</v>
      </c>
      <c r="M663" s="59">
        <v>6345.9220243970431</v>
      </c>
      <c r="N663" s="59">
        <v>2171.5573852821917</v>
      </c>
      <c r="P663" s="59">
        <v>116.92465006998366</v>
      </c>
      <c r="Q663" s="59">
        <v>1403.0958008398038</v>
      </c>
      <c r="R663" s="59">
        <v>205464.0050653306</v>
      </c>
      <c r="S663" s="59">
        <v>161657348.49138871</v>
      </c>
    </row>
    <row r="664" spans="2:19" x14ac:dyDescent="0.2">
      <c r="B664" s="59">
        <v>661</v>
      </c>
      <c r="C664" s="59">
        <v>80</v>
      </c>
      <c r="D664" s="59">
        <v>1.1581762262920539</v>
      </c>
      <c r="E664" s="59">
        <v>35.564723869608997</v>
      </c>
      <c r="F664" s="59">
        <v>65.725118070331717</v>
      </c>
      <c r="G664" s="59">
        <v>151.48277080705856</v>
      </c>
      <c r="H664" s="59">
        <v>923.76146520520422</v>
      </c>
      <c r="J664" s="59">
        <v>38.731922433663151</v>
      </c>
      <c r="K664" s="59">
        <v>182.83639815330605</v>
      </c>
      <c r="L664" s="59">
        <v>70.512432179324577</v>
      </c>
      <c r="M664" s="59">
        <v>6350.762831291313</v>
      </c>
      <c r="N664" s="59">
        <v>2179.4641617639022</v>
      </c>
      <c r="P664" s="59">
        <v>115.9140364336517</v>
      </c>
      <c r="R664" s="59">
        <v>203824.31432420496</v>
      </c>
      <c r="S664" s="59">
        <v>161696475.79820314</v>
      </c>
    </row>
    <row r="665" spans="2:19" x14ac:dyDescent="0.2">
      <c r="B665" s="59">
        <v>662</v>
      </c>
      <c r="C665" s="59">
        <v>80</v>
      </c>
      <c r="D665" s="59">
        <v>1.1407070682121487</v>
      </c>
      <c r="E665" s="59">
        <v>35.134420766434367</v>
      </c>
      <c r="F665" s="59">
        <v>64.969249720663029</v>
      </c>
      <c r="G665" s="59">
        <v>149.86778042565601</v>
      </c>
      <c r="H665" s="59">
        <v>916.21912437058836</v>
      </c>
      <c r="J665" s="59">
        <v>38.420986498995568</v>
      </c>
      <c r="K665" s="59">
        <v>181.41840011709246</v>
      </c>
      <c r="L665" s="59">
        <v>69.960574022052782</v>
      </c>
      <c r="M665" s="59">
        <v>6355.5658058760355</v>
      </c>
      <c r="N665" s="59">
        <v>2187.3029511342743</v>
      </c>
      <c r="P665" s="59">
        <v>114.9118691985809</v>
      </c>
      <c r="R665" s="59">
        <v>202196.83639345254</v>
      </c>
      <c r="S665" s="59">
        <v>161735193.8896122</v>
      </c>
    </row>
    <row r="666" spans="2:19" x14ac:dyDescent="0.2">
      <c r="B666" s="59">
        <v>663</v>
      </c>
      <c r="C666" s="59">
        <v>80</v>
      </c>
      <c r="D666" s="59">
        <v>1.1235014032666155</v>
      </c>
      <c r="E666" s="59">
        <v>34.70929026916621</v>
      </c>
      <c r="F666" s="59">
        <v>64.221923372041772</v>
      </c>
      <c r="G666" s="59">
        <v>148.26945621647781</v>
      </c>
      <c r="H666" s="59">
        <v>908.73470978542309</v>
      </c>
      <c r="J666" s="59">
        <v>38.107739378324432</v>
      </c>
      <c r="K666" s="59">
        <v>180.01516944286342</v>
      </c>
      <c r="L666" s="59">
        <v>69.412699370907305</v>
      </c>
      <c r="M666" s="59">
        <v>6360.3311929979809</v>
      </c>
      <c r="N666" s="59">
        <v>2195.0743177635522</v>
      </c>
      <c r="P666" s="59">
        <v>113.91808280389493</v>
      </c>
      <c r="R666" s="59">
        <v>200581.50251134959</v>
      </c>
      <c r="S666" s="59">
        <v>161773506.88289285</v>
      </c>
    </row>
    <row r="667" spans="2:19" x14ac:dyDescent="0.2">
      <c r="B667" s="59">
        <v>664</v>
      </c>
      <c r="C667" s="59">
        <v>80</v>
      </c>
      <c r="D667" s="59">
        <v>1.1065552571006774</v>
      </c>
      <c r="E667" s="59">
        <v>34.289270720339246</v>
      </c>
      <c r="F667" s="59">
        <v>63.483044686410395</v>
      </c>
      <c r="G667" s="59">
        <v>146.68763360695107</v>
      </c>
      <c r="H667" s="59">
        <v>901.30781777510788</v>
      </c>
      <c r="J667" s="59">
        <v>37.792353175959178</v>
      </c>
      <c r="K667" s="59">
        <v>178.62648249296026</v>
      </c>
      <c r="L667" s="59">
        <v>68.868783399717401</v>
      </c>
      <c r="M667" s="59">
        <v>6365.0592371793</v>
      </c>
      <c r="N667" s="59">
        <v>2202.778821706157</v>
      </c>
      <c r="P667" s="59">
        <v>112.93261208564327</v>
      </c>
      <c r="R667" s="59">
        <v>198978.2437153885</v>
      </c>
      <c r="S667" s="59">
        <v>161811418.85840768</v>
      </c>
    </row>
    <row r="668" spans="2:19" x14ac:dyDescent="0.2">
      <c r="B668" s="59">
        <v>665</v>
      </c>
      <c r="C668" s="59">
        <v>80</v>
      </c>
      <c r="D668" s="59">
        <v>1.0898647153060754</v>
      </c>
      <c r="E668" s="59">
        <v>33.87430118931843</v>
      </c>
      <c r="F668" s="59">
        <v>62.752520335487837</v>
      </c>
      <c r="G668" s="59">
        <v>145.12214954971091</v>
      </c>
      <c r="H668" s="59">
        <v>893.93804701000113</v>
      </c>
      <c r="J668" s="59">
        <v>37.474994509916556</v>
      </c>
      <c r="K668" s="59">
        <v>177.25211984797753</v>
      </c>
      <c r="L668" s="59">
        <v>68.328801535140471</v>
      </c>
      <c r="M668" s="59">
        <v>6369.7501825817099</v>
      </c>
      <c r="N668" s="59">
        <v>2210.4170187254344</v>
      </c>
      <c r="P668" s="59">
        <v>111.955392277298</v>
      </c>
      <c r="R668" s="59">
        <v>197386.99085866305</v>
      </c>
      <c r="S668" s="59">
        <v>161848933.85980815</v>
      </c>
    </row>
    <row r="669" spans="2:19" x14ac:dyDescent="0.2">
      <c r="B669" s="59">
        <v>666</v>
      </c>
      <c r="C669" s="59">
        <v>80</v>
      </c>
      <c r="D669" s="59">
        <v>1.0734259225168754</v>
      </c>
      <c r="E669" s="59">
        <v>33.464321463858624</v>
      </c>
      <c r="F669" s="59">
        <v>62.030257990434698</v>
      </c>
      <c r="G669" s="59">
        <v>143.57284250982013</v>
      </c>
      <c r="H669" s="59">
        <v>886.62499849730079</v>
      </c>
      <c r="J669" s="59">
        <v>37.155824662554117</v>
      </c>
      <c r="K669" s="59">
        <v>175.89186622153744</v>
      </c>
      <c r="L669" s="59">
        <v>67.79272944186738</v>
      </c>
      <c r="M669" s="59">
        <v>6374.4042729716502</v>
      </c>
      <c r="N669" s="59">
        <v>2217.9894603184634</v>
      </c>
      <c r="P669" s="59">
        <v>110.98635901015896</v>
      </c>
      <c r="R669" s="59">
        <v>195807.67462606414</v>
      </c>
      <c r="S669" s="59">
        <v>161886055.89424044</v>
      </c>
    </row>
    <row r="670" spans="2:19" x14ac:dyDescent="0.2">
      <c r="B670" s="59">
        <v>667</v>
      </c>
      <c r="C670" s="59">
        <v>80</v>
      </c>
      <c r="D670" s="59">
        <v>1.0572350815189124</v>
      </c>
      <c r="E670" s="59">
        <v>33.059272041760252</v>
      </c>
      <c r="F670" s="59">
        <v>61.316166311617032</v>
      </c>
      <c r="G670" s="59">
        <v>142.03955245207717</v>
      </c>
      <c r="H670" s="59">
        <v>879.36827557288041</v>
      </c>
      <c r="J670" s="59">
        <v>36.834999727226716</v>
      </c>
      <c r="K670" s="59">
        <v>174.54551037680631</v>
      </c>
      <c r="L670" s="59">
        <v>67.260543008794343</v>
      </c>
      <c r="M670" s="59">
        <v>6379.0217516864068</v>
      </c>
      <c r="N670" s="59">
        <v>2225.4966937409163</v>
      </c>
      <c r="P670" s="59">
        <v>110.02544831366926</v>
      </c>
      <c r="R670" s="59">
        <v>194240.22555027358</v>
      </c>
      <c r="S670" s="59">
        <v>161922788.93255323</v>
      </c>
    </row>
    <row r="671" spans="2:19" x14ac:dyDescent="0.2">
      <c r="B671" s="59">
        <v>668</v>
      </c>
      <c r="C671" s="59">
        <v>80</v>
      </c>
      <c r="D671" s="59">
        <v>1.0412884523726689</v>
      </c>
      <c r="E671" s="59">
        <v>32.659094122619869</v>
      </c>
      <c r="F671" s="59">
        <v>60.610154938468042</v>
      </c>
      <c r="G671" s="59">
        <v>140.5221208284122</v>
      </c>
      <c r="H671" s="59">
        <v>872.16748389308157</v>
      </c>
      <c r="J671" s="59">
        <v>36.512670751070004</v>
      </c>
      <c r="K671" s="59">
        <v>173.21284504471737</v>
      </c>
      <c r="L671" s="59">
        <v>66.732218336109057</v>
      </c>
      <c r="M671" s="59">
        <v>6383.6028616011827</v>
      </c>
      <c r="N671" s="59">
        <v>2232.9392620319709</v>
      </c>
      <c r="P671" s="59">
        <v>109.07259661564372</v>
      </c>
      <c r="R671" s="59">
        <v>192684.57402754252</v>
      </c>
      <c r="S671" s="59">
        <v>161959136.90950772</v>
      </c>
    </row>
    <row r="672" spans="2:19" x14ac:dyDescent="0.2">
      <c r="B672" s="59">
        <v>669</v>
      </c>
      <c r="C672" s="59">
        <v>80</v>
      </c>
      <c r="D672" s="59">
        <v>1.0255823515493812</v>
      </c>
      <c r="E672" s="59">
        <v>32.26372959967464</v>
      </c>
      <c r="F672" s="59">
        <v>59.912134479446756</v>
      </c>
      <c r="G672" s="59">
        <v>139.02039056537069</v>
      </c>
      <c r="H672" s="59">
        <v>865.0222314264654</v>
      </c>
      <c r="J672" s="59">
        <v>36.188983874012344</v>
      </c>
      <c r="K672" s="59">
        <v>171.8936668438653</v>
      </c>
      <c r="L672" s="59">
        <v>66.207731723241324</v>
      </c>
      <c r="M672" s="59">
        <v>6388.1478450971181</v>
      </c>
      <c r="N672" s="59">
        <v>2240.3177040392607</v>
      </c>
      <c r="P672" s="59">
        <v>108.12774074241257</v>
      </c>
      <c r="R672" s="59">
        <v>191140.65033324345</v>
      </c>
      <c r="S672" s="59">
        <v>161995103.72398955</v>
      </c>
    </row>
    <row r="673" spans="2:19" x14ac:dyDescent="0.2">
      <c r="B673" s="59">
        <v>670</v>
      </c>
      <c r="C673" s="59">
        <v>80</v>
      </c>
      <c r="D673" s="59">
        <v>1.010113151080178</v>
      </c>
      <c r="E673" s="59">
        <v>31.87312105173962</v>
      </c>
      <c r="F673" s="59">
        <v>59.222016502092934</v>
      </c>
      <c r="G673" s="59">
        <v>137.53420605168461</v>
      </c>
      <c r="H673" s="59">
        <v>857.93212844552261</v>
      </c>
      <c r="J673" s="59">
        <v>35.864080464113727</v>
      </c>
      <c r="K673" s="59">
        <v>170.58777620203801</v>
      </c>
      <c r="L673" s="59">
        <v>65.687059657630883</v>
      </c>
      <c r="M673" s="59">
        <v>6392.6569440302355</v>
      </c>
      <c r="N673" s="59">
        <v>2247.6325544438669</v>
      </c>
      <c r="P673" s="59">
        <v>107.19081791888271</v>
      </c>
      <c r="R673" s="59">
        <v>189608.3846371859</v>
      </c>
      <c r="S673" s="59">
        <v>162030693.23922279</v>
      </c>
    </row>
    <row r="674" spans="2:19" x14ac:dyDescent="0.2">
      <c r="B674" s="59">
        <v>671</v>
      </c>
      <c r="C674" s="59">
        <v>80</v>
      </c>
      <c r="D674" s="59">
        <v>0.9948772777180519</v>
      </c>
      <c r="E674" s="59">
        <v>31.487211735236883</v>
      </c>
      <c r="F674" s="59">
        <v>58.539713523177333</v>
      </c>
      <c r="G674" s="59">
        <v>136.06341312593025</v>
      </c>
      <c r="H674" s="59">
        <v>850.89678751834504</v>
      </c>
      <c r="J674" s="59">
        <v>35.538097249327897</v>
      </c>
      <c r="K674" s="59">
        <v>169.29497727935271</v>
      </c>
      <c r="L674" s="59">
        <v>65.170178804267451</v>
      </c>
      <c r="M674" s="59">
        <v>6397.130399701311</v>
      </c>
      <c r="N674" s="59">
        <v>2254.8843437853384</v>
      </c>
      <c r="P674" s="59">
        <v>106.26176576851864</v>
      </c>
      <c r="R674" s="59">
        <v>188087.70701868623</v>
      </c>
      <c r="S674" s="59">
        <v>162065909.28298572</v>
      </c>
    </row>
    <row r="675" spans="2:19" x14ac:dyDescent="0.2">
      <c r="B675" s="59">
        <v>672</v>
      </c>
      <c r="C675" s="59">
        <v>81</v>
      </c>
      <c r="D675" s="59">
        <v>0.9798712121124713</v>
      </c>
      <c r="E675" s="59">
        <v>31.105945576315442</v>
      </c>
      <c r="F675" s="59">
        <v>57.865138998946541</v>
      </c>
      <c r="G675" s="59">
        <v>134.60785906427307</v>
      </c>
      <c r="H675" s="59">
        <v>843.91582350025851</v>
      </c>
      <c r="J675" s="59">
        <v>35.284262732596687</v>
      </c>
      <c r="K675" s="59">
        <v>167.94198160614764</v>
      </c>
      <c r="L675" s="59">
        <v>64.657065995960096</v>
      </c>
      <c r="M675" s="59">
        <v>6401.568452826652</v>
      </c>
      <c r="N675" s="59">
        <v>2262.0735984867429</v>
      </c>
      <c r="P675" s="59">
        <v>105.34052231324553</v>
      </c>
      <c r="Q675" s="59">
        <v>1264.0862677589464</v>
      </c>
      <c r="R675" s="59">
        <v>186578.54748138395</v>
      </c>
      <c r="S675" s="59">
        <v>162100755.64782828</v>
      </c>
    </row>
    <row r="676" spans="2:19" x14ac:dyDescent="0.2">
      <c r="B676" s="59">
        <v>673</v>
      </c>
      <c r="C676" s="59">
        <v>81</v>
      </c>
      <c r="D676" s="59">
        <v>0.96509148799644151</v>
      </c>
      <c r="E676" s="59">
        <v>30.729267163060953</v>
      </c>
      <c r="F676" s="59">
        <v>57.198207315461595</v>
      </c>
      <c r="G676" s="59">
        <v>133.16739256829845</v>
      </c>
      <c r="H676" s="59">
        <v>836.98885352541902</v>
      </c>
      <c r="J676" s="59">
        <v>35.027245730092041</v>
      </c>
      <c r="K676" s="59">
        <v>166.60363320086685</v>
      </c>
      <c r="L676" s="59">
        <v>64.147698224295254</v>
      </c>
      <c r="M676" s="59">
        <v>6405.9717699047769</v>
      </c>
      <c r="N676" s="59">
        <v>2269.2008408797383</v>
      </c>
      <c r="P676" s="59">
        <v>104.42699733374521</v>
      </c>
      <c r="R676" s="59">
        <v>185080.64277532604</v>
      </c>
      <c r="S676" s="59">
        <v>162135236.05529973</v>
      </c>
    </row>
    <row r="677" spans="2:19" x14ac:dyDescent="0.2">
      <c r="B677" s="59">
        <v>674</v>
      </c>
      <c r="C677" s="59">
        <v>81</v>
      </c>
      <c r="D677" s="59">
        <v>0.95053469138582847</v>
      </c>
      <c r="E677" s="59">
        <v>30.357121737794245</v>
      </c>
      <c r="F677" s="59">
        <v>56.538833779029531</v>
      </c>
      <c r="G677" s="59">
        <v>131.74186375292859</v>
      </c>
      <c r="H677" s="59">
        <v>830.11549699837303</v>
      </c>
      <c r="J677" s="59">
        <v>34.771387054103911</v>
      </c>
      <c r="K677" s="59">
        <v>165.27555217912422</v>
      </c>
      <c r="L677" s="59">
        <v>63.642050215006265</v>
      </c>
      <c r="M677" s="59">
        <v>6410.3405726367055</v>
      </c>
      <c r="N677" s="59">
        <v>2276.266586955554</v>
      </c>
      <c r="P677" s="59">
        <v>103.52113105727301</v>
      </c>
      <c r="R677" s="59">
        <v>183593.93095596693</v>
      </c>
      <c r="S677" s="59">
        <v>162169354.19394663</v>
      </c>
    </row>
    <row r="678" spans="2:19" x14ac:dyDescent="0.2">
      <c r="B678" s="59">
        <v>675</v>
      </c>
      <c r="C678" s="59">
        <v>81</v>
      </c>
      <c r="D678" s="59">
        <v>0.93619745979075886</v>
      </c>
      <c r="E678" s="59">
        <v>29.989455189457644</v>
      </c>
      <c r="F678" s="59">
        <v>55.886934606727124</v>
      </c>
      <c r="G678" s="59">
        <v>130.33112413442495</v>
      </c>
      <c r="H678" s="59">
        <v>823.29537558558388</v>
      </c>
      <c r="J678" s="59">
        <v>34.516700586982012</v>
      </c>
      <c r="K678" s="59">
        <v>163.9576598225996</v>
      </c>
      <c r="L678" s="59">
        <v>63.140097062528653</v>
      </c>
      <c r="M678" s="59">
        <v>6414.6751067808482</v>
      </c>
      <c r="N678" s="59">
        <v>2283.2713487710621</v>
      </c>
      <c r="P678" s="59">
        <v>102.62286243507261</v>
      </c>
      <c r="R678" s="59">
        <v>182118.33888134037</v>
      </c>
      <c r="S678" s="59">
        <v>162203113.71744916</v>
      </c>
    </row>
    <row r="679" spans="2:19" x14ac:dyDescent="0.2">
      <c r="B679" s="59">
        <v>676</v>
      </c>
      <c r="C679" s="59">
        <v>81</v>
      </c>
      <c r="D679" s="59">
        <v>0.92207648143891496</v>
      </c>
      <c r="E679" s="59">
        <v>29.626214046088172</v>
      </c>
      <c r="F679" s="59">
        <v>55.242426917015969</v>
      </c>
      <c r="G679" s="59">
        <v>128.93502661847586</v>
      </c>
      <c r="H679" s="59">
        <v>816.52811320692388</v>
      </c>
      <c r="J679" s="59">
        <v>34.263199523475862</v>
      </c>
      <c r="K679" s="59">
        <v>162.64987810834</v>
      </c>
      <c r="L679" s="59">
        <v>62.641814071557668</v>
      </c>
      <c r="M679" s="59">
        <v>6418.9756166852367</v>
      </c>
      <c r="N679" s="59">
        <v>2290.2156343414517</v>
      </c>
      <c r="P679" s="59">
        <v>101.7321308636994</v>
      </c>
      <c r="R679" s="59">
        <v>180653.79375568739</v>
      </c>
      <c r="S679" s="59">
        <v>162236518.24491659</v>
      </c>
    </row>
    <row r="680" spans="2:19" x14ac:dyDescent="0.2">
      <c r="B680" s="59">
        <v>677</v>
      </c>
      <c r="C680" s="59">
        <v>81</v>
      </c>
      <c r="D680" s="59">
        <v>0.90816849451054471</v>
      </c>
      <c r="E680" s="59">
        <v>29.267345467376607</v>
      </c>
      <c r="F680" s="59">
        <v>54.605228720448181</v>
      </c>
      <c r="G680" s="59">
        <v>127.55342548836889</v>
      </c>
      <c r="H680" s="59">
        <v>809.81333602713494</v>
      </c>
      <c r="J680" s="59">
        <v>34.010896390804476</v>
      </c>
      <c r="K680" s="59">
        <v>161.35212969986668</v>
      </c>
      <c r="L680" s="59">
        <v>62.147176751118138</v>
      </c>
      <c r="M680" s="59">
        <v>6423.2423452910671</v>
      </c>
      <c r="N680" s="59">
        <v>2297.0999476693091</v>
      </c>
      <c r="P680" s="59">
        <v>100.84887618237252</v>
      </c>
      <c r="R680" s="59">
        <v>179200.22312851986</v>
      </c>
      <c r="S680" s="59">
        <v>162269571.36118063</v>
      </c>
    </row>
    <row r="681" spans="2:19" x14ac:dyDescent="0.2">
      <c r="B681" s="59">
        <v>678</v>
      </c>
      <c r="C681" s="59">
        <v>81</v>
      </c>
      <c r="D681" s="59">
        <v>0.89447028638501069</v>
      </c>
      <c r="E681" s="59">
        <v>28.912797237311491</v>
      </c>
      <c r="F681" s="59">
        <v>53.975258910461896</v>
      </c>
      <c r="G681" s="59">
        <v>126.18617639324783</v>
      </c>
      <c r="H681" s="59">
        <v>803.15067244725799</v>
      </c>
      <c r="J681" s="59">
        <v>33.759803068191154</v>
      </c>
      <c r="K681" s="59">
        <v>160.06433793844485</v>
      </c>
      <c r="L681" s="59">
        <v>61.656160808930352</v>
      </c>
      <c r="M681" s="59">
        <v>6427.4755341362534</v>
      </c>
      <c r="N681" s="59">
        <v>2303.9247887735205</v>
      </c>
      <c r="P681" s="59">
        <v>99.973038670333878</v>
      </c>
      <c r="R681" s="59">
        <v>177757.55489376726</v>
      </c>
      <c r="S681" s="59">
        <v>162302276.61708659</v>
      </c>
    </row>
    <row r="682" spans="2:19" x14ac:dyDescent="0.2">
      <c r="B682" s="59">
        <v>679</v>
      </c>
      <c r="C682" s="59">
        <v>81</v>
      </c>
      <c r="D682" s="59">
        <v>0.88097869289870345</v>
      </c>
      <c r="E682" s="59">
        <v>28.562517756907127</v>
      </c>
      <c r="F682" s="59">
        <v>53.352437254265773</v>
      </c>
      <c r="G682" s="59">
        <v>124.83313633645373</v>
      </c>
      <c r="H682" s="59">
        <v>796.53975309603197</v>
      </c>
      <c r="J682" s="59">
        <v>33.509930805877346</v>
      </c>
      <c r="K682" s="59">
        <v>158.78642683451287</v>
      </c>
      <c r="L682" s="59">
        <v>61.168742146057689</v>
      </c>
      <c r="M682" s="59">
        <v>6431.6754233589973</v>
      </c>
      <c r="N682" s="59">
        <v>2310.6906537180016</v>
      </c>
      <c r="P682" s="59">
        <v>99.104559044214341</v>
      </c>
      <c r="R682" s="59">
        <v>176325.71728899895</v>
      </c>
      <c r="S682" s="59">
        <v>162334637.52978247</v>
      </c>
    </row>
    <row r="683" spans="2:19" x14ac:dyDescent="0.2">
      <c r="B683" s="59">
        <v>680</v>
      </c>
      <c r="C683" s="59">
        <v>81</v>
      </c>
      <c r="D683" s="59">
        <v>0.86769059761414802</v>
      </c>
      <c r="E683" s="59">
        <v>28.216456037014627</v>
      </c>
      <c r="F683" s="59">
        <v>52.736684383811792</v>
      </c>
      <c r="G683" s="59">
        <v>123.49416366394959</v>
      </c>
      <c r="H683" s="59">
        <v>789.98021082126468</v>
      </c>
      <c r="J683" s="59">
        <v>33.261290243629254</v>
      </c>
      <c r="K683" s="59">
        <v>157.51832105926752</v>
      </c>
      <c r="L683" s="59">
        <v>60.684896851822408</v>
      </c>
      <c r="M683" s="59">
        <v>6435.8422517013723</v>
      </c>
      <c r="N683" s="59">
        <v>2317.3980346402577</v>
      </c>
      <c r="P683" s="59">
        <v>98.243378455407182</v>
      </c>
      <c r="R683" s="59">
        <v>174904.63889471578</v>
      </c>
      <c r="S683" s="59">
        <v>162366657.58300588</v>
      </c>
    </row>
    <row r="684" spans="2:19" x14ac:dyDescent="0.2">
      <c r="B684" s="59">
        <v>681</v>
      </c>
      <c r="C684" s="59">
        <v>81</v>
      </c>
      <c r="D684" s="59">
        <v>0.85460293110013463</v>
      </c>
      <c r="E684" s="59">
        <v>27.874561691215099</v>
      </c>
      <c r="F684" s="59">
        <v>52.127921786855531</v>
      </c>
      <c r="G684" s="59">
        <v>122.16911805282847</v>
      </c>
      <c r="H684" s="59">
        <v>783.47168068117549</v>
      </c>
      <c r="J684" s="59">
        <v>33.013891428750441</v>
      </c>
      <c r="K684" s="59">
        <v>156.25994593640203</v>
      </c>
      <c r="L684" s="59">
        <v>60.204601198976569</v>
      </c>
      <c r="M684" s="59">
        <v>6439.9762565129313</v>
      </c>
      <c r="N684" s="59">
        <v>2324.0474197797694</v>
      </c>
      <c r="P684" s="59">
        <v>97.389438487448672</v>
      </c>
      <c r="R684" s="59">
        <v>173494.24863370461</v>
      </c>
      <c r="S684" s="59">
        <v>162398340.2273688</v>
      </c>
    </row>
    <row r="685" spans="2:19" x14ac:dyDescent="0.2">
      <c r="B685" s="59">
        <v>682</v>
      </c>
      <c r="C685" s="59">
        <v>81</v>
      </c>
      <c r="D685" s="59">
        <v>0.84171267022270757</v>
      </c>
      <c r="E685" s="59">
        <v>27.53678492879407</v>
      </c>
      <c r="F685" s="59">
        <v>51.526071798103189</v>
      </c>
      <c r="G685" s="59">
        <v>120.85786049990459</v>
      </c>
      <c r="H685" s="59">
        <v>777.0137999357114</v>
      </c>
      <c r="J685" s="59">
        <v>32.767743833613316</v>
      </c>
      <c r="K685" s="59">
        <v>155.01122743399384</v>
      </c>
      <c r="L685" s="59">
        <v>59.727831639115678</v>
      </c>
      <c r="M685" s="59">
        <v>6444.0776737543374</v>
      </c>
      <c r="N685" s="59">
        <v>2330.6392935062086</v>
      </c>
      <c r="P685" s="59">
        <v>96.542681153406022</v>
      </c>
      <c r="R685" s="59">
        <v>172094.4757704495</v>
      </c>
      <c r="S685" s="59">
        <v>162429688.88064045</v>
      </c>
    </row>
    <row r="686" spans="2:19" x14ac:dyDescent="0.2">
      <c r="B686" s="59">
        <v>683</v>
      </c>
      <c r="C686" s="59">
        <v>81</v>
      </c>
      <c r="D686" s="59">
        <v>0.8290168374468484</v>
      </c>
      <c r="E686" s="59">
        <v>27.203076547796215</v>
      </c>
      <c r="F686" s="59">
        <v>50.931057590444567</v>
      </c>
      <c r="G686" s="59">
        <v>119.56025331038705</v>
      </c>
      <c r="H686" s="59">
        <v>770.60620803783729</v>
      </c>
      <c r="J686" s="59">
        <v>32.522856372722202</v>
      </c>
      <c r="K686" s="59">
        <v>153.77209215653858</v>
      </c>
      <c r="L686" s="59">
        <v>59.254564798323301</v>
      </c>
      <c r="M686" s="59">
        <v>6448.1467380010226</v>
      </c>
      <c r="N686" s="59">
        <v>2337.1741363474853</v>
      </c>
      <c r="P686" s="59">
        <v>95.703048893272594</v>
      </c>
      <c r="R686" s="59">
        <v>170705.24991059437</v>
      </c>
      <c r="S686" s="59">
        <v>162460706.92802802</v>
      </c>
    </row>
    <row r="687" spans="2:19" x14ac:dyDescent="0.2">
      <c r="B687" s="59">
        <v>684</v>
      </c>
      <c r="C687" s="59">
        <v>82</v>
      </c>
      <c r="D687" s="59">
        <v>0.81651250014869181</v>
      </c>
      <c r="E687" s="59">
        <v>26.87338792815952</v>
      </c>
      <c r="F687" s="59">
        <v>50.34280316627131</v>
      </c>
      <c r="G687" s="59">
        <v>118.2761600866357</v>
      </c>
      <c r="H687" s="59">
        <v>764.24854662480209</v>
      </c>
      <c r="J687" s="59">
        <v>32.279237419320125</v>
      </c>
      <c r="K687" s="59">
        <v>152.54246733712779</v>
      </c>
      <c r="L687" s="59">
        <v>58.784777473035192</v>
      </c>
      <c r="M687" s="59">
        <v>6452.1836824468774</v>
      </c>
      <c r="N687" s="59">
        <v>2343.6524250176262</v>
      </c>
      <c r="P687" s="59">
        <v>94.870484571370639</v>
      </c>
      <c r="Q687" s="59">
        <v>1138.4458148564477</v>
      </c>
      <c r="R687" s="59">
        <v>169326.50100045188</v>
      </c>
      <c r="S687" s="59">
        <v>162491397.72245535</v>
      </c>
    </row>
    <row r="688" spans="2:19" x14ac:dyDescent="0.2">
      <c r="B688" s="59">
        <v>685</v>
      </c>
      <c r="C688" s="59">
        <v>82</v>
      </c>
      <c r="D688" s="59">
        <v>0.80419676993811573</v>
      </c>
      <c r="E688" s="59">
        <v>26.54767102492799</v>
      </c>
      <c r="F688" s="59">
        <v>49.761233348879614</v>
      </c>
      <c r="G688" s="59">
        <v>117.00544571699888</v>
      </c>
      <c r="H688" s="59">
        <v>757.94045950938107</v>
      </c>
      <c r="J688" s="59">
        <v>32.036894821551364</v>
      </c>
      <c r="K688" s="59">
        <v>151.3222808297667</v>
      </c>
      <c r="L688" s="59">
        <v>58.318446626112312</v>
      </c>
      <c r="M688" s="59">
        <v>6456.1887389079657</v>
      </c>
      <c r="N688" s="59">
        <v>2350.0746324444826</v>
      </c>
      <c r="P688" s="59">
        <v>94.044931473761267</v>
      </c>
      <c r="R688" s="59">
        <v>167958.15932655317</v>
      </c>
      <c r="S688" s="59">
        <v>162521764.58483967</v>
      </c>
    </row>
    <row r="689" spans="2:19" x14ac:dyDescent="0.2">
      <c r="B689" s="59">
        <v>686</v>
      </c>
      <c r="C689" s="59">
        <v>82</v>
      </c>
      <c r="D689" s="59">
        <v>0.79206680199154911</v>
      </c>
      <c r="E689" s="59">
        <v>26.22587836154203</v>
      </c>
      <c r="F689" s="59">
        <v>49.1862737739567</v>
      </c>
      <c r="G689" s="59">
        <v>115.74797636473269</v>
      </c>
      <c r="H689" s="59">
        <v>751.68159267109559</v>
      </c>
      <c r="J689" s="59">
        <v>31.795835918191333</v>
      </c>
      <c r="K689" s="59">
        <v>150.11146110182969</v>
      </c>
      <c r="L689" s="59">
        <v>57.855549383112297</v>
      </c>
      <c r="M689" s="59">
        <v>6460.1621378262826</v>
      </c>
      <c r="N689" s="59">
        <v>2356.4412277972697</v>
      </c>
      <c r="P689" s="59">
        <v>93.226333305662223</v>
      </c>
      <c r="R689" s="59">
        <v>166600.15551523436</v>
      </c>
      <c r="S689" s="59">
        <v>162551810.80436635</v>
      </c>
    </row>
    <row r="690" spans="2:19" x14ac:dyDescent="0.2">
      <c r="B690" s="59">
        <v>687</v>
      </c>
      <c r="C690" s="59">
        <v>82</v>
      </c>
      <c r="D690" s="59">
        <v>0.78011979439484325</v>
      </c>
      <c r="E690" s="59">
        <v>25.907963023205635</v>
      </c>
      <c r="F690" s="59">
        <v>48.617850881150289</v>
      </c>
      <c r="G690" s="59">
        <v>114.50361945700126</v>
      </c>
      <c r="H690" s="59">
        <v>745.47159424741153</v>
      </c>
      <c r="J690" s="59">
        <v>31.556067553955181</v>
      </c>
      <c r="K690" s="59">
        <v>148.90993722665036</v>
      </c>
      <c r="L690" s="59">
        <v>57.39606302874968</v>
      </c>
      <c r="M690" s="59">
        <v>6464.104108273541</v>
      </c>
      <c r="N690" s="59">
        <v>2362.7526765139437</v>
      </c>
      <c r="P690" s="59">
        <v>92.414634188873038</v>
      </c>
      <c r="R690" s="59">
        <v>165252.42053225511</v>
      </c>
      <c r="S690" s="59">
        <v>162581539.63876164</v>
      </c>
    </row>
    <row r="691" spans="2:19" x14ac:dyDescent="0.2">
      <c r="B691" s="59">
        <v>688</v>
      </c>
      <c r="C691" s="59">
        <v>82</v>
      </c>
      <c r="D691" s="59">
        <v>0.76835298749605441</v>
      </c>
      <c r="E691" s="59">
        <v>25.593878650329515</v>
      </c>
      <c r="F691" s="59">
        <v>48.055891905720358</v>
      </c>
      <c r="G691" s="59">
        <v>113.27224367395775</v>
      </c>
      <c r="H691" s="59">
        <v>739.31011452491691</v>
      </c>
      <c r="J691" s="59">
        <v>31.317596094396052</v>
      </c>
      <c r="K691" s="59">
        <v>147.7176388762432</v>
      </c>
      <c r="L691" s="59">
        <v>56.93996500353542</v>
      </c>
      <c r="M691" s="59">
        <v>6468.0148779549982</v>
      </c>
      <c r="N691" s="59">
        <v>2369.0094403284106</v>
      </c>
      <c r="P691" s="59">
        <v>91.609778659207933</v>
      </c>
      <c r="R691" s="59">
        <v>163914.88568244522</v>
      </c>
      <c r="S691" s="59">
        <v>162610954.31456357</v>
      </c>
    </row>
    <row r="692" spans="2:19" x14ac:dyDescent="0.2">
      <c r="B692" s="59">
        <v>689</v>
      </c>
      <c r="C692" s="59">
        <v>82</v>
      </c>
      <c r="D692" s="59">
        <v>0.75676366326798894</v>
      </c>
      <c r="E692" s="59">
        <v>25.283579432049343</v>
      </c>
      <c r="F692" s="59">
        <v>47.500324870272479</v>
      </c>
      <c r="G692" s="59">
        <v>112.05371893790559</v>
      </c>
      <c r="H692" s="59">
        <v>733.19680593048054</v>
      </c>
      <c r="J692" s="59">
        <v>31.080427440403831</v>
      </c>
      <c r="K692" s="59">
        <v>146.53449631415444</v>
      </c>
      <c r="L692" s="59">
        <v>56.48723290058679</v>
      </c>
      <c r="M692" s="59">
        <v>6471.8946732133172</v>
      </c>
      <c r="N692" s="59">
        <v>2375.2119772975657</v>
      </c>
      <c r="P692" s="59">
        <v>90.811711663936549</v>
      </c>
      <c r="R692" s="59">
        <v>162587.48260937547</v>
      </c>
      <c r="S692" s="59">
        <v>162640058.02739075</v>
      </c>
    </row>
    <row r="693" spans="2:19" x14ac:dyDescent="0.2">
      <c r="B693" s="59">
        <v>690</v>
      </c>
      <c r="C693" s="59">
        <v>82</v>
      </c>
      <c r="D693" s="59">
        <v>0.7453491446803634</v>
      </c>
      <c r="E693" s="59">
        <v>24.977020099818262</v>
      </c>
      <c r="F693" s="59">
        <v>46.951078576571987</v>
      </c>
      <c r="G693" s="59">
        <v>110.84791640253972</v>
      </c>
      <c r="H693" s="59">
        <v>727.13132302239148</v>
      </c>
      <c r="J693" s="59">
        <v>30.844567042314829</v>
      </c>
      <c r="K693" s="59">
        <v>145.36044038843912</v>
      </c>
      <c r="L693" s="59">
        <v>56.037844462599168</v>
      </c>
      <c r="M693" s="59">
        <v>6475.7437190324745</v>
      </c>
      <c r="N693" s="59">
        <v>2381.3607418281745</v>
      </c>
      <c r="P693" s="59">
        <v>90.020378559232356</v>
      </c>
      <c r="R693" s="59">
        <v>161270.1432950492</v>
      </c>
      <c r="S693" s="59">
        <v>162668853.94220945</v>
      </c>
    </row>
    <row r="694" spans="2:19" x14ac:dyDescent="0.2">
      <c r="B694" s="59">
        <v>691</v>
      </c>
      <c r="C694" s="59">
        <v>82</v>
      </c>
      <c r="D694" s="59">
        <v>0.73410679508143462</v>
      </c>
      <c r="E694" s="59">
        <v>24.674155921072817</v>
      </c>
      <c r="F694" s="59">
        <v>46.408082597438266</v>
      </c>
      <c r="G694" s="59">
        <v>109.65470844226735</v>
      </c>
      <c r="H694" s="59">
        <v>721.11332248148108</v>
      </c>
      <c r="J694" s="59">
        <v>30.610019913642535</v>
      </c>
      <c r="K694" s="59">
        <v>144.19540252476202</v>
      </c>
      <c r="L694" s="59">
        <v>55.591777578971545</v>
      </c>
      <c r="M694" s="59">
        <v>6479.5622390417029</v>
      </c>
      <c r="N694" s="59">
        <v>2387.4561847035843</v>
      </c>
      <c r="P694" s="59">
        <v>89.235725107629079</v>
      </c>
      <c r="R694" s="59">
        <v>159962.80005961104</v>
      </c>
      <c r="S694" s="59">
        <v>162697345.19359866</v>
      </c>
    </row>
    <row r="695" spans="2:19" x14ac:dyDescent="0.2">
      <c r="B695" s="59">
        <v>692</v>
      </c>
      <c r="C695" s="59">
        <v>82</v>
      </c>
      <c r="D695" s="59">
        <v>0.72303401758895636</v>
      </c>
      <c r="E695" s="59">
        <v>24.37494269297154</v>
      </c>
      <c r="F695" s="59">
        <v>45.871267268718476</v>
      </c>
      <c r="G695" s="59">
        <v>108.47396864160773</v>
      </c>
      <c r="H695" s="59">
        <v>715.14246310222859</v>
      </c>
      <c r="J695" s="59">
        <v>30.376790644439428</v>
      </c>
      <c r="K695" s="59">
        <v>143.03931471961945</v>
      </c>
      <c r="L695" s="59">
        <v>55.149010283077978</v>
      </c>
      <c r="M695" s="59">
        <v>6483.3504555194759</v>
      </c>
      <c r="N695" s="59">
        <v>2393.4987531102761</v>
      </c>
      <c r="P695" s="59">
        <v>88.457697475485091</v>
      </c>
      <c r="R695" s="59">
        <v>158665.38556106997</v>
      </c>
      <c r="S695" s="59">
        <v>162725534.88601324</v>
      </c>
    </row>
    <row r="696" spans="2:19" x14ac:dyDescent="0.2">
      <c r="B696" s="59">
        <v>693</v>
      </c>
      <c r="C696" s="59">
        <v>82</v>
      </c>
      <c r="D696" s="59">
        <v>0.71212825449032291</v>
      </c>
      <c r="E696" s="59">
        <v>24.079336736205303</v>
      </c>
      <c r="F696" s="59">
        <v>45.340563681340008</v>
      </c>
      <c r="G696" s="59">
        <v>107.30557178467079</v>
      </c>
      <c r="H696" s="59">
        <v>709.2184057838507</v>
      </c>
      <c r="J696" s="59">
        <v>30.1448834142995</v>
      </c>
      <c r="K696" s="59">
        <v>141.89210953367987</v>
      </c>
      <c r="L696" s="59">
        <v>54.709520749677637</v>
      </c>
      <c r="M696" s="59">
        <v>6487.1085893975396</v>
      </c>
      <c r="N696" s="59">
        <v>2399.4888906642509</v>
      </c>
      <c r="P696" s="59">
        <v>87.686242230455818</v>
      </c>
      <c r="R696" s="59">
        <v>157377.83279503341</v>
      </c>
      <c r="S696" s="59">
        <v>162753426.09404534</v>
      </c>
    </row>
    <row r="697" spans="2:19" x14ac:dyDescent="0.2">
      <c r="B697" s="59">
        <v>694</v>
      </c>
      <c r="C697" s="59">
        <v>82</v>
      </c>
      <c r="D697" s="59">
        <v>0.70138698665176058</v>
      </c>
      <c r="E697" s="59">
        <v>23.787294888878701</v>
      </c>
      <c r="F697" s="59">
        <v>44.815903673440914</v>
      </c>
      <c r="G697" s="59">
        <v>106.14939384471413</v>
      </c>
      <c r="H697" s="59">
        <v>703.34081352137662</v>
      </c>
      <c r="J697" s="59">
        <v>29.914302005010832</v>
      </c>
      <c r="K697" s="59">
        <v>140.75372008524039</v>
      </c>
      <c r="L697" s="59">
        <v>54.273287292456367</v>
      </c>
      <c r="M697" s="59">
        <v>6490.8368602649798</v>
      </c>
      <c r="N697" s="59">
        <v>2405.427037437255</v>
      </c>
      <c r="P697" s="59">
        <v>86.921306338974418</v>
      </c>
      <c r="R697" s="59">
        <v>156100.07509444983</v>
      </c>
      <c r="S697" s="59">
        <v>162781021.86268377</v>
      </c>
    </row>
    <row r="698" spans="2:19" x14ac:dyDescent="0.2">
      <c r="B698" s="59">
        <v>695</v>
      </c>
      <c r="C698" s="59">
        <v>82</v>
      </c>
      <c r="D698" s="59">
        <v>0.69080773293642983</v>
      </c>
      <c r="E698" s="59">
        <v>23.498774500461646</v>
      </c>
      <c r="F698" s="59">
        <v>44.297219822577709</v>
      </c>
      <c r="G698" s="59">
        <v>105.00531197377782</v>
      </c>
      <c r="H698" s="59">
        <v>697.50935139670878</v>
      </c>
      <c r="J698" s="59">
        <v>29.685049812867522</v>
      </c>
      <c r="K698" s="59">
        <v>139.62408004379716</v>
      </c>
      <c r="L698" s="59">
        <v>53.840288361693055</v>
      </c>
      <c r="M698" s="59">
        <v>6494.5354863723414</v>
      </c>
      <c r="N698" s="59">
        <v>2411.3136299828429</v>
      </c>
      <c r="P698" s="59">
        <v>86.162837163740591</v>
      </c>
      <c r="R698" s="59">
        <v>154832.04612935745</v>
      </c>
      <c r="S698" s="59">
        <v>162808325.20757169</v>
      </c>
    </row>
    <row r="699" spans="2:19" x14ac:dyDescent="0.2">
      <c r="B699" s="59">
        <v>696</v>
      </c>
      <c r="C699" s="59">
        <v>83</v>
      </c>
      <c r="D699" s="59">
        <v>0.68038804963130539</v>
      </c>
      <c r="E699" s="59">
        <v>23.213733425810378</v>
      </c>
      <c r="F699" s="59">
        <v>43.78444543800979</v>
      </c>
      <c r="G699" s="59">
        <v>103.87320449239694</v>
      </c>
      <c r="H699" s="59">
        <v>691.72368656967069</v>
      </c>
      <c r="J699" s="59">
        <v>29.457129860649765</v>
      </c>
      <c r="K699" s="59">
        <v>138.50312362372699</v>
      </c>
      <c r="L699" s="59">
        <v>53.410502542044377</v>
      </c>
      <c r="M699" s="59">
        <v>6498.2046846357825</v>
      </c>
      <c r="N699" s="59">
        <v>2417.1491013622817</v>
      </c>
      <c r="P699" s="59">
        <v>85.410782461217707</v>
      </c>
      <c r="Q699" s="59">
        <v>1024.9293895346127</v>
      </c>
      <c r="R699" s="59">
        <v>153573.67990663633</v>
      </c>
      <c r="S699" s="59">
        <v>162835339.11526233</v>
      </c>
    </row>
    <row r="700" spans="2:19" x14ac:dyDescent="0.2">
      <c r="B700" s="59">
        <v>697</v>
      </c>
      <c r="C700" s="59">
        <v>83</v>
      </c>
      <c r="D700" s="59">
        <v>0.67012552988269991</v>
      </c>
      <c r="E700" s="59">
        <v>22.932130019257137</v>
      </c>
      <c r="F700" s="59">
        <v>43.277514553059795</v>
      </c>
      <c r="G700" s="59">
        <v>102.75295087939108</v>
      </c>
      <c r="H700" s="59">
        <v>685.98348826904294</v>
      </c>
      <c r="J700" s="59">
        <v>29.230544809280865</v>
      </c>
      <c r="K700" s="59">
        <v>137.39078557807787</v>
      </c>
      <c r="L700" s="59">
        <v>52.983908550441811</v>
      </c>
      <c r="M700" s="59">
        <v>6501.8446706412778</v>
      </c>
      <c r="N700" s="59">
        <v>2422.9338811702924</v>
      </c>
      <c r="P700" s="59">
        <v>84.665090379138505</v>
      </c>
      <c r="R700" s="59">
        <v>152324.9107697618</v>
      </c>
      <c r="S700" s="59">
        <v>162862066.54347304</v>
      </c>
    </row>
    <row r="701" spans="2:19" x14ac:dyDescent="0.2">
      <c r="B701" s="59">
        <v>698</v>
      </c>
      <c r="C701" s="59">
        <v>83</v>
      </c>
      <c r="D701" s="59">
        <v>0.66001780314030256</v>
      </c>
      <c r="E701" s="59">
        <v>22.653923128767719</v>
      </c>
      <c r="F701" s="59">
        <v>42.776361917549281</v>
      </c>
      <c r="G701" s="59">
        <v>101.64443176173081</v>
      </c>
      <c r="H701" s="59">
        <v>680.28842778358717</v>
      </c>
      <c r="J701" s="59">
        <v>29.005296969169574</v>
      </c>
      <c r="K701" s="59">
        <v>136.28700119246645</v>
      </c>
      <c r="L701" s="59">
        <v>52.560485234095147</v>
      </c>
      <c r="M701" s="59">
        <v>6505.455658648867</v>
      </c>
      <c r="N701" s="59">
        <v>2428.6683955606309</v>
      </c>
      <c r="P701" s="59">
        <v>83.925709454019056</v>
      </c>
      <c r="R701" s="59">
        <v>151085.67339855738</v>
      </c>
      <c r="S701" s="59">
        <v>162888510.42133734</v>
      </c>
    </row>
    <row r="702" spans="2:19" x14ac:dyDescent="0.2">
      <c r="B702" s="59">
        <v>699</v>
      </c>
      <c r="C702" s="59">
        <v>83</v>
      </c>
      <c r="D702" s="59">
        <v>0.65006253460960295</v>
      </c>
      <c r="E702" s="59">
        <v>22.379072090166137</v>
      </c>
      <c r="F702" s="59">
        <v>42.280922990308966</v>
      </c>
      <c r="G702" s="59">
        <v>100.54752890448034</v>
      </c>
      <c r="H702" s="59">
        <v>674.63817845306062</v>
      </c>
      <c r="J702" s="59">
        <v>28.78138831124609</v>
      </c>
      <c r="K702" s="59">
        <v>135.19170627907982</v>
      </c>
      <c r="L702" s="59">
        <v>52.140211568596875</v>
      </c>
      <c r="M702" s="59">
        <v>6509.0378615969421</v>
      </c>
      <c r="N702" s="59">
        <v>2434.3530672715137</v>
      </c>
      <c r="P702" s="59">
        <v>83.192588608681504</v>
      </c>
      <c r="R702" s="59">
        <v>149855.90280894493</v>
      </c>
      <c r="S702" s="59">
        <v>162914673.64965531</v>
      </c>
    </row>
    <row r="703" spans="2:19" x14ac:dyDescent="0.2">
      <c r="B703" s="59">
        <v>700</v>
      </c>
      <c r="C703" s="59">
        <v>83</v>
      </c>
      <c r="D703" s="59">
        <v>0.64025742471257474</v>
      </c>
      <c r="E703" s="59">
        <v>22.107536721425685</v>
      </c>
      <c r="F703" s="59">
        <v>41.791133931762907</v>
      </c>
      <c r="G703" s="59">
        <v>99.462125200816232</v>
      </c>
      <c r="H703" s="59">
        <v>669.03241565921996</v>
      </c>
      <c r="J703" s="59">
        <v>28.558820477699662</v>
      </c>
      <c r="K703" s="59">
        <v>134.1048371707798</v>
      </c>
      <c r="L703" s="59">
        <v>51.723066656122207</v>
      </c>
      <c r="M703" s="59">
        <v>6512.5914911065829</v>
      </c>
      <c r="N703" s="59">
        <v>2439.9883156508818</v>
      </c>
      <c r="P703" s="59">
        <v>82.465677149785321</v>
      </c>
      <c r="R703" s="59">
        <v>148635.53435269048</v>
      </c>
      <c r="S703" s="59">
        <v>162940559.10114217</v>
      </c>
    </row>
    <row r="704" spans="2:19" x14ac:dyDescent="0.2">
      <c r="B704" s="59">
        <v>701</v>
      </c>
      <c r="C704" s="59">
        <v>83</v>
      </c>
      <c r="D704" s="59">
        <v>0.63060020855649346</v>
      </c>
      <c r="E704" s="59">
        <v>21.839277317025598</v>
      </c>
      <c r="F704" s="59">
        <v>41.306931596585976</v>
      </c>
      <c r="G704" s="59">
        <v>98.38810466212162</v>
      </c>
      <c r="H704" s="59">
        <v>663.47081681681709</v>
      </c>
      <c r="J704" s="59">
        <v>28.337594792425683</v>
      </c>
      <c r="K704" s="59">
        <v>133.02633071530724</v>
      </c>
      <c r="L704" s="59">
        <v>51.309029723719682</v>
      </c>
      <c r="M704" s="59">
        <v>6516.1167574859355</v>
      </c>
      <c r="N704" s="59">
        <v>2445.5745566815085</v>
      </c>
      <c r="P704" s="59">
        <v>81.744924765367458</v>
      </c>
      <c r="R704" s="59">
        <v>147424.50371714419</v>
      </c>
      <c r="S704" s="59">
        <v>162966169.62067494</v>
      </c>
    </row>
    <row r="705" spans="2:19" x14ac:dyDescent="0.2">
      <c r="B705" s="59">
        <v>702</v>
      </c>
      <c r="C705" s="59">
        <v>83</v>
      </c>
      <c r="D705" s="59">
        <v>0.6210886554107663</v>
      </c>
      <c r="E705" s="59">
        <v>21.574254642372622</v>
      </c>
      <c r="F705" s="59">
        <v>40.828253526433919</v>
      </c>
      <c r="G705" s="59">
        <v>97.325352408155652</v>
      </c>
      <c r="H705" s="59">
        <v>657.95306136458692</v>
      </c>
      <c r="J705" s="59">
        <v>28.117712271189863</v>
      </c>
      <c r="K705" s="59">
        <v>131.95612426958468</v>
      </c>
      <c r="L705" s="59">
        <v>50.898080121687592</v>
      </c>
      <c r="M705" s="59">
        <v>6519.6138697346323</v>
      </c>
      <c r="N705" s="59">
        <v>2451.1122030059487</v>
      </c>
      <c r="P705" s="59">
        <v>81.030281522391206</v>
      </c>
      <c r="R705" s="59">
        <v>146222.74692497269</v>
      </c>
      <c r="S705" s="59">
        <v>162991508.02553752</v>
      </c>
    </row>
    <row r="706" spans="2:19" x14ac:dyDescent="0.2">
      <c r="B706" s="59">
        <v>703</v>
      </c>
      <c r="C706" s="59">
        <v>83</v>
      </c>
      <c r="D706" s="59">
        <v>0.61172056819165388</v>
      </c>
      <c r="E706" s="59">
        <v>21.31242992828675</v>
      </c>
      <c r="F706" s="59">
        <v>40.355037942745405</v>
      </c>
      <c r="G706" s="59">
        <v>96.273754657297658</v>
      </c>
      <c r="H706" s="59">
        <v>652.47883075622769</v>
      </c>
      <c r="J706" s="59">
        <v>27.899173631516881</v>
      </c>
      <c r="K706" s="59">
        <v>130.89415569411489</v>
      </c>
      <c r="L706" s="59">
        <v>50.490197322031612</v>
      </c>
      <c r="M706" s="59">
        <v>6523.0830355482585</v>
      </c>
      <c r="N706" s="59">
        <v>2456.6016639513323</v>
      </c>
      <c r="P706" s="59">
        <v>80.321697864303985</v>
      </c>
      <c r="R706" s="59">
        <v>145030.20033388282</v>
      </c>
      <c r="S706" s="59">
        <v>163016577.10566393</v>
      </c>
    </row>
    <row r="707" spans="2:19" x14ac:dyDescent="0.2">
      <c r="B707" s="59">
        <v>704</v>
      </c>
      <c r="C707" s="59">
        <v>83</v>
      </c>
      <c r="D707" s="59">
        <v>0.60249378295476308</v>
      </c>
      <c r="E707" s="59">
        <v>21.053764865550392</v>
      </c>
      <c r="F707" s="59">
        <v>39.887223739615337</v>
      </c>
      <c r="G707" s="59">
        <v>95.233198716865644</v>
      </c>
      <c r="H707" s="59">
        <v>647.04780845137498</v>
      </c>
      <c r="J707" s="59">
        <v>27.681979302310801</v>
      </c>
      <c r="K707" s="59">
        <v>129.84036334747367</v>
      </c>
      <c r="L707" s="59">
        <v>50.085360916999328</v>
      </c>
      <c r="M707" s="59">
        <v>6526.524461322857</v>
      </c>
      <c r="N707" s="59">
        <v>2462.043345554001</v>
      </c>
      <c r="P707" s="59">
        <v>79.619124608604253</v>
      </c>
      <c r="R707" s="59">
        <v>143846.80063633499</v>
      </c>
      <c r="S707" s="59">
        <v>163041379.62387967</v>
      </c>
    </row>
    <row r="708" spans="2:19" x14ac:dyDescent="0.2">
      <c r="B708" s="59">
        <v>705</v>
      </c>
      <c r="C708" s="59">
        <v>83</v>
      </c>
      <c r="D708" s="59">
        <v>0.59340616839519544</v>
      </c>
      <c r="E708" s="59">
        <v>20.798221599520282</v>
      </c>
      <c r="F708" s="59">
        <v>39.424750476738886</v>
      </c>
      <c r="G708" s="59">
        <v>94.203572973508813</v>
      </c>
      <c r="H708" s="59">
        <v>641.65967990657043</v>
      </c>
      <c r="J708" s="59">
        <v>27.466129433214217</v>
      </c>
      <c r="K708" s="59">
        <v>128.79468608089479</v>
      </c>
      <c r="L708" s="59">
        <v>49.683550617687487</v>
      </c>
      <c r="M708" s="59">
        <v>6529.9383521594818</v>
      </c>
      <c r="N708" s="59">
        <v>2467.4376505839909</v>
      </c>
      <c r="P708" s="59">
        <v>78.922512944417306</v>
      </c>
      <c r="R708" s="59">
        <v>142672.48485924551</v>
      </c>
      <c r="S708" s="59">
        <v>163065918.31614158</v>
      </c>
    </row>
    <row r="709" spans="2:19" x14ac:dyDescent="0.2">
      <c r="B709" s="59">
        <v>706</v>
      </c>
      <c r="C709" s="59">
        <v>83</v>
      </c>
      <c r="D709" s="59">
        <v>0.58445562535523454</v>
      </c>
      <c r="E709" s="59">
        <v>20.545762724801424</v>
      </c>
      <c r="F709" s="59">
        <v>38.967558372425493</v>
      </c>
      <c r="G709" s="59">
        <v>93.184766883673575</v>
      </c>
      <c r="H709" s="59">
        <v>636.31413256622534</v>
      </c>
      <c r="J709" s="59">
        <v>27.251623903713039</v>
      </c>
      <c r="K709" s="59">
        <v>127.75706323294503</v>
      </c>
      <c r="L709" s="59">
        <v>49.284746252718058</v>
      </c>
      <c r="M709" s="59">
        <v>6533.3249118687863</v>
      </c>
      <c r="N709" s="59">
        <v>2472.7849785693588</v>
      </c>
      <c r="P709" s="59">
        <v>78.231814430080391</v>
      </c>
      <c r="R709" s="59">
        <v>141507.19036367658</v>
      </c>
      <c r="S709" s="59">
        <v>163090195.89177567</v>
      </c>
    </row>
    <row r="710" spans="2:19" x14ac:dyDescent="0.2">
      <c r="B710" s="59">
        <v>707</v>
      </c>
      <c r="C710" s="59">
        <v>83</v>
      </c>
      <c r="D710" s="59">
        <v>0.57564008633945973</v>
      </c>
      <c r="E710" s="59">
        <v>20.296351279982353</v>
      </c>
      <c r="F710" s="59">
        <v>38.51558829668231</v>
      </c>
      <c r="G710" s="59">
        <v>92.17667096414273</v>
      </c>
      <c r="H710" s="59">
        <v>631.01085585358021</v>
      </c>
      <c r="J710" s="59">
        <v>27.038462331993539</v>
      </c>
      <c r="K710" s="59">
        <v>126.72743462428772</v>
      </c>
      <c r="L710" s="59">
        <v>48.888927766979336</v>
      </c>
      <c r="M710" s="59">
        <v>6536.6843429756591</v>
      </c>
      <c r="N710" s="59">
        <v>2478.0857258203555</v>
      </c>
      <c r="P710" s="59">
        <v>77.546980990736969</v>
      </c>
      <c r="R710" s="59">
        <v>140350.85484451285</v>
      </c>
      <c r="S710" s="59">
        <v>163114215.03371352</v>
      </c>
    </row>
    <row r="711" spans="2:19" x14ac:dyDescent="0.2">
      <c r="B711" s="59">
        <v>708</v>
      </c>
      <c r="C711" s="59">
        <v>84</v>
      </c>
      <c r="D711" s="59">
        <v>0.56695751503717284</v>
      </c>
      <c r="E711" s="59">
        <v>20.049950742431047</v>
      </c>
      <c r="F711" s="59">
        <v>38.068781764366392</v>
      </c>
      <c r="G711" s="59">
        <v>91.179176782647417</v>
      </c>
      <c r="H711" s="59">
        <v>625.74954116166123</v>
      </c>
      <c r="J711" s="59">
        <v>26.826644083558215</v>
      </c>
      <c r="K711" s="59">
        <v>125.70574055253283</v>
      </c>
      <c r="L711" s="59">
        <v>48.496075220428537</v>
      </c>
      <c r="M711" s="59">
        <v>6540.0168467238964</v>
      </c>
      <c r="N711" s="59">
        <v>2483.3402854534434</v>
      </c>
      <c r="P711" s="59">
        <v>76.867964915940291</v>
      </c>
      <c r="Q711" s="59">
        <v>922.4155789912835</v>
      </c>
      <c r="R711" s="59">
        <v>139203.41633012416</v>
      </c>
      <c r="S711" s="59">
        <v>163137978.3987267</v>
      </c>
    </row>
    <row r="712" spans="2:19" x14ac:dyDescent="0.2">
      <c r="B712" s="59">
        <v>709</v>
      </c>
      <c r="C712" s="59">
        <v>84</v>
      </c>
      <c r="D712" s="59">
        <v>0.55840590585202887</v>
      </c>
      <c r="E712" s="59">
        <v>19.806525023150808</v>
      </c>
      <c r="F712" s="59">
        <v>37.627080928404993</v>
      </c>
      <c r="G712" s="59">
        <v>90.192176948551364</v>
      </c>
      <c r="H712" s="59">
        <v>620.52988184423396</v>
      </c>
      <c r="J712" s="59">
        <v>26.616168279606761</v>
      </c>
      <c r="K712" s="59">
        <v>124.69192178717175</v>
      </c>
      <c r="L712" s="59">
        <v>48.106168786952459</v>
      </c>
      <c r="M712" s="59">
        <v>6543.3226230809141</v>
      </c>
      <c r="N712" s="59">
        <v>2488.5490474151643</v>
      </c>
      <c r="P712" s="59">
        <v>76.194718857266437</v>
      </c>
      <c r="R712" s="59">
        <v>138064.81318201323</v>
      </c>
      <c r="S712" s="59">
        <v>163161488.61765966</v>
      </c>
    </row>
    <row r="713" spans="2:19" x14ac:dyDescent="0.2">
      <c r="B713" s="59">
        <v>710</v>
      </c>
      <c r="C713" s="59">
        <v>84</v>
      </c>
      <c r="D713" s="59">
        <v>0.54998328343876079</v>
      </c>
      <c r="E713" s="59">
        <v>19.56603846169541</v>
      </c>
      <c r="F713" s="59">
        <v>37.190428573083437</v>
      </c>
      <c r="G713" s="59">
        <v>89.215565103607148</v>
      </c>
      <c r="H713" s="59">
        <v>615.35157320675535</v>
      </c>
      <c r="J713" s="59">
        <v>26.407033805188313</v>
      </c>
      <c r="K713" s="59">
        <v>123.6859195645951</v>
      </c>
      <c r="L713" s="59">
        <v>47.719188753283007</v>
      </c>
      <c r="M713" s="59">
        <v>6546.6018707425037</v>
      </c>
      <c r="N713" s="59">
        <v>2493.7123985058515</v>
      </c>
      <c r="P713" s="59">
        <v>75.52719582593673</v>
      </c>
      <c r="R713" s="59">
        <v>136934.98409444754</v>
      </c>
      <c r="S713" s="59">
        <v>163184748.29566076</v>
      </c>
    </row>
    <row r="714" spans="2:19" x14ac:dyDescent="0.2">
      <c r="B714" s="59">
        <v>711</v>
      </c>
      <c r="C714" s="59">
        <v>84</v>
      </c>
      <c r="D714" s="59">
        <v>0.54168770224689278</v>
      </c>
      <c r="E714" s="59">
        <v>19.328455821142885</v>
      </c>
      <c r="F714" s="59">
        <v>36.758768107399831</v>
      </c>
      <c r="G714" s="59">
        <v>88.249235912783874</v>
      </c>
      <c r="H714" s="59">
        <v>610.21431249732439</v>
      </c>
      <c r="J714" s="59">
        <v>26.199239317130999</v>
      </c>
      <c r="K714" s="59">
        <v>122.68767558319183</v>
      </c>
      <c r="L714" s="59">
        <v>47.335115517964496</v>
      </c>
      <c r="M714" s="59">
        <v>6549.8547871376231</v>
      </c>
      <c r="N714" s="59">
        <v>2498.8307224031937</v>
      </c>
      <c r="P714" s="59">
        <v>74.86534919044972</v>
      </c>
      <c r="R714" s="59">
        <v>135813.8680940755</v>
      </c>
      <c r="S714" s="59">
        <v>163207760.01241177</v>
      </c>
    </row>
    <row r="715" spans="2:19" x14ac:dyDescent="0.2">
      <c r="B715" s="59">
        <v>712</v>
      </c>
      <c r="C715" s="59">
        <v>84</v>
      </c>
      <c r="D715" s="59">
        <v>0.53351724607133544</v>
      </c>
      <c r="E715" s="59">
        <v>19.09374228312727</v>
      </c>
      <c r="F715" s="59">
        <v>36.332043558486127</v>
      </c>
      <c r="G715" s="59">
        <v>87.293085055166117</v>
      </c>
      <c r="H715" s="59">
        <v>605.11779889763238</v>
      </c>
      <c r="J715" s="59">
        <v>25.992783251754609</v>
      </c>
      <c r="K715" s="59">
        <v>121.69713199852804</v>
      </c>
      <c r="L715" s="59">
        <v>46.953929590369825</v>
      </c>
      <c r="M715" s="59">
        <v>6553.0815684332238</v>
      </c>
      <c r="N715" s="59">
        <v>2503.9043996856426</v>
      </c>
      <c r="P715" s="59">
        <v>74.209132674222744</v>
      </c>
      <c r="R715" s="59">
        <v>134701.40453952533</v>
      </c>
      <c r="S715" s="59">
        <v>163230526.32235551</v>
      </c>
    </row>
    <row r="716" spans="2:19" x14ac:dyDescent="0.2">
      <c r="B716" s="59">
        <v>713</v>
      </c>
      <c r="C716" s="59">
        <v>84</v>
      </c>
      <c r="D716" s="59">
        <v>0.52547002760975947</v>
      </c>
      <c r="E716" s="59">
        <v>18.861863442927636</v>
      </c>
      <c r="F716" s="59">
        <v>35.910199565094828</v>
      </c>
      <c r="G716" s="59">
        <v>86.347009214923489</v>
      </c>
      <c r="H716" s="59">
        <v>600.06173351391374</v>
      </c>
      <c r="J716" s="59">
        <v>25.787663832372104</v>
      </c>
      <c r="K716" s="59">
        <v>120.71423141860353</v>
      </c>
      <c r="L716" s="59">
        <v>46.575611589762701</v>
      </c>
      <c r="M716" s="59">
        <v>6556.2824095391188</v>
      </c>
      <c r="N716" s="59">
        <v>2508.9338078556752</v>
      </c>
      <c r="P716" s="59">
        <v>73.558500353243247</v>
      </c>
      <c r="R716" s="59">
        <v>133597.53312098689</v>
      </c>
      <c r="S716" s="59">
        <v>163253049.75492191</v>
      </c>
    </row>
    <row r="717" spans="2:19" x14ac:dyDescent="0.2">
      <c r="B717" s="59">
        <v>714</v>
      </c>
      <c r="C717" s="59">
        <v>84</v>
      </c>
      <c r="D717" s="59">
        <v>0.51754418802664559</v>
      </c>
      <c r="E717" s="59">
        <v>18.632785304613812</v>
      </c>
      <c r="F717" s="59">
        <v>35.493181371150776</v>
      </c>
      <c r="G717" s="59">
        <v>85.410906072350585</v>
      </c>
      <c r="H717" s="59">
        <v>595.04581936789737</v>
      </c>
      <c r="J717" s="59">
        <v>25.583879076585493</v>
      </c>
      <c r="K717" s="59">
        <v>119.73891689918501</v>
      </c>
      <c r="L717" s="59">
        <v>46.200142244403338</v>
      </c>
      <c r="M717" s="59">
        <v>6559.4575041128855</v>
      </c>
      <c r="N717" s="59">
        <v>2513.9193213629028</v>
      </c>
      <c r="P717" s="59">
        <v>72.913406653729723</v>
      </c>
      <c r="R717" s="59">
        <v>132502.19385977593</v>
      </c>
      <c r="S717" s="59">
        <v>163275332.81475243</v>
      </c>
    </row>
    <row r="718" spans="2:19" x14ac:dyDescent="0.2">
      <c r="B718" s="59">
        <v>715</v>
      </c>
      <c r="C718" s="59">
        <v>84</v>
      </c>
      <c r="D718" s="59">
        <v>0.50973789652391033</v>
      </c>
      <c r="E718" s="59">
        <v>18.406474276248115</v>
      </c>
      <c r="F718" s="59">
        <v>35.080934819367478</v>
      </c>
      <c r="G718" s="59">
        <v>84.484674294976827</v>
      </c>
      <c r="H718" s="59">
        <v>590.06976138775974</v>
      </c>
      <c r="J718" s="59">
        <v>25.381426803381494</v>
      </c>
      <c r="K718" s="59">
        <v>118.77113193921393</v>
      </c>
      <c r="L718" s="59">
        <v>45.827502390695081</v>
      </c>
      <c r="M718" s="59">
        <v>6562.6070445648029</v>
      </c>
      <c r="N718" s="59">
        <v>2518.8613116270321</v>
      </c>
      <c r="P718" s="59">
        <v>72.273806349802499</v>
      </c>
      <c r="R718" s="59">
        <v>131415.32710788015</v>
      </c>
      <c r="S718" s="59">
        <v>163297377.98192263</v>
      </c>
    </row>
    <row r="719" spans="2:19" x14ac:dyDescent="0.2">
      <c r="B719" s="59">
        <v>716</v>
      </c>
      <c r="C719" s="59">
        <v>84</v>
      </c>
      <c r="D719" s="59">
        <v>0.50204934991800798</v>
      </c>
      <c r="E719" s="59">
        <v>18.182897165142474</v>
      </c>
      <c r="F719" s="59">
        <v>34.673406344927265</v>
      </c>
      <c r="G719" s="59">
        <v>83.568213528745844</v>
      </c>
      <c r="H719" s="59">
        <v>585.13326639908053</v>
      </c>
      <c r="J719" s="59">
        <v>25.180304640032222</v>
      </c>
      <c r="K719" s="59">
        <v>117.81082047628759</v>
      </c>
      <c r="L719" s="59">
        <v>45.457672972369565</v>
      </c>
      <c r="M719" s="59">
        <v>6565.7312220628228</v>
      </c>
      <c r="N719" s="59">
        <v>2523.7601470606755</v>
      </c>
      <c r="P719" s="59">
        <v>71.639654561164477</v>
      </c>
      <c r="R719" s="59">
        <v>130336.8735474869</v>
      </c>
      <c r="S719" s="59">
        <v>163319187.71216327</v>
      </c>
    </row>
    <row r="720" spans="2:19" x14ac:dyDescent="0.2">
      <c r="B720" s="59">
        <v>717</v>
      </c>
      <c r="C720" s="59">
        <v>84</v>
      </c>
      <c r="D720" s="59">
        <v>0.49447677222341135</v>
      </c>
      <c r="E720" s="59">
        <v>17.962021173170324</v>
      </c>
      <c r="F720" s="59">
        <v>34.270542969224806</v>
      </c>
      <c r="G720" s="59">
        <v>82.661424389263928</v>
      </c>
      <c r="H720" s="59">
        <v>580.23604311580073</v>
      </c>
      <c r="J720" s="59">
        <v>24.980510028806048</v>
      </c>
      <c r="K720" s="59">
        <v>116.85792688221208</v>
      </c>
      <c r="L720" s="59">
        <v>45.090635039708182</v>
      </c>
      <c r="M720" s="59">
        <v>6568.8302265375751</v>
      </c>
      <c r="N720" s="59">
        <v>2528.6161930920166</v>
      </c>
      <c r="P720" s="59">
        <v>71.010906750791676</v>
      </c>
      <c r="R720" s="59">
        <v>129266.7741904923</v>
      </c>
      <c r="S720" s="59">
        <v>163340764.43707973</v>
      </c>
    </row>
    <row r="721" spans="2:19" x14ac:dyDescent="0.2">
      <c r="B721" s="59">
        <v>718</v>
      </c>
      <c r="C721" s="59">
        <v>84</v>
      </c>
      <c r="D721" s="59">
        <v>0.48701841424237491</v>
      </c>
      <c r="E721" s="59">
        <v>17.743813892132639</v>
      </c>
      <c r="F721" s="59">
        <v>33.872292293673318</v>
      </c>
      <c r="G721" s="59">
        <v>81.76420845311722</v>
      </c>
      <c r="H721" s="59">
        <v>575.37780213118458</v>
      </c>
      <c r="J721" s="59">
        <v>24.782040233493611</v>
      </c>
      <c r="K721" s="59">
        <v>115.91239595862547</v>
      </c>
      <c r="L721" s="59">
        <v>44.726369748797659</v>
      </c>
      <c r="M721" s="59">
        <v>6571.9042466874089</v>
      </c>
      <c r="N721" s="59">
        <v>2533.4298121873253</v>
      </c>
      <c r="P721" s="59">
        <v>70.387518722633871</v>
      </c>
      <c r="R721" s="59">
        <v>128204.97037799156</v>
      </c>
      <c r="S721" s="59">
        <v>163362110.56436965</v>
      </c>
    </row>
    <row r="722" spans="2:19" x14ac:dyDescent="0.2">
      <c r="B722" s="59">
        <v>719</v>
      </c>
      <c r="C722" s="59">
        <v>84</v>
      </c>
      <c r="D722" s="59">
        <v>0.47967255316088575</v>
      </c>
      <c r="E722" s="59">
        <v>17.528243299177522</v>
      </c>
      <c r="F722" s="59">
        <v>33.478602493572936</v>
      </c>
      <c r="G722" s="59">
        <v>80.876468249257201</v>
      </c>
      <c r="H722" s="59">
        <v>570.55825590878567</v>
      </c>
      <c r="J722" s="59">
        <v>24.584892345753811</v>
      </c>
      <c r="K722" s="59">
        <v>114.97417293268981</v>
      </c>
      <c r="L722" s="59">
        <v>44.364858360817742</v>
      </c>
      <c r="M722" s="59">
        <v>6574.9534699834585</v>
      </c>
      <c r="N722" s="59">
        <v>2538.2013638733265</v>
      </c>
      <c r="P722" s="59">
        <v>69.769446619325166</v>
      </c>
      <c r="R722" s="59">
        <v>127151.40377975033</v>
      </c>
      <c r="S722" s="59">
        <v>163383228.47803909</v>
      </c>
    </row>
    <row r="723" spans="2:19" x14ac:dyDescent="0.2">
      <c r="B723" s="59">
        <v>720</v>
      </c>
      <c r="C723" s="59">
        <v>85</v>
      </c>
      <c r="D723" s="59">
        <v>0.47243749215070907</v>
      </c>
      <c r="E723" s="59">
        <v>17.315277752272721</v>
      </c>
      <c r="F723" s="59">
        <v>33.089422312040661</v>
      </c>
      <c r="G723" s="59">
        <v>79.998107250454069</v>
      </c>
      <c r="H723" s="59">
        <v>565.77711877341778</v>
      </c>
      <c r="J723" s="59">
        <v>24.389063291284582</v>
      </c>
      <c r="K723" s="59">
        <v>114.04320345285068</v>
      </c>
      <c r="L723" s="59">
        <v>44.006082241359046</v>
      </c>
      <c r="M723" s="59">
        <v>6577.9780826747465</v>
      </c>
      <c r="N723" s="59">
        <v>2542.9312047594235</v>
      </c>
      <c r="P723" s="59">
        <v>69.156646919904802</v>
      </c>
      <c r="Q723" s="59">
        <v>829.87976303885762</v>
      </c>
      <c r="R723" s="59">
        <v>126106.01639365681</v>
      </c>
      <c r="S723" s="59">
        <v>163404120.5386169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H30"/>
  <sheetViews>
    <sheetView workbookViewId="0">
      <selection activeCell="I28" sqref="I28"/>
    </sheetView>
  </sheetViews>
  <sheetFormatPr baseColWidth="10" defaultColWidth="12.5703125" defaultRowHeight="15.75" customHeight="1" x14ac:dyDescent="0.2"/>
  <cols>
    <col min="2" max="2" width="12.5703125" customWidth="1"/>
    <col min="4" max="4" width="15" customWidth="1"/>
  </cols>
  <sheetData>
    <row r="1" spans="1:8" s="46" customFormat="1" ht="15.75" customHeight="1" thickBot="1" x14ac:dyDescent="0.25">
      <c r="A1" s="211" t="s">
        <v>217</v>
      </c>
      <c r="B1" s="212"/>
      <c r="D1" s="213" t="s">
        <v>225</v>
      </c>
      <c r="E1" s="214"/>
    </row>
    <row r="2" spans="1:8" s="46" customFormat="1" ht="15.75" customHeight="1" x14ac:dyDescent="0.2">
      <c r="A2" s="63" t="s">
        <v>215</v>
      </c>
      <c r="B2" s="64" t="s">
        <v>216</v>
      </c>
      <c r="D2" s="63" t="s">
        <v>215</v>
      </c>
      <c r="E2" s="64" t="s">
        <v>216</v>
      </c>
    </row>
    <row r="3" spans="1:8" ht="12.75" x14ac:dyDescent="0.2">
      <c r="A3" s="61" t="s">
        <v>0</v>
      </c>
      <c r="B3" s="60">
        <v>70</v>
      </c>
      <c r="D3" s="124" t="s">
        <v>226</v>
      </c>
      <c r="E3" s="125">
        <v>12</v>
      </c>
      <c r="F3" s="1"/>
      <c r="G3" s="1"/>
    </row>
    <row r="4" spans="1:8" ht="12.75" x14ac:dyDescent="0.2">
      <c r="A4" s="61" t="s">
        <v>1</v>
      </c>
      <c r="B4" s="60" t="s">
        <v>240</v>
      </c>
      <c r="D4" s="75" t="s">
        <v>227</v>
      </c>
      <c r="E4" s="68">
        <v>10000</v>
      </c>
      <c r="F4" s="1"/>
      <c r="G4" s="1"/>
    </row>
    <row r="5" spans="1:8" ht="13.5" thickBot="1" x14ac:dyDescent="0.25">
      <c r="A5" s="61" t="s">
        <v>2</v>
      </c>
      <c r="B5" s="208">
        <v>12.4</v>
      </c>
      <c r="C5" s="1"/>
      <c r="D5" s="62" t="s">
        <v>246</v>
      </c>
      <c r="E5" s="74">
        <v>0.03</v>
      </c>
      <c r="F5" s="50"/>
      <c r="G5" s="1"/>
      <c r="H5" s="1"/>
    </row>
    <row r="6" spans="1:8" ht="12.75" x14ac:dyDescent="0.2">
      <c r="A6" s="61" t="s">
        <v>3</v>
      </c>
      <c r="B6" s="208">
        <v>18</v>
      </c>
      <c r="C6" s="1"/>
      <c r="D6" s="1"/>
      <c r="F6" s="50"/>
      <c r="G6" s="1"/>
      <c r="H6" s="1"/>
    </row>
    <row r="7" spans="1:8" ht="12.75" x14ac:dyDescent="0.2">
      <c r="A7" s="61" t="s">
        <v>4</v>
      </c>
      <c r="B7" s="208">
        <v>16</v>
      </c>
      <c r="F7" s="50"/>
      <c r="G7" s="1"/>
      <c r="H7" s="1"/>
    </row>
    <row r="8" spans="1:8" ht="13.5" thickBot="1" x14ac:dyDescent="0.25">
      <c r="A8" s="61" t="s">
        <v>5</v>
      </c>
      <c r="B8" s="208">
        <v>15.6</v>
      </c>
      <c r="F8" s="60"/>
      <c r="G8" s="1"/>
      <c r="H8" s="1"/>
    </row>
    <row r="9" spans="1:8" ht="13.5" thickBot="1" x14ac:dyDescent="0.25">
      <c r="A9" s="61" t="s">
        <v>6</v>
      </c>
      <c r="B9" s="208">
        <v>38</v>
      </c>
      <c r="D9" s="213" t="s">
        <v>292</v>
      </c>
      <c r="E9" s="214"/>
      <c r="F9" s="60"/>
      <c r="G9" s="1"/>
      <c r="H9" s="1"/>
    </row>
    <row r="10" spans="1:8" ht="15.75" customHeight="1" x14ac:dyDescent="0.2">
      <c r="A10" s="61" t="s">
        <v>15</v>
      </c>
      <c r="B10" s="50">
        <v>65</v>
      </c>
      <c r="C10" s="46"/>
      <c r="D10" s="63" t="s">
        <v>215</v>
      </c>
      <c r="E10" s="64" t="s">
        <v>216</v>
      </c>
    </row>
    <row r="11" spans="1:8" ht="12.75" x14ac:dyDescent="0.2">
      <c r="A11" s="61" t="s">
        <v>16</v>
      </c>
      <c r="B11" s="50">
        <v>5</v>
      </c>
      <c r="C11" s="46"/>
      <c r="D11" s="124" t="s">
        <v>293</v>
      </c>
      <c r="E11" s="125">
        <v>0.19400000000000001</v>
      </c>
    </row>
    <row r="12" spans="1:8" ht="12.75" x14ac:dyDescent="0.2">
      <c r="A12" s="61" t="s">
        <v>17</v>
      </c>
      <c r="B12" s="50">
        <v>30</v>
      </c>
      <c r="C12" s="46"/>
      <c r="D12" s="75" t="s">
        <v>39</v>
      </c>
      <c r="E12" s="68">
        <v>0.50800000000000001</v>
      </c>
      <c r="F12" s="1"/>
      <c r="G12" s="1"/>
    </row>
    <row r="13" spans="1:8" ht="13.5" thickBot="1" x14ac:dyDescent="0.25">
      <c r="A13" s="62" t="s">
        <v>18</v>
      </c>
      <c r="B13" s="50">
        <v>0</v>
      </c>
      <c r="C13" s="46"/>
      <c r="D13" s="62"/>
      <c r="E13" s="74"/>
      <c r="F13" s="1"/>
      <c r="G13" s="1"/>
    </row>
    <row r="14" spans="1:8" s="46" customFormat="1" ht="13.5" thickBot="1" x14ac:dyDescent="0.25">
      <c r="A14" s="52"/>
      <c r="B14" s="52"/>
      <c r="F14" s="1"/>
      <c r="G14" s="1"/>
    </row>
    <row r="15" spans="1:8" ht="13.5" thickBot="1" x14ac:dyDescent="0.25">
      <c r="A15" s="211" t="s">
        <v>7</v>
      </c>
      <c r="B15" s="212"/>
      <c r="F15" s="1"/>
      <c r="G15" s="1"/>
    </row>
    <row r="16" spans="1:8" ht="15.75" customHeight="1" x14ac:dyDescent="0.2">
      <c r="A16" s="65" t="s">
        <v>215</v>
      </c>
      <c r="B16" s="66" t="s">
        <v>216</v>
      </c>
    </row>
    <row r="17" spans="1:7" ht="12.75" x14ac:dyDescent="0.2">
      <c r="A17" s="61" t="s">
        <v>8</v>
      </c>
      <c r="B17" s="234">
        <v>12903</v>
      </c>
      <c r="C17" s="163"/>
      <c r="F17" s="1"/>
      <c r="G17" s="1"/>
    </row>
    <row r="18" spans="1:7" ht="12.75" x14ac:dyDescent="0.2">
      <c r="A18" s="61" t="s">
        <v>9</v>
      </c>
      <c r="B18" s="50">
        <v>119</v>
      </c>
      <c r="C18" s="163"/>
      <c r="F18" s="1"/>
      <c r="G18" s="1"/>
    </row>
    <row r="19" spans="1:7" ht="12.75" x14ac:dyDescent="0.2">
      <c r="A19" s="61" t="s">
        <v>10</v>
      </c>
      <c r="B19" s="208">
        <v>62</v>
      </c>
      <c r="C19" s="163"/>
      <c r="F19" s="1"/>
      <c r="G19" s="1"/>
    </row>
    <row r="20" spans="1:7" ht="12.75" x14ac:dyDescent="0.2">
      <c r="A20" s="67"/>
      <c r="B20" s="208"/>
      <c r="C20" s="163"/>
      <c r="F20" s="1"/>
      <c r="G20" s="1"/>
    </row>
    <row r="21" spans="1:7" ht="12.75" x14ac:dyDescent="0.2">
      <c r="A21" s="61" t="s">
        <v>259</v>
      </c>
      <c r="B21" s="208">
        <v>190</v>
      </c>
      <c r="C21" s="163"/>
      <c r="F21" s="1"/>
      <c r="G21" s="1"/>
    </row>
    <row r="22" spans="1:7" ht="15.75" customHeight="1" x14ac:dyDescent="0.2">
      <c r="A22" s="61" t="s">
        <v>5</v>
      </c>
      <c r="B22" s="208">
        <v>282</v>
      </c>
      <c r="C22" s="163"/>
    </row>
    <row r="23" spans="1:7" ht="12.75" x14ac:dyDescent="0.2">
      <c r="A23" s="61" t="s">
        <v>6</v>
      </c>
      <c r="B23" s="208">
        <v>420</v>
      </c>
      <c r="C23" s="163"/>
      <c r="F23" s="1"/>
      <c r="G23" s="1"/>
    </row>
    <row r="24" spans="1:7" ht="12.75" x14ac:dyDescent="0.2">
      <c r="A24" s="61" t="s">
        <v>13</v>
      </c>
      <c r="B24" s="208">
        <v>4434</v>
      </c>
      <c r="C24" s="163"/>
      <c r="F24" s="1"/>
      <c r="G24" s="1"/>
    </row>
    <row r="25" spans="1:7" ht="13.5" thickBot="1" x14ac:dyDescent="0.25">
      <c r="A25" s="62" t="s">
        <v>39</v>
      </c>
      <c r="B25" s="208">
        <v>3818</v>
      </c>
      <c r="F25" s="1"/>
      <c r="G25" s="1"/>
    </row>
    <row r="26" spans="1:7" ht="12.75" x14ac:dyDescent="0.2">
      <c r="F26" s="1"/>
      <c r="G26" s="1"/>
    </row>
    <row r="27" spans="1:7" ht="15.75" customHeight="1" x14ac:dyDescent="0.2">
      <c r="A27" s="50" t="s">
        <v>260</v>
      </c>
      <c r="B27" s="50">
        <v>0</v>
      </c>
    </row>
    <row r="28" spans="1:7" ht="15.75" customHeight="1" x14ac:dyDescent="0.2">
      <c r="A28" s="50" t="s">
        <v>261</v>
      </c>
      <c r="B28" s="50">
        <v>0</v>
      </c>
    </row>
    <row r="29" spans="1:7" ht="15.75" customHeight="1" x14ac:dyDescent="0.2">
      <c r="A29" s="50" t="s">
        <v>267</v>
      </c>
      <c r="B29" s="50">
        <v>0</v>
      </c>
    </row>
    <row r="30" spans="1:7" ht="15.75" customHeight="1" x14ac:dyDescent="0.2">
      <c r="A30" s="1"/>
      <c r="B30" s="1"/>
    </row>
  </sheetData>
  <mergeCells count="4">
    <mergeCell ref="A1:B1"/>
    <mergeCell ref="A15:B15"/>
    <mergeCell ref="D1:E1"/>
    <mergeCell ref="D9:E9"/>
  </mergeCells>
  <dataValidations count="1">
    <dataValidation type="list" allowBlank="1" showErrorMessage="1" sqref="B4" xr:uid="{00000000-0002-0000-0000-000000000000}">
      <formula1>"india,brazil,Colombia"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outlinePr summaryBelow="0" summaryRight="0"/>
  </sheetPr>
  <dimension ref="A1:AD102"/>
  <sheetViews>
    <sheetView workbookViewId="0">
      <pane xSplit="1" topLeftCell="B1" activePane="topRight" state="frozen"/>
      <selection pane="topRight" activeCell="M15" sqref="M15"/>
    </sheetView>
  </sheetViews>
  <sheetFormatPr baseColWidth="10" defaultColWidth="12.5703125" defaultRowHeight="15.75" customHeight="1" x14ac:dyDescent="0.2"/>
  <cols>
    <col min="1" max="1" width="36.140625" customWidth="1"/>
    <col min="6" max="6" width="7.42578125" customWidth="1"/>
    <col min="7" max="7" width="18.85546875" customWidth="1"/>
  </cols>
  <sheetData>
    <row r="1" spans="1:30" ht="13.5" thickBot="1" x14ac:dyDescent="0.25">
      <c r="B1" s="181" t="s">
        <v>210</v>
      </c>
      <c r="C1" s="182" t="s">
        <v>211</v>
      </c>
      <c r="D1" s="183" t="s">
        <v>212</v>
      </c>
      <c r="E1" s="1"/>
      <c r="F1" s="58" t="s">
        <v>0</v>
      </c>
      <c r="G1" s="58" t="s">
        <v>213</v>
      </c>
      <c r="H1" s="1"/>
      <c r="I1" s="1"/>
      <c r="J1" s="1"/>
      <c r="K1" s="1"/>
      <c r="L1" s="1"/>
      <c r="M1" s="1"/>
      <c r="N1" s="1"/>
    </row>
    <row r="2" spans="1:30" ht="12.75" x14ac:dyDescent="0.2">
      <c r="A2" s="1"/>
      <c r="B2" s="178" t="s">
        <v>2</v>
      </c>
      <c r="C2" s="179" t="s">
        <v>3</v>
      </c>
      <c r="D2" s="180">
        <v>0.11700000000000001</v>
      </c>
      <c r="E2" s="32"/>
      <c r="F2" s="58">
        <v>0</v>
      </c>
      <c r="G2" s="82">
        <f ca="1">INDIRECT($J$2 &amp; "!" &amp; $J$3 &amp; ($J$4 + (ROW(G2)-2)))</f>
        <v>6.9150241354009098E-3</v>
      </c>
      <c r="H2" s="32"/>
      <c r="I2" s="69" t="s">
        <v>214</v>
      </c>
      <c r="J2" s="70" t="str">
        <f>inputPais</f>
        <v>brazil</v>
      </c>
      <c r="K2" s="32"/>
      <c r="L2" s="32"/>
      <c r="M2" s="32"/>
      <c r="N2" s="5"/>
      <c r="O2" s="5"/>
    </row>
    <row r="3" spans="1:30" ht="12.75" x14ac:dyDescent="0.2">
      <c r="A3" s="1"/>
      <c r="B3" s="171" t="s">
        <v>3</v>
      </c>
      <c r="C3" s="48" t="s">
        <v>4</v>
      </c>
      <c r="D3" s="172">
        <v>8.5000000000000006E-2</v>
      </c>
      <c r="E3" s="32"/>
      <c r="F3" s="58">
        <v>1</v>
      </c>
      <c r="G3" s="82">
        <f t="shared" ref="G3:G66" ca="1" si="0">INDIRECT($J$2 &amp; "!" &amp; $J$3 &amp; ($J$4 + (ROW(G3)-2)))</f>
        <v>3.0290525906888599E-4</v>
      </c>
      <c r="H3" s="32"/>
      <c r="I3" s="69" t="s">
        <v>219</v>
      </c>
      <c r="J3" s="70" t="s">
        <v>67</v>
      </c>
      <c r="K3" s="32" t="s">
        <v>23</v>
      </c>
      <c r="L3" s="32"/>
      <c r="M3" s="32"/>
      <c r="N3" s="5"/>
      <c r="O3" s="5"/>
    </row>
    <row r="4" spans="1:30" ht="12.75" x14ac:dyDescent="0.2">
      <c r="A4" s="1"/>
      <c r="B4" s="171" t="s">
        <v>4</v>
      </c>
      <c r="C4" s="48" t="s">
        <v>5</v>
      </c>
      <c r="D4" s="172">
        <v>0.12</v>
      </c>
      <c r="E4" s="32"/>
      <c r="F4" s="58">
        <v>2</v>
      </c>
      <c r="G4" s="82">
        <f t="shared" ca="1" si="0"/>
        <v>3.0290525906888599E-4</v>
      </c>
      <c r="H4" s="32"/>
      <c r="I4" s="69" t="s">
        <v>220</v>
      </c>
      <c r="J4" s="184">
        <v>28</v>
      </c>
      <c r="K4" s="32"/>
      <c r="L4" s="32"/>
      <c r="M4" s="32"/>
      <c r="N4" s="5"/>
      <c r="O4" s="5"/>
    </row>
    <row r="5" spans="1:30" ht="12.75" x14ac:dyDescent="0.2">
      <c r="A5" s="1"/>
      <c r="B5" s="171" t="s">
        <v>5</v>
      </c>
      <c r="C5" s="48" t="s">
        <v>37</v>
      </c>
      <c r="D5" s="172">
        <v>0.11600000000000001</v>
      </c>
      <c r="E5" s="32"/>
      <c r="F5" s="58">
        <v>3</v>
      </c>
      <c r="G5" s="82">
        <f t="shared" ca="1" si="0"/>
        <v>3.0290525906888599E-4</v>
      </c>
      <c r="H5" s="32"/>
      <c r="I5" s="32"/>
      <c r="J5" s="32"/>
      <c r="K5" s="32"/>
      <c r="L5" s="32"/>
      <c r="M5" s="32"/>
      <c r="N5" s="5"/>
      <c r="O5" s="5"/>
    </row>
    <row r="6" spans="1:30" ht="12.75" x14ac:dyDescent="0.2">
      <c r="A6" s="1"/>
      <c r="B6" s="171" t="s">
        <v>37</v>
      </c>
      <c r="C6" s="48" t="s">
        <v>13</v>
      </c>
      <c r="D6" s="172">
        <v>3.9E-2</v>
      </c>
      <c r="E6" s="32"/>
      <c r="F6" s="58">
        <v>4</v>
      </c>
      <c r="G6" s="82">
        <f t="shared" ca="1" si="0"/>
        <v>3.0290525906888599E-4</v>
      </c>
      <c r="H6" s="32"/>
      <c r="I6" s="222" t="s">
        <v>239</v>
      </c>
      <c r="J6" s="222"/>
      <c r="K6" s="32"/>
      <c r="L6" s="32"/>
      <c r="M6" s="32"/>
      <c r="N6" s="5"/>
      <c r="O6" s="5"/>
    </row>
    <row r="7" spans="1:30" ht="15" x14ac:dyDescent="0.25">
      <c r="A7" s="33"/>
      <c r="B7" s="171" t="s">
        <v>37</v>
      </c>
      <c r="C7" s="48" t="s">
        <v>39</v>
      </c>
      <c r="D7" s="172">
        <v>1.4E-2</v>
      </c>
      <c r="E7" s="34"/>
      <c r="F7" s="58">
        <v>5</v>
      </c>
      <c r="G7" s="82">
        <f t="shared" ca="1" si="0"/>
        <v>1.5466374564121401E-4</v>
      </c>
      <c r="H7" s="35"/>
      <c r="I7" s="115" t="s">
        <v>45</v>
      </c>
      <c r="J7" s="59">
        <v>1</v>
      </c>
      <c r="K7" s="34"/>
      <c r="L7" s="34"/>
      <c r="M7" s="35"/>
      <c r="N7" s="34"/>
      <c r="O7" s="36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</row>
    <row r="8" spans="1:30" ht="15" x14ac:dyDescent="0.25">
      <c r="A8" s="38"/>
      <c r="B8" s="171" t="s">
        <v>13</v>
      </c>
      <c r="C8" s="48" t="s">
        <v>38</v>
      </c>
      <c r="D8" s="172"/>
      <c r="E8" s="35"/>
      <c r="F8" s="58">
        <v>6</v>
      </c>
      <c r="G8" s="82">
        <f t="shared" ca="1" si="0"/>
        <v>1.5466374564121401E-4</v>
      </c>
      <c r="H8" s="34"/>
      <c r="I8" s="115" t="s">
        <v>46</v>
      </c>
      <c r="J8" s="59">
        <v>1</v>
      </c>
      <c r="K8" s="35"/>
      <c r="L8" s="35"/>
      <c r="M8" s="35"/>
      <c r="N8" s="34"/>
      <c r="O8" s="36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</row>
    <row r="9" spans="1:30" ht="15" x14ac:dyDescent="0.25">
      <c r="A9" s="1"/>
      <c r="B9" s="171" t="s">
        <v>13</v>
      </c>
      <c r="C9" s="48" t="s">
        <v>39</v>
      </c>
      <c r="D9" s="172">
        <v>6.8000000000000005E-2</v>
      </c>
      <c r="E9" s="32"/>
      <c r="F9" s="58">
        <v>7</v>
      </c>
      <c r="G9" s="82">
        <f t="shared" ca="1" si="0"/>
        <v>1.5466374564121401E-4</v>
      </c>
      <c r="H9" s="32"/>
      <c r="I9" s="115" t="s">
        <v>47</v>
      </c>
      <c r="J9" s="59">
        <v>1</v>
      </c>
      <c r="K9" s="44"/>
      <c r="L9" s="32"/>
      <c r="M9" s="32"/>
      <c r="N9" s="5"/>
      <c r="O9" s="5"/>
    </row>
    <row r="10" spans="1:30" ht="15" x14ac:dyDescent="0.25">
      <c r="A10" s="1"/>
      <c r="B10" s="171" t="s">
        <v>13</v>
      </c>
      <c r="C10" s="48" t="s">
        <v>40</v>
      </c>
      <c r="D10" s="172">
        <v>0.182</v>
      </c>
      <c r="E10" s="32"/>
      <c r="F10" s="58">
        <v>8</v>
      </c>
      <c r="G10" s="82">
        <f t="shared" ca="1" si="0"/>
        <v>1.5466374564121401E-4</v>
      </c>
      <c r="H10" s="32"/>
      <c r="I10" s="115" t="s">
        <v>48</v>
      </c>
      <c r="J10" s="59">
        <v>1</v>
      </c>
      <c r="K10" s="32"/>
      <c r="L10" s="32"/>
      <c r="M10" s="32"/>
      <c r="N10" s="5"/>
      <c r="O10" s="5"/>
    </row>
    <row r="11" spans="1:30" ht="15" x14ac:dyDescent="0.25">
      <c r="A11" s="37"/>
      <c r="B11" s="171" t="s">
        <v>38</v>
      </c>
      <c r="C11" s="48" t="s">
        <v>39</v>
      </c>
      <c r="D11" s="172">
        <v>6.8000000000000005E-2</v>
      </c>
      <c r="E11" s="32"/>
      <c r="F11" s="58">
        <v>9</v>
      </c>
      <c r="G11" s="82">
        <f t="shared" ca="1" si="0"/>
        <v>1.5466374564121401E-4</v>
      </c>
      <c r="H11" s="32"/>
      <c r="I11" s="115" t="s">
        <v>49</v>
      </c>
      <c r="J11" s="59">
        <v>1</v>
      </c>
      <c r="K11" s="32"/>
      <c r="L11" s="32"/>
      <c r="M11" s="32"/>
      <c r="N11" s="5"/>
      <c r="O11" s="5"/>
    </row>
    <row r="12" spans="1:30" ht="15" x14ac:dyDescent="0.25">
      <c r="A12" s="37"/>
      <c r="B12" s="171" t="s">
        <v>38</v>
      </c>
      <c r="C12" s="48" t="s">
        <v>40</v>
      </c>
      <c r="D12" s="172">
        <v>0.112</v>
      </c>
      <c r="E12" s="1"/>
      <c r="F12" s="58">
        <v>10</v>
      </c>
      <c r="G12" s="82">
        <f t="shared" ca="1" si="0"/>
        <v>1.8246561429661001E-4</v>
      </c>
      <c r="H12" s="39"/>
      <c r="I12" s="115" t="s">
        <v>50</v>
      </c>
      <c r="J12" s="59">
        <v>1</v>
      </c>
      <c r="K12" s="1"/>
      <c r="L12" s="1"/>
      <c r="M12" s="1"/>
      <c r="N12" s="5"/>
    </row>
    <row r="13" spans="1:30" ht="15" x14ac:dyDescent="0.25">
      <c r="A13" s="38"/>
      <c r="B13" s="173" t="s">
        <v>39</v>
      </c>
      <c r="C13" s="50" t="s">
        <v>40</v>
      </c>
      <c r="D13" s="174">
        <v>0.42699999999999999</v>
      </c>
      <c r="E13" s="1"/>
      <c r="F13" s="58">
        <v>11</v>
      </c>
      <c r="G13" s="82">
        <f t="shared" ca="1" si="0"/>
        <v>1.8246561429661001E-4</v>
      </c>
      <c r="H13" s="52"/>
      <c r="I13" s="115" t="s">
        <v>51</v>
      </c>
      <c r="J13" s="59">
        <v>1</v>
      </c>
      <c r="K13" s="52"/>
      <c r="L13" s="1"/>
      <c r="M13" s="1"/>
      <c r="N13" s="5"/>
    </row>
    <row r="14" spans="1:30" ht="15.75" customHeight="1" x14ac:dyDescent="0.25">
      <c r="B14" s="175" t="s">
        <v>258</v>
      </c>
      <c r="C14" s="152" t="s">
        <v>39</v>
      </c>
      <c r="D14" s="68">
        <v>5.0000000000000001E-3</v>
      </c>
      <c r="F14" s="58">
        <v>12</v>
      </c>
      <c r="G14" s="82">
        <f t="shared" ca="1" si="0"/>
        <v>1.8246561429661001E-4</v>
      </c>
      <c r="H14" s="53"/>
      <c r="I14" s="115" t="s">
        <v>52</v>
      </c>
      <c r="J14" s="59">
        <v>1</v>
      </c>
      <c r="K14" s="53"/>
    </row>
    <row r="15" spans="1:30" ht="15.75" customHeight="1" thickBot="1" x14ac:dyDescent="0.3">
      <c r="B15" s="176" t="s">
        <v>258</v>
      </c>
      <c r="C15" s="177" t="s">
        <v>13</v>
      </c>
      <c r="D15" s="74">
        <v>8.0000000000000002E-3</v>
      </c>
      <c r="F15" s="58">
        <v>13</v>
      </c>
      <c r="G15" s="82">
        <f t="shared" ca="1" si="0"/>
        <v>1.8246561429661001E-4</v>
      </c>
      <c r="H15" s="57"/>
      <c r="I15" s="115" t="s">
        <v>53</v>
      </c>
      <c r="J15" s="59">
        <v>1</v>
      </c>
      <c r="K15" s="53"/>
    </row>
    <row r="16" spans="1:30" ht="15" x14ac:dyDescent="0.25">
      <c r="A16" s="1"/>
      <c r="F16" s="58">
        <v>14</v>
      </c>
      <c r="G16" s="82">
        <f t="shared" ca="1" si="0"/>
        <v>1.8246561429661001E-4</v>
      </c>
      <c r="H16" s="54"/>
      <c r="I16" s="115" t="s">
        <v>54</v>
      </c>
      <c r="J16" s="59">
        <v>1</v>
      </c>
      <c r="K16" s="53"/>
    </row>
    <row r="17" spans="1:11" ht="15" x14ac:dyDescent="0.25">
      <c r="A17" s="1"/>
      <c r="B17" s="1"/>
      <c r="F17" s="58">
        <v>15</v>
      </c>
      <c r="G17" s="82">
        <f t="shared" ca="1" si="0"/>
        <v>4.7271555360917295E-4</v>
      </c>
      <c r="H17" s="54"/>
      <c r="I17" s="115" t="s">
        <v>55</v>
      </c>
      <c r="J17" s="59">
        <v>1</v>
      </c>
      <c r="K17" s="53"/>
    </row>
    <row r="18" spans="1:11" ht="15" x14ac:dyDescent="0.25">
      <c r="A18" s="1"/>
      <c r="B18" s="1"/>
      <c r="F18" s="58">
        <v>16</v>
      </c>
      <c r="G18" s="82">
        <f t="shared" ca="1" si="0"/>
        <v>4.7271555360917295E-4</v>
      </c>
      <c r="H18" s="54"/>
      <c r="I18" s="115" t="s">
        <v>56</v>
      </c>
      <c r="J18" s="59">
        <v>1</v>
      </c>
      <c r="K18" s="53"/>
    </row>
    <row r="19" spans="1:11" ht="15" x14ac:dyDescent="0.25">
      <c r="A19" s="1"/>
      <c r="B19" s="1"/>
      <c r="F19" s="58">
        <v>17</v>
      </c>
      <c r="G19" s="82">
        <f t="shared" ca="1" si="0"/>
        <v>4.7271555360917295E-4</v>
      </c>
      <c r="H19" s="54"/>
      <c r="I19" s="115" t="s">
        <v>57</v>
      </c>
      <c r="J19" s="59">
        <v>1</v>
      </c>
      <c r="K19" s="53"/>
    </row>
    <row r="20" spans="1:11" ht="15" x14ac:dyDescent="0.25">
      <c r="A20" s="1"/>
      <c r="B20" s="1"/>
      <c r="F20" s="58">
        <v>18</v>
      </c>
      <c r="G20" s="82">
        <f t="shared" ca="1" si="0"/>
        <v>4.7271555360917295E-4</v>
      </c>
      <c r="H20" s="54"/>
      <c r="I20" s="115" t="s">
        <v>58</v>
      </c>
      <c r="J20" s="59">
        <v>1</v>
      </c>
      <c r="K20" s="53"/>
    </row>
    <row r="21" spans="1:11" ht="15" x14ac:dyDescent="0.25">
      <c r="A21" s="1"/>
      <c r="B21" s="1"/>
      <c r="F21" s="58">
        <v>19</v>
      </c>
      <c r="G21" s="82">
        <f t="shared" ca="1" si="0"/>
        <v>4.7271555360917295E-4</v>
      </c>
      <c r="H21" s="54"/>
      <c r="I21" s="115" t="s">
        <v>59</v>
      </c>
      <c r="J21" s="59">
        <v>1</v>
      </c>
      <c r="K21" s="53"/>
    </row>
    <row r="22" spans="1:11" ht="15" x14ac:dyDescent="0.25">
      <c r="A22" s="1"/>
      <c r="B22" s="1"/>
      <c r="C22" s="1"/>
      <c r="D22" s="1"/>
      <c r="F22" s="58">
        <v>20</v>
      </c>
      <c r="G22" s="82">
        <f t="shared" ca="1" si="0"/>
        <v>6.3522984511416101E-4</v>
      </c>
      <c r="H22" s="54"/>
      <c r="I22" s="115" t="s">
        <v>60</v>
      </c>
      <c r="J22" s="59">
        <v>1</v>
      </c>
      <c r="K22" s="53"/>
    </row>
    <row r="23" spans="1:11" ht="15" x14ac:dyDescent="0.25">
      <c r="A23" s="1"/>
      <c r="B23" s="1"/>
      <c r="C23" s="1"/>
      <c r="D23" s="1"/>
      <c r="F23" s="58">
        <v>21</v>
      </c>
      <c r="G23" s="82">
        <f t="shared" ca="1" si="0"/>
        <v>6.3522984511416101E-4</v>
      </c>
      <c r="H23" s="54"/>
      <c r="I23" s="115" t="s">
        <v>61</v>
      </c>
      <c r="J23" s="59">
        <v>1</v>
      </c>
      <c r="K23" s="53"/>
    </row>
    <row r="24" spans="1:11" ht="15" x14ac:dyDescent="0.25">
      <c r="A24" s="1"/>
      <c r="F24" s="58">
        <v>22</v>
      </c>
      <c r="G24" s="82">
        <f t="shared" ca="1" si="0"/>
        <v>6.3522984511416101E-4</v>
      </c>
      <c r="H24" s="54"/>
      <c r="I24" s="115" t="s">
        <v>62</v>
      </c>
      <c r="J24" s="59">
        <v>1</v>
      </c>
      <c r="K24" s="53"/>
    </row>
    <row r="25" spans="1:11" ht="15" x14ac:dyDescent="0.25">
      <c r="A25" s="1"/>
      <c r="F25" s="58">
        <v>23</v>
      </c>
      <c r="G25" s="82">
        <f t="shared" ca="1" si="0"/>
        <v>6.3522984511416101E-4</v>
      </c>
      <c r="H25" s="54"/>
      <c r="I25" s="115" t="s">
        <v>63</v>
      </c>
      <c r="J25" s="59">
        <v>1</v>
      </c>
      <c r="K25" s="53"/>
    </row>
    <row r="26" spans="1:11" ht="12.75" x14ac:dyDescent="0.2">
      <c r="A26" s="1"/>
      <c r="F26" s="58">
        <v>24</v>
      </c>
      <c r="G26" s="82">
        <f t="shared" ca="1" si="0"/>
        <v>6.3522984511416101E-4</v>
      </c>
      <c r="H26" s="54"/>
      <c r="I26" s="54"/>
      <c r="J26" s="55"/>
      <c r="K26" s="53"/>
    </row>
    <row r="27" spans="1:11" ht="12.75" x14ac:dyDescent="0.2">
      <c r="B27" s="1"/>
      <c r="C27" s="1"/>
      <c r="D27" s="1"/>
      <c r="E27" s="1"/>
      <c r="F27" s="58">
        <v>25</v>
      </c>
      <c r="G27" s="82">
        <f t="shared" ca="1" si="0"/>
        <v>7.74987439314089E-4</v>
      </c>
      <c r="H27" s="52"/>
      <c r="I27" s="52"/>
      <c r="J27" s="56"/>
      <c r="K27" s="52"/>
    </row>
    <row r="28" spans="1:11" ht="15" x14ac:dyDescent="0.2">
      <c r="A28" s="40"/>
      <c r="B28" s="1"/>
      <c r="C28" s="1"/>
      <c r="D28" s="1"/>
      <c r="F28" s="58">
        <v>26</v>
      </c>
      <c r="G28" s="82">
        <f t="shared" ca="1" si="0"/>
        <v>7.74987439314089E-4</v>
      </c>
      <c r="H28" s="53"/>
      <c r="I28" s="53"/>
      <c r="J28" s="53"/>
      <c r="K28" s="52"/>
    </row>
    <row r="29" spans="1:11" ht="15" x14ac:dyDescent="0.2">
      <c r="A29" s="40"/>
      <c r="B29" s="1"/>
      <c r="C29" s="1"/>
      <c r="D29" s="1"/>
      <c r="F29" s="58">
        <v>27</v>
      </c>
      <c r="G29" s="82">
        <f t="shared" ca="1" si="0"/>
        <v>7.74987439314089E-4</v>
      </c>
      <c r="H29" s="53"/>
      <c r="I29" s="53"/>
      <c r="J29" s="53"/>
      <c r="K29" s="53"/>
    </row>
    <row r="30" spans="1:11" ht="15" x14ac:dyDescent="0.2">
      <c r="A30" s="40"/>
      <c r="B30" s="1"/>
      <c r="C30" s="1"/>
      <c r="D30" s="1"/>
      <c r="F30" s="58">
        <v>28</v>
      </c>
      <c r="G30" s="82">
        <f t="shared" ca="1" si="0"/>
        <v>7.74987439314089E-4</v>
      </c>
    </row>
    <row r="31" spans="1:11" ht="15" x14ac:dyDescent="0.2">
      <c r="A31" s="40"/>
      <c r="B31" s="1"/>
      <c r="C31" s="1"/>
      <c r="D31" s="1"/>
      <c r="F31" s="58">
        <v>29</v>
      </c>
      <c r="G31" s="82">
        <f t="shared" ca="1" si="0"/>
        <v>7.74987439314089E-4</v>
      </c>
    </row>
    <row r="32" spans="1:11" ht="12.75" x14ac:dyDescent="0.2">
      <c r="A32" s="1"/>
      <c r="B32" s="1"/>
      <c r="F32" s="58">
        <v>30</v>
      </c>
      <c r="G32" s="82">
        <f t="shared" ca="1" si="0"/>
        <v>8.8818278992415002E-4</v>
      </c>
      <c r="H32" s="1"/>
      <c r="I32" s="1"/>
      <c r="J32" s="1"/>
    </row>
    <row r="33" spans="2:11" ht="15.75" customHeight="1" x14ac:dyDescent="0.2">
      <c r="F33" s="58">
        <v>31</v>
      </c>
      <c r="G33" s="82">
        <f t="shared" ca="1" si="0"/>
        <v>8.8818278992415002E-4</v>
      </c>
    </row>
    <row r="34" spans="2:11" ht="15.75" customHeight="1" x14ac:dyDescent="0.2">
      <c r="F34" s="58">
        <v>32</v>
      </c>
      <c r="G34" s="82">
        <f t="shared" ca="1" si="0"/>
        <v>8.8818278992415002E-4</v>
      </c>
    </row>
    <row r="35" spans="2:11" ht="12.75" x14ac:dyDescent="0.2">
      <c r="F35" s="58">
        <v>33</v>
      </c>
      <c r="G35" s="82">
        <f t="shared" ca="1" si="0"/>
        <v>8.8818278992415002E-4</v>
      </c>
      <c r="H35" s="1"/>
      <c r="I35" s="1"/>
      <c r="J35" s="1"/>
      <c r="K35" s="1"/>
    </row>
    <row r="36" spans="2:11" ht="12.75" x14ac:dyDescent="0.2">
      <c r="E36" s="1"/>
      <c r="F36" s="58">
        <v>34</v>
      </c>
      <c r="G36" s="82">
        <f t="shared" ca="1" si="0"/>
        <v>8.8818278992415002E-4</v>
      </c>
      <c r="H36" s="1"/>
      <c r="I36" s="1"/>
      <c r="J36" s="1"/>
      <c r="K36" s="1"/>
    </row>
    <row r="37" spans="2:11" ht="12.75" x14ac:dyDescent="0.2">
      <c r="F37" s="58">
        <v>35</v>
      </c>
      <c r="G37" s="82">
        <f t="shared" ca="1" si="0"/>
        <v>1.1997219047952901E-3</v>
      </c>
      <c r="H37" s="1"/>
      <c r="I37" s="1"/>
      <c r="J37" s="1"/>
      <c r="K37" s="1"/>
    </row>
    <row r="38" spans="2:11" ht="12.75" x14ac:dyDescent="0.2">
      <c r="F38" s="58">
        <v>36</v>
      </c>
      <c r="G38" s="82">
        <f t="shared" ca="1" si="0"/>
        <v>1.1997219047952901E-3</v>
      </c>
      <c r="H38" s="1"/>
      <c r="I38" s="1"/>
      <c r="J38" s="1"/>
      <c r="K38" s="1"/>
    </row>
    <row r="39" spans="2:11" ht="12.75" x14ac:dyDescent="0.2">
      <c r="F39" s="58">
        <v>37</v>
      </c>
      <c r="G39" s="82">
        <f t="shared" ca="1" si="0"/>
        <v>1.1997219047952901E-3</v>
      </c>
      <c r="H39" s="1"/>
      <c r="I39" s="1"/>
      <c r="J39" s="1"/>
      <c r="K39" s="1"/>
    </row>
    <row r="40" spans="2:11" ht="12.75" x14ac:dyDescent="0.2">
      <c r="F40" s="58">
        <v>38</v>
      </c>
      <c r="G40" s="82">
        <f t="shared" ca="1" si="0"/>
        <v>1.1997219047952901E-3</v>
      </c>
      <c r="H40" s="1"/>
      <c r="I40" s="1"/>
      <c r="J40" s="1"/>
      <c r="K40" s="1"/>
    </row>
    <row r="41" spans="2:11" ht="15.75" customHeight="1" x14ac:dyDescent="0.2">
      <c r="F41" s="58">
        <v>39</v>
      </c>
      <c r="G41" s="82">
        <f t="shared" ca="1" si="0"/>
        <v>1.1997219047952901E-3</v>
      </c>
    </row>
    <row r="42" spans="2:11" ht="12.75" x14ac:dyDescent="0.2">
      <c r="E42" s="1"/>
      <c r="F42" s="58">
        <v>40</v>
      </c>
      <c r="G42" s="82">
        <f t="shared" ca="1" si="0"/>
        <v>1.6235477379305601E-3</v>
      </c>
    </row>
    <row r="43" spans="2:11" ht="15.75" customHeight="1" x14ac:dyDescent="0.2">
      <c r="F43" s="58">
        <v>41</v>
      </c>
      <c r="G43" s="82">
        <f t="shared" ca="1" si="0"/>
        <v>1.6235477379305601E-3</v>
      </c>
    </row>
    <row r="44" spans="2:11" ht="15.75" customHeight="1" x14ac:dyDescent="0.2">
      <c r="F44" s="58">
        <v>42</v>
      </c>
      <c r="G44" s="82">
        <f t="shared" ca="1" si="0"/>
        <v>1.6235477379305601E-3</v>
      </c>
    </row>
    <row r="45" spans="2:11" ht="15.75" customHeight="1" x14ac:dyDescent="0.2">
      <c r="F45" s="58">
        <v>43</v>
      </c>
      <c r="G45" s="82">
        <f t="shared" ca="1" si="0"/>
        <v>1.6235477379305601E-3</v>
      </c>
    </row>
    <row r="46" spans="2:11" ht="12.75" x14ac:dyDescent="0.2">
      <c r="B46" s="1"/>
      <c r="F46" s="58">
        <v>44</v>
      </c>
      <c r="G46" s="82">
        <f t="shared" ca="1" si="0"/>
        <v>1.6235477379305601E-3</v>
      </c>
    </row>
    <row r="47" spans="2:11" ht="12.75" x14ac:dyDescent="0.2">
      <c r="B47" s="1"/>
      <c r="C47" s="1"/>
      <c r="F47" s="58">
        <v>45</v>
      </c>
      <c r="G47" s="82">
        <f t="shared" ca="1" si="0"/>
        <v>2.4974481433627802E-3</v>
      </c>
    </row>
    <row r="48" spans="2:11" ht="12.75" x14ac:dyDescent="0.2">
      <c r="B48" s="1"/>
      <c r="C48" s="1"/>
      <c r="F48" s="58">
        <v>46</v>
      </c>
      <c r="G48" s="82">
        <f t="shared" ca="1" si="0"/>
        <v>2.4974481433627802E-3</v>
      </c>
    </row>
    <row r="49" spans="2:7" ht="12.75" x14ac:dyDescent="0.2">
      <c r="B49" s="1"/>
      <c r="C49" s="1"/>
      <c r="F49" s="58">
        <v>47</v>
      </c>
      <c r="G49" s="82">
        <f t="shared" ca="1" si="0"/>
        <v>2.4974481433627802E-3</v>
      </c>
    </row>
    <row r="50" spans="2:7" ht="12.75" x14ac:dyDescent="0.2">
      <c r="B50" s="1"/>
      <c r="C50" s="1"/>
      <c r="F50" s="58">
        <v>48</v>
      </c>
      <c r="G50" s="82">
        <f t="shared" ca="1" si="0"/>
        <v>2.4974481433627802E-3</v>
      </c>
    </row>
    <row r="51" spans="2:7" ht="12.75" x14ac:dyDescent="0.2">
      <c r="B51" s="1"/>
      <c r="C51" s="1"/>
      <c r="F51" s="58">
        <v>49</v>
      </c>
      <c r="G51" s="82">
        <f t="shared" ca="1" si="0"/>
        <v>2.4974481433627802E-3</v>
      </c>
    </row>
    <row r="52" spans="2:7" ht="15.75" customHeight="1" x14ac:dyDescent="0.2">
      <c r="F52" s="58">
        <v>50</v>
      </c>
      <c r="G52" s="82">
        <f t="shared" ca="1" si="0"/>
        <v>3.77095999900869E-3</v>
      </c>
    </row>
    <row r="53" spans="2:7" ht="15.75" customHeight="1" x14ac:dyDescent="0.2">
      <c r="F53" s="58">
        <v>51</v>
      </c>
      <c r="G53" s="82">
        <f t="shared" ca="1" si="0"/>
        <v>3.77095999900869E-3</v>
      </c>
    </row>
    <row r="54" spans="2:7" ht="15.75" customHeight="1" x14ac:dyDescent="0.2">
      <c r="F54" s="58">
        <v>52</v>
      </c>
      <c r="G54" s="82">
        <f t="shared" ca="1" si="0"/>
        <v>3.77095999900869E-3</v>
      </c>
    </row>
    <row r="55" spans="2:7" ht="15.75" customHeight="1" x14ac:dyDescent="0.2">
      <c r="F55" s="58">
        <v>53</v>
      </c>
      <c r="G55" s="82">
        <f t="shared" ca="1" si="0"/>
        <v>3.77095999900869E-3</v>
      </c>
    </row>
    <row r="56" spans="2:7" ht="15.75" customHeight="1" x14ac:dyDescent="0.2">
      <c r="F56" s="58">
        <v>54</v>
      </c>
      <c r="G56" s="82">
        <f t="shared" ca="1" si="0"/>
        <v>3.77095999900869E-3</v>
      </c>
    </row>
    <row r="57" spans="2:7" ht="15.75" customHeight="1" x14ac:dyDescent="0.2">
      <c r="F57" s="58">
        <v>55</v>
      </c>
      <c r="G57" s="82">
        <f t="shared" ca="1" si="0"/>
        <v>5.87214215777262E-3</v>
      </c>
    </row>
    <row r="58" spans="2:7" ht="15.75" customHeight="1" x14ac:dyDescent="0.2">
      <c r="F58" s="58">
        <v>56</v>
      </c>
      <c r="G58" s="82">
        <f t="shared" ca="1" si="0"/>
        <v>5.87214215777262E-3</v>
      </c>
    </row>
    <row r="59" spans="2:7" ht="15.75" customHeight="1" x14ac:dyDescent="0.2">
      <c r="F59" s="58">
        <v>57</v>
      </c>
      <c r="G59" s="82">
        <f t="shared" ca="1" si="0"/>
        <v>5.87214215777262E-3</v>
      </c>
    </row>
    <row r="60" spans="2:7" ht="15.75" customHeight="1" x14ac:dyDescent="0.2">
      <c r="F60" s="58">
        <v>58</v>
      </c>
      <c r="G60" s="82">
        <f t="shared" ca="1" si="0"/>
        <v>5.87214215777262E-3</v>
      </c>
    </row>
    <row r="61" spans="2:7" ht="15.75" customHeight="1" x14ac:dyDescent="0.2">
      <c r="F61" s="58">
        <v>59</v>
      </c>
      <c r="G61" s="82">
        <f t="shared" ca="1" si="0"/>
        <v>5.87214215777262E-3</v>
      </c>
    </row>
    <row r="62" spans="2:7" ht="15.75" customHeight="1" x14ac:dyDescent="0.2">
      <c r="F62" s="58">
        <v>60</v>
      </c>
      <c r="G62" s="82">
        <f t="shared" ca="1" si="0"/>
        <v>9.0959459230860098E-3</v>
      </c>
    </row>
    <row r="63" spans="2:7" ht="15.75" customHeight="1" x14ac:dyDescent="0.2">
      <c r="F63" s="58">
        <v>61</v>
      </c>
      <c r="G63" s="82">
        <f t="shared" ca="1" si="0"/>
        <v>9.0959459230860098E-3</v>
      </c>
    </row>
    <row r="64" spans="2:7" ht="15.75" customHeight="1" x14ac:dyDescent="0.2">
      <c r="F64" s="58">
        <v>62</v>
      </c>
      <c r="G64" s="82">
        <f t="shared" ca="1" si="0"/>
        <v>9.0959459230860098E-3</v>
      </c>
    </row>
    <row r="65" spans="6:7" ht="15.75" customHeight="1" x14ac:dyDescent="0.2">
      <c r="F65" s="58">
        <v>63</v>
      </c>
      <c r="G65" s="82">
        <f t="shared" ca="1" si="0"/>
        <v>9.0959459230860098E-3</v>
      </c>
    </row>
    <row r="66" spans="6:7" ht="15.75" customHeight="1" x14ac:dyDescent="0.2">
      <c r="F66" s="58">
        <v>64</v>
      </c>
      <c r="G66" s="82">
        <f t="shared" ca="1" si="0"/>
        <v>9.0959459230860098E-3</v>
      </c>
    </row>
    <row r="67" spans="6:7" ht="15.75" customHeight="1" x14ac:dyDescent="0.2">
      <c r="F67" s="58">
        <v>65</v>
      </c>
      <c r="G67" s="82">
        <f t="shared" ref="G67:G102" ca="1" si="1">INDIRECT($J$2 &amp; "!" &amp; $J$3 &amp; ($J$4 + (ROW(G67)-2)))</f>
        <v>1.49451647696129E-2</v>
      </c>
    </row>
    <row r="68" spans="6:7" ht="15.75" customHeight="1" x14ac:dyDescent="0.2">
      <c r="F68" s="58">
        <v>66</v>
      </c>
      <c r="G68" s="82">
        <f t="shared" ca="1" si="1"/>
        <v>1.49451647696129E-2</v>
      </c>
    </row>
    <row r="69" spans="6:7" ht="15.75" customHeight="1" x14ac:dyDescent="0.2">
      <c r="F69" s="58">
        <v>67</v>
      </c>
      <c r="G69" s="82">
        <f t="shared" ca="1" si="1"/>
        <v>1.49451647696129E-2</v>
      </c>
    </row>
    <row r="70" spans="6:7" ht="15.75" customHeight="1" x14ac:dyDescent="0.2">
      <c r="F70" s="58">
        <v>68</v>
      </c>
      <c r="G70" s="82">
        <f t="shared" ca="1" si="1"/>
        <v>1.49451647696129E-2</v>
      </c>
    </row>
    <row r="71" spans="6:7" ht="15.75" customHeight="1" x14ac:dyDescent="0.2">
      <c r="F71" s="58">
        <v>69</v>
      </c>
      <c r="G71" s="82">
        <f t="shared" ca="1" si="1"/>
        <v>1.49451647696129E-2</v>
      </c>
    </row>
    <row r="72" spans="6:7" ht="15.75" customHeight="1" x14ac:dyDescent="0.2">
      <c r="F72" s="58">
        <v>70</v>
      </c>
      <c r="G72" s="82">
        <f t="shared" ca="1" si="1"/>
        <v>2.2528420698333197E-2</v>
      </c>
    </row>
    <row r="73" spans="6:7" ht="15.75" customHeight="1" x14ac:dyDescent="0.2">
      <c r="F73" s="58">
        <v>71</v>
      </c>
      <c r="G73" s="82">
        <f t="shared" ca="1" si="1"/>
        <v>2.2528420698333197E-2</v>
      </c>
    </row>
    <row r="74" spans="6:7" ht="15.75" customHeight="1" x14ac:dyDescent="0.2">
      <c r="F74" s="58">
        <v>72</v>
      </c>
      <c r="G74" s="82">
        <f t="shared" ca="1" si="1"/>
        <v>2.2528420698333197E-2</v>
      </c>
    </row>
    <row r="75" spans="6:7" ht="15.75" customHeight="1" x14ac:dyDescent="0.2">
      <c r="F75" s="58">
        <v>73</v>
      </c>
      <c r="G75" s="82">
        <f t="shared" ca="1" si="1"/>
        <v>2.2528420698333197E-2</v>
      </c>
    </row>
    <row r="76" spans="6:7" ht="15.75" customHeight="1" x14ac:dyDescent="0.2">
      <c r="F76" s="58">
        <v>74</v>
      </c>
      <c r="G76" s="82">
        <f t="shared" ca="1" si="1"/>
        <v>2.2528420698333197E-2</v>
      </c>
    </row>
    <row r="77" spans="6:7" ht="15.75" customHeight="1" x14ac:dyDescent="0.2">
      <c r="F77" s="58">
        <v>75</v>
      </c>
      <c r="G77" s="82">
        <f t="shared" ca="1" si="1"/>
        <v>3.6176763031094801E-2</v>
      </c>
    </row>
    <row r="78" spans="6:7" ht="15.75" customHeight="1" x14ac:dyDescent="0.2">
      <c r="F78" s="58">
        <v>76</v>
      </c>
      <c r="G78" s="82">
        <f t="shared" ca="1" si="1"/>
        <v>3.6176763031094801E-2</v>
      </c>
    </row>
    <row r="79" spans="6:7" ht="15.75" customHeight="1" x14ac:dyDescent="0.2">
      <c r="F79" s="58">
        <v>77</v>
      </c>
      <c r="G79" s="82">
        <f t="shared" ca="1" si="1"/>
        <v>3.6176763031094801E-2</v>
      </c>
    </row>
    <row r="80" spans="6:7" ht="15.75" customHeight="1" x14ac:dyDescent="0.2">
      <c r="F80" s="58">
        <v>78</v>
      </c>
      <c r="G80" s="82">
        <f t="shared" ca="1" si="1"/>
        <v>3.6176763031094801E-2</v>
      </c>
    </row>
    <row r="81" spans="6:7" ht="15.75" customHeight="1" x14ac:dyDescent="0.2">
      <c r="F81" s="58">
        <v>79</v>
      </c>
      <c r="G81" s="82">
        <f t="shared" ca="1" si="1"/>
        <v>3.6176763031094801E-2</v>
      </c>
    </row>
    <row r="82" spans="6:7" ht="15.75" customHeight="1" x14ac:dyDescent="0.2">
      <c r="F82" s="58">
        <v>80</v>
      </c>
      <c r="G82" s="82">
        <f t="shared" ca="1" si="1"/>
        <v>6.0339468434703704E-2</v>
      </c>
    </row>
    <row r="83" spans="6:7" ht="15.75" customHeight="1" x14ac:dyDescent="0.2">
      <c r="F83" s="58">
        <v>81</v>
      </c>
      <c r="G83" s="82">
        <f t="shared" ca="1" si="1"/>
        <v>6.0339468434703704E-2</v>
      </c>
    </row>
    <row r="84" spans="6:7" ht="15.75" customHeight="1" x14ac:dyDescent="0.2">
      <c r="F84" s="58">
        <v>82</v>
      </c>
      <c r="G84" s="82">
        <f t="shared" ca="1" si="1"/>
        <v>6.0339468434703704E-2</v>
      </c>
    </row>
    <row r="85" spans="6:7" ht="15.75" customHeight="1" x14ac:dyDescent="0.2">
      <c r="F85" s="58">
        <v>83</v>
      </c>
      <c r="G85" s="82">
        <f t="shared" ca="1" si="1"/>
        <v>6.0339468434703704E-2</v>
      </c>
    </row>
    <row r="86" spans="6:7" ht="15.75" customHeight="1" x14ac:dyDescent="0.2">
      <c r="F86" s="58">
        <v>84</v>
      </c>
      <c r="G86" s="82">
        <f t="shared" ca="1" si="1"/>
        <v>6.0339468434703704E-2</v>
      </c>
    </row>
    <row r="87" spans="6:7" ht="15.75" customHeight="1" x14ac:dyDescent="0.2">
      <c r="F87" s="58">
        <v>85</v>
      </c>
      <c r="G87" s="82">
        <f t="shared" ca="1" si="1"/>
        <v>0.139821597655127</v>
      </c>
    </row>
    <row r="88" spans="6:7" ht="15.75" customHeight="1" x14ac:dyDescent="0.2">
      <c r="F88" s="58">
        <v>86</v>
      </c>
      <c r="G88" s="82">
        <f t="shared" ca="1" si="1"/>
        <v>0.139821597655127</v>
      </c>
    </row>
    <row r="89" spans="6:7" ht="15.75" customHeight="1" x14ac:dyDescent="0.2">
      <c r="F89" s="58">
        <v>87</v>
      </c>
      <c r="G89" s="82">
        <f t="shared" ca="1" si="1"/>
        <v>0.139821597655127</v>
      </c>
    </row>
    <row r="90" spans="6:7" ht="15.75" customHeight="1" x14ac:dyDescent="0.2">
      <c r="F90" s="58">
        <v>88</v>
      </c>
      <c r="G90" s="82">
        <f t="shared" ca="1" si="1"/>
        <v>0.139821597655127</v>
      </c>
    </row>
    <row r="91" spans="6:7" ht="15.75" customHeight="1" x14ac:dyDescent="0.2">
      <c r="F91" s="58">
        <v>89</v>
      </c>
      <c r="G91" s="82">
        <f t="shared" ca="1" si="1"/>
        <v>0.139821597655127</v>
      </c>
    </row>
    <row r="92" spans="6:7" ht="15.75" customHeight="1" x14ac:dyDescent="0.2">
      <c r="F92" s="58">
        <v>90</v>
      </c>
      <c r="G92" s="82">
        <f t="shared" ca="1" si="1"/>
        <v>0.139821597655127</v>
      </c>
    </row>
    <row r="93" spans="6:7" ht="15.75" customHeight="1" x14ac:dyDescent="0.2">
      <c r="F93" s="58">
        <v>91</v>
      </c>
      <c r="G93" s="82">
        <f t="shared" ca="1" si="1"/>
        <v>0.139821597655127</v>
      </c>
    </row>
    <row r="94" spans="6:7" ht="15.75" customHeight="1" x14ac:dyDescent="0.2">
      <c r="F94" s="58">
        <v>92</v>
      </c>
      <c r="G94" s="82">
        <f t="shared" ca="1" si="1"/>
        <v>0.139821597655127</v>
      </c>
    </row>
    <row r="95" spans="6:7" ht="15.75" customHeight="1" x14ac:dyDescent="0.2">
      <c r="F95" s="58">
        <v>93</v>
      </c>
      <c r="G95" s="82">
        <f t="shared" ca="1" si="1"/>
        <v>0.139821597655127</v>
      </c>
    </row>
    <row r="96" spans="6:7" ht="15.75" customHeight="1" x14ac:dyDescent="0.2">
      <c r="F96" s="58">
        <v>94</v>
      </c>
      <c r="G96" s="82">
        <f t="shared" ca="1" si="1"/>
        <v>0.139821597655127</v>
      </c>
    </row>
    <row r="97" spans="6:7" ht="15.75" customHeight="1" x14ac:dyDescent="0.2">
      <c r="F97" s="58">
        <v>95</v>
      </c>
      <c r="G97" s="82">
        <f t="shared" ca="1" si="1"/>
        <v>0.139821597655127</v>
      </c>
    </row>
    <row r="98" spans="6:7" ht="15.75" customHeight="1" x14ac:dyDescent="0.2">
      <c r="F98" s="58">
        <v>96</v>
      </c>
      <c r="G98" s="82">
        <f t="shared" ca="1" si="1"/>
        <v>0.139821597655127</v>
      </c>
    </row>
    <row r="99" spans="6:7" ht="15.75" customHeight="1" x14ac:dyDescent="0.2">
      <c r="F99" s="58">
        <v>97</v>
      </c>
      <c r="G99" s="82">
        <f t="shared" ca="1" si="1"/>
        <v>0.139821597655127</v>
      </c>
    </row>
    <row r="100" spans="6:7" ht="15.75" customHeight="1" x14ac:dyDescent="0.2">
      <c r="F100" s="58">
        <v>98</v>
      </c>
      <c r="G100" s="82">
        <f t="shared" ca="1" si="1"/>
        <v>0.139821597655127</v>
      </c>
    </row>
    <row r="101" spans="6:7" ht="15.75" customHeight="1" x14ac:dyDescent="0.2">
      <c r="F101" s="58">
        <v>99</v>
      </c>
      <c r="G101" s="82">
        <f t="shared" ca="1" si="1"/>
        <v>0.139821597655127</v>
      </c>
    </row>
    <row r="102" spans="6:7" ht="15.75" customHeight="1" x14ac:dyDescent="0.2">
      <c r="F102" s="58">
        <v>100</v>
      </c>
      <c r="G102" s="82">
        <f t="shared" ca="1" si="1"/>
        <v>0.139821597655127</v>
      </c>
    </row>
  </sheetData>
  <mergeCells count="1">
    <mergeCell ref="I6:J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1288-7763-46AE-88CD-A415866D49C3}">
  <sheetPr codeName="Hoja15"/>
  <dimension ref="A1:H25"/>
  <sheetViews>
    <sheetView workbookViewId="0">
      <selection activeCell="D6" sqref="D6"/>
    </sheetView>
  </sheetViews>
  <sheetFormatPr baseColWidth="10" defaultRowHeight="12.75" x14ac:dyDescent="0.2"/>
  <sheetData>
    <row r="1" spans="1:8" x14ac:dyDescent="0.2">
      <c r="A1" s="1"/>
      <c r="B1" s="238"/>
      <c r="C1" s="239" t="s">
        <v>80</v>
      </c>
      <c r="D1" s="239" t="s">
        <v>218</v>
      </c>
      <c r="E1" s="239" t="s">
        <v>294</v>
      </c>
    </row>
    <row r="2" spans="1:8" x14ac:dyDescent="0.2">
      <c r="A2" s="1"/>
      <c r="B2" s="237" t="s">
        <v>217</v>
      </c>
      <c r="C2" s="237"/>
      <c r="D2" s="237"/>
      <c r="E2" s="237"/>
      <c r="H2" s="43" t="s">
        <v>362</v>
      </c>
    </row>
    <row r="3" spans="1:8" x14ac:dyDescent="0.2">
      <c r="A3" s="1"/>
      <c r="B3" s="58" t="s">
        <v>2</v>
      </c>
      <c r="C3" s="50">
        <v>18</v>
      </c>
      <c r="D3" s="50">
        <v>14</v>
      </c>
      <c r="E3" s="50">
        <v>24</v>
      </c>
      <c r="G3" s="208">
        <v>7</v>
      </c>
      <c r="H3" s="208">
        <v>9</v>
      </c>
    </row>
    <row r="4" spans="1:8" x14ac:dyDescent="0.2">
      <c r="A4" s="1"/>
      <c r="B4" s="58" t="s">
        <v>3</v>
      </c>
      <c r="C4" s="50">
        <v>25</v>
      </c>
      <c r="D4" s="50">
        <v>30</v>
      </c>
      <c r="E4" s="50">
        <v>32</v>
      </c>
      <c r="G4" s="208">
        <v>12</v>
      </c>
      <c r="H4" s="208">
        <v>13.4</v>
      </c>
    </row>
    <row r="5" spans="1:8" x14ac:dyDescent="0.2">
      <c r="A5" s="1"/>
      <c r="B5" s="58" t="s">
        <v>4</v>
      </c>
      <c r="C5" s="50">
        <v>22</v>
      </c>
      <c r="D5" s="50">
        <v>19</v>
      </c>
      <c r="E5" s="50">
        <v>16</v>
      </c>
      <c r="G5" s="208">
        <v>24</v>
      </c>
      <c r="H5" s="208">
        <v>24</v>
      </c>
    </row>
    <row r="6" spans="1:8" x14ac:dyDescent="0.2">
      <c r="A6" s="1"/>
      <c r="B6" s="58" t="s">
        <v>5</v>
      </c>
      <c r="C6" s="50">
        <v>22</v>
      </c>
      <c r="D6" s="50">
        <v>22</v>
      </c>
      <c r="E6" s="50">
        <v>16</v>
      </c>
      <c r="G6" s="208">
        <v>19</v>
      </c>
      <c r="H6" s="208">
        <v>15.6</v>
      </c>
    </row>
    <row r="7" spans="1:8" x14ac:dyDescent="0.2">
      <c r="A7" s="1"/>
      <c r="B7" s="58" t="s">
        <v>6</v>
      </c>
      <c r="C7" s="50">
        <v>13</v>
      </c>
      <c r="D7" s="50">
        <v>15</v>
      </c>
      <c r="E7" s="50">
        <v>12</v>
      </c>
      <c r="G7" s="208">
        <v>38</v>
      </c>
      <c r="H7" s="208">
        <v>38</v>
      </c>
    </row>
    <row r="8" spans="1:8" x14ac:dyDescent="0.2">
      <c r="A8" s="46"/>
      <c r="B8" s="58" t="s">
        <v>15</v>
      </c>
      <c r="C8" s="50">
        <v>32</v>
      </c>
      <c r="D8" s="50">
        <v>65</v>
      </c>
      <c r="E8" s="50">
        <v>89</v>
      </c>
      <c r="G8" s="50"/>
    </row>
    <row r="9" spans="1:8" x14ac:dyDescent="0.2">
      <c r="A9" s="46"/>
      <c r="B9" s="58" t="s">
        <v>16</v>
      </c>
      <c r="C9" s="50">
        <v>0</v>
      </c>
      <c r="D9" s="50">
        <v>5</v>
      </c>
      <c r="E9" s="50">
        <v>5</v>
      </c>
      <c r="G9" s="50"/>
    </row>
    <row r="10" spans="1:8" x14ac:dyDescent="0.2">
      <c r="A10" s="1"/>
      <c r="B10" s="58" t="s">
        <v>17</v>
      </c>
      <c r="C10" s="50">
        <v>63</v>
      </c>
      <c r="D10" s="50">
        <v>30</v>
      </c>
      <c r="E10" s="50">
        <v>2</v>
      </c>
      <c r="G10" s="50"/>
    </row>
    <row r="11" spans="1:8" x14ac:dyDescent="0.2">
      <c r="A11" s="1"/>
      <c r="B11" s="58" t="s">
        <v>18</v>
      </c>
      <c r="C11" s="50">
        <v>5</v>
      </c>
      <c r="D11" s="50">
        <v>0</v>
      </c>
      <c r="E11" s="50">
        <v>4</v>
      </c>
      <c r="G11" s="50"/>
    </row>
    <row r="12" spans="1:8" x14ac:dyDescent="0.2">
      <c r="A12" s="1"/>
      <c r="B12" s="237" t="s">
        <v>7</v>
      </c>
      <c r="C12" s="237"/>
      <c r="D12" s="237"/>
      <c r="E12" s="237"/>
    </row>
    <row r="13" spans="1:8" x14ac:dyDescent="0.2">
      <c r="A13" s="1"/>
      <c r="B13" s="58" t="s">
        <v>8</v>
      </c>
      <c r="C13" s="50">
        <v>100</v>
      </c>
      <c r="D13" s="50">
        <v>100</v>
      </c>
      <c r="E13" s="163">
        <v>100</v>
      </c>
      <c r="G13" s="50">
        <v>4759</v>
      </c>
      <c r="H13" s="208">
        <v>12903</v>
      </c>
    </row>
    <row r="14" spans="1:8" x14ac:dyDescent="0.2">
      <c r="A14" s="46"/>
      <c r="B14" s="58" t="s">
        <v>9</v>
      </c>
      <c r="C14" s="50">
        <v>119</v>
      </c>
      <c r="D14" s="50">
        <v>140</v>
      </c>
      <c r="E14" s="163">
        <v>131</v>
      </c>
      <c r="F14" s="1"/>
      <c r="G14" s="50">
        <v>140</v>
      </c>
      <c r="H14" s="50">
        <v>119</v>
      </c>
    </row>
    <row r="15" spans="1:8" x14ac:dyDescent="0.2">
      <c r="A15" s="1"/>
      <c r="B15" s="58" t="s">
        <v>10</v>
      </c>
      <c r="C15" s="50">
        <v>89</v>
      </c>
      <c r="D15" s="50">
        <v>26</v>
      </c>
      <c r="E15" s="163">
        <v>24</v>
      </c>
      <c r="F15" s="1"/>
      <c r="G15" s="50">
        <v>44.15</v>
      </c>
      <c r="H15" s="208">
        <v>62</v>
      </c>
    </row>
    <row r="16" spans="1:8" s="208" customFormat="1" x14ac:dyDescent="0.2">
      <c r="A16" s="1"/>
      <c r="B16" s="58"/>
      <c r="C16" s="50"/>
      <c r="D16" s="50"/>
      <c r="E16" s="163"/>
      <c r="F16" s="1"/>
      <c r="G16" s="50"/>
    </row>
    <row r="17" spans="1:8" x14ac:dyDescent="0.2">
      <c r="A17" s="1"/>
      <c r="B17" s="58" t="s">
        <v>11</v>
      </c>
      <c r="C17" s="50">
        <v>30</v>
      </c>
      <c r="D17" s="50">
        <v>204</v>
      </c>
      <c r="E17" s="163">
        <v>191</v>
      </c>
      <c r="F17" s="1"/>
      <c r="G17" s="50">
        <v>61.75</v>
      </c>
      <c r="H17" s="208">
        <v>190</v>
      </c>
    </row>
    <row r="18" spans="1:8" x14ac:dyDescent="0.2">
      <c r="A18" s="1"/>
      <c r="B18" s="58" t="s">
        <v>12</v>
      </c>
      <c r="C18" s="50">
        <v>30</v>
      </c>
      <c r="D18" s="50">
        <v>420</v>
      </c>
      <c r="E18" s="163">
        <v>393</v>
      </c>
      <c r="G18" s="50">
        <v>61.75</v>
      </c>
      <c r="H18" s="208">
        <v>282</v>
      </c>
    </row>
    <row r="19" spans="1:8" x14ac:dyDescent="0.2">
      <c r="A19" s="1"/>
      <c r="B19" s="58" t="s">
        <v>6</v>
      </c>
      <c r="C19" s="50">
        <v>149</v>
      </c>
      <c r="D19" s="50">
        <v>489</v>
      </c>
      <c r="E19" s="163">
        <v>458</v>
      </c>
      <c r="G19" s="50">
        <v>95.56</v>
      </c>
      <c r="H19" s="208">
        <v>420</v>
      </c>
    </row>
    <row r="20" spans="1:8" x14ac:dyDescent="0.2">
      <c r="A20" s="46"/>
      <c r="B20" s="58" t="s">
        <v>13</v>
      </c>
      <c r="C20" s="50">
        <v>596</v>
      </c>
      <c r="D20" s="50">
        <v>5437</v>
      </c>
      <c r="E20" s="163">
        <v>5088</v>
      </c>
      <c r="G20" s="50">
        <v>848</v>
      </c>
      <c r="H20" s="208">
        <v>4434</v>
      </c>
    </row>
    <row r="21" spans="1:8" x14ac:dyDescent="0.2">
      <c r="A21" s="1"/>
      <c r="B21" s="58" t="s">
        <v>14</v>
      </c>
      <c r="C21" s="50">
        <v>894</v>
      </c>
      <c r="D21" s="50">
        <v>9998</v>
      </c>
      <c r="E21" s="163">
        <v>9357</v>
      </c>
      <c r="G21" s="50">
        <v>3600</v>
      </c>
      <c r="H21" s="208">
        <v>3818</v>
      </c>
    </row>
    <row r="22" spans="1:8" x14ac:dyDescent="0.2">
      <c r="A22" s="1"/>
      <c r="C22" s="1"/>
      <c r="D22" s="1"/>
    </row>
    <row r="23" spans="1:8" x14ac:dyDescent="0.2">
      <c r="A23" s="1"/>
      <c r="C23" s="1"/>
      <c r="D23" s="1"/>
    </row>
    <row r="24" spans="1:8" x14ac:dyDescent="0.2">
      <c r="A24" s="1"/>
      <c r="C24" s="1"/>
      <c r="D24" s="1"/>
    </row>
    <row r="25" spans="1:8" x14ac:dyDescent="0.2">
      <c r="C25" s="1"/>
      <c r="D25" s="1"/>
    </row>
  </sheetData>
  <mergeCells count="2">
    <mergeCell ref="B2:E2"/>
    <mergeCell ref="B12:E1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outlinePr summaryBelow="0" summaryRight="0"/>
  </sheetPr>
  <dimension ref="A1:P118"/>
  <sheetViews>
    <sheetView workbookViewId="0">
      <selection activeCell="H14" sqref="H14"/>
    </sheetView>
  </sheetViews>
  <sheetFormatPr baseColWidth="10" defaultColWidth="12.5703125" defaultRowHeight="15.75" customHeight="1" x14ac:dyDescent="0.2"/>
  <cols>
    <col min="1" max="1" width="29.7109375" customWidth="1"/>
    <col min="2" max="2" width="17.28515625" customWidth="1"/>
    <col min="9" max="9" width="23.28515625" customWidth="1"/>
    <col min="10" max="10" width="23.140625" customWidth="1"/>
    <col min="11" max="11" width="21.28515625" customWidth="1"/>
  </cols>
  <sheetData>
    <row r="1" spans="1:16" ht="13.5" thickBot="1" x14ac:dyDescent="0.25">
      <c r="A1" s="104"/>
      <c r="B1" s="105"/>
      <c r="C1" s="105"/>
      <c r="D1" s="105"/>
      <c r="E1" s="105"/>
      <c r="F1" s="105"/>
      <c r="I1" s="142" t="s">
        <v>79</v>
      </c>
      <c r="J1" s="154" t="s">
        <v>233</v>
      </c>
      <c r="L1" s="71" t="s">
        <v>197</v>
      </c>
      <c r="M1" s="147">
        <v>476.17708532679376</v>
      </c>
      <c r="N1" s="43"/>
      <c r="P1" s="45"/>
    </row>
    <row r="2" spans="1:16" ht="12.75" x14ac:dyDescent="0.2">
      <c r="A2" s="170" t="s">
        <v>234</v>
      </c>
      <c r="B2" s="133">
        <v>1</v>
      </c>
      <c r="C2" s="104"/>
      <c r="D2" s="104"/>
      <c r="E2" s="106"/>
      <c r="F2" s="104"/>
      <c r="I2" s="58" t="s">
        <v>29</v>
      </c>
      <c r="J2" s="155">
        <v>1080.7720921100708</v>
      </c>
      <c r="L2" s="148" t="s">
        <v>40</v>
      </c>
      <c r="M2" s="103">
        <v>176.78923627405555</v>
      </c>
      <c r="N2" s="43"/>
      <c r="P2" s="45"/>
    </row>
    <row r="3" spans="1:16" ht="12.75" x14ac:dyDescent="0.2">
      <c r="A3" s="145" t="s">
        <v>235</v>
      </c>
      <c r="B3" s="134">
        <v>85</v>
      </c>
      <c r="C3" s="106"/>
      <c r="D3" s="106"/>
      <c r="E3" s="106"/>
      <c r="F3" s="104"/>
      <c r="I3" s="58" t="s">
        <v>30</v>
      </c>
      <c r="J3" s="156">
        <v>829.0869307312247</v>
      </c>
      <c r="K3" s="127"/>
      <c r="L3" s="148" t="s">
        <v>13</v>
      </c>
      <c r="M3" s="103">
        <v>169.36869172739742</v>
      </c>
      <c r="N3" s="43"/>
      <c r="P3" s="45"/>
    </row>
    <row r="4" spans="1:16" ht="13.5" thickBot="1" x14ac:dyDescent="0.25">
      <c r="A4" s="146" t="s">
        <v>255</v>
      </c>
      <c r="B4" s="131">
        <v>25</v>
      </c>
      <c r="C4" s="104"/>
      <c r="D4" s="106"/>
      <c r="E4" s="104"/>
      <c r="F4" s="104"/>
      <c r="I4" s="58" t="s">
        <v>31</v>
      </c>
      <c r="J4" s="156">
        <v>695.07503837419983</v>
      </c>
      <c r="L4" s="148" t="s">
        <v>39</v>
      </c>
      <c r="M4" s="103">
        <v>130.01915732534079</v>
      </c>
      <c r="N4" s="43"/>
      <c r="P4" s="45"/>
    </row>
    <row r="5" spans="1:16" ht="12.75" x14ac:dyDescent="0.2">
      <c r="A5" s="105"/>
      <c r="B5" s="104"/>
      <c r="C5" s="104"/>
      <c r="D5" s="106"/>
      <c r="E5" s="104"/>
      <c r="F5" s="104"/>
      <c r="I5" s="58" t="s">
        <v>231</v>
      </c>
      <c r="J5" s="157">
        <v>40069.197581848312</v>
      </c>
      <c r="L5" s="148" t="s">
        <v>254</v>
      </c>
      <c r="M5" s="103">
        <v>1001.4271584242068</v>
      </c>
      <c r="P5" s="45"/>
    </row>
    <row r="6" spans="1:16" ht="12.75" x14ac:dyDescent="0.2">
      <c r="A6" s="105"/>
      <c r="B6" s="104"/>
      <c r="C6" s="104"/>
      <c r="D6" s="106"/>
      <c r="E6" s="104"/>
      <c r="F6" s="104"/>
      <c r="I6" s="51"/>
      <c r="J6" s="116"/>
      <c r="L6" s="148" t="s">
        <v>201</v>
      </c>
      <c r="M6" s="103">
        <v>1.6466570138931274</v>
      </c>
      <c r="N6" s="43"/>
      <c r="O6">
        <v>1.0075396060943604</v>
      </c>
      <c r="P6" s="45"/>
    </row>
    <row r="7" spans="1:16" ht="12.75" x14ac:dyDescent="0.2">
      <c r="A7" s="105"/>
      <c r="B7" s="106"/>
      <c r="C7" s="106"/>
      <c r="D7" s="106"/>
      <c r="E7" s="104"/>
      <c r="F7" s="104"/>
      <c r="I7" s="51"/>
      <c r="J7" s="116"/>
      <c r="L7" s="148" t="s">
        <v>202</v>
      </c>
      <c r="M7" s="103">
        <v>1.4401088237762452</v>
      </c>
      <c r="N7" s="43"/>
      <c r="O7">
        <v>1.5969385862350465</v>
      </c>
      <c r="P7" s="45"/>
    </row>
    <row r="8" spans="1:16" ht="13.5" thickBot="1" x14ac:dyDescent="0.25">
      <c r="A8" s="107"/>
      <c r="B8" s="106"/>
      <c r="C8" s="106"/>
      <c r="D8" s="106"/>
      <c r="E8" s="104"/>
      <c r="F8" s="104"/>
      <c r="I8" s="51"/>
      <c r="J8" s="116"/>
      <c r="L8" s="148" t="s">
        <v>203</v>
      </c>
      <c r="M8" s="103">
        <v>1.4954223394393922</v>
      </c>
      <c r="N8" s="43"/>
      <c r="O8">
        <v>1.1315004348754882</v>
      </c>
      <c r="P8" s="45"/>
    </row>
    <row r="9" spans="1:16" ht="12.75" x14ac:dyDescent="0.2">
      <c r="A9" s="142" t="s">
        <v>79</v>
      </c>
      <c r="B9" s="143" t="s">
        <v>233</v>
      </c>
      <c r="C9" s="143"/>
      <c r="D9" s="143"/>
      <c r="E9" s="144" t="s">
        <v>232</v>
      </c>
      <c r="F9" s="104"/>
      <c r="I9" s="51"/>
      <c r="J9" s="116"/>
      <c r="K9" s="1"/>
      <c r="L9" s="145" t="s">
        <v>204</v>
      </c>
      <c r="M9" s="103">
        <v>1.1474749565124511</v>
      </c>
      <c r="O9">
        <v>1.8445385217666626</v>
      </c>
      <c r="P9" s="45"/>
    </row>
    <row r="10" spans="1:16" ht="12.75" x14ac:dyDescent="0.2">
      <c r="A10" s="145" t="s">
        <v>29</v>
      </c>
      <c r="B10" s="135">
        <f>SIN_TRATAMIENTO!J3</f>
        <v>929.96532848058996</v>
      </c>
      <c r="C10" s="135"/>
      <c r="D10" s="136"/>
      <c r="E10" s="137" t="e" cm="1">
        <f t="array" aca="1" ref="E10" ca="1">INDIRECT("COMPARACION_" &amp; inputPais &amp; "!B" &amp; (SIMULACION!$B$4 - 30) / 5 * 5 + 3)</f>
        <v>#REF!</v>
      </c>
      <c r="F10" s="106"/>
      <c r="G10" s="2"/>
      <c r="I10" s="51"/>
      <c r="J10" s="116"/>
      <c r="K10" s="2"/>
      <c r="L10" s="148" t="s">
        <v>205</v>
      </c>
      <c r="M10" s="103">
        <v>1.1623376131057739</v>
      </c>
      <c r="O10">
        <v>1.6802533626556397</v>
      </c>
      <c r="P10" s="45"/>
    </row>
    <row r="11" spans="1:16" ht="12.75" x14ac:dyDescent="0.2">
      <c r="A11" s="145" t="s">
        <v>30</v>
      </c>
      <c r="B11" s="136">
        <f>SIN_TRATAMIENTO!M3</f>
        <v>1111.454675469575</v>
      </c>
      <c r="C11" s="136"/>
      <c r="D11" s="136"/>
      <c r="E11" s="137" t="e" cm="1">
        <f t="array" aca="1" ref="E11" ca="1">INDIRECT("COMPARACION_" &amp; inputPais &amp; "!B" &amp; (SIMULACION!$B$4 - 30) / 5 * 5 + 4)</f>
        <v>#REF!</v>
      </c>
      <c r="F11" s="106"/>
      <c r="G11" s="3"/>
      <c r="I11" s="51"/>
      <c r="J11" s="116"/>
      <c r="K11" s="3"/>
      <c r="L11" s="148" t="s">
        <v>206</v>
      </c>
      <c r="M11" s="103">
        <v>1.7296881198883056</v>
      </c>
      <c r="O11">
        <v>1.2736215353012086</v>
      </c>
      <c r="P11" s="45"/>
    </row>
    <row r="12" spans="1:16" ht="12.75" x14ac:dyDescent="0.2">
      <c r="A12" s="145" t="s">
        <v>31</v>
      </c>
      <c r="B12" s="136">
        <f>SIN_TRATAMIENTO!M2</f>
        <v>626.73869546111757</v>
      </c>
      <c r="C12" s="138"/>
      <c r="D12" s="136"/>
      <c r="E12" s="137" t="e" cm="1">
        <f t="array" aca="1" ref="E12" ca="1">INDIRECT("COMPARACION_" &amp; inputPais &amp; "!B" &amp; (SIMULACION!$B$4 - 30) / 5 * 5 + 5)</f>
        <v>#REF!</v>
      </c>
      <c r="F12" s="106"/>
      <c r="G12" s="3"/>
      <c r="I12" s="51"/>
      <c r="J12" s="116"/>
      <c r="K12" s="3"/>
      <c r="L12" s="148" t="s">
        <v>207</v>
      </c>
      <c r="M12" s="103">
        <v>0.81682116985321052</v>
      </c>
      <c r="O12">
        <v>0.91697893142700204</v>
      </c>
      <c r="P12" s="45"/>
    </row>
    <row r="13" spans="1:16" ht="13.5" thickBot="1" x14ac:dyDescent="0.25">
      <c r="A13" s="146" t="s">
        <v>79</v>
      </c>
      <c r="B13" s="139">
        <f>SIN_TRATAMIENTO!S3</f>
        <v>5259.3253426517385</v>
      </c>
      <c r="C13" s="139"/>
      <c r="D13" s="140"/>
      <c r="E13" s="141" t="str" cm="1">
        <f t="array" aca="1" ref="E13" ca="1">INDIRECT("COMPARACION_" &amp; inputPais &amp; "!B" &amp; (SIMULACION!$B$4 - 30) / 5 * 5 + 6)</f>
        <v>REPORTE</v>
      </c>
      <c r="F13" s="104"/>
      <c r="I13" s="51"/>
      <c r="J13" s="116"/>
      <c r="L13" s="148" t="s">
        <v>208</v>
      </c>
      <c r="M13" s="103">
        <v>1.7128683090209962</v>
      </c>
      <c r="O13">
        <v>2.0830420017242433</v>
      </c>
      <c r="P13" s="45"/>
    </row>
    <row r="14" spans="1:16" ht="12.75" x14ac:dyDescent="0.2">
      <c r="A14" s="104"/>
      <c r="B14" s="108"/>
      <c r="C14" s="104"/>
      <c r="D14" s="104"/>
      <c r="E14" s="104"/>
      <c r="F14" s="104"/>
      <c r="I14" s="51"/>
      <c r="J14" s="116"/>
      <c r="L14" s="148" t="s">
        <v>198</v>
      </c>
      <c r="M14" s="103">
        <v>1.7402860283851624</v>
      </c>
      <c r="O14">
        <v>0.85810403823852532</v>
      </c>
      <c r="P14" s="45"/>
    </row>
    <row r="15" spans="1:16" ht="12.75" x14ac:dyDescent="0.2">
      <c r="B15" s="3"/>
      <c r="F15" s="1"/>
      <c r="I15" s="51"/>
      <c r="J15" s="116"/>
      <c r="L15" s="148" t="s">
        <v>199</v>
      </c>
      <c r="M15" s="103">
        <v>1.6508454799652099</v>
      </c>
      <c r="O15">
        <v>2.2159745693206787</v>
      </c>
      <c r="P15" s="45"/>
    </row>
    <row r="16" spans="1:16" ht="13.5" thickBot="1" x14ac:dyDescent="0.25">
      <c r="B16" s="3"/>
      <c r="F16" s="1"/>
      <c r="I16" s="51"/>
      <c r="J16" s="116"/>
      <c r="L16" s="148" t="s">
        <v>200</v>
      </c>
      <c r="M16" s="103">
        <v>0.85442330837249758</v>
      </c>
      <c r="O16">
        <v>1.0335292816162109</v>
      </c>
      <c r="P16" s="45"/>
    </row>
    <row r="17" spans="1:16" ht="13.5" thickBot="1" x14ac:dyDescent="0.25">
      <c r="E17" s="109" t="s">
        <v>238</v>
      </c>
      <c r="F17" s="110" t="s">
        <v>236</v>
      </c>
      <c r="G17" s="111" t="s">
        <v>237</v>
      </c>
      <c r="I17" s="57"/>
      <c r="J17" s="132"/>
      <c r="L17" s="149" t="s">
        <v>209</v>
      </c>
      <c r="M17" s="150">
        <v>1</v>
      </c>
      <c r="O17">
        <v>3.1742061376571655</v>
      </c>
      <c r="P17" s="45"/>
    </row>
    <row r="18" spans="1:16" ht="15.75" customHeight="1" x14ac:dyDescent="0.25">
      <c r="A18" s="1" t="s">
        <v>81</v>
      </c>
      <c r="B18" s="1">
        <v>1</v>
      </c>
      <c r="C18" s="25" t="s">
        <v>45</v>
      </c>
      <c r="D18" s="116">
        <v>1</v>
      </c>
      <c r="E18" s="112">
        <v>0</v>
      </c>
      <c r="F18" s="52">
        <v>0.8</v>
      </c>
      <c r="G18" s="78">
        <v>2</v>
      </c>
      <c r="I18" s="132"/>
      <c r="J18" s="132"/>
      <c r="L18" s="43"/>
    </row>
    <row r="19" spans="1:16" ht="15.75" customHeight="1" x14ac:dyDescent="0.25">
      <c r="A19" s="1" t="s">
        <v>82</v>
      </c>
      <c r="B19" s="1">
        <v>1</v>
      </c>
      <c r="C19" s="25" t="s">
        <v>46</v>
      </c>
      <c r="D19" s="116">
        <v>1</v>
      </c>
      <c r="E19" s="112">
        <v>0</v>
      </c>
      <c r="F19" s="52">
        <v>0.8</v>
      </c>
      <c r="G19" s="78">
        <v>2</v>
      </c>
      <c r="I19" s="57"/>
      <c r="J19" s="132"/>
      <c r="L19" s="43"/>
      <c r="P19" s="45"/>
    </row>
    <row r="20" spans="1:16" ht="15.75" customHeight="1" x14ac:dyDescent="0.25">
      <c r="A20" s="1" t="s">
        <v>83</v>
      </c>
      <c r="B20" s="1">
        <v>1</v>
      </c>
      <c r="C20" s="25" t="s">
        <v>47</v>
      </c>
      <c r="D20" s="116">
        <v>1</v>
      </c>
      <c r="E20" s="112">
        <v>0</v>
      </c>
      <c r="F20" s="52">
        <v>0.8</v>
      </c>
      <c r="G20" s="78">
        <v>2</v>
      </c>
      <c r="I20" s="57"/>
      <c r="J20" s="132"/>
      <c r="L20" s="43"/>
      <c r="P20" s="45"/>
    </row>
    <row r="21" spans="1:16" ht="15.75" customHeight="1" x14ac:dyDescent="0.25">
      <c r="A21" s="1" t="s">
        <v>84</v>
      </c>
      <c r="B21" s="1">
        <v>1</v>
      </c>
      <c r="C21" s="25" t="s">
        <v>48</v>
      </c>
      <c r="D21" s="116">
        <v>1</v>
      </c>
      <c r="E21" s="112">
        <v>0</v>
      </c>
      <c r="F21" s="52">
        <v>0.8</v>
      </c>
      <c r="G21" s="78">
        <v>2</v>
      </c>
      <c r="I21" s="158"/>
      <c r="J21" s="158"/>
      <c r="K21" s="1"/>
      <c r="P21" s="45"/>
    </row>
    <row r="22" spans="1:16" ht="15.75" customHeight="1" x14ac:dyDescent="0.25">
      <c r="A22" s="1" t="s">
        <v>85</v>
      </c>
      <c r="B22" s="1">
        <v>1</v>
      </c>
      <c r="C22" s="25" t="s">
        <v>49</v>
      </c>
      <c r="D22" s="116">
        <v>1</v>
      </c>
      <c r="E22" s="112">
        <v>0</v>
      </c>
      <c r="F22" s="52">
        <v>0.8</v>
      </c>
      <c r="G22" s="78">
        <v>2</v>
      </c>
      <c r="I22" s="158"/>
      <c r="J22" s="135"/>
      <c r="K22" s="2"/>
      <c r="L22" s="43"/>
      <c r="P22" s="45"/>
    </row>
    <row r="23" spans="1:16" ht="15.75" customHeight="1" x14ac:dyDescent="0.25">
      <c r="A23" s="1" t="s">
        <v>86</v>
      </c>
      <c r="B23" s="1">
        <v>1</v>
      </c>
      <c r="C23" s="25" t="s">
        <v>50</v>
      </c>
      <c r="D23" s="116">
        <v>1</v>
      </c>
      <c r="E23" s="112">
        <v>0</v>
      </c>
      <c r="F23" s="52">
        <v>0.8</v>
      </c>
      <c r="G23" s="78">
        <v>2</v>
      </c>
      <c r="I23" s="158"/>
      <c r="J23" s="136"/>
      <c r="K23" s="3"/>
      <c r="L23" s="43"/>
      <c r="O23" s="43"/>
    </row>
    <row r="24" spans="1:16" ht="15.75" customHeight="1" x14ac:dyDescent="0.25">
      <c r="A24" s="1" t="s">
        <v>87</v>
      </c>
      <c r="B24" s="1">
        <v>1</v>
      </c>
      <c r="C24" s="25" t="s">
        <v>51</v>
      </c>
      <c r="D24" s="116">
        <v>1</v>
      </c>
      <c r="E24" s="112">
        <v>0</v>
      </c>
      <c r="F24" s="52">
        <v>0.8</v>
      </c>
      <c r="G24" s="78">
        <v>2</v>
      </c>
      <c r="I24" s="158"/>
      <c r="J24" s="136"/>
      <c r="K24" s="3"/>
      <c r="L24" s="43"/>
      <c r="O24" s="42"/>
    </row>
    <row r="25" spans="1:16" ht="15.75" customHeight="1" x14ac:dyDescent="0.25">
      <c r="A25" s="1" t="s">
        <v>88</v>
      </c>
      <c r="B25" s="1">
        <v>1</v>
      </c>
      <c r="C25" s="25" t="s">
        <v>52</v>
      </c>
      <c r="D25" s="116">
        <v>1</v>
      </c>
      <c r="E25" s="112">
        <v>0</v>
      </c>
      <c r="F25" s="52">
        <v>0.8</v>
      </c>
      <c r="G25" s="78">
        <v>2</v>
      </c>
      <c r="O25" s="42"/>
    </row>
    <row r="26" spans="1:16" ht="15.75" customHeight="1" x14ac:dyDescent="0.25">
      <c r="A26" s="1" t="s">
        <v>89</v>
      </c>
      <c r="B26" s="1">
        <v>1</v>
      </c>
      <c r="C26" s="25" t="s">
        <v>53</v>
      </c>
      <c r="D26" s="116">
        <v>1</v>
      </c>
      <c r="E26" s="112">
        <v>0</v>
      </c>
      <c r="F26" s="52">
        <v>0.8</v>
      </c>
      <c r="G26" s="78">
        <v>2</v>
      </c>
      <c r="O26" s="42"/>
    </row>
    <row r="27" spans="1:16" ht="15.75" customHeight="1" x14ac:dyDescent="0.25">
      <c r="A27" s="1" t="s">
        <v>90</v>
      </c>
      <c r="B27" s="1">
        <v>1</v>
      </c>
      <c r="C27" s="25" t="s">
        <v>54</v>
      </c>
      <c r="D27" s="116">
        <v>1</v>
      </c>
      <c r="E27" s="112">
        <v>0</v>
      </c>
      <c r="F27" s="52">
        <v>0.8</v>
      </c>
      <c r="G27" s="78">
        <v>2</v>
      </c>
      <c r="M27" s="45"/>
      <c r="O27" s="42"/>
    </row>
    <row r="28" spans="1:16" ht="15.75" customHeight="1" x14ac:dyDescent="0.25">
      <c r="A28" s="1" t="s">
        <v>91</v>
      </c>
      <c r="B28" s="1">
        <v>1</v>
      </c>
      <c r="C28" s="25" t="s">
        <v>55</v>
      </c>
      <c r="D28" s="116">
        <v>1</v>
      </c>
      <c r="E28" s="112">
        <v>0</v>
      </c>
      <c r="F28" s="52">
        <v>0.8</v>
      </c>
      <c r="G28" s="78">
        <v>2</v>
      </c>
      <c r="M28" s="45"/>
      <c r="O28" s="45"/>
    </row>
    <row r="29" spans="1:16" ht="15.75" customHeight="1" x14ac:dyDescent="0.25">
      <c r="A29" s="1" t="s">
        <v>92</v>
      </c>
      <c r="B29" s="1">
        <v>1</v>
      </c>
      <c r="C29" s="25" t="s">
        <v>56</v>
      </c>
      <c r="D29" s="116">
        <v>1</v>
      </c>
      <c r="E29" s="112">
        <v>0</v>
      </c>
      <c r="F29" s="52">
        <v>0.8</v>
      </c>
      <c r="G29" s="78">
        <v>2</v>
      </c>
      <c r="M29" s="45"/>
      <c r="O29" s="45"/>
    </row>
    <row r="30" spans="1:16" ht="15.75" customHeight="1" x14ac:dyDescent="0.25">
      <c r="A30" s="1" t="s">
        <v>93</v>
      </c>
      <c r="B30" s="1">
        <v>1</v>
      </c>
      <c r="C30" s="25" t="s">
        <v>57</v>
      </c>
      <c r="D30" s="116">
        <v>1</v>
      </c>
      <c r="E30" s="112">
        <v>0</v>
      </c>
      <c r="F30" s="52">
        <v>0.8</v>
      </c>
      <c r="G30" s="78">
        <v>2</v>
      </c>
      <c r="O30" s="45"/>
    </row>
    <row r="31" spans="1:16" ht="15.75" customHeight="1" x14ac:dyDescent="0.25">
      <c r="A31" s="1" t="s">
        <v>94</v>
      </c>
      <c r="B31" s="1">
        <v>1</v>
      </c>
      <c r="C31" s="25" t="s">
        <v>58</v>
      </c>
      <c r="D31" s="116">
        <v>1</v>
      </c>
      <c r="E31" s="112">
        <v>0</v>
      </c>
      <c r="F31" s="52">
        <v>0.8</v>
      </c>
      <c r="G31" s="78">
        <v>2</v>
      </c>
      <c r="I31" s="1"/>
      <c r="O31" s="45"/>
    </row>
    <row r="32" spans="1:16" ht="15.75" customHeight="1" x14ac:dyDescent="0.25">
      <c r="A32" s="1" t="s">
        <v>95</v>
      </c>
      <c r="B32" s="1">
        <v>1</v>
      </c>
      <c r="C32" s="25" t="s">
        <v>59</v>
      </c>
      <c r="D32" s="116">
        <v>1</v>
      </c>
      <c r="E32" s="112">
        <v>0</v>
      </c>
      <c r="F32" s="52">
        <v>0.6</v>
      </c>
      <c r="G32" s="78">
        <v>3</v>
      </c>
      <c r="I32" s="2"/>
      <c r="J32" s="2"/>
      <c r="O32" s="45"/>
    </row>
    <row r="33" spans="1:15" ht="15.75" customHeight="1" x14ac:dyDescent="0.25">
      <c r="A33" s="1" t="s">
        <v>96</v>
      </c>
      <c r="B33" s="1">
        <v>1</v>
      </c>
      <c r="C33" s="25" t="s">
        <v>60</v>
      </c>
      <c r="D33" s="116">
        <v>1</v>
      </c>
      <c r="E33" s="112">
        <v>0</v>
      </c>
      <c r="F33" s="52">
        <v>0.6</v>
      </c>
      <c r="G33" s="78">
        <v>3</v>
      </c>
      <c r="I33" s="3"/>
      <c r="J33" s="3"/>
      <c r="O33" s="45"/>
    </row>
    <row r="34" spans="1:15" ht="15.75" customHeight="1" x14ac:dyDescent="0.25">
      <c r="A34" s="1" t="s">
        <v>97</v>
      </c>
      <c r="B34" s="1">
        <v>1</v>
      </c>
      <c r="C34" s="25" t="s">
        <v>61</v>
      </c>
      <c r="D34" s="116">
        <v>1</v>
      </c>
      <c r="E34" s="112">
        <v>0</v>
      </c>
      <c r="F34" s="52">
        <v>0.6</v>
      </c>
      <c r="G34" s="78">
        <v>3</v>
      </c>
      <c r="I34" s="3"/>
      <c r="J34" s="3"/>
      <c r="O34" s="45"/>
    </row>
    <row r="35" spans="1:15" ht="15.75" customHeight="1" x14ac:dyDescent="0.25">
      <c r="A35" s="1" t="s">
        <v>98</v>
      </c>
      <c r="B35" s="1">
        <v>1</v>
      </c>
      <c r="C35" s="25" t="s">
        <v>62</v>
      </c>
      <c r="D35" s="116">
        <v>1</v>
      </c>
      <c r="E35" s="112">
        <v>0</v>
      </c>
      <c r="F35" s="52">
        <v>0.6</v>
      </c>
      <c r="G35" s="78">
        <v>2</v>
      </c>
    </row>
    <row r="36" spans="1:15" ht="15.75" customHeight="1" thickBot="1" x14ac:dyDescent="0.3">
      <c r="A36" s="1" t="s">
        <v>99</v>
      </c>
      <c r="B36" s="1">
        <v>1</v>
      </c>
      <c r="C36" s="25" t="s">
        <v>63</v>
      </c>
      <c r="D36" s="116">
        <v>1</v>
      </c>
      <c r="E36" s="113">
        <v>0</v>
      </c>
      <c r="F36" s="114">
        <v>3</v>
      </c>
      <c r="G36" s="80">
        <v>5</v>
      </c>
    </row>
    <row r="37" spans="1:15" ht="12.75" x14ac:dyDescent="0.2">
      <c r="A37" s="1" t="s">
        <v>100</v>
      </c>
      <c r="B37" s="1">
        <v>1</v>
      </c>
      <c r="M37" s="45"/>
    </row>
    <row r="38" spans="1:15" ht="12.75" x14ac:dyDescent="0.2">
      <c r="A38" s="1" t="s">
        <v>101</v>
      </c>
      <c r="B38" s="1">
        <v>1</v>
      </c>
      <c r="M38" s="45"/>
    </row>
    <row r="39" spans="1:15" ht="12.75" x14ac:dyDescent="0.2">
      <c r="A39" s="1" t="s">
        <v>102</v>
      </c>
      <c r="B39" s="1">
        <v>1</v>
      </c>
      <c r="M39" s="45"/>
    </row>
    <row r="40" spans="1:15" ht="12.75" x14ac:dyDescent="0.2">
      <c r="A40" s="1" t="s">
        <v>103</v>
      </c>
      <c r="B40" s="1">
        <v>1</v>
      </c>
    </row>
    <row r="41" spans="1:15" ht="12.75" x14ac:dyDescent="0.2">
      <c r="A41" s="1" t="s">
        <v>104</v>
      </c>
      <c r="B41" s="1">
        <v>1</v>
      </c>
    </row>
    <row r="42" spans="1:15" ht="12.75" x14ac:dyDescent="0.2">
      <c r="A42" s="1" t="s">
        <v>105</v>
      </c>
      <c r="B42" s="1">
        <v>1</v>
      </c>
    </row>
    <row r="43" spans="1:15" ht="12.75" x14ac:dyDescent="0.2">
      <c r="A43" s="1" t="s">
        <v>106</v>
      </c>
      <c r="B43" s="1">
        <v>1</v>
      </c>
    </row>
    <row r="44" spans="1:15" ht="12.75" x14ac:dyDescent="0.2">
      <c r="A44" s="1" t="s">
        <v>107</v>
      </c>
      <c r="B44" s="1">
        <v>1</v>
      </c>
    </row>
    <row r="45" spans="1:15" ht="12.75" x14ac:dyDescent="0.2">
      <c r="A45" s="1" t="s">
        <v>108</v>
      </c>
      <c r="B45" s="1">
        <v>1</v>
      </c>
    </row>
    <row r="46" spans="1:15" ht="12.75" x14ac:dyDescent="0.2">
      <c r="A46" s="1" t="s">
        <v>109</v>
      </c>
      <c r="B46" s="1">
        <v>1</v>
      </c>
    </row>
    <row r="47" spans="1:15" ht="12.75" x14ac:dyDescent="0.2">
      <c r="A47" s="1" t="s">
        <v>110</v>
      </c>
      <c r="B47" s="1">
        <v>1</v>
      </c>
    </row>
    <row r="48" spans="1:15" ht="12.75" x14ac:dyDescent="0.2">
      <c r="A48" s="1" t="s">
        <v>111</v>
      </c>
      <c r="B48" s="1">
        <f>1 * $D$25</f>
        <v>1</v>
      </c>
    </row>
    <row r="49" spans="1:2" ht="12.75" x14ac:dyDescent="0.2">
      <c r="A49" s="1" t="s">
        <v>112</v>
      </c>
      <c r="B49" s="1">
        <f>1 * $D$25</f>
        <v>1</v>
      </c>
    </row>
    <row r="50" spans="1:2" ht="12.75" x14ac:dyDescent="0.2">
      <c r="A50" s="1" t="s">
        <v>113</v>
      </c>
      <c r="B50" s="1">
        <f>1 * $D$25</f>
        <v>1</v>
      </c>
    </row>
    <row r="51" spans="1:2" ht="12.75" x14ac:dyDescent="0.2">
      <c r="A51" s="1" t="s">
        <v>114</v>
      </c>
      <c r="B51" s="1">
        <f>1 * $D$25</f>
        <v>1</v>
      </c>
    </row>
    <row r="52" spans="1:2" ht="12.75" x14ac:dyDescent="0.2">
      <c r="A52" s="1" t="s">
        <v>115</v>
      </c>
      <c r="B52" s="1">
        <f>1 * $D$25</f>
        <v>1</v>
      </c>
    </row>
    <row r="53" spans="1:2" ht="12.75" x14ac:dyDescent="0.2">
      <c r="A53" s="1" t="s">
        <v>116</v>
      </c>
      <c r="B53" s="1">
        <f>1 * $D$26</f>
        <v>1</v>
      </c>
    </row>
    <row r="54" spans="1:2" ht="12.75" x14ac:dyDescent="0.2">
      <c r="A54" s="1" t="s">
        <v>117</v>
      </c>
      <c r="B54" s="1">
        <f>1 * $D$26</f>
        <v>1</v>
      </c>
    </row>
    <row r="55" spans="1:2" ht="12.75" x14ac:dyDescent="0.2">
      <c r="A55" s="1" t="s">
        <v>118</v>
      </c>
      <c r="B55" s="1">
        <f>1 * $D$26</f>
        <v>1</v>
      </c>
    </row>
    <row r="56" spans="1:2" ht="12.75" x14ac:dyDescent="0.2">
      <c r="A56" s="1" t="s">
        <v>119</v>
      </c>
      <c r="B56" s="1">
        <f>1 * $D$26</f>
        <v>1</v>
      </c>
    </row>
    <row r="57" spans="1:2" ht="12.75" x14ac:dyDescent="0.2">
      <c r="A57" s="1" t="s">
        <v>120</v>
      </c>
      <c r="B57" s="1">
        <f>1 * $D$26</f>
        <v>1</v>
      </c>
    </row>
    <row r="58" spans="1:2" ht="12.75" x14ac:dyDescent="0.2">
      <c r="A58" s="1" t="s">
        <v>121</v>
      </c>
      <c r="B58" s="1">
        <f>1 * $D$27</f>
        <v>1</v>
      </c>
    </row>
    <row r="59" spans="1:2" ht="12.75" x14ac:dyDescent="0.2">
      <c r="A59" s="1" t="s">
        <v>122</v>
      </c>
      <c r="B59" s="1">
        <f>1 * $D$27</f>
        <v>1</v>
      </c>
    </row>
    <row r="60" spans="1:2" ht="12.75" x14ac:dyDescent="0.2">
      <c r="A60" s="1" t="s">
        <v>123</v>
      </c>
      <c r="B60" s="1">
        <f>1 * $D$27</f>
        <v>1</v>
      </c>
    </row>
    <row r="61" spans="1:2" ht="12.75" x14ac:dyDescent="0.2">
      <c r="A61" s="1" t="s">
        <v>124</v>
      </c>
      <c r="B61" s="1">
        <f>1 * $D$27</f>
        <v>1</v>
      </c>
    </row>
    <row r="62" spans="1:2" ht="12.75" x14ac:dyDescent="0.2">
      <c r="A62" s="1" t="s">
        <v>125</v>
      </c>
      <c r="B62" s="1">
        <f>1 * $D$27</f>
        <v>1</v>
      </c>
    </row>
    <row r="63" spans="1:2" ht="12.75" x14ac:dyDescent="0.2">
      <c r="A63" s="1" t="s">
        <v>126</v>
      </c>
      <c r="B63" s="1">
        <f>1 * $D$28</f>
        <v>1</v>
      </c>
    </row>
    <row r="64" spans="1:2" ht="12.75" x14ac:dyDescent="0.2">
      <c r="A64" s="1" t="s">
        <v>127</v>
      </c>
      <c r="B64" s="1">
        <f>1 * $D$28</f>
        <v>1</v>
      </c>
    </row>
    <row r="65" spans="1:10" ht="12.75" x14ac:dyDescent="0.2">
      <c r="A65" s="1" t="s">
        <v>128</v>
      </c>
      <c r="B65" s="1">
        <f>1 * $D$28</f>
        <v>1</v>
      </c>
    </row>
    <row r="66" spans="1:10" ht="12.75" x14ac:dyDescent="0.2">
      <c r="A66" s="1" t="s">
        <v>129</v>
      </c>
      <c r="B66" s="1">
        <f>1 * $D$28</f>
        <v>1</v>
      </c>
    </row>
    <row r="67" spans="1:10" ht="12.75" x14ac:dyDescent="0.2">
      <c r="A67" s="1" t="s">
        <v>130</v>
      </c>
      <c r="B67" s="1">
        <f>1 * $D$28</f>
        <v>1</v>
      </c>
    </row>
    <row r="68" spans="1:10" ht="12.75" x14ac:dyDescent="0.2">
      <c r="A68" s="1" t="s">
        <v>131</v>
      </c>
      <c r="B68" s="1">
        <f>1 * $D$29</f>
        <v>1</v>
      </c>
    </row>
    <row r="69" spans="1:10" ht="12.75" x14ac:dyDescent="0.2">
      <c r="A69" s="1" t="s">
        <v>132</v>
      </c>
      <c r="B69" s="1">
        <f>1 * $D$29</f>
        <v>1</v>
      </c>
    </row>
    <row r="70" spans="1:10" ht="12.75" x14ac:dyDescent="0.2">
      <c r="A70" s="1" t="s">
        <v>133</v>
      </c>
      <c r="B70" s="1">
        <f>1 * $D$29</f>
        <v>1</v>
      </c>
      <c r="I70" s="43" t="s">
        <v>245</v>
      </c>
      <c r="J70" s="116"/>
    </row>
    <row r="71" spans="1:10" ht="12.75" x14ac:dyDescent="0.2">
      <c r="A71" s="1" t="s">
        <v>134</v>
      </c>
      <c r="B71" s="1">
        <f>1 * $D$29</f>
        <v>1</v>
      </c>
      <c r="I71" s="116">
        <v>1</v>
      </c>
      <c r="J71" s="116">
        <v>1</v>
      </c>
    </row>
    <row r="72" spans="1:10" ht="12.75" x14ac:dyDescent="0.2">
      <c r="A72" s="1" t="s">
        <v>135</v>
      </c>
      <c r="B72" s="1">
        <f>1 * $D$29</f>
        <v>1</v>
      </c>
      <c r="I72" s="116">
        <v>1</v>
      </c>
      <c r="J72" s="116">
        <v>1</v>
      </c>
    </row>
    <row r="73" spans="1:10" ht="12.75" x14ac:dyDescent="0.2">
      <c r="A73" s="1" t="s">
        <v>136</v>
      </c>
      <c r="B73" s="1">
        <f>1 * $D$30</f>
        <v>1</v>
      </c>
      <c r="I73" s="116">
        <v>1</v>
      </c>
      <c r="J73" s="116">
        <v>1</v>
      </c>
    </row>
    <row r="74" spans="1:10" ht="12.75" x14ac:dyDescent="0.2">
      <c r="A74" s="1" t="s">
        <v>137</v>
      </c>
      <c r="B74" s="1">
        <f>1 * $D$30</f>
        <v>1</v>
      </c>
      <c r="I74" s="116">
        <v>1</v>
      </c>
      <c r="J74" s="116">
        <v>1</v>
      </c>
    </row>
    <row r="75" spans="1:10" ht="12.75" x14ac:dyDescent="0.2">
      <c r="A75" s="1" t="s">
        <v>138</v>
      </c>
      <c r="B75" s="1">
        <f>1 * $D$30</f>
        <v>1</v>
      </c>
      <c r="I75" s="116">
        <v>1</v>
      </c>
      <c r="J75" s="116">
        <v>1</v>
      </c>
    </row>
    <row r="76" spans="1:10" ht="12.75" x14ac:dyDescent="0.2">
      <c r="A76" s="1" t="s">
        <v>139</v>
      </c>
      <c r="B76" s="1">
        <f>1 * $D$30</f>
        <v>1</v>
      </c>
      <c r="I76" s="116">
        <v>1</v>
      </c>
      <c r="J76" s="116">
        <v>1</v>
      </c>
    </row>
    <row r="77" spans="1:10" ht="12.75" x14ac:dyDescent="0.2">
      <c r="A77" s="1" t="s">
        <v>140</v>
      </c>
      <c r="B77" s="1">
        <f>1 * $D$30</f>
        <v>1</v>
      </c>
      <c r="I77" s="116">
        <v>1</v>
      </c>
      <c r="J77" s="116">
        <v>1</v>
      </c>
    </row>
    <row r="78" spans="1:10" ht="12.75" x14ac:dyDescent="0.2">
      <c r="A78" s="1" t="s">
        <v>141</v>
      </c>
      <c r="B78" s="1">
        <f>1 * $D$31</f>
        <v>1</v>
      </c>
      <c r="I78" s="116">
        <v>1.3147218465805055</v>
      </c>
      <c r="J78" s="116">
        <v>0.96771874427795412</v>
      </c>
    </row>
    <row r="79" spans="1:10" ht="12.75" x14ac:dyDescent="0.2">
      <c r="A79" s="1" t="s">
        <v>142</v>
      </c>
      <c r="B79" s="1">
        <f>1 * $D$31</f>
        <v>1</v>
      </c>
      <c r="I79" s="116">
        <v>1.7935685396194458</v>
      </c>
      <c r="J79" s="116">
        <v>1.2148386716842652</v>
      </c>
    </row>
    <row r="80" spans="1:10" ht="12.75" x14ac:dyDescent="0.2">
      <c r="A80" s="1" t="s">
        <v>143</v>
      </c>
      <c r="B80" s="1">
        <f>1 * $D$31</f>
        <v>1</v>
      </c>
      <c r="I80" s="116">
        <v>0.96313595771789551</v>
      </c>
      <c r="J80" s="116">
        <v>1.3824876785278322</v>
      </c>
    </row>
    <row r="81" spans="1:10" ht="12.75" x14ac:dyDescent="0.2">
      <c r="A81" s="1" t="s">
        <v>144</v>
      </c>
      <c r="B81" s="1">
        <f>1 * $D$31</f>
        <v>1</v>
      </c>
      <c r="I81" s="116">
        <v>1.0026541948318481</v>
      </c>
      <c r="J81" s="116">
        <v>1.3775142908096314</v>
      </c>
    </row>
    <row r="82" spans="1:10" ht="12.75" x14ac:dyDescent="0.2">
      <c r="A82" s="1" t="s">
        <v>145</v>
      </c>
      <c r="B82" s="1">
        <f>1 * $D$31</f>
        <v>1</v>
      </c>
      <c r="I82" s="116">
        <v>0.84280834197998056</v>
      </c>
      <c r="J82" s="116">
        <v>1.0235135555267334</v>
      </c>
    </row>
    <row r="83" spans="1:10" ht="12.75" x14ac:dyDescent="0.2">
      <c r="A83" s="1" t="s">
        <v>146</v>
      </c>
      <c r="B83" s="1">
        <f>1 * $D$32</f>
        <v>1</v>
      </c>
      <c r="I83" s="116">
        <v>0.80271024703979499</v>
      </c>
      <c r="J83" s="116">
        <v>1.0172784566879274</v>
      </c>
    </row>
    <row r="84" spans="1:10" ht="12.75" x14ac:dyDescent="0.2">
      <c r="A84" s="1" t="s">
        <v>147</v>
      </c>
      <c r="B84" s="1">
        <f>1 * $D$32</f>
        <v>1</v>
      </c>
      <c r="I84" s="116">
        <v>1.2722633361816407</v>
      </c>
      <c r="J84" s="116">
        <v>1.1656956672668457</v>
      </c>
    </row>
    <row r="85" spans="1:10" ht="12.75" x14ac:dyDescent="0.2">
      <c r="A85" s="1" t="s">
        <v>148</v>
      </c>
      <c r="B85" s="1">
        <f>1 * $D$32</f>
        <v>1</v>
      </c>
      <c r="I85" s="116">
        <v>1.3646855354309082</v>
      </c>
      <c r="J85" s="116">
        <v>1.1563082933425903</v>
      </c>
    </row>
    <row r="86" spans="1:10" ht="12.75" x14ac:dyDescent="0.2">
      <c r="A86" s="1" t="s">
        <v>149</v>
      </c>
      <c r="B86" s="1">
        <f>1 * $D$32</f>
        <v>1</v>
      </c>
      <c r="I86" s="116">
        <v>1.3890231490135192</v>
      </c>
      <c r="J86" s="116">
        <v>0.83552391529083248</v>
      </c>
    </row>
    <row r="87" spans="1:10" ht="12.75" x14ac:dyDescent="0.2">
      <c r="A87" s="1" t="s">
        <v>150</v>
      </c>
      <c r="B87" s="1">
        <f>1 * $D$32</f>
        <v>1</v>
      </c>
      <c r="I87" s="116">
        <v>0.93236436843872073</v>
      </c>
      <c r="J87" s="116">
        <v>1.0379479169845582</v>
      </c>
    </row>
    <row r="88" spans="1:10" ht="12.75" x14ac:dyDescent="0.2">
      <c r="A88" s="1" t="s">
        <v>151</v>
      </c>
      <c r="B88" s="1">
        <f t="shared" ref="B88:B92" si="0">1 * $D$33</f>
        <v>1</v>
      </c>
      <c r="I88" s="116">
        <v>0.82505218982696538</v>
      </c>
      <c r="J88" s="116">
        <v>1.536402130126953</v>
      </c>
    </row>
    <row r="89" spans="1:10" ht="12.75" x14ac:dyDescent="0.2">
      <c r="A89" s="1" t="s">
        <v>152</v>
      </c>
      <c r="B89" s="1">
        <f t="shared" si="0"/>
        <v>1</v>
      </c>
      <c r="I89" s="116">
        <v>1</v>
      </c>
      <c r="J89" s="116">
        <v>1</v>
      </c>
    </row>
    <row r="90" spans="1:10" ht="12.75" x14ac:dyDescent="0.2">
      <c r="A90" s="1" t="s">
        <v>153</v>
      </c>
      <c r="B90" s="1">
        <f t="shared" si="0"/>
        <v>1</v>
      </c>
    </row>
    <row r="91" spans="1:10" ht="12.75" x14ac:dyDescent="0.2">
      <c r="A91" s="1" t="s">
        <v>154</v>
      </c>
      <c r="B91" s="1">
        <f t="shared" si="0"/>
        <v>1</v>
      </c>
    </row>
    <row r="92" spans="1:10" ht="12.75" x14ac:dyDescent="0.2">
      <c r="A92" s="1" t="s">
        <v>155</v>
      </c>
      <c r="B92" s="1">
        <f t="shared" si="0"/>
        <v>1</v>
      </c>
    </row>
    <row r="93" spans="1:10" ht="12.75" x14ac:dyDescent="0.2">
      <c r="A93" s="1" t="s">
        <v>156</v>
      </c>
      <c r="B93" s="1">
        <f t="shared" ref="B93:B97" si="1">1 * $D$34</f>
        <v>1</v>
      </c>
    </row>
    <row r="94" spans="1:10" ht="12.75" x14ac:dyDescent="0.2">
      <c r="A94" s="1" t="s">
        <v>157</v>
      </c>
      <c r="B94" s="1">
        <f t="shared" si="1"/>
        <v>1</v>
      </c>
    </row>
    <row r="95" spans="1:10" ht="12.75" x14ac:dyDescent="0.2">
      <c r="A95" s="1" t="s">
        <v>158</v>
      </c>
      <c r="B95" s="1">
        <f t="shared" si="1"/>
        <v>1</v>
      </c>
    </row>
    <row r="96" spans="1:10" ht="12.75" x14ac:dyDescent="0.2">
      <c r="A96" s="1" t="s">
        <v>159</v>
      </c>
      <c r="B96" s="1">
        <f t="shared" si="1"/>
        <v>1</v>
      </c>
    </row>
    <row r="97" spans="1:2" ht="12.75" x14ac:dyDescent="0.2">
      <c r="A97" s="1" t="s">
        <v>160</v>
      </c>
      <c r="B97" s="1">
        <f t="shared" si="1"/>
        <v>1</v>
      </c>
    </row>
    <row r="98" spans="1:2" ht="12.75" x14ac:dyDescent="0.2">
      <c r="A98" s="1" t="s">
        <v>161</v>
      </c>
      <c r="B98" s="1">
        <f t="shared" ref="B98:B102" si="2">1 * $D$35</f>
        <v>1</v>
      </c>
    </row>
    <row r="99" spans="1:2" ht="12.75" x14ac:dyDescent="0.2">
      <c r="A99" s="1" t="s">
        <v>162</v>
      </c>
      <c r="B99" s="1">
        <f t="shared" si="2"/>
        <v>1</v>
      </c>
    </row>
    <row r="100" spans="1:2" ht="12.75" x14ac:dyDescent="0.2">
      <c r="A100" s="1" t="s">
        <v>163</v>
      </c>
      <c r="B100" s="1">
        <f t="shared" si="2"/>
        <v>1</v>
      </c>
    </row>
    <row r="101" spans="1:2" ht="12.75" x14ac:dyDescent="0.2">
      <c r="A101" s="1" t="s">
        <v>164</v>
      </c>
      <c r="B101" s="1">
        <f t="shared" si="2"/>
        <v>1</v>
      </c>
    </row>
    <row r="102" spans="1:2" ht="12.75" x14ac:dyDescent="0.2">
      <c r="A102" s="1" t="s">
        <v>165</v>
      </c>
      <c r="B102" s="1">
        <f t="shared" si="2"/>
        <v>1</v>
      </c>
    </row>
    <row r="103" spans="1:2" ht="12.75" x14ac:dyDescent="0.2">
      <c r="A103" s="1" t="s">
        <v>166</v>
      </c>
      <c r="B103" s="1">
        <f t="shared" ref="B103:B118" si="3">1 * $D$36</f>
        <v>1</v>
      </c>
    </row>
    <row r="104" spans="1:2" ht="12.75" x14ac:dyDescent="0.2">
      <c r="A104" s="1" t="s">
        <v>167</v>
      </c>
      <c r="B104" s="1">
        <f t="shared" si="3"/>
        <v>1</v>
      </c>
    </row>
    <row r="105" spans="1:2" ht="12.75" x14ac:dyDescent="0.2">
      <c r="A105" s="1" t="s">
        <v>168</v>
      </c>
      <c r="B105" s="1">
        <f t="shared" si="3"/>
        <v>1</v>
      </c>
    </row>
    <row r="106" spans="1:2" ht="12.75" x14ac:dyDescent="0.2">
      <c r="A106" s="1" t="s">
        <v>169</v>
      </c>
      <c r="B106" s="1">
        <f t="shared" si="3"/>
        <v>1</v>
      </c>
    </row>
    <row r="107" spans="1:2" ht="12.75" x14ac:dyDescent="0.2">
      <c r="A107" s="1" t="s">
        <v>170</v>
      </c>
      <c r="B107" s="1">
        <f t="shared" si="3"/>
        <v>1</v>
      </c>
    </row>
    <row r="108" spans="1:2" ht="12.75" x14ac:dyDescent="0.2">
      <c r="A108" s="1" t="s">
        <v>171</v>
      </c>
      <c r="B108" s="1">
        <f t="shared" si="3"/>
        <v>1</v>
      </c>
    </row>
    <row r="109" spans="1:2" ht="12.75" x14ac:dyDescent="0.2">
      <c r="A109" s="1" t="s">
        <v>172</v>
      </c>
      <c r="B109" s="1">
        <f t="shared" si="3"/>
        <v>1</v>
      </c>
    </row>
    <row r="110" spans="1:2" ht="12.75" x14ac:dyDescent="0.2">
      <c r="A110" s="1" t="s">
        <v>173</v>
      </c>
      <c r="B110" s="1">
        <f t="shared" si="3"/>
        <v>1</v>
      </c>
    </row>
    <row r="111" spans="1:2" ht="12.75" x14ac:dyDescent="0.2">
      <c r="A111" s="1" t="s">
        <v>174</v>
      </c>
      <c r="B111" s="1">
        <f t="shared" si="3"/>
        <v>1</v>
      </c>
    </row>
    <row r="112" spans="1:2" ht="12.75" x14ac:dyDescent="0.2">
      <c r="A112" s="1" t="s">
        <v>175</v>
      </c>
      <c r="B112" s="1">
        <f t="shared" si="3"/>
        <v>1</v>
      </c>
    </row>
    <row r="113" spans="1:2" ht="12.75" x14ac:dyDescent="0.2">
      <c r="A113" s="1" t="s">
        <v>176</v>
      </c>
      <c r="B113" s="1">
        <f t="shared" si="3"/>
        <v>1</v>
      </c>
    </row>
    <row r="114" spans="1:2" ht="12.75" x14ac:dyDescent="0.2">
      <c r="A114" s="1" t="s">
        <v>177</v>
      </c>
      <c r="B114" s="1">
        <f t="shared" si="3"/>
        <v>1</v>
      </c>
    </row>
    <row r="115" spans="1:2" ht="12.75" x14ac:dyDescent="0.2">
      <c r="A115" s="1" t="s">
        <v>178</v>
      </c>
      <c r="B115" s="1">
        <f t="shared" si="3"/>
        <v>1</v>
      </c>
    </row>
    <row r="116" spans="1:2" ht="12.75" x14ac:dyDescent="0.2">
      <c r="A116" s="1" t="s">
        <v>179</v>
      </c>
      <c r="B116" s="1">
        <f t="shared" si="3"/>
        <v>1</v>
      </c>
    </row>
    <row r="117" spans="1:2" ht="12.75" x14ac:dyDescent="0.2">
      <c r="A117" s="1" t="s">
        <v>180</v>
      </c>
      <c r="B117" s="1">
        <f t="shared" si="3"/>
        <v>1</v>
      </c>
    </row>
    <row r="118" spans="1:2" ht="12.75" x14ac:dyDescent="0.2">
      <c r="A118" s="1" t="s">
        <v>181</v>
      </c>
      <c r="B118" s="1">
        <f t="shared" si="3"/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CommandButton1">
          <controlPr defaultSize="0" autoLine="0" r:id="rId5">
            <anchor moveWithCells="1">
              <from>
                <xdr:col>5</xdr:col>
                <xdr:colOff>733425</xdr:colOff>
                <xdr:row>11</xdr:row>
                <xdr:rowOff>9525</xdr:rowOff>
              </from>
              <to>
                <xdr:col>7</xdr:col>
                <xdr:colOff>800100</xdr:colOff>
                <xdr:row>13</xdr:row>
                <xdr:rowOff>114300</xdr:rowOff>
              </to>
            </anchor>
          </controlPr>
        </control>
      </mc:Choice>
      <mc:Fallback>
        <control shapeId="5126" r:id="rId4" name="CommandButton1"/>
      </mc:Fallback>
    </mc:AlternateContent>
    <mc:AlternateContent xmlns:mc="http://schemas.openxmlformats.org/markup-compatibility/2006">
      <mc:Choice Requires="x14">
        <control shapeId="5125" r:id="rId6" name="cmdConTto">
          <controlPr defaultSize="0" autoLine="0" r:id="rId7">
            <anchor moveWithCells="1">
              <from>
                <xdr:col>5</xdr:col>
                <xdr:colOff>723900</xdr:colOff>
                <xdr:row>7</xdr:row>
                <xdr:rowOff>104775</xdr:rowOff>
              </from>
              <to>
                <xdr:col>7</xdr:col>
                <xdr:colOff>809625</xdr:colOff>
                <xdr:row>10</xdr:row>
                <xdr:rowOff>19050</xdr:rowOff>
              </to>
            </anchor>
          </controlPr>
        </control>
      </mc:Choice>
      <mc:Fallback>
        <control shapeId="5125" r:id="rId6" name="cmdConTto"/>
      </mc:Fallback>
    </mc:AlternateContent>
    <mc:AlternateContent xmlns:mc="http://schemas.openxmlformats.org/markup-compatibility/2006">
      <mc:Choice Requires="x14">
        <control shapeId="5123" r:id="rId8" name="cmdSinTto">
          <controlPr defaultSize="0" autoLine="0" r:id="rId9">
            <anchor moveWithCells="1">
              <from>
                <xdr:col>5</xdr:col>
                <xdr:colOff>723900</xdr:colOff>
                <xdr:row>3</xdr:row>
                <xdr:rowOff>95250</xdr:rowOff>
              </from>
              <to>
                <xdr:col>7</xdr:col>
                <xdr:colOff>809625</xdr:colOff>
                <xdr:row>6</xdr:row>
                <xdr:rowOff>9525</xdr:rowOff>
              </to>
            </anchor>
          </controlPr>
        </control>
      </mc:Choice>
      <mc:Fallback>
        <control shapeId="5123" r:id="rId8" name="cmdSinTto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7C42-AEB5-4973-BE16-4F929C16F08D}">
  <sheetPr codeName="Hoja18"/>
  <dimension ref="A1:AO90"/>
  <sheetViews>
    <sheetView topLeftCell="U1" zoomScale="160" zoomScaleNormal="160" workbookViewId="0">
      <selection activeCell="AG7" sqref="AG7"/>
    </sheetView>
  </sheetViews>
  <sheetFormatPr baseColWidth="10" defaultRowHeight="12.75" x14ac:dyDescent="0.2"/>
  <cols>
    <col min="2" max="4" width="11.42578125" style="208"/>
  </cols>
  <sheetData>
    <row r="1" spans="1:41" x14ac:dyDescent="0.2">
      <c r="A1" s="249"/>
      <c r="B1" s="266">
        <v>25</v>
      </c>
      <c r="C1" s="266"/>
      <c r="D1" s="266"/>
      <c r="E1" s="266">
        <v>30</v>
      </c>
      <c r="F1" s="266"/>
      <c r="G1" s="266"/>
      <c r="H1" s="266">
        <v>35</v>
      </c>
      <c r="I1" s="266"/>
      <c r="J1" s="266"/>
      <c r="K1" s="266">
        <v>40</v>
      </c>
      <c r="L1" s="266"/>
      <c r="M1" s="266"/>
      <c r="N1" s="266">
        <v>45</v>
      </c>
      <c r="O1" s="266"/>
      <c r="P1" s="266"/>
      <c r="Q1" s="266">
        <v>50</v>
      </c>
      <c r="R1" s="266"/>
      <c r="S1" s="266"/>
      <c r="T1" s="266">
        <v>55</v>
      </c>
      <c r="U1" s="266"/>
      <c r="V1" s="266"/>
      <c r="W1" s="266">
        <v>60</v>
      </c>
      <c r="X1" s="266"/>
      <c r="Y1" s="266"/>
      <c r="Z1" s="266">
        <v>65</v>
      </c>
      <c r="AA1" s="266"/>
      <c r="AB1" s="266"/>
      <c r="AC1" s="266">
        <v>70</v>
      </c>
      <c r="AD1" s="266"/>
      <c r="AE1" s="266"/>
      <c r="AN1">
        <f>B7</f>
        <v>15.9</v>
      </c>
      <c r="AO1">
        <f>C7</f>
        <v>18.15227953619716</v>
      </c>
    </row>
    <row r="2" spans="1:41" x14ac:dyDescent="0.2">
      <c r="A2" s="249"/>
      <c r="B2" s="250" t="s">
        <v>243</v>
      </c>
      <c r="C2" s="250" t="s">
        <v>242</v>
      </c>
      <c r="D2" s="250" t="s">
        <v>244</v>
      </c>
      <c r="E2" s="250" t="s">
        <v>243</v>
      </c>
      <c r="F2" s="250" t="s">
        <v>242</v>
      </c>
      <c r="G2" s="250" t="s">
        <v>244</v>
      </c>
      <c r="H2" s="250" t="s">
        <v>243</v>
      </c>
      <c r="I2" s="250" t="s">
        <v>242</v>
      </c>
      <c r="J2" s="250" t="s">
        <v>244</v>
      </c>
      <c r="K2" s="250" t="s">
        <v>243</v>
      </c>
      <c r="L2" s="250" t="s">
        <v>242</v>
      </c>
      <c r="M2" s="250" t="s">
        <v>244</v>
      </c>
      <c r="N2" s="250" t="s">
        <v>243</v>
      </c>
      <c r="O2" s="250" t="s">
        <v>242</v>
      </c>
      <c r="P2" s="250" t="s">
        <v>244</v>
      </c>
      <c r="Q2" s="250" t="s">
        <v>243</v>
      </c>
      <c r="R2" s="250" t="s">
        <v>242</v>
      </c>
      <c r="S2" s="250" t="s">
        <v>244</v>
      </c>
      <c r="T2" s="250" t="s">
        <v>243</v>
      </c>
      <c r="U2" s="250" t="s">
        <v>242</v>
      </c>
      <c r="V2" s="250" t="s">
        <v>244</v>
      </c>
      <c r="W2" s="250" t="s">
        <v>243</v>
      </c>
      <c r="X2" s="250" t="s">
        <v>242</v>
      </c>
      <c r="Y2" s="250" t="s">
        <v>244</v>
      </c>
      <c r="Z2" s="250" t="s">
        <v>243</v>
      </c>
      <c r="AA2" s="250" t="s">
        <v>242</v>
      </c>
      <c r="AB2" s="250" t="s">
        <v>244</v>
      </c>
      <c r="AC2" s="250" t="s">
        <v>243</v>
      </c>
      <c r="AD2" s="250" t="s">
        <v>242</v>
      </c>
      <c r="AE2" s="250" t="s">
        <v>244</v>
      </c>
      <c r="AN2" t="e" cm="1">
        <f t="array" ref="AN2:AN13">UTILIDADES!E2:E13+UTILIDADES!E2:E13+UTILIDADES!B230507463</f>
        <v>#NAME?</v>
      </c>
    </row>
    <row r="3" spans="1:41" x14ac:dyDescent="0.2">
      <c r="A3" s="162" t="s">
        <v>40</v>
      </c>
      <c r="B3" s="59">
        <v>6731</v>
      </c>
      <c r="C3" s="163">
        <v>6577.9780826747465</v>
      </c>
      <c r="D3" s="163">
        <f>ABS(B3-C3) / B3*100</f>
        <v>2.2733905411566413</v>
      </c>
      <c r="E3" s="59">
        <v>6183</v>
      </c>
      <c r="F3" s="163">
        <v>6031.0360704154909</v>
      </c>
      <c r="G3" s="163">
        <f>ABS(E3-F3) / E3*100</f>
        <v>2.4577701695699345</v>
      </c>
      <c r="H3" s="59">
        <v>5576</v>
      </c>
      <c r="I3" s="163">
        <v>5425.8137449143542</v>
      </c>
      <c r="J3" s="163">
        <f>ABS(H3-I3) / H3*100</f>
        <v>2.6934407296564893</v>
      </c>
      <c r="K3" s="59">
        <v>4924</v>
      </c>
      <c r="L3" s="163">
        <v>4772.9756491037215</v>
      </c>
      <c r="M3" s="163">
        <f>ABS(K3-L3) / K3*100</f>
        <v>3.0671070450097182</v>
      </c>
      <c r="N3" s="59">
        <v>4218</v>
      </c>
      <c r="O3" s="163">
        <v>4085.8614962406073</v>
      </c>
      <c r="P3" s="163">
        <f>ABS(N3-O3) / N3*100</f>
        <v>3.132728870540368</v>
      </c>
      <c r="Q3" s="59">
        <v>3505</v>
      </c>
      <c r="R3" s="163">
        <v>3384.399724526148</v>
      </c>
      <c r="S3" s="163">
        <f>ABS(Q3-R3) / Q3*100</f>
        <v>3.4408067182268756</v>
      </c>
      <c r="T3" s="59">
        <v>2743</v>
      </c>
      <c r="U3" s="163">
        <v>2694.6363695675673</v>
      </c>
      <c r="V3" s="163">
        <f>ABS(T3-U3) / T3*100</f>
        <v>1.7631655279778609</v>
      </c>
      <c r="W3" s="59">
        <v>2078</v>
      </c>
      <c r="X3" s="163">
        <v>2038.1617589442578</v>
      </c>
      <c r="Y3" s="163">
        <f>ABS(W3-X3) / W3*100</f>
        <v>1.9171434579279198</v>
      </c>
      <c r="Z3" s="59">
        <v>1449</v>
      </c>
      <c r="AA3" s="163">
        <v>1436.3934497890109</v>
      </c>
      <c r="AB3" s="163">
        <f>ABS(Z3-AA3) / Z3*100</f>
        <v>0.87001726783913713</v>
      </c>
      <c r="AC3" s="59">
        <v>922</v>
      </c>
      <c r="AD3" s="59">
        <v>909.56335241483544</v>
      </c>
      <c r="AE3" s="163">
        <f>ABS(AC3-AD3) / AC3*100</f>
        <v>1.3488771784343345</v>
      </c>
      <c r="AN3" t="e">
        <v>#NAME?</v>
      </c>
    </row>
    <row r="4" spans="1:41" x14ac:dyDescent="0.2">
      <c r="A4" s="162" t="s">
        <v>13</v>
      </c>
      <c r="B4" s="59">
        <v>5373</v>
      </c>
      <c r="C4" s="163">
        <v>5261.3204650432599</v>
      </c>
      <c r="D4" s="163">
        <f t="shared" ref="D4:D15" si="0">ABS(B4-C4) / B4*100</f>
        <v>2.0785321972220379</v>
      </c>
      <c r="E4" s="59">
        <v>5013</v>
      </c>
      <c r="F4" s="163">
        <v>4904.0272072993093</v>
      </c>
      <c r="G4" s="163">
        <f t="shared" ref="G4:G15" si="1">ABS(E4-F4) / E4*100</f>
        <v>2.1738039637081723</v>
      </c>
      <c r="H4" s="59">
        <v>4600</v>
      </c>
      <c r="I4" s="163">
        <v>4499.8182432332333</v>
      </c>
      <c r="J4" s="163">
        <f t="shared" ref="J4:J15" si="2">ABS(H4-I4) / H4*100</f>
        <v>2.1778642775384074</v>
      </c>
      <c r="K4" s="59">
        <v>4148</v>
      </c>
      <c r="L4" s="163">
        <v>4053.2757335261322</v>
      </c>
      <c r="M4" s="163">
        <f t="shared" ref="M4:M15" si="3">ABS(K4-L4) / K4*100</f>
        <v>2.2836129815300827</v>
      </c>
      <c r="N4" s="59">
        <v>3649</v>
      </c>
      <c r="O4" s="163">
        <v>3570.4681194045206</v>
      </c>
      <c r="P4" s="163">
        <f t="shared" ref="P4:P15" si="4">ABS(N4-O4) / N4*100</f>
        <v>2.1521480020684951</v>
      </c>
      <c r="Q4" s="59">
        <v>3126</v>
      </c>
      <c r="R4" s="163">
        <v>3062.5592383845183</v>
      </c>
      <c r="S4" s="163">
        <f t="shared" ref="S4:S15" si="5">ABS(Q4-R4) / Q4*100</f>
        <v>2.0294549461126592</v>
      </c>
      <c r="T4" s="59">
        <v>2594</v>
      </c>
      <c r="U4" s="163">
        <v>2546.4823397587552</v>
      </c>
      <c r="V4" s="163">
        <f t="shared" ref="V4:V15" si="6">ABS(T4-U4) / T4*100</f>
        <v>1.8318296160849967</v>
      </c>
      <c r="W4" s="59">
        <v>2013</v>
      </c>
      <c r="X4" s="163">
        <v>2036.0581996680726</v>
      </c>
      <c r="Y4" s="163">
        <f t="shared" ref="Y4:Y15" si="7">ABS(W4-X4) / W4*100</f>
        <v>1.1454644643851255</v>
      </c>
      <c r="Z4" s="59">
        <v>1514</v>
      </c>
      <c r="AA4" s="163">
        <v>1545.7769264447682</v>
      </c>
      <c r="AB4" s="163">
        <f t="shared" ref="AB4:AB15" si="8">ABS(Z4-AA4) / Z4*100</f>
        <v>2.0988722882938013</v>
      </c>
      <c r="AC4" s="59">
        <v>1075</v>
      </c>
      <c r="AD4" s="59">
        <v>1090.0075655298594</v>
      </c>
      <c r="AE4" s="163">
        <f t="shared" ref="AE4:AE15" si="9">ABS(AC4-AD4) / AC4*100</f>
        <v>1.396052607428786</v>
      </c>
      <c r="AN4" t="e">
        <v>#NAME?</v>
      </c>
    </row>
    <row r="5" spans="1:41" x14ac:dyDescent="0.2">
      <c r="A5" s="162" t="s">
        <v>39</v>
      </c>
      <c r="B5" s="59">
        <v>3575</v>
      </c>
      <c r="C5" s="163">
        <v>3574.4613458611075</v>
      </c>
      <c r="D5" s="163">
        <f t="shared" si="0"/>
        <v>1.5067248640350358E-2</v>
      </c>
      <c r="E5" s="59">
        <v>3302</v>
      </c>
      <c r="F5" s="163">
        <v>3303.3474139276882</v>
      </c>
      <c r="G5" s="163">
        <f t="shared" si="1"/>
        <v>4.0805994175899279E-2</v>
      </c>
      <c r="H5" s="59">
        <v>3009</v>
      </c>
      <c r="I5" s="163">
        <v>3000.5095120132655</v>
      </c>
      <c r="J5" s="163">
        <f t="shared" si="2"/>
        <v>0.28216975695362179</v>
      </c>
      <c r="K5" s="59">
        <v>2679</v>
      </c>
      <c r="L5" s="163">
        <v>2670.466422970605</v>
      </c>
      <c r="M5" s="163">
        <f t="shared" si="3"/>
        <v>0.31853591001847775</v>
      </c>
      <c r="N5" s="59">
        <v>2338</v>
      </c>
      <c r="O5" s="163">
        <v>2318.9739907637604</v>
      </c>
      <c r="P5" s="163">
        <f t="shared" si="4"/>
        <v>0.81377285013856238</v>
      </c>
      <c r="Q5" s="59">
        <v>1974</v>
      </c>
      <c r="R5" s="163">
        <v>1955.3055097054275</v>
      </c>
      <c r="S5" s="163">
        <f t="shared" si="5"/>
        <v>0.94703598250113785</v>
      </c>
      <c r="T5" s="59">
        <v>1604</v>
      </c>
      <c r="U5" s="163">
        <v>1592.3401226212759</v>
      </c>
      <c r="V5" s="163">
        <f t="shared" si="6"/>
        <v>0.72692502361122846</v>
      </c>
      <c r="W5" s="59">
        <v>1234</v>
      </c>
      <c r="X5" s="163">
        <v>1240.6765026260198</v>
      </c>
      <c r="Y5" s="163">
        <f t="shared" si="7"/>
        <v>0.5410455936806956</v>
      </c>
      <c r="Z5" s="59">
        <v>903</v>
      </c>
      <c r="AA5" s="163">
        <v>911.07877978526267</v>
      </c>
      <c r="AB5" s="163">
        <f t="shared" si="8"/>
        <v>0.89465999836795884</v>
      </c>
      <c r="AC5" s="59">
        <v>613</v>
      </c>
      <c r="AD5" s="59">
        <v>613.9420465923788</v>
      </c>
      <c r="AE5" s="163">
        <f t="shared" si="9"/>
        <v>0.15367807379752063</v>
      </c>
      <c r="AN5" t="e">
        <v>#NAME?</v>
      </c>
    </row>
    <row r="6" spans="1:41" x14ac:dyDescent="0.2">
      <c r="A6" s="162" t="s">
        <v>241</v>
      </c>
      <c r="B6" s="59">
        <v>15582</v>
      </c>
      <c r="C6" s="163">
        <v>16340.41205386169</v>
      </c>
      <c r="D6" s="163">
        <f t="shared" si="0"/>
        <v>4.8672317665363227</v>
      </c>
      <c r="E6" s="59">
        <v>15007</v>
      </c>
      <c r="F6" s="163">
        <v>15736.487224346592</v>
      </c>
      <c r="G6" s="163">
        <f t="shared" si="1"/>
        <v>4.8609797051148966</v>
      </c>
      <c r="H6" s="59">
        <v>14294</v>
      </c>
      <c r="I6" s="163">
        <v>14977.08005480372</v>
      </c>
      <c r="J6" s="163">
        <f t="shared" si="2"/>
        <v>4.7787886861880544</v>
      </c>
      <c r="K6" s="59">
        <v>13421</v>
      </c>
      <c r="L6" s="163">
        <v>14048.036503827712</v>
      </c>
      <c r="M6" s="163">
        <f t="shared" si="3"/>
        <v>4.6720550169712567</v>
      </c>
      <c r="N6" s="59">
        <v>12359</v>
      </c>
      <c r="O6" s="163">
        <v>12935.489850561993</v>
      </c>
      <c r="P6" s="163">
        <f t="shared" si="4"/>
        <v>4.664534756549827</v>
      </c>
      <c r="Q6" s="59">
        <v>11129</v>
      </c>
      <c r="R6" s="163">
        <v>11640.985660540917</v>
      </c>
      <c r="S6" s="163">
        <f t="shared" si="5"/>
        <v>4.6004641975102594</v>
      </c>
      <c r="T6" s="59">
        <v>9701</v>
      </c>
      <c r="U6" s="163">
        <v>10190.158113100264</v>
      </c>
      <c r="V6" s="163">
        <f t="shared" si="6"/>
        <v>5.0423473157433669</v>
      </c>
      <c r="W6" s="59">
        <v>8154</v>
      </c>
      <c r="X6" s="163">
        <v>8603.2450853743212</v>
      </c>
      <c r="Y6" s="163">
        <f t="shared" si="7"/>
        <v>5.5095055846740397</v>
      </c>
      <c r="Z6" s="59">
        <v>6540</v>
      </c>
      <c r="AA6" s="163">
        <v>6911.8640311748386</v>
      </c>
      <c r="AB6" s="163">
        <f t="shared" si="8"/>
        <v>5.6859943604715388</v>
      </c>
      <c r="AC6" s="59">
        <v>4909</v>
      </c>
      <c r="AD6" s="59">
        <v>5160.8566809637778</v>
      </c>
      <c r="AE6" s="163">
        <f t="shared" si="9"/>
        <v>5.1305088809080823</v>
      </c>
      <c r="AN6" t="e">
        <v>#NAME?</v>
      </c>
    </row>
    <row r="7" spans="1:41" s="208" customFormat="1" ht="13.5" customHeight="1" thickBot="1" x14ac:dyDescent="0.25">
      <c r="A7" s="162" t="s">
        <v>288</v>
      </c>
      <c r="B7" s="59">
        <v>15.9</v>
      </c>
      <c r="C7" s="163">
        <v>18.15227953619716</v>
      </c>
      <c r="D7" s="163">
        <f t="shared" si="0"/>
        <v>14.165280101868927</v>
      </c>
      <c r="E7" s="59">
        <v>15.3</v>
      </c>
      <c r="F7" s="163">
        <v>17.758792181196984</v>
      </c>
      <c r="G7" s="163">
        <f t="shared" si="1"/>
        <v>16.070537132006425</v>
      </c>
      <c r="H7" s="59">
        <v>14.7</v>
      </c>
      <c r="I7" s="163">
        <v>17.241316770635031</v>
      </c>
      <c r="J7" s="163">
        <f t="shared" si="2"/>
        <v>17.287869187993412</v>
      </c>
      <c r="K7" s="59">
        <v>13.9</v>
      </c>
      <c r="L7" s="163">
        <v>16.578870298531662</v>
      </c>
      <c r="M7" s="163">
        <f t="shared" si="3"/>
        <v>19.272448190875263</v>
      </c>
      <c r="N7" s="59">
        <v>13.1</v>
      </c>
      <c r="O7" s="163">
        <v>15.742844992175362</v>
      </c>
      <c r="P7" s="163">
        <f t="shared" si="4"/>
        <v>20.174389253247043</v>
      </c>
      <c r="Q7" s="59">
        <v>12.1</v>
      </c>
      <c r="R7" s="163">
        <v>14.712500737803735</v>
      </c>
      <c r="S7" s="163">
        <f t="shared" si="5"/>
        <v>21.59091518846062</v>
      </c>
      <c r="T7" s="59">
        <v>10.9</v>
      </c>
      <c r="U7" s="163">
        <v>13.488183351642853</v>
      </c>
      <c r="V7" s="163">
        <f t="shared" si="6"/>
        <v>23.744801391218829</v>
      </c>
      <c r="W7" s="59">
        <v>9.6</v>
      </c>
      <c r="X7" s="163">
        <v>12.05307178581991</v>
      </c>
      <c r="Y7" s="163">
        <f t="shared" si="7"/>
        <v>25.552831102290728</v>
      </c>
      <c r="Z7" s="59">
        <v>8.1999999999999993</v>
      </c>
      <c r="AA7" s="163">
        <v>10.390301633361789</v>
      </c>
      <c r="AB7" s="163">
        <f t="shared" si="8"/>
        <v>26.710995528802311</v>
      </c>
      <c r="AC7" s="59">
        <v>6.5</v>
      </c>
      <c r="AD7" s="59">
        <v>8.4841960433948795</v>
      </c>
      <c r="AE7" s="163">
        <f t="shared" si="9"/>
        <v>30.52609297530584</v>
      </c>
      <c r="AN7" s="208" t="e">
        <v>#NAME?</v>
      </c>
    </row>
    <row r="8" spans="1:41" s="76" customFormat="1" x14ac:dyDescent="0.2">
      <c r="A8" s="162" t="s">
        <v>268</v>
      </c>
      <c r="B8" s="59">
        <v>832</v>
      </c>
      <c r="C8" s="59">
        <v>843.8180328177491</v>
      </c>
      <c r="D8" s="163">
        <f t="shared" si="0"/>
        <v>1.4204366367486898</v>
      </c>
      <c r="E8" s="59">
        <v>777</v>
      </c>
      <c r="F8" s="59">
        <v>780.97076887126661</v>
      </c>
      <c r="G8" s="163">
        <f t="shared" si="1"/>
        <v>0.51103846477047798</v>
      </c>
      <c r="H8" s="59">
        <v>701</v>
      </c>
      <c r="I8" s="59">
        <v>713.38233938313169</v>
      </c>
      <c r="J8" s="163">
        <f t="shared" si="2"/>
        <v>1.7663822229859762</v>
      </c>
      <c r="K8" s="59">
        <v>630</v>
      </c>
      <c r="L8" s="59">
        <v>641.5928123196253</v>
      </c>
      <c r="M8" s="163">
        <f t="shared" si="3"/>
        <v>1.8401289396230629</v>
      </c>
      <c r="N8" s="59">
        <v>556</v>
      </c>
      <c r="O8" s="59">
        <v>566.10354671590096</v>
      </c>
      <c r="P8" s="163">
        <f t="shared" si="4"/>
        <v>1.8171846611332663</v>
      </c>
      <c r="Q8" s="59">
        <v>480</v>
      </c>
      <c r="R8" s="59">
        <v>487.95830454756725</v>
      </c>
      <c r="S8" s="163">
        <f t="shared" si="5"/>
        <v>1.6579801140765109</v>
      </c>
      <c r="T8" s="59">
        <v>401</v>
      </c>
      <c r="U8" s="59">
        <v>408.88336760661127</v>
      </c>
      <c r="V8" s="163">
        <f t="shared" si="6"/>
        <v>1.9659270839429608</v>
      </c>
      <c r="W8" s="59">
        <v>323</v>
      </c>
      <c r="X8" s="59">
        <v>329.91884571800762</v>
      </c>
      <c r="Y8" s="163">
        <f t="shared" si="7"/>
        <v>2.1420574978351756</v>
      </c>
      <c r="Z8" s="59">
        <v>246</v>
      </c>
      <c r="AA8" s="59">
        <v>252.15127569044867</v>
      </c>
      <c r="AB8" s="163">
        <f t="shared" si="8"/>
        <v>2.5005185733531183</v>
      </c>
      <c r="AC8" s="59">
        <v>174</v>
      </c>
      <c r="AD8" s="59">
        <v>176.78923627405555</v>
      </c>
      <c r="AE8" s="163">
        <f t="shared" si="9"/>
        <v>1.603009352905491</v>
      </c>
      <c r="AN8" s="76" t="e">
        <v>#NAME?</v>
      </c>
    </row>
    <row r="9" spans="1:41" s="53" customFormat="1" x14ac:dyDescent="0.2">
      <c r="A9" s="162" t="s">
        <v>269</v>
      </c>
      <c r="B9" s="59">
        <v>581</v>
      </c>
      <c r="C9" s="59">
        <v>587.30019030690482</v>
      </c>
      <c r="D9" s="163">
        <f t="shared" si="0"/>
        <v>1.0843701044586616</v>
      </c>
      <c r="E9" s="59">
        <v>545</v>
      </c>
      <c r="F9" s="59">
        <v>549.82102874153486</v>
      </c>
      <c r="G9" s="163">
        <f t="shared" si="1"/>
        <v>0.88459242963942386</v>
      </c>
      <c r="H9" s="59">
        <v>502</v>
      </c>
      <c r="I9" s="59">
        <v>509.18825837719561</v>
      </c>
      <c r="J9" s="163">
        <f t="shared" si="2"/>
        <v>1.4319239795210377</v>
      </c>
      <c r="K9" s="59">
        <v>459</v>
      </c>
      <c r="L9" s="59">
        <v>465.64849790967514</v>
      </c>
      <c r="M9" s="163">
        <f t="shared" si="3"/>
        <v>1.4484744901253035</v>
      </c>
      <c r="N9" s="59">
        <v>418</v>
      </c>
      <c r="O9" s="59">
        <v>419.38053713616574</v>
      </c>
      <c r="P9" s="163">
        <f t="shared" si="4"/>
        <v>0.33027204214491435</v>
      </c>
      <c r="Q9" s="59">
        <v>370</v>
      </c>
      <c r="R9" s="59">
        <v>370.89151908352909</v>
      </c>
      <c r="S9" s="163">
        <f t="shared" si="5"/>
        <v>0.24095110365651082</v>
      </c>
      <c r="T9" s="59">
        <v>317</v>
      </c>
      <c r="U9" s="59">
        <v>321.1854652814182</v>
      </c>
      <c r="V9" s="163">
        <f t="shared" si="6"/>
        <v>1.3203360509205688</v>
      </c>
      <c r="W9" s="59">
        <v>264</v>
      </c>
      <c r="X9" s="59">
        <v>270.75507399483348</v>
      </c>
      <c r="Y9" s="163">
        <f t="shared" si="7"/>
        <v>2.5587401495581368</v>
      </c>
      <c r="Z9" s="59">
        <v>209</v>
      </c>
      <c r="AA9" s="59">
        <v>220.03496036036162</v>
      </c>
      <c r="AB9" s="163">
        <f t="shared" si="8"/>
        <v>5.2798853398859436</v>
      </c>
      <c r="AC9" s="59">
        <v>161</v>
      </c>
      <c r="AD9" s="59">
        <v>169.36869172739742</v>
      </c>
      <c r="AE9" s="163">
        <f t="shared" si="9"/>
        <v>5.1979451722965333</v>
      </c>
      <c r="AN9" s="53" t="e">
        <v>#NAME?</v>
      </c>
    </row>
    <row r="10" spans="1:41" s="53" customFormat="1" x14ac:dyDescent="0.2">
      <c r="A10" s="162" t="s">
        <v>270</v>
      </c>
      <c r="B10" s="59">
        <v>500</v>
      </c>
      <c r="C10" s="59">
        <v>509.08520538334398</v>
      </c>
      <c r="D10" s="163">
        <f t="shared" si="0"/>
        <v>1.817041076668795</v>
      </c>
      <c r="E10" s="59">
        <v>469</v>
      </c>
      <c r="F10" s="59">
        <v>473.97308160756353</v>
      </c>
      <c r="G10" s="163">
        <f t="shared" si="1"/>
        <v>1.0603585517193026</v>
      </c>
      <c r="H10" s="59">
        <v>427</v>
      </c>
      <c r="I10" s="59">
        <v>436.17721917661754</v>
      </c>
      <c r="J10" s="163">
        <f t="shared" si="2"/>
        <v>2.1492316572874803</v>
      </c>
      <c r="K10" s="59">
        <v>384</v>
      </c>
      <c r="L10" s="59">
        <v>395.96211319451828</v>
      </c>
      <c r="M10" s="163">
        <f t="shared" si="3"/>
        <v>3.1151336444058026</v>
      </c>
      <c r="N10" s="59">
        <v>340</v>
      </c>
      <c r="O10" s="59">
        <v>353.5416944094564</v>
      </c>
      <c r="P10" s="163">
        <f t="shared" si="4"/>
        <v>3.9828512968989407</v>
      </c>
      <c r="Q10" s="59">
        <v>297</v>
      </c>
      <c r="R10" s="59">
        <v>309.42389552930291</v>
      </c>
      <c r="S10" s="163">
        <f t="shared" si="5"/>
        <v>4.1831298078460977</v>
      </c>
      <c r="T10" s="59">
        <v>252</v>
      </c>
      <c r="U10" s="59">
        <v>264.53133062046817</v>
      </c>
      <c r="V10" s="163">
        <f t="shared" si="6"/>
        <v>4.9727502462175268</v>
      </c>
      <c r="W10" s="59">
        <v>211</v>
      </c>
      <c r="X10" s="59">
        <v>219.35253522335597</v>
      </c>
      <c r="Y10" s="163">
        <f t="shared" si="7"/>
        <v>3.9585474992208396</v>
      </c>
      <c r="Z10" s="59">
        <v>164</v>
      </c>
      <c r="AA10" s="59">
        <v>174.35893434409843</v>
      </c>
      <c r="AB10" s="163">
        <f t="shared" si="8"/>
        <v>6.3164233805478229</v>
      </c>
      <c r="AC10" s="59">
        <v>122</v>
      </c>
      <c r="AD10" s="59">
        <v>130.01915732534079</v>
      </c>
      <c r="AE10" s="163">
        <f t="shared" si="9"/>
        <v>6.5730797748694965</v>
      </c>
      <c r="AN10" s="53" t="e">
        <v>#NAME?</v>
      </c>
    </row>
    <row r="11" spans="1:41" s="53" customFormat="1" x14ac:dyDescent="0.2">
      <c r="A11" s="162" t="s">
        <v>271</v>
      </c>
      <c r="B11" s="59">
        <v>1850</v>
      </c>
      <c r="C11" s="59">
        <v>2006.5186974896676</v>
      </c>
      <c r="D11" s="163">
        <f t="shared" si="0"/>
        <v>8.4604701345766262</v>
      </c>
      <c r="E11" s="59">
        <v>1796</v>
      </c>
      <c r="F11" s="59">
        <v>1952.2795457952186</v>
      </c>
      <c r="G11" s="163">
        <f t="shared" si="1"/>
        <v>8.7015337302460249</v>
      </c>
      <c r="H11" s="59">
        <v>1723</v>
      </c>
      <c r="I11" s="59">
        <v>1885.5711746877935</v>
      </c>
      <c r="J11" s="163">
        <f t="shared" si="2"/>
        <v>9.435355466499912</v>
      </c>
      <c r="K11" s="59">
        <v>1648</v>
      </c>
      <c r="L11" s="164">
        <v>1805.0878302461888</v>
      </c>
      <c r="M11" s="163">
        <f t="shared" si="3"/>
        <v>9.5320285343561153</v>
      </c>
      <c r="N11" s="59">
        <v>1568</v>
      </c>
      <c r="O11" s="59">
        <v>1709.1810247064393</v>
      </c>
      <c r="P11" s="163">
        <f t="shared" si="4"/>
        <v>9.0038918817882205</v>
      </c>
      <c r="Q11" s="59">
        <v>1469</v>
      </c>
      <c r="R11" s="164">
        <v>1597.2083716441368</v>
      </c>
      <c r="S11" s="163">
        <f t="shared" si="5"/>
        <v>8.7275950744817443</v>
      </c>
      <c r="T11" s="59">
        <v>1350</v>
      </c>
      <c r="U11" s="59">
        <v>1470.3115954035834</v>
      </c>
      <c r="V11" s="163">
        <f t="shared" si="6"/>
        <v>8.9119700298950661</v>
      </c>
      <c r="W11" s="59">
        <v>1225</v>
      </c>
      <c r="X11" s="164">
        <v>1328.4244031049852</v>
      </c>
      <c r="Y11" s="163">
        <f t="shared" si="7"/>
        <v>8.442808416733488</v>
      </c>
      <c r="Z11" s="59">
        <v>1088</v>
      </c>
      <c r="AA11" s="59">
        <v>1171.8341774080284</v>
      </c>
      <c r="AB11" s="163">
        <f t="shared" si="8"/>
        <v>7.7053471882379032</v>
      </c>
      <c r="AC11" s="59">
        <v>930</v>
      </c>
      <c r="AD11" s="59">
        <v>1001.4271584242068</v>
      </c>
      <c r="AE11" s="163">
        <f t="shared" si="9"/>
        <v>7.6803396155061101</v>
      </c>
      <c r="AN11" s="53" t="e">
        <v>#NAME?</v>
      </c>
    </row>
    <row r="12" spans="1:41" s="79" customFormat="1" ht="13.5" thickBot="1" x14ac:dyDescent="0.25">
      <c r="A12" s="162" t="s">
        <v>288</v>
      </c>
      <c r="B12" s="235">
        <v>21.4</v>
      </c>
      <c r="C12" s="236">
        <v>24.88203302307522</v>
      </c>
      <c r="D12" s="163">
        <f t="shared" si="0"/>
        <v>16.27118235081879</v>
      </c>
      <c r="E12" s="235">
        <v>20.2</v>
      </c>
      <c r="F12" s="236">
        <v>23.844112125482045</v>
      </c>
      <c r="G12" s="163">
        <f t="shared" si="1"/>
        <v>18.040159037039832</v>
      </c>
      <c r="H12" s="235">
        <v>19</v>
      </c>
      <c r="I12" s="236">
        <v>22.647605408343232</v>
      </c>
      <c r="J12" s="163">
        <f t="shared" si="2"/>
        <v>19.197923201806482</v>
      </c>
      <c r="K12" s="235">
        <v>17.600000000000001</v>
      </c>
      <c r="L12" s="236">
        <v>21.285421354584205</v>
      </c>
      <c r="M12" s="163">
        <f t="shared" si="3"/>
        <v>20.939894060137519</v>
      </c>
      <c r="N12" s="235">
        <v>16.100000000000001</v>
      </c>
      <c r="O12" s="236">
        <v>19.743805287964616</v>
      </c>
      <c r="P12" s="163">
        <f t="shared" si="4"/>
        <v>22.632330981146669</v>
      </c>
      <c r="Q12" s="235">
        <v>14.5</v>
      </c>
      <c r="R12" s="236">
        <v>18.021100636048725</v>
      </c>
      <c r="S12" s="163">
        <f t="shared" si="5"/>
        <v>24.283452662405004</v>
      </c>
      <c r="T12" s="235">
        <v>12.9</v>
      </c>
      <c r="U12" s="236">
        <v>16.140345699995059</v>
      </c>
      <c r="V12" s="163">
        <f t="shared" si="6"/>
        <v>25.118958914690374</v>
      </c>
      <c r="W12" s="235">
        <v>11.1</v>
      </c>
      <c r="X12" s="236">
        <v>14.100714966392417</v>
      </c>
      <c r="Y12" s="163">
        <f t="shared" si="7"/>
        <v>27.03346816569745</v>
      </c>
      <c r="Z12" s="235">
        <v>9.3000000000000007</v>
      </c>
      <c r="AA12" s="236">
        <v>11.89855821351699</v>
      </c>
      <c r="AB12" s="163">
        <f t="shared" si="8"/>
        <v>27.941486166849351</v>
      </c>
      <c r="AC12" s="235">
        <v>7.2</v>
      </c>
      <c r="AD12" s="236">
        <v>9.5273373085224673</v>
      </c>
      <c r="AE12" s="163">
        <f t="shared" si="9"/>
        <v>32.324129285034267</v>
      </c>
      <c r="AN12" s="79" t="e">
        <v>#NAME?</v>
      </c>
    </row>
    <row r="13" spans="1:41" x14ac:dyDescent="0.2">
      <c r="A13" s="162" t="s">
        <v>291</v>
      </c>
      <c r="B13" s="235">
        <v>-2617</v>
      </c>
      <c r="C13" s="236"/>
      <c r="D13" s="163">
        <f t="shared" si="0"/>
        <v>-100</v>
      </c>
      <c r="E13" s="235">
        <v>-2840</v>
      </c>
      <c r="F13" s="236"/>
      <c r="G13" s="163">
        <f t="shared" si="1"/>
        <v>-100</v>
      </c>
      <c r="H13" s="235">
        <v>-3104</v>
      </c>
      <c r="I13" s="236"/>
      <c r="J13" s="163">
        <f t="shared" si="2"/>
        <v>-100</v>
      </c>
      <c r="K13" s="235">
        <v>-3399</v>
      </c>
      <c r="L13" s="236"/>
      <c r="M13" s="163">
        <f t="shared" si="3"/>
        <v>-100</v>
      </c>
      <c r="N13" s="235">
        <v>-3723</v>
      </c>
      <c r="O13" s="236"/>
      <c r="P13" s="163">
        <f t="shared" si="4"/>
        <v>-100</v>
      </c>
      <c r="Q13" s="235">
        <v>-4068</v>
      </c>
      <c r="R13" s="236"/>
      <c r="S13" s="163">
        <f t="shared" si="5"/>
        <v>-100</v>
      </c>
      <c r="T13" s="235">
        <v>-4368</v>
      </c>
      <c r="U13" s="236"/>
      <c r="V13" s="163">
        <f t="shared" si="6"/>
        <v>-100</v>
      </c>
      <c r="W13" s="235">
        <v>-4716</v>
      </c>
      <c r="X13" s="236"/>
      <c r="Y13" s="163">
        <f t="shared" si="7"/>
        <v>-100</v>
      </c>
      <c r="Z13" s="235">
        <v>-5066</v>
      </c>
      <c r="AA13" s="236"/>
      <c r="AB13" s="163">
        <f t="shared" si="8"/>
        <v>-100</v>
      </c>
      <c r="AC13" s="235">
        <v>-5340</v>
      </c>
      <c r="AD13" s="236"/>
      <c r="AE13" s="163">
        <f t="shared" si="9"/>
        <v>-100</v>
      </c>
      <c r="AN13" t="e">
        <v>#NAME?</v>
      </c>
    </row>
    <row r="14" spans="1:41" x14ac:dyDescent="0.2">
      <c r="A14" s="162" t="s">
        <v>290</v>
      </c>
      <c r="B14" s="235">
        <v>-2036</v>
      </c>
      <c r="C14" s="236"/>
      <c r="D14" s="163">
        <f t="shared" si="0"/>
        <v>-100</v>
      </c>
      <c r="E14" s="235">
        <v>-2186</v>
      </c>
      <c r="F14" s="236"/>
      <c r="G14" s="163">
        <f t="shared" si="1"/>
        <v>-100</v>
      </c>
      <c r="H14" s="235">
        <v>-2386</v>
      </c>
      <c r="I14" s="236"/>
      <c r="J14" s="163">
        <f t="shared" si="2"/>
        <v>-100</v>
      </c>
      <c r="K14" s="235">
        <v>-2620</v>
      </c>
      <c r="L14" s="236"/>
      <c r="M14" s="163">
        <f t="shared" si="3"/>
        <v>-100</v>
      </c>
      <c r="N14" s="235">
        <v>-2877</v>
      </c>
      <c r="O14" s="236"/>
      <c r="P14" s="163">
        <f t="shared" si="4"/>
        <v>-100</v>
      </c>
      <c r="Q14" s="235">
        <v>-3210</v>
      </c>
      <c r="R14" s="236"/>
      <c r="S14" s="163">
        <f t="shared" si="5"/>
        <v>-100</v>
      </c>
      <c r="T14" s="235">
        <v>-3620</v>
      </c>
      <c r="U14" s="236"/>
      <c r="V14" s="163">
        <f t="shared" si="6"/>
        <v>-100</v>
      </c>
      <c r="W14" s="235">
        <v>-4102</v>
      </c>
      <c r="X14" s="236"/>
      <c r="Y14" s="163">
        <f t="shared" si="7"/>
        <v>-100</v>
      </c>
      <c r="Z14" s="235">
        <v>-4776</v>
      </c>
      <c r="AA14" s="236"/>
      <c r="AB14" s="163">
        <f t="shared" si="8"/>
        <v>-100</v>
      </c>
      <c r="AC14" s="235">
        <v>-5704</v>
      </c>
      <c r="AD14" s="236"/>
      <c r="AE14" s="163">
        <f t="shared" si="9"/>
        <v>-100</v>
      </c>
    </row>
    <row r="15" spans="1:41" x14ac:dyDescent="0.2">
      <c r="A15" s="162" t="s">
        <v>289</v>
      </c>
      <c r="B15" s="235">
        <v>-2510</v>
      </c>
      <c r="C15" s="236">
        <f>(C6-C11)/(C7-C12)</f>
        <v>-2129.928441557453</v>
      </c>
      <c r="D15" s="163">
        <f t="shared" si="0"/>
        <v>-15.142293165041714</v>
      </c>
      <c r="E15" s="235">
        <v>-2714</v>
      </c>
      <c r="F15" s="236">
        <f>(F6-F11)/(F7-F12)</f>
        <v>-2265.1574288212423</v>
      </c>
      <c r="G15" s="163">
        <f t="shared" si="1"/>
        <v>-16.538046100912222</v>
      </c>
      <c r="H15" s="235">
        <v>-2959</v>
      </c>
      <c r="I15" s="236">
        <f>(I6-I11)/(I7-I12)</f>
        <v>-2421.5334691537291</v>
      </c>
      <c r="J15" s="163">
        <f t="shared" si="2"/>
        <v>-18.163789484497155</v>
      </c>
      <c r="K15" s="235">
        <v>-3235</v>
      </c>
      <c r="L15" s="236">
        <f>(L6-L11)/(L7-L12)</f>
        <v>-2601.2569560543284</v>
      </c>
      <c r="M15" s="163">
        <f t="shared" si="3"/>
        <v>-19.590202285801286</v>
      </c>
      <c r="N15" s="235">
        <v>-3536</v>
      </c>
      <c r="O15" s="236">
        <f>(O6-O11)/(O7-O12)</f>
        <v>-2805.9035821151492</v>
      </c>
      <c r="P15" s="163">
        <f t="shared" si="4"/>
        <v>-20.647523130227679</v>
      </c>
      <c r="Q15" s="235">
        <v>-3869</v>
      </c>
      <c r="R15" s="236">
        <f>(R6-R11)/(R7-R12)</f>
        <v>-3035.6578606631729</v>
      </c>
      <c r="S15" s="163">
        <f t="shared" si="5"/>
        <v>-21.538954234603956</v>
      </c>
      <c r="T15" s="235">
        <v>-4187</v>
      </c>
      <c r="U15" s="236">
        <f>(U6-U11)/(U7-U12)</f>
        <v>-3287.8253185044791</v>
      </c>
      <c r="V15" s="163">
        <f t="shared" si="6"/>
        <v>-21.475392440781487</v>
      </c>
      <c r="W15" s="235">
        <v>-4561</v>
      </c>
      <c r="X15" s="236">
        <f>(X6-X11)/(X7-X12)</f>
        <v>-3552.777530426637</v>
      </c>
      <c r="Y15" s="163">
        <f t="shared" si="7"/>
        <v>-22.105294224366652</v>
      </c>
      <c r="Z15" s="235">
        <v>-4990</v>
      </c>
      <c r="AA15" s="236">
        <f>(AA6-AA11)/(AA7-AA12)</f>
        <v>-3805.7383135541527</v>
      </c>
      <c r="AB15" s="163">
        <f t="shared" si="8"/>
        <v>-23.732699127171291</v>
      </c>
      <c r="AC15" s="235">
        <v>-5437</v>
      </c>
      <c r="AD15" s="236">
        <f>(AD6-AD11)/(AD7-AD12)</f>
        <v>-3987.4077093775277</v>
      </c>
      <c r="AE15" s="163">
        <f t="shared" si="9"/>
        <v>-26.661620206409275</v>
      </c>
      <c r="AJ15" s="43" t="s">
        <v>339</v>
      </c>
      <c r="AK15" s="43" t="s">
        <v>340</v>
      </c>
      <c r="AL15" s="43" t="s">
        <v>341</v>
      </c>
    </row>
    <row r="16" spans="1:41" x14ac:dyDescent="0.2">
      <c r="A16" s="43" t="s">
        <v>335</v>
      </c>
      <c r="B16" s="269">
        <v>0</v>
      </c>
      <c r="C16" s="208">
        <v>0</v>
      </c>
      <c r="D16" s="268">
        <f>D3+D4+D5+D8+D9+D10</f>
        <v>8.6888378048951758</v>
      </c>
      <c r="E16" s="269">
        <v>0</v>
      </c>
      <c r="F16">
        <v>0</v>
      </c>
      <c r="G16" s="268">
        <f>G3+G4+G5+G8+G9+G10</f>
        <v>7.1283695735832122</v>
      </c>
      <c r="H16" s="269">
        <v>0</v>
      </c>
      <c r="I16">
        <v>0</v>
      </c>
      <c r="J16" s="268">
        <f>J3+J4+J5+J8+J9+J10</f>
        <v>10.501012623943012</v>
      </c>
      <c r="K16" s="269">
        <v>0</v>
      </c>
      <c r="L16">
        <v>0</v>
      </c>
      <c r="M16" s="268">
        <f>M3+M4+M5+M8+M9+M10</f>
        <v>12.072993010712448</v>
      </c>
      <c r="N16" s="269">
        <v>0</v>
      </c>
      <c r="O16">
        <v>0</v>
      </c>
      <c r="P16" s="268">
        <f>P3+P4+P5+P8+P9+P10</f>
        <v>12.228957722924548</v>
      </c>
      <c r="Q16" s="269">
        <v>0</v>
      </c>
      <c r="R16">
        <v>0</v>
      </c>
      <c r="S16" s="268">
        <f>S3+S4+S5+S8+S9+S10</f>
        <v>12.499358672419792</v>
      </c>
      <c r="T16" s="269">
        <v>0</v>
      </c>
      <c r="U16">
        <v>0</v>
      </c>
      <c r="V16" s="268">
        <f>V3+V4+V5+V8+V9+V10</f>
        <v>12.580933548755141</v>
      </c>
      <c r="W16" s="269">
        <v>0</v>
      </c>
      <c r="X16">
        <v>0</v>
      </c>
      <c r="Y16" s="268">
        <f>Y3+Y4+Y5+Y8+Y9+Y10</f>
        <v>12.262998662607894</v>
      </c>
      <c r="Z16" s="269">
        <v>0</v>
      </c>
      <c r="AA16">
        <v>0</v>
      </c>
      <c r="AB16" s="268">
        <f>AB3+AB4+AB5+AB8+AB9+AB10</f>
        <v>17.96037684828778</v>
      </c>
      <c r="AC16" s="269">
        <v>0</v>
      </c>
      <c r="AD16">
        <v>0</v>
      </c>
      <c r="AE16" s="268">
        <f>AE3+AE4+AE5+AE8+AE9+AE10</f>
        <v>16.272642159732165</v>
      </c>
      <c r="AF16">
        <f>SUM(A16:AE16)</f>
        <v>122.19648062786118</v>
      </c>
      <c r="AI16" s="43" t="s">
        <v>346</v>
      </c>
      <c r="AJ16">
        <v>122.19648062786118</v>
      </c>
      <c r="AK16">
        <v>140.5524015622546</v>
      </c>
      <c r="AL16">
        <v>116.23518276145232</v>
      </c>
      <c r="AM16">
        <v>303.7035667312847</v>
      </c>
    </row>
    <row r="17" spans="1:39" x14ac:dyDescent="0.2">
      <c r="A17" s="272" t="s">
        <v>336</v>
      </c>
      <c r="D17" s="268">
        <f>D6+D11</f>
        <v>13.327701901112949</v>
      </c>
      <c r="G17" s="268">
        <f>G6+G11</f>
        <v>13.562513435360922</v>
      </c>
      <c r="J17" s="268">
        <f>J6+J11</f>
        <v>14.214144152687966</v>
      </c>
      <c r="M17" s="268">
        <f>M6+M11</f>
        <v>14.204083551327372</v>
      </c>
      <c r="P17" s="268">
        <f>P6+P11</f>
        <v>13.668426638338047</v>
      </c>
      <c r="S17" s="268">
        <f>S6+S11</f>
        <v>13.328059271992004</v>
      </c>
      <c r="T17" s="270"/>
      <c r="V17" s="268">
        <f>V6+V11</f>
        <v>13.954317345638433</v>
      </c>
      <c r="Y17" s="268">
        <f>Y6+Y11</f>
        <v>13.952314001407528</v>
      </c>
      <c r="AB17" s="268">
        <f>AB6+AB11</f>
        <v>13.391341548709441</v>
      </c>
      <c r="AE17" s="268">
        <f>AE6+AE11</f>
        <v>12.810848496414192</v>
      </c>
      <c r="AF17">
        <f>SUM(A17:AE17)</f>
        <v>136.41375034298886</v>
      </c>
      <c r="AJ17">
        <v>136.41375034298886</v>
      </c>
      <c r="AK17">
        <v>149.70551106612652</v>
      </c>
      <c r="AL17">
        <v>130.26657061069636</v>
      </c>
      <c r="AM17">
        <v>199.7452832110659</v>
      </c>
    </row>
    <row r="18" spans="1:39" s="208" customFormat="1" x14ac:dyDescent="0.2">
      <c r="A18" s="272" t="s">
        <v>337</v>
      </c>
      <c r="D18" s="158">
        <f>D7+D12</f>
        <v>30.436462452687717</v>
      </c>
      <c r="G18" s="158">
        <f>G7+G12</f>
        <v>34.110696169046257</v>
      </c>
      <c r="J18" s="158">
        <f>J7+J12</f>
        <v>36.485792389799897</v>
      </c>
      <c r="M18" s="158">
        <f>M7+M12</f>
        <v>40.212342251012785</v>
      </c>
      <c r="P18" s="158">
        <f>P7+P12</f>
        <v>42.806720234393708</v>
      </c>
      <c r="S18" s="158">
        <f>S7+S12</f>
        <v>45.874367850865625</v>
      </c>
      <c r="T18" s="271"/>
      <c r="V18" s="158">
        <f>V7+V12</f>
        <v>48.863760305909203</v>
      </c>
      <c r="Y18" s="158">
        <f>Y7+Y12</f>
        <v>52.586299267988181</v>
      </c>
      <c r="AB18" s="158">
        <f>AB7+AB12</f>
        <v>54.652481695651659</v>
      </c>
      <c r="AE18" s="158">
        <f>AE7+AE12</f>
        <v>62.850222260340104</v>
      </c>
      <c r="AF18" s="208">
        <f>SUM(A18:AE18)</f>
        <v>448.87914487769513</v>
      </c>
      <c r="AJ18" s="208">
        <v>204.21853782997641</v>
      </c>
      <c r="AK18" s="208">
        <v>215.97754132487381</v>
      </c>
      <c r="AL18" s="208">
        <v>197.74040645714859</v>
      </c>
      <c r="AM18" s="208">
        <v>261.79556761402586</v>
      </c>
    </row>
    <row r="19" spans="1:39" s="208" customFormat="1" x14ac:dyDescent="0.2">
      <c r="A19" s="272" t="s">
        <v>338</v>
      </c>
      <c r="D19" s="158">
        <f>ABS(D15)</f>
        <v>15.142293165041714</v>
      </c>
      <c r="G19" s="158">
        <f>ABS(G15)</f>
        <v>16.538046100912222</v>
      </c>
      <c r="J19" s="158">
        <f>ABS(J15)</f>
        <v>18.163789484497155</v>
      </c>
      <c r="M19" s="158">
        <f>ABS(M15)</f>
        <v>19.590202285801286</v>
      </c>
      <c r="P19" s="158">
        <f>ABS(P15)</f>
        <v>20.647523130227679</v>
      </c>
      <c r="S19" s="158">
        <f>ABS(S15)</f>
        <v>21.538954234603956</v>
      </c>
      <c r="T19" s="271"/>
      <c r="V19" s="158">
        <f>ABS(V15)</f>
        <v>21.475392440781487</v>
      </c>
      <c r="Y19" s="158">
        <f>ABS(Y15)</f>
        <v>22.105294224366652</v>
      </c>
      <c r="AB19" s="158">
        <f>ABS(AB15)</f>
        <v>23.732699127171291</v>
      </c>
      <c r="AE19" s="158">
        <f>ABS(AE15)</f>
        <v>26.661620206409275</v>
      </c>
      <c r="AF19" s="208">
        <f>SUM(B19:AE19)</f>
        <v>205.59581439981272</v>
      </c>
      <c r="AJ19" s="208">
        <v>94.58423363347363</v>
      </c>
      <c r="AK19" s="208">
        <v>94.957999678265338</v>
      </c>
      <c r="AL19" s="208">
        <v>94.26579422821203</v>
      </c>
      <c r="AM19" s="208">
        <v>93.970515149458492</v>
      </c>
    </row>
    <row r="20" spans="1:39" x14ac:dyDescent="0.2">
      <c r="C20" s="208">
        <f>ABS(B7-C7)</f>
        <v>2.2522795361971593</v>
      </c>
      <c r="F20" s="208">
        <f>ABS(E7-F7)</f>
        <v>2.4587921811969835</v>
      </c>
      <c r="I20" s="208">
        <f>ABS(H7-I7)</f>
        <v>2.5413167706350315</v>
      </c>
      <c r="L20" s="208">
        <f>ABS(K7-L7)</f>
        <v>2.6788702985316615</v>
      </c>
      <c r="O20" s="208">
        <f>ABS(N7-O7)</f>
        <v>2.6428449921753625</v>
      </c>
      <c r="R20" s="208">
        <f>ABS(Q7-R7)</f>
        <v>2.6125007378037353</v>
      </c>
      <c r="U20" s="208">
        <f>ABS(T7-U7)</f>
        <v>2.5881833516428525</v>
      </c>
      <c r="X20" s="208">
        <f>ABS(W7-X7)</f>
        <v>2.45307178581991</v>
      </c>
      <c r="AA20" s="208">
        <f>ABS(Z7-AA7)</f>
        <v>2.1903016333617895</v>
      </c>
      <c r="AD20" s="208">
        <f>ABS(AC7-AD7)</f>
        <v>1.9841960433948795</v>
      </c>
      <c r="AF20">
        <f>AD20+AA20+X20+U20+R20+O20+L20+I20+F20+C20</f>
        <v>24.402357330759365</v>
      </c>
    </row>
    <row r="21" spans="1:39" x14ac:dyDescent="0.2">
      <c r="AI21" s="43" t="s">
        <v>345</v>
      </c>
      <c r="AJ21">
        <v>116.23518276145232</v>
      </c>
      <c r="AK21">
        <v>303.7035667312847</v>
      </c>
      <c r="AL21">
        <v>140.5524015622546</v>
      </c>
      <c r="AM21">
        <v>122.19648062786118</v>
      </c>
    </row>
    <row r="22" spans="1:39" x14ac:dyDescent="0.2">
      <c r="AF22">
        <v>7.9898312812013277</v>
      </c>
      <c r="AJ22">
        <v>130.26657061069636</v>
      </c>
      <c r="AK22">
        <v>199.7452832110659</v>
      </c>
      <c r="AL22">
        <v>149.70551106612652</v>
      </c>
      <c r="AM22">
        <v>136.41375034298886</v>
      </c>
    </row>
    <row r="23" spans="1:39" x14ac:dyDescent="0.2">
      <c r="AJ23">
        <v>441.38087353583865</v>
      </c>
      <c r="AK23">
        <v>523.35672480827304</v>
      </c>
      <c r="AL23">
        <v>464.60366714470979</v>
      </c>
      <c r="AM23">
        <v>448.87914487769513</v>
      </c>
    </row>
    <row r="24" spans="1:39" x14ac:dyDescent="0.2">
      <c r="AJ24">
        <v>204.26072095083669</v>
      </c>
      <c r="AK24">
        <v>214.37317335823985</v>
      </c>
      <c r="AL24">
        <v>208.15298767972206</v>
      </c>
      <c r="AM24">
        <v>205.59581439981272</v>
      </c>
    </row>
    <row r="25" spans="1:39" x14ac:dyDescent="0.2">
      <c r="D25" s="208">
        <f>MAX(D3:D24)</f>
        <v>30.436462452687717</v>
      </c>
      <c r="G25">
        <f>MAX(G3:G24)</f>
        <v>34.110696169046257</v>
      </c>
      <c r="J25" s="208">
        <f>MAX(J3:J24)</f>
        <v>36.485792389799897</v>
      </c>
      <c r="M25" s="208">
        <f>MAX(M3:M24)</f>
        <v>40.212342251012785</v>
      </c>
      <c r="P25" s="208">
        <f>MAX(P3:P24)</f>
        <v>42.806720234393708</v>
      </c>
      <c r="S25" s="208">
        <f>MAX(S3:S24)</f>
        <v>45.874367850865625</v>
      </c>
      <c r="V25" s="208">
        <f>MAX(V3:V24)</f>
        <v>48.863760305909203</v>
      </c>
      <c r="Y25" s="208">
        <f>MAX(Y3:Y24)</f>
        <v>52.586299267988181</v>
      </c>
      <c r="AB25" s="208">
        <f>MAX(AB3:AB24)</f>
        <v>54.652481695651659</v>
      </c>
      <c r="AE25" s="208">
        <f>MAX(AE3:AE24)</f>
        <v>62.850222260340104</v>
      </c>
    </row>
    <row r="41" spans="1:31" x14ac:dyDescent="0.2">
      <c r="A41" s="43"/>
    </row>
    <row r="42" spans="1:31" x14ac:dyDescent="0.2">
      <c r="A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  <c r="X42" s="208"/>
      <c r="Y42" s="208"/>
      <c r="Z42" s="208"/>
      <c r="AA42" s="208"/>
      <c r="AB42" s="208"/>
      <c r="AC42" s="208"/>
      <c r="AD42" s="208"/>
      <c r="AE42" s="208"/>
    </row>
    <row r="43" spans="1:31" x14ac:dyDescent="0.2">
      <c r="A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  <c r="X43" s="208"/>
      <c r="Y43" s="208"/>
      <c r="Z43" s="208"/>
      <c r="AA43" s="208"/>
      <c r="AB43" s="208"/>
      <c r="AC43" s="208"/>
      <c r="AD43" s="208"/>
      <c r="AE43" s="208"/>
    </row>
    <row r="44" spans="1:31" x14ac:dyDescent="0.2">
      <c r="A44" s="208"/>
      <c r="D44" s="248"/>
      <c r="E44" s="208"/>
      <c r="F44" s="208"/>
      <c r="G44" s="248"/>
      <c r="H44" s="208"/>
      <c r="I44" s="208"/>
      <c r="J44" s="248"/>
      <c r="K44" s="208"/>
      <c r="L44" s="208"/>
      <c r="M44" s="248"/>
      <c r="N44" s="208"/>
      <c r="O44" s="208"/>
      <c r="P44" s="248"/>
      <c r="Q44" s="208"/>
      <c r="R44" s="208"/>
      <c r="S44" s="248"/>
      <c r="T44" s="208"/>
      <c r="U44" s="208"/>
      <c r="V44" s="248"/>
      <c r="W44" s="208"/>
      <c r="X44" s="208"/>
      <c r="Y44" s="248"/>
      <c r="Z44" s="208"/>
      <c r="AA44" s="208"/>
      <c r="AB44" s="248"/>
      <c r="AC44" s="208"/>
      <c r="AD44" s="208"/>
      <c r="AE44" s="248"/>
    </row>
    <row r="45" spans="1:31" x14ac:dyDescent="0.2">
      <c r="A45" s="208"/>
      <c r="D45" s="248"/>
      <c r="E45" s="208"/>
      <c r="F45" s="208"/>
      <c r="G45" s="248"/>
      <c r="H45" s="208"/>
      <c r="I45" s="208"/>
      <c r="J45" s="248"/>
      <c r="K45" s="208"/>
      <c r="L45" s="208"/>
      <c r="M45" s="248"/>
      <c r="N45" s="208"/>
      <c r="O45" s="208"/>
      <c r="P45" s="248"/>
      <c r="Q45" s="208"/>
      <c r="R45" s="208"/>
      <c r="S45" s="248"/>
      <c r="T45" s="208"/>
      <c r="U45" s="208"/>
      <c r="V45" s="248"/>
      <c r="W45" s="208"/>
      <c r="X45" s="208"/>
      <c r="Y45" s="248"/>
      <c r="Z45" s="208"/>
      <c r="AA45" s="208"/>
      <c r="AB45" s="248"/>
      <c r="AC45" s="208"/>
      <c r="AD45" s="208"/>
      <c r="AE45" s="248"/>
    </row>
    <row r="46" spans="1:31" x14ac:dyDescent="0.2">
      <c r="A46" s="208"/>
      <c r="D46" s="248"/>
      <c r="E46" s="208"/>
      <c r="F46" s="208"/>
      <c r="G46" s="248"/>
      <c r="H46" s="208"/>
      <c r="I46" s="208"/>
      <c r="J46" s="248"/>
      <c r="K46" s="208"/>
      <c r="L46" s="208"/>
      <c r="M46" s="248"/>
      <c r="N46" s="208"/>
      <c r="O46" s="208"/>
      <c r="P46" s="248"/>
      <c r="Q46" s="208"/>
      <c r="R46" s="208"/>
      <c r="S46" s="248"/>
      <c r="T46" s="208"/>
      <c r="U46" s="208"/>
      <c r="V46" s="248"/>
      <c r="W46" s="208"/>
      <c r="X46" s="208"/>
      <c r="Y46" s="248"/>
      <c r="Z46" s="208"/>
      <c r="AA46" s="208"/>
      <c r="AB46" s="248"/>
      <c r="AC46" s="208"/>
      <c r="AD46" s="208"/>
      <c r="AE46" s="248"/>
    </row>
    <row r="47" spans="1:31" x14ac:dyDescent="0.2">
      <c r="A47" s="208"/>
      <c r="D47" s="248"/>
      <c r="E47" s="208"/>
      <c r="F47" s="208"/>
      <c r="G47" s="248"/>
      <c r="H47" s="208"/>
      <c r="I47" s="208"/>
      <c r="J47" s="248"/>
      <c r="K47" s="208"/>
      <c r="L47" s="208"/>
      <c r="M47" s="248"/>
      <c r="N47" s="208"/>
      <c r="O47" s="208"/>
      <c r="P47" s="248"/>
      <c r="Q47" s="208"/>
      <c r="R47" s="208"/>
      <c r="S47" s="248"/>
      <c r="T47" s="208"/>
      <c r="U47" s="208"/>
      <c r="V47" s="248"/>
      <c r="W47" s="208"/>
      <c r="X47" s="208"/>
      <c r="Y47" s="248"/>
      <c r="Z47" s="208"/>
      <c r="AA47" s="208"/>
      <c r="AB47" s="248"/>
      <c r="AC47" s="208"/>
      <c r="AD47" s="208"/>
      <c r="AE47" s="248"/>
    </row>
    <row r="48" spans="1:31" x14ac:dyDescent="0.2">
      <c r="A48" s="208"/>
      <c r="D48" s="248"/>
      <c r="E48" s="208"/>
      <c r="F48" s="208"/>
      <c r="G48" s="248"/>
      <c r="H48" s="208"/>
      <c r="I48" s="208"/>
      <c r="J48" s="248"/>
      <c r="K48" s="208"/>
      <c r="L48" s="208"/>
      <c r="M48" s="248"/>
      <c r="N48" s="208"/>
      <c r="O48" s="208"/>
      <c r="P48" s="248"/>
      <c r="Q48" s="208"/>
      <c r="R48" s="208"/>
      <c r="S48" s="248"/>
      <c r="T48" s="208"/>
      <c r="U48" s="208"/>
      <c r="V48" s="248"/>
      <c r="W48" s="208"/>
      <c r="X48" s="208"/>
      <c r="Y48" s="248"/>
      <c r="Z48" s="208"/>
      <c r="AA48" s="208"/>
      <c r="AB48" s="248"/>
      <c r="AC48" s="208"/>
      <c r="AD48" s="208"/>
      <c r="AE48" s="248"/>
    </row>
    <row r="49" spans="1:31" x14ac:dyDescent="0.2">
      <c r="A49" s="208"/>
      <c r="D49" s="248"/>
      <c r="E49" s="208"/>
      <c r="F49" s="208"/>
      <c r="G49" s="248"/>
      <c r="H49" s="208"/>
      <c r="I49" s="208"/>
      <c r="J49" s="248"/>
      <c r="K49" s="208"/>
      <c r="L49" s="208"/>
      <c r="M49" s="248"/>
      <c r="N49" s="208"/>
      <c r="O49" s="208"/>
      <c r="P49" s="248"/>
      <c r="Q49" s="208"/>
      <c r="R49" s="208"/>
      <c r="S49" s="248"/>
      <c r="T49" s="208"/>
      <c r="U49" s="208"/>
      <c r="V49" s="248"/>
      <c r="W49" s="208"/>
      <c r="X49" s="208"/>
      <c r="Y49" s="248"/>
      <c r="Z49" s="208"/>
      <c r="AA49" s="208"/>
      <c r="AB49" s="248"/>
      <c r="AC49" s="208"/>
      <c r="AD49" s="208"/>
      <c r="AE49" s="248"/>
    </row>
    <row r="50" spans="1:31" x14ac:dyDescent="0.2">
      <c r="A50" s="208"/>
      <c r="D50" s="248"/>
      <c r="E50" s="208"/>
      <c r="F50" s="208"/>
      <c r="G50" s="248"/>
      <c r="H50" s="208"/>
      <c r="I50" s="208"/>
      <c r="J50" s="248"/>
      <c r="K50" s="208"/>
      <c r="L50" s="208"/>
      <c r="M50" s="248"/>
      <c r="N50" s="208"/>
      <c r="O50" s="208"/>
      <c r="P50" s="248"/>
      <c r="Q50" s="208"/>
      <c r="R50" s="208"/>
      <c r="S50" s="248"/>
      <c r="T50" s="208"/>
      <c r="U50" s="208"/>
      <c r="V50" s="248"/>
      <c r="W50" s="208"/>
      <c r="X50" s="208"/>
      <c r="Y50" s="248"/>
      <c r="Z50" s="208"/>
      <c r="AA50" s="208"/>
      <c r="AB50" s="248"/>
      <c r="AC50" s="208"/>
      <c r="AD50" s="208"/>
      <c r="AE50" s="248"/>
    </row>
    <row r="51" spans="1:31" x14ac:dyDescent="0.2">
      <c r="A51" s="208"/>
      <c r="D51" s="248"/>
      <c r="E51" s="208"/>
      <c r="F51" s="208"/>
      <c r="G51" s="248"/>
      <c r="H51" s="208"/>
      <c r="I51" s="208"/>
      <c r="J51" s="248"/>
      <c r="K51" s="208"/>
      <c r="L51" s="208"/>
      <c r="M51" s="248"/>
      <c r="N51" s="208"/>
      <c r="O51" s="208"/>
      <c r="P51" s="248"/>
      <c r="Q51" s="208"/>
      <c r="R51" s="208"/>
      <c r="S51" s="248"/>
      <c r="T51" s="208"/>
      <c r="U51" s="208"/>
      <c r="V51" s="248"/>
      <c r="W51" s="208"/>
      <c r="X51" s="208"/>
      <c r="Y51" s="248"/>
      <c r="Z51" s="208"/>
      <c r="AA51" s="208"/>
      <c r="AB51" s="248"/>
      <c r="AC51" s="208"/>
      <c r="AD51" s="208"/>
      <c r="AE51" s="248"/>
    </row>
    <row r="52" spans="1:31" x14ac:dyDescent="0.2">
      <c r="A52" s="208"/>
      <c r="D52" s="248"/>
      <c r="E52" s="208"/>
      <c r="F52" s="208"/>
      <c r="G52" s="248"/>
      <c r="H52" s="208"/>
      <c r="I52" s="208"/>
      <c r="J52" s="248"/>
      <c r="K52" s="208"/>
      <c r="L52" s="208"/>
      <c r="M52" s="248"/>
      <c r="N52" s="208"/>
      <c r="O52" s="208"/>
      <c r="P52" s="248"/>
      <c r="Q52" s="208"/>
      <c r="R52" s="208"/>
      <c r="S52" s="248"/>
      <c r="T52" s="208"/>
      <c r="U52" s="208"/>
      <c r="V52" s="248"/>
      <c r="W52" s="208"/>
      <c r="X52" s="208"/>
      <c r="Y52" s="248"/>
      <c r="Z52" s="208"/>
      <c r="AA52" s="208"/>
      <c r="AB52" s="248"/>
      <c r="AC52" s="208"/>
      <c r="AD52" s="208"/>
      <c r="AE52" s="248"/>
    </row>
    <row r="53" spans="1:31" x14ac:dyDescent="0.2">
      <c r="A53" s="208"/>
      <c r="B53" s="240"/>
      <c r="C53" s="240"/>
      <c r="D53" s="248"/>
      <c r="E53" s="240"/>
      <c r="F53" s="240"/>
      <c r="G53" s="248"/>
      <c r="H53" s="240"/>
      <c r="I53" s="240"/>
      <c r="J53" s="248"/>
      <c r="K53" s="240"/>
      <c r="L53" s="240"/>
      <c r="M53" s="248"/>
      <c r="N53" s="240"/>
      <c r="O53" s="240"/>
      <c r="P53" s="248"/>
      <c r="Q53" s="240"/>
      <c r="R53" s="240"/>
      <c r="S53" s="248"/>
      <c r="T53" s="240"/>
      <c r="U53" s="240"/>
      <c r="V53" s="248"/>
      <c r="W53" s="240"/>
      <c r="X53" s="240"/>
      <c r="Y53" s="248"/>
      <c r="Z53" s="240"/>
      <c r="AA53" s="240"/>
      <c r="AB53" s="248"/>
      <c r="AC53" s="240"/>
      <c r="AD53" s="240"/>
      <c r="AE53" s="248"/>
    </row>
    <row r="54" spans="1:31" x14ac:dyDescent="0.2">
      <c r="A54" s="208"/>
      <c r="B54" s="240"/>
      <c r="C54" s="240"/>
      <c r="D54" s="248"/>
      <c r="E54" s="240"/>
      <c r="F54" s="240"/>
      <c r="G54" s="248"/>
      <c r="H54" s="240"/>
      <c r="I54" s="240"/>
      <c r="J54" s="248"/>
      <c r="K54" s="240"/>
      <c r="L54" s="240"/>
      <c r="M54" s="248"/>
      <c r="N54" s="240"/>
      <c r="O54" s="240"/>
      <c r="P54" s="248"/>
      <c r="Q54" s="240"/>
      <c r="R54" s="240"/>
      <c r="S54" s="248"/>
      <c r="T54" s="240"/>
      <c r="U54" s="240"/>
      <c r="V54" s="248"/>
      <c r="W54" s="240"/>
      <c r="X54" s="240"/>
      <c r="Y54" s="248"/>
      <c r="Z54" s="240"/>
      <c r="AA54" s="240"/>
      <c r="AB54" s="248"/>
      <c r="AC54" s="240"/>
      <c r="AD54" s="240"/>
      <c r="AE54" s="248"/>
    </row>
    <row r="55" spans="1:31" x14ac:dyDescent="0.2">
      <c r="A55" s="208"/>
      <c r="B55" s="240"/>
      <c r="C55" s="240"/>
      <c r="D55" s="248"/>
      <c r="E55" s="240"/>
      <c r="F55" s="240"/>
      <c r="G55" s="248"/>
      <c r="H55" s="240"/>
      <c r="I55" s="240"/>
      <c r="J55" s="248"/>
      <c r="K55" s="240"/>
      <c r="L55" s="240"/>
      <c r="M55" s="248"/>
      <c r="N55" s="240"/>
      <c r="O55" s="240"/>
      <c r="P55" s="248"/>
      <c r="Q55" s="240"/>
      <c r="R55" s="240"/>
      <c r="S55" s="248"/>
      <c r="T55" s="240"/>
      <c r="U55" s="240"/>
      <c r="V55" s="248"/>
      <c r="W55" s="240"/>
      <c r="X55" s="240"/>
      <c r="Y55" s="248"/>
      <c r="Z55" s="240"/>
      <c r="AA55" s="240"/>
      <c r="AB55" s="248"/>
      <c r="AC55" s="240"/>
      <c r="AD55" s="240"/>
      <c r="AE55" s="248"/>
    </row>
    <row r="56" spans="1:31" x14ac:dyDescent="0.2">
      <c r="A56" s="208"/>
      <c r="B56" s="240"/>
      <c r="C56" s="240"/>
      <c r="D56" s="248"/>
      <c r="E56" s="240"/>
      <c r="F56" s="240"/>
      <c r="G56" s="248"/>
      <c r="H56" s="240"/>
      <c r="I56" s="240"/>
      <c r="J56" s="248"/>
      <c r="K56" s="240"/>
      <c r="L56" s="240"/>
      <c r="M56" s="248"/>
      <c r="N56" s="240"/>
      <c r="O56" s="240"/>
      <c r="P56" s="248"/>
      <c r="Q56" s="240"/>
      <c r="R56" s="240"/>
      <c r="S56" s="248"/>
      <c r="T56" s="240"/>
      <c r="U56" s="240"/>
      <c r="V56" s="248"/>
      <c r="W56" s="240"/>
      <c r="X56" s="240"/>
      <c r="Y56" s="248"/>
      <c r="Z56" s="240"/>
      <c r="AA56" s="240"/>
      <c r="AB56" s="248"/>
      <c r="AC56" s="240"/>
      <c r="AD56" s="240"/>
      <c r="AE56" s="248"/>
    </row>
    <row r="58" spans="1:31" ht="13.5" thickBot="1" x14ac:dyDescent="0.25">
      <c r="A58" s="43"/>
    </row>
    <row r="59" spans="1:31" ht="13.5" thickBot="1" x14ac:dyDescent="0.25">
      <c r="A59" s="165"/>
      <c r="B59" s="225">
        <v>25</v>
      </c>
      <c r="C59" s="226"/>
      <c r="D59" s="227"/>
      <c r="E59" s="225">
        <v>30</v>
      </c>
      <c r="F59" s="226"/>
      <c r="G59" s="227"/>
      <c r="H59" s="228">
        <v>35</v>
      </c>
      <c r="I59" s="223"/>
      <c r="J59" s="223"/>
      <c r="K59" s="223">
        <v>40</v>
      </c>
      <c r="L59" s="223"/>
      <c r="M59" s="223"/>
      <c r="N59" s="223">
        <v>45</v>
      </c>
      <c r="O59" s="223"/>
      <c r="P59" s="223"/>
      <c r="Q59" s="223">
        <v>50</v>
      </c>
      <c r="R59" s="223"/>
      <c r="S59" s="223"/>
      <c r="T59" s="223">
        <v>55</v>
      </c>
      <c r="U59" s="223"/>
      <c r="V59" s="223"/>
      <c r="W59" s="223">
        <v>60</v>
      </c>
      <c r="X59" s="223"/>
      <c r="Y59" s="223"/>
      <c r="Z59" s="223">
        <v>65</v>
      </c>
      <c r="AA59" s="223"/>
      <c r="AB59" s="223"/>
      <c r="AC59" s="223">
        <v>70</v>
      </c>
      <c r="AD59" s="223"/>
      <c r="AE59" s="224"/>
    </row>
    <row r="60" spans="1:31" x14ac:dyDescent="0.2">
      <c r="A60" s="165"/>
      <c r="B60" s="159" t="s">
        <v>243</v>
      </c>
      <c r="C60" s="160" t="s">
        <v>242</v>
      </c>
      <c r="D60" s="161" t="s">
        <v>244</v>
      </c>
      <c r="E60" s="159" t="s">
        <v>243</v>
      </c>
      <c r="F60" s="160" t="s">
        <v>242</v>
      </c>
      <c r="G60" s="161" t="s">
        <v>244</v>
      </c>
      <c r="H60" s="159" t="s">
        <v>243</v>
      </c>
      <c r="I60" s="160" t="s">
        <v>242</v>
      </c>
      <c r="J60" s="161" t="s">
        <v>244</v>
      </c>
      <c r="K60" s="159" t="s">
        <v>243</v>
      </c>
      <c r="L60" s="160" t="s">
        <v>242</v>
      </c>
      <c r="M60" s="161" t="s">
        <v>244</v>
      </c>
      <c r="N60" s="159" t="s">
        <v>243</v>
      </c>
      <c r="O60" s="160" t="s">
        <v>242</v>
      </c>
      <c r="P60" s="161" t="s">
        <v>244</v>
      </c>
      <c r="Q60" s="159" t="s">
        <v>243</v>
      </c>
      <c r="R60" s="160" t="s">
        <v>242</v>
      </c>
      <c r="S60" s="161" t="s">
        <v>244</v>
      </c>
      <c r="T60" s="159" t="s">
        <v>243</v>
      </c>
      <c r="U60" s="160" t="s">
        <v>242</v>
      </c>
      <c r="V60" s="161" t="s">
        <v>244</v>
      </c>
      <c r="W60" s="159" t="s">
        <v>243</v>
      </c>
      <c r="X60" s="160" t="s">
        <v>242</v>
      </c>
      <c r="Y60" s="161" t="s">
        <v>244</v>
      </c>
      <c r="Z60" s="159" t="s">
        <v>243</v>
      </c>
      <c r="AA60" s="160" t="s">
        <v>242</v>
      </c>
      <c r="AB60" s="161" t="s">
        <v>244</v>
      </c>
      <c r="AC60" s="159" t="s">
        <v>243</v>
      </c>
      <c r="AD60" s="160" t="s">
        <v>242</v>
      </c>
      <c r="AE60" s="161" t="s">
        <v>244</v>
      </c>
    </row>
    <row r="61" spans="1:31" x14ac:dyDescent="0.2">
      <c r="A61" s="162" t="s">
        <v>40</v>
      </c>
      <c r="B61" s="163">
        <v>6306</v>
      </c>
      <c r="C61" s="163">
        <v>6433.7559250866598</v>
      </c>
      <c r="D61" s="163">
        <f>ABS(B61-C61) / B61*100</f>
        <v>2.0259423578601297</v>
      </c>
      <c r="E61" s="163">
        <v>5748</v>
      </c>
      <c r="F61" s="163">
        <v>5878.7157483917772</v>
      </c>
      <c r="G61" s="163">
        <f>ABS(E61-F61) / E61*100</f>
        <v>2.2741083575465759</v>
      </c>
      <c r="H61" s="163">
        <v>5126</v>
      </c>
      <c r="I61" s="163">
        <v>5260.6622144084804</v>
      </c>
      <c r="J61" s="163">
        <f>ABS(H61-I61) / H61*100</f>
        <v>2.6270428093733984</v>
      </c>
      <c r="K61" s="163">
        <v>4459</v>
      </c>
      <c r="L61" s="163">
        <v>4590.8462823742166</v>
      </c>
      <c r="M61" s="163">
        <f>ABS(K61-L61) / K61*100</f>
        <v>2.9568576446336974</v>
      </c>
      <c r="N61" s="163">
        <v>3755</v>
      </c>
      <c r="O61" s="163">
        <v>3885.4741062113044</v>
      </c>
      <c r="P61" s="163">
        <f>ABS(N61-O61) / N61*100</f>
        <v>3.4746765968389983</v>
      </c>
      <c r="Q61" s="163">
        <v>3053</v>
      </c>
      <c r="R61" s="163">
        <v>3170.9308138398783</v>
      </c>
      <c r="S61" s="163">
        <f>ABS(Q61-R61) / Q61*100</f>
        <v>3.8627846000615222</v>
      </c>
      <c r="T61" s="163">
        <v>2326</v>
      </c>
      <c r="U61" s="163">
        <v>2475.7789293191759</v>
      </c>
      <c r="V61" s="163">
        <f>ABS(T61-U61) / T61*100</f>
        <v>6.4393348804460819</v>
      </c>
      <c r="W61" s="163">
        <v>1714</v>
      </c>
      <c r="X61" s="163">
        <v>1828.0418504073064</v>
      </c>
      <c r="Y61" s="163">
        <f>ABS(W61-X61) / W61*100</f>
        <v>6.6535501987926695</v>
      </c>
      <c r="Z61" s="163">
        <v>1166</v>
      </c>
      <c r="AA61" s="163">
        <v>1255.8091311352348</v>
      </c>
      <c r="AB61" s="163">
        <f>ABS(Z61-AA61) / Z61*100</f>
        <v>7.7023268555089865</v>
      </c>
      <c r="AC61" s="163">
        <v>727</v>
      </c>
      <c r="AD61" s="59">
        <v>772.92730948397025</v>
      </c>
      <c r="AE61" s="163">
        <f>ABS(AC61-AD61) / AC61*100</f>
        <v>6.3173740693219047</v>
      </c>
    </row>
    <row r="62" spans="1:31" x14ac:dyDescent="0.2">
      <c r="A62" s="162" t="s">
        <v>13</v>
      </c>
      <c r="B62" s="163">
        <v>5082</v>
      </c>
      <c r="C62" s="163">
        <v>5163.863023098329</v>
      </c>
      <c r="D62" s="163">
        <f t="shared" ref="D62:D73" si="10">ABS(B62-C62) / B62*100</f>
        <v>1.6108426426274893</v>
      </c>
      <c r="E62" s="163">
        <v>4709</v>
      </c>
      <c r="F62" s="163">
        <v>4799.899899982197</v>
      </c>
      <c r="G62" s="163">
        <f t="shared" ref="G62:G73" si="11">ABS(E62-F62) / E62*100</f>
        <v>1.9303440217073049</v>
      </c>
      <c r="H62" s="163">
        <v>4278</v>
      </c>
      <c r="I62" s="163">
        <v>4383.9678745951733</v>
      </c>
      <c r="J62" s="163">
        <f t="shared" ref="J62:J73" si="12">ABS(H62-I62) / H62*100</f>
        <v>2.4770424169044714</v>
      </c>
      <c r="K62" s="163">
        <v>3805</v>
      </c>
      <c r="L62" s="163">
        <v>3920.2473491104915</v>
      </c>
      <c r="M62" s="163">
        <f t="shared" ref="M62:M73" si="13">ABS(K62-L62) / K62*100</f>
        <v>3.0288396612481354</v>
      </c>
      <c r="N62" s="163">
        <v>3291</v>
      </c>
      <c r="O62" s="163">
        <v>3416.2201739975417</v>
      </c>
      <c r="P62" s="163">
        <f t="shared" ref="P62:P73" si="14">ABS(N62-O62) / N62*100</f>
        <v>3.8049278030246638</v>
      </c>
      <c r="Q62" s="163">
        <v>2765</v>
      </c>
      <c r="R62" s="163">
        <v>2887.9383774643757</v>
      </c>
      <c r="S62" s="163">
        <f t="shared" ref="S62:S73" si="15">ABS(Q62-R62) / Q62*100</f>
        <v>4.4462342663427004</v>
      </c>
      <c r="T62" s="163">
        <v>2237</v>
      </c>
      <c r="U62" s="163">
        <v>2354.3388945354191</v>
      </c>
      <c r="V62" s="163">
        <f t="shared" ref="V62:V73" si="16">ABS(T62-U62) / T62*100</f>
        <v>5.2453685532149779</v>
      </c>
      <c r="W62" s="163">
        <v>1687</v>
      </c>
      <c r="X62" s="163">
        <v>1835.6527679202561</v>
      </c>
      <c r="Y62" s="163">
        <f t="shared" ref="Y62:Y73" si="17">ABS(W62-X62) / W62*100</f>
        <v>8.8116637771343278</v>
      </c>
      <c r="Z62" s="163">
        <v>1234</v>
      </c>
      <c r="AA62" s="163">
        <v>1355.3509379792395</v>
      </c>
      <c r="AB62" s="163">
        <f t="shared" ref="AB62:AB73" si="18">ABS(Z62-AA62) / Z62*100</f>
        <v>9.8339495931312371</v>
      </c>
      <c r="AC62" s="163">
        <v>859</v>
      </c>
      <c r="AD62" s="59">
        <v>925.42006331176106</v>
      </c>
      <c r="AE62" s="163">
        <f t="shared" ref="AE62:AE73" si="19">ABS(AC62-AD62) / AC62*100</f>
        <v>7.7322541690059436</v>
      </c>
    </row>
    <row r="63" spans="1:31" x14ac:dyDescent="0.2">
      <c r="A63" s="162" t="s">
        <v>39</v>
      </c>
      <c r="B63" s="163">
        <v>3358</v>
      </c>
      <c r="C63" s="163">
        <v>3502.1123808746443</v>
      </c>
      <c r="D63" s="163">
        <f t="shared" si="10"/>
        <v>4.2916134864396742</v>
      </c>
      <c r="E63" s="163">
        <v>3079</v>
      </c>
      <c r="F63" s="163">
        <v>3226.5728535953281</v>
      </c>
      <c r="G63" s="163">
        <f t="shared" si="11"/>
        <v>4.7928825461295244</v>
      </c>
      <c r="H63" s="163">
        <v>2772</v>
      </c>
      <c r="I63" s="163">
        <v>2916.3245280161395</v>
      </c>
      <c r="J63" s="163">
        <f t="shared" si="12"/>
        <v>5.2065125546947888</v>
      </c>
      <c r="K63" s="163">
        <v>2435</v>
      </c>
      <c r="L63" s="163">
        <v>2575.9164063864305</v>
      </c>
      <c r="M63" s="163">
        <f t="shared" si="13"/>
        <v>5.787121412173736</v>
      </c>
      <c r="N63" s="163">
        <v>2088</v>
      </c>
      <c r="O63" s="163">
        <v>2212.3673793888588</v>
      </c>
      <c r="P63" s="163">
        <f t="shared" si="14"/>
        <v>5.9562921163246552</v>
      </c>
      <c r="Q63" s="163">
        <v>1726</v>
      </c>
      <c r="R63" s="163">
        <v>1838.360026524552</v>
      </c>
      <c r="S63" s="163">
        <f t="shared" si="15"/>
        <v>6.5098508994526103</v>
      </c>
      <c r="T63" s="163">
        <v>1365</v>
      </c>
      <c r="U63" s="163">
        <v>1468.1249488661624</v>
      </c>
      <c r="V63" s="163">
        <f t="shared" si="16"/>
        <v>7.5549413088763675</v>
      </c>
      <c r="W63" s="163">
        <v>1023</v>
      </c>
      <c r="X63" s="163">
        <v>1116.1552909759296</v>
      </c>
      <c r="Y63" s="163">
        <f t="shared" si="17"/>
        <v>9.1060890494554823</v>
      </c>
      <c r="Z63" s="163">
        <v>728</v>
      </c>
      <c r="AA63" s="163">
        <v>798.02833775632314</v>
      </c>
      <c r="AB63" s="163">
        <f t="shared" si="18"/>
        <v>9.6192771643301018</v>
      </c>
      <c r="AC63" s="163">
        <v>486</v>
      </c>
      <c r="AD63" s="59">
        <v>521.55575075672846</v>
      </c>
      <c r="AE63" s="163">
        <f t="shared" si="19"/>
        <v>7.3159980980922743</v>
      </c>
    </row>
    <row r="64" spans="1:31" x14ac:dyDescent="0.2">
      <c r="A64" s="162" t="s">
        <v>241</v>
      </c>
      <c r="B64" s="163">
        <v>13632</v>
      </c>
      <c r="C64" s="163">
        <v>14601.693328006857</v>
      </c>
      <c r="D64" s="163">
        <f t="shared" si="10"/>
        <v>7.113360680801474</v>
      </c>
      <c r="E64" s="163">
        <v>13118</v>
      </c>
      <c r="F64" s="163">
        <v>14099.544253565213</v>
      </c>
      <c r="G64" s="163">
        <f t="shared" si="11"/>
        <v>7.4824230337338982</v>
      </c>
      <c r="H64" s="163">
        <v>12453</v>
      </c>
      <c r="I64" s="163">
        <v>13448.502400570991</v>
      </c>
      <c r="J64" s="163">
        <f t="shared" si="12"/>
        <v>7.994076933839164</v>
      </c>
      <c r="K64" s="163">
        <v>11638</v>
      </c>
      <c r="L64" s="163">
        <v>12627.947878075518</v>
      </c>
      <c r="M64" s="163">
        <f t="shared" si="13"/>
        <v>8.5061683972806161</v>
      </c>
      <c r="N64" s="163">
        <v>10633</v>
      </c>
      <c r="O64" s="163">
        <v>11620.037269242768</v>
      </c>
      <c r="P64" s="163">
        <f t="shared" si="14"/>
        <v>9.2827731519116732</v>
      </c>
      <c r="Q64" s="163">
        <v>9487</v>
      </c>
      <c r="R64" s="163">
        <v>10431.160991276794</v>
      </c>
      <c r="S64" s="163">
        <f t="shared" si="15"/>
        <v>9.9521554893727675</v>
      </c>
      <c r="T64" s="163">
        <v>8162</v>
      </c>
      <c r="U64" s="163">
        <v>9080.2047056253778</v>
      </c>
      <c r="V64" s="163">
        <f t="shared" si="16"/>
        <v>11.249751355370959</v>
      </c>
      <c r="W64" s="260">
        <v>6772</v>
      </c>
      <c r="X64" s="260">
        <v>7598.8701304051474</v>
      </c>
      <c r="Y64" s="260">
        <f t="shared" si="17"/>
        <v>12.210131872491841</v>
      </c>
      <c r="Z64" s="260">
        <v>5365</v>
      </c>
      <c r="AA64" s="260">
        <v>6048.522235713157</v>
      </c>
      <c r="AB64" s="260">
        <f t="shared" si="18"/>
        <v>12.740395819443744</v>
      </c>
      <c r="AC64" s="260">
        <v>4007</v>
      </c>
      <c r="AD64" s="261">
        <v>4463.3550771123346</v>
      </c>
      <c r="AE64" s="260">
        <f t="shared" si="19"/>
        <v>11.388946271832658</v>
      </c>
    </row>
    <row r="65" spans="1:31" ht="13.5" thickBot="1" x14ac:dyDescent="0.25">
      <c r="A65" s="242" t="s">
        <v>288</v>
      </c>
      <c r="B65" s="243">
        <v>16.5</v>
      </c>
      <c r="C65" s="243">
        <v>19.462345070839177</v>
      </c>
      <c r="D65" s="243">
        <f t="shared" si="10"/>
        <v>17.953606489934408</v>
      </c>
      <c r="E65" s="243">
        <v>15.9</v>
      </c>
      <c r="F65" s="243">
        <v>19.154459322561944</v>
      </c>
      <c r="G65" s="243">
        <f t="shared" si="11"/>
        <v>20.468297626175751</v>
      </c>
      <c r="H65" s="243">
        <v>15.3</v>
      </c>
      <c r="I65" s="243">
        <v>18.723880323045279</v>
      </c>
      <c r="J65" s="243">
        <f t="shared" si="12"/>
        <v>22.378302765001816</v>
      </c>
      <c r="K65" s="243">
        <v>14.4</v>
      </c>
      <c r="L65" s="243">
        <v>18.136799695527937</v>
      </c>
      <c r="M65" s="243">
        <f t="shared" si="13"/>
        <v>25.949997885610671</v>
      </c>
      <c r="N65" s="243">
        <v>13.5</v>
      </c>
      <c r="O65" s="243">
        <v>17.34900858240978</v>
      </c>
      <c r="P65" s="243">
        <f t="shared" si="14"/>
        <v>28.511174684516895</v>
      </c>
      <c r="Q65" s="243">
        <v>12.4</v>
      </c>
      <c r="R65" s="243">
        <v>16.333673182244063</v>
      </c>
      <c r="S65" s="243">
        <f t="shared" si="15"/>
        <v>31.723170824548891</v>
      </c>
      <c r="T65" s="243">
        <v>11.2</v>
      </c>
      <c r="U65" s="243">
        <v>15.064763399650719</v>
      </c>
      <c r="V65" s="243">
        <f t="shared" si="16"/>
        <v>34.506816068309995</v>
      </c>
      <c r="W65" s="264">
        <v>9.8000000000000007</v>
      </c>
      <c r="X65" s="264">
        <v>13.516259540657655</v>
      </c>
      <c r="Y65" s="264">
        <f t="shared" si="17"/>
        <v>37.921015720996472</v>
      </c>
      <c r="Z65" s="264">
        <v>8.1999999999999993</v>
      </c>
      <c r="AA65" s="264">
        <v>11.698989174102801</v>
      </c>
      <c r="AB65" s="264">
        <f t="shared" si="18"/>
        <v>42.670599684180509</v>
      </c>
      <c r="AC65" s="264">
        <v>6.5</v>
      </c>
      <c r="AD65" s="265">
        <v>9.5596911347960507</v>
      </c>
      <c r="AE65" s="264">
        <f t="shared" si="19"/>
        <v>47.07217130455463</v>
      </c>
    </row>
    <row r="66" spans="1:31" x14ac:dyDescent="0.2">
      <c r="A66" s="189" t="s">
        <v>268</v>
      </c>
      <c r="B66" s="119">
        <v>666</v>
      </c>
      <c r="C66" s="119">
        <v>679.76466153665206</v>
      </c>
      <c r="D66" s="190">
        <f t="shared" si="10"/>
        <v>2.0667659964943028</v>
      </c>
      <c r="E66" s="119">
        <v>621</v>
      </c>
      <c r="F66" s="119">
        <v>631.20352348407062</v>
      </c>
      <c r="G66" s="190">
        <f t="shared" si="11"/>
        <v>1.6430794660339154</v>
      </c>
      <c r="H66" s="119">
        <v>562</v>
      </c>
      <c r="I66" s="119">
        <v>578.38125421206405</v>
      </c>
      <c r="J66" s="190">
        <f t="shared" si="12"/>
        <v>2.9148139167373754</v>
      </c>
      <c r="K66" s="119">
        <v>505</v>
      </c>
      <c r="L66" s="119">
        <v>521.49091699896576</v>
      </c>
      <c r="M66" s="190">
        <f t="shared" si="13"/>
        <v>3.2655281186070804</v>
      </c>
      <c r="N66" s="119">
        <v>443</v>
      </c>
      <c r="O66" s="119">
        <v>460.79997624524492</v>
      </c>
      <c r="P66" s="190">
        <f t="shared" si="14"/>
        <v>4.0180533284977251</v>
      </c>
      <c r="Q66" s="119">
        <v>379</v>
      </c>
      <c r="R66" s="119">
        <v>397.36299252122132</v>
      </c>
      <c r="S66" s="190">
        <f t="shared" si="15"/>
        <v>4.8451167602167056</v>
      </c>
      <c r="T66" s="119">
        <v>315</v>
      </c>
      <c r="U66" s="119">
        <v>332.33516995289727</v>
      </c>
      <c r="V66" s="190">
        <f t="shared" si="16"/>
        <v>5.5032285564753254</v>
      </c>
      <c r="W66" s="119">
        <v>249</v>
      </c>
      <c r="X66" s="119">
        <v>266.91698239298535</v>
      </c>
      <c r="Y66" s="190">
        <f t="shared" si="17"/>
        <v>7.1955752582270467</v>
      </c>
      <c r="Z66" s="119">
        <v>186</v>
      </c>
      <c r="AA66" s="119">
        <v>202.90772025983637</v>
      </c>
      <c r="AB66" s="190">
        <f t="shared" si="18"/>
        <v>9.0901721827077253</v>
      </c>
      <c r="AC66" s="119">
        <v>134</v>
      </c>
      <c r="AD66" s="119">
        <v>140.88607986611174</v>
      </c>
      <c r="AE66" s="190">
        <f t="shared" si="19"/>
        <v>5.138865571725181</v>
      </c>
    </row>
    <row r="67" spans="1:31" x14ac:dyDescent="0.2">
      <c r="A67" s="193" t="s">
        <v>269</v>
      </c>
      <c r="B67" s="59">
        <v>467</v>
      </c>
      <c r="C67" s="59">
        <v>468.70243305069448</v>
      </c>
      <c r="D67" s="163">
        <f t="shared" si="10"/>
        <v>0.36454669179753335</v>
      </c>
      <c r="E67" s="59">
        <v>433</v>
      </c>
      <c r="F67" s="59">
        <v>439.74549938284895</v>
      </c>
      <c r="G67" s="163">
        <f t="shared" si="11"/>
        <v>1.5578520514662697</v>
      </c>
      <c r="H67" s="59">
        <v>403</v>
      </c>
      <c r="I67" s="59">
        <v>407.98403496554766</v>
      </c>
      <c r="J67" s="163">
        <f t="shared" si="12"/>
        <v>1.2367332420713808</v>
      </c>
      <c r="K67" s="59">
        <v>367</v>
      </c>
      <c r="L67" s="59">
        <v>373.46224468157141</v>
      </c>
      <c r="M67" s="163">
        <f t="shared" si="13"/>
        <v>1.760829613507195</v>
      </c>
      <c r="N67" s="59">
        <v>329</v>
      </c>
      <c r="O67" s="59">
        <v>336.23659401245953</v>
      </c>
      <c r="P67" s="163">
        <f t="shared" si="14"/>
        <v>2.1995726481639921</v>
      </c>
      <c r="Q67" s="59">
        <v>291</v>
      </c>
      <c r="R67" s="59">
        <v>296.88640988757652</v>
      </c>
      <c r="S67" s="163">
        <f t="shared" si="15"/>
        <v>2.022821267208426</v>
      </c>
      <c r="T67" s="59">
        <v>247</v>
      </c>
      <c r="U67" s="59">
        <v>256.05064828265193</v>
      </c>
      <c r="V67" s="163">
        <f t="shared" si="16"/>
        <v>3.6642300739481515</v>
      </c>
      <c r="W67" s="59">
        <v>200</v>
      </c>
      <c r="X67" s="59">
        <v>214.35484536572173</v>
      </c>
      <c r="Y67" s="163">
        <f t="shared" si="17"/>
        <v>7.1774226828608647</v>
      </c>
      <c r="Z67" s="59">
        <v>159</v>
      </c>
      <c r="AA67" s="59">
        <v>172.86901589965899</v>
      </c>
      <c r="AB67" s="163">
        <f t="shared" si="18"/>
        <v>8.7226515092194905</v>
      </c>
      <c r="AC67" s="59">
        <v>122</v>
      </c>
      <c r="AD67" s="59">
        <v>131.50326204519462</v>
      </c>
      <c r="AE67" s="163">
        <f t="shared" si="19"/>
        <v>7.7895590534382109</v>
      </c>
    </row>
    <row r="68" spans="1:31" x14ac:dyDescent="0.2">
      <c r="A68" s="193" t="s">
        <v>270</v>
      </c>
      <c r="B68" s="59">
        <v>400</v>
      </c>
      <c r="C68" s="59">
        <v>411.9479156892591</v>
      </c>
      <c r="D68" s="163">
        <f t="shared" si="10"/>
        <v>2.9869789223147762</v>
      </c>
      <c r="E68" s="59">
        <v>377</v>
      </c>
      <c r="F68" s="59">
        <v>384.77257115735262</v>
      </c>
      <c r="G68" s="163">
        <f t="shared" si="11"/>
        <v>2.0616899621624976</v>
      </c>
      <c r="H68" s="59">
        <v>341</v>
      </c>
      <c r="I68" s="59">
        <v>355.16821252238191</v>
      </c>
      <c r="J68" s="163">
        <f t="shared" si="12"/>
        <v>4.1549010329565714</v>
      </c>
      <c r="K68" s="59">
        <v>309</v>
      </c>
      <c r="L68" s="59">
        <v>323.2011831918291</v>
      </c>
      <c r="M68" s="163">
        <f t="shared" si="13"/>
        <v>4.595852165640486</v>
      </c>
      <c r="N68" s="59">
        <v>271</v>
      </c>
      <c r="O68" s="59">
        <v>288.95328702060829</v>
      </c>
      <c r="P68" s="163">
        <f t="shared" si="14"/>
        <v>6.6248291588960466</v>
      </c>
      <c r="Q68" s="59">
        <v>235</v>
      </c>
      <c r="R68" s="59">
        <v>252.96320954964042</v>
      </c>
      <c r="S68" s="163">
        <f t="shared" si="15"/>
        <v>7.6439189572937982</v>
      </c>
      <c r="T68" s="59">
        <v>201</v>
      </c>
      <c r="U68" s="59">
        <v>215.81816547580945</v>
      </c>
      <c r="V68" s="163">
        <f t="shared" si="16"/>
        <v>7.3722216297559457</v>
      </c>
      <c r="W68" s="59">
        <v>164</v>
      </c>
      <c r="X68" s="59">
        <v>178.10576254809411</v>
      </c>
      <c r="Y68" s="163">
        <f t="shared" si="17"/>
        <v>8.601074724447626</v>
      </c>
      <c r="Z68" s="59">
        <v>124</v>
      </c>
      <c r="AA68" s="59">
        <v>140.79973175395421</v>
      </c>
      <c r="AB68" s="163">
        <f t="shared" si="18"/>
        <v>13.548170769317908</v>
      </c>
      <c r="AC68" s="59">
        <v>94</v>
      </c>
      <c r="AD68" s="59">
        <v>103.98300937350666</v>
      </c>
      <c r="AE68" s="163">
        <f t="shared" si="19"/>
        <v>10.620222737773044</v>
      </c>
    </row>
    <row r="69" spans="1:31" x14ac:dyDescent="0.2">
      <c r="A69" s="193" t="s">
        <v>271</v>
      </c>
      <c r="B69" s="164">
        <v>1464</v>
      </c>
      <c r="C69" s="59">
        <v>1562.9460174504854</v>
      </c>
      <c r="D69" s="163">
        <f t="shared" si="10"/>
        <v>6.758607749350098</v>
      </c>
      <c r="E69" s="164">
        <v>1424</v>
      </c>
      <c r="F69" s="59">
        <v>1528.5240168692148</v>
      </c>
      <c r="G69" s="163">
        <f t="shared" si="11"/>
        <v>7.3401697239617159</v>
      </c>
      <c r="H69" s="164">
        <v>1376</v>
      </c>
      <c r="I69" s="59">
        <v>1484.8817781389478</v>
      </c>
      <c r="J69" s="163">
        <f t="shared" si="12"/>
        <v>7.912919922888646</v>
      </c>
      <c r="K69" s="59">
        <v>1320</v>
      </c>
      <c r="L69" s="164">
        <v>1430.4088740194713</v>
      </c>
      <c r="M69" s="163">
        <f t="shared" si="13"/>
        <v>8.3643086378387377</v>
      </c>
      <c r="N69" s="164">
        <v>1255</v>
      </c>
      <c r="O69" s="59">
        <v>1363.2712589122832</v>
      </c>
      <c r="P69" s="163">
        <f t="shared" si="14"/>
        <v>8.6271919452018473</v>
      </c>
      <c r="Q69" s="59">
        <v>1174</v>
      </c>
      <c r="R69" s="164">
        <v>1282.9660017826006</v>
      </c>
      <c r="S69" s="163">
        <f t="shared" si="15"/>
        <v>9.2816015147019293</v>
      </c>
      <c r="T69" s="164">
        <v>1084</v>
      </c>
      <c r="U69" s="59">
        <v>1189.3249017285355</v>
      </c>
      <c r="V69" s="163">
        <f t="shared" si="16"/>
        <v>9.716319347650872</v>
      </c>
      <c r="W69" s="261">
        <v>985</v>
      </c>
      <c r="X69" s="261">
        <v>1082.5647798913828</v>
      </c>
      <c r="Y69" s="260">
        <f t="shared" si="17"/>
        <v>9.9050537960794749</v>
      </c>
      <c r="Z69" s="261">
        <v>882</v>
      </c>
      <c r="AA69" s="261">
        <v>964.86995527416354</v>
      </c>
      <c r="AB69" s="260">
        <f t="shared" si="18"/>
        <v>9.3956865390208097</v>
      </c>
      <c r="AC69" s="261">
        <v>774</v>
      </c>
      <c r="AD69" s="261">
        <v>835.99778571985826</v>
      </c>
      <c r="AE69" s="260">
        <f t="shared" si="19"/>
        <v>8.0100498346070097</v>
      </c>
    </row>
    <row r="70" spans="1:31" ht="13.5" thickBot="1" x14ac:dyDescent="0.25">
      <c r="A70" s="194" t="s">
        <v>288</v>
      </c>
      <c r="B70" s="247">
        <v>21.5</v>
      </c>
      <c r="C70" s="247">
        <v>25.249636104009351</v>
      </c>
      <c r="D70" s="195">
        <f t="shared" si="10"/>
        <v>17.440167925624888</v>
      </c>
      <c r="E70" s="247">
        <v>20.399999999999999</v>
      </c>
      <c r="F70" s="247">
        <v>24.347401541346304</v>
      </c>
      <c r="G70" s="195">
        <f t="shared" si="11"/>
        <v>19.350007555619147</v>
      </c>
      <c r="H70" s="247">
        <v>19.2</v>
      </c>
      <c r="I70" s="247">
        <v>23.282008009913536</v>
      </c>
      <c r="J70" s="195">
        <f t="shared" si="12"/>
        <v>21.260458384966338</v>
      </c>
      <c r="K70" s="247">
        <v>17.7</v>
      </c>
      <c r="L70" s="247">
        <v>22.032647711236809</v>
      </c>
      <c r="M70" s="195">
        <f t="shared" si="13"/>
        <v>24.478235656705142</v>
      </c>
      <c r="N70" s="247">
        <v>16.3</v>
      </c>
      <c r="O70" s="247">
        <v>20.571758055860599</v>
      </c>
      <c r="P70" s="195">
        <f t="shared" si="14"/>
        <v>26.207104637181583</v>
      </c>
      <c r="Q70" s="247">
        <v>14.7</v>
      </c>
      <c r="R70" s="247">
        <v>18.896839382955886</v>
      </c>
      <c r="S70" s="195">
        <f t="shared" si="15"/>
        <v>28.549927775210111</v>
      </c>
      <c r="T70" s="247">
        <v>13</v>
      </c>
      <c r="U70" s="247">
        <v>17.006877793022515</v>
      </c>
      <c r="V70" s="195">
        <f t="shared" si="16"/>
        <v>30.822136869403959</v>
      </c>
      <c r="W70" s="262">
        <v>11.1</v>
      </c>
      <c r="X70" s="262">
        <v>14.899366916992545</v>
      </c>
      <c r="Y70" s="263">
        <f t="shared" si="17"/>
        <v>34.228530783716621</v>
      </c>
      <c r="Z70" s="262">
        <v>9.1999999999999993</v>
      </c>
      <c r="AA70" s="262">
        <v>12.607367255456451</v>
      </c>
      <c r="AB70" s="263">
        <f t="shared" si="18"/>
        <v>37.036600602787516</v>
      </c>
      <c r="AC70" s="262">
        <v>7.2</v>
      </c>
      <c r="AD70" s="262">
        <v>10.08780327881902</v>
      </c>
      <c r="AE70" s="263">
        <f t="shared" si="19"/>
        <v>40.108378872486391</v>
      </c>
    </row>
    <row r="71" spans="1:31" ht="14.25" x14ac:dyDescent="0.2">
      <c r="A71" s="185" t="s">
        <v>291</v>
      </c>
      <c r="B71" s="244">
        <v>-2516</v>
      </c>
      <c r="C71" s="245"/>
      <c r="D71" s="246">
        <f t="shared" si="10"/>
        <v>-100</v>
      </c>
      <c r="E71" s="244">
        <v>-2743</v>
      </c>
      <c r="F71" s="245"/>
      <c r="G71" s="246">
        <f t="shared" si="11"/>
        <v>-100</v>
      </c>
      <c r="H71" s="244">
        <v>-2986</v>
      </c>
      <c r="I71" s="245"/>
      <c r="J71" s="246">
        <f t="shared" si="12"/>
        <v>-100</v>
      </c>
      <c r="K71" s="244">
        <v>-3279</v>
      </c>
      <c r="L71" s="245"/>
      <c r="M71" s="246">
        <f t="shared" si="13"/>
        <v>-100</v>
      </c>
      <c r="N71" s="245">
        <v>-3559</v>
      </c>
      <c r="O71" s="245"/>
      <c r="P71" s="246">
        <f t="shared" si="14"/>
        <v>-100</v>
      </c>
      <c r="Q71" s="244">
        <v>-3863</v>
      </c>
      <c r="R71" s="245"/>
      <c r="S71" s="246">
        <f t="shared" si="15"/>
        <v>-100</v>
      </c>
      <c r="T71" s="244">
        <v>-4061</v>
      </c>
      <c r="U71" s="245"/>
      <c r="V71" s="246">
        <f t="shared" si="16"/>
        <v>-100</v>
      </c>
      <c r="W71" s="244">
        <v>-4297</v>
      </c>
      <c r="X71" s="245"/>
      <c r="Y71" s="246">
        <f t="shared" si="17"/>
        <v>-100</v>
      </c>
      <c r="Z71" s="244">
        <v>-4560</v>
      </c>
      <c r="AA71" s="245"/>
      <c r="AB71" s="246">
        <f t="shared" si="18"/>
        <v>-100</v>
      </c>
      <c r="AC71" s="244">
        <v>-4668</v>
      </c>
      <c r="AD71" s="245"/>
      <c r="AE71" s="246">
        <f t="shared" si="19"/>
        <v>-100</v>
      </c>
    </row>
    <row r="72" spans="1:31" ht="14.25" x14ac:dyDescent="0.2">
      <c r="A72" s="162" t="s">
        <v>290</v>
      </c>
      <c r="B72" s="241">
        <v>-1912</v>
      </c>
      <c r="C72" s="236"/>
      <c r="D72" s="163">
        <f t="shared" si="10"/>
        <v>-100</v>
      </c>
      <c r="E72" s="236">
        <v>-2062</v>
      </c>
      <c r="F72" s="236"/>
      <c r="G72" s="163">
        <f t="shared" si="11"/>
        <v>-100</v>
      </c>
      <c r="H72" s="241">
        <v>-2238</v>
      </c>
      <c r="I72" s="236"/>
      <c r="J72" s="163">
        <f t="shared" si="12"/>
        <v>-100</v>
      </c>
      <c r="K72" s="241">
        <v>-2459</v>
      </c>
      <c r="L72" s="236"/>
      <c r="M72" s="163">
        <f t="shared" si="13"/>
        <v>-100</v>
      </c>
      <c r="N72" s="241">
        <v>-2721</v>
      </c>
      <c r="O72" s="236"/>
      <c r="P72" s="163">
        <f t="shared" si="14"/>
        <v>-100</v>
      </c>
      <c r="Q72" s="241">
        <v>-3050</v>
      </c>
      <c r="R72" s="236"/>
      <c r="S72" s="163">
        <f t="shared" si="15"/>
        <v>-100</v>
      </c>
      <c r="T72" s="241">
        <v>-3431</v>
      </c>
      <c r="U72" s="236"/>
      <c r="V72" s="163">
        <f t="shared" si="16"/>
        <v>-100</v>
      </c>
      <c r="W72" s="241">
        <v>-3923</v>
      </c>
      <c r="X72" s="236"/>
      <c r="Y72" s="163">
        <f t="shared" si="17"/>
        <v>-100</v>
      </c>
      <c r="Z72" s="241">
        <v>-4544</v>
      </c>
      <c r="AA72" s="236"/>
      <c r="AB72" s="163">
        <f t="shared" si="18"/>
        <v>-100</v>
      </c>
      <c r="AC72" s="241">
        <v>-5415</v>
      </c>
      <c r="AD72" s="236"/>
      <c r="AE72" s="163">
        <f t="shared" si="19"/>
        <v>-100</v>
      </c>
    </row>
    <row r="73" spans="1:31" s="255" customFormat="1" ht="14.25" x14ac:dyDescent="0.2">
      <c r="A73" s="254" t="s">
        <v>289</v>
      </c>
      <c r="B73" s="256">
        <v>-2417</v>
      </c>
      <c r="C73" s="252">
        <f>(C64-C69)/(C65-C70)</f>
        <v>-2252.9966500430132</v>
      </c>
      <c r="D73" s="254">
        <f t="shared" si="10"/>
        <v>-6.7854095968964332</v>
      </c>
      <c r="E73" s="256">
        <v>-2626</v>
      </c>
      <c r="F73" s="252">
        <f>(F64-F69)/(F65-F70)</f>
        <v>-2420.7895460925824</v>
      </c>
      <c r="G73" s="254">
        <f t="shared" si="11"/>
        <v>-7.8145641244256492</v>
      </c>
      <c r="H73" s="256">
        <v>-2851</v>
      </c>
      <c r="I73" s="252">
        <f>(I64-I69)/(I65-I70)</f>
        <v>-2624.6786936001481</v>
      </c>
      <c r="J73" s="254">
        <f t="shared" si="12"/>
        <v>-7.9383130971536975</v>
      </c>
      <c r="K73" s="256">
        <v>-3122</v>
      </c>
      <c r="L73" s="252">
        <f>(L64-L69)/(L65-L70)</f>
        <v>-2874.2237784701138</v>
      </c>
      <c r="M73" s="254">
        <f t="shared" si="13"/>
        <v>-7.9364580887215315</v>
      </c>
      <c r="N73" s="256">
        <v>-3391</v>
      </c>
      <c r="O73" s="252">
        <f>(O64-O69)/(O65-O70)</f>
        <v>-3182.6135090010157</v>
      </c>
      <c r="P73" s="254">
        <f t="shared" si="14"/>
        <v>-6.1452813624000093</v>
      </c>
      <c r="Q73" s="256">
        <v>-3692</v>
      </c>
      <c r="R73" s="252">
        <f>(R64-R69)/(R65-R70)</f>
        <v>-3569.0994157747659</v>
      </c>
      <c r="S73" s="254">
        <f t="shared" si="15"/>
        <v>-3.3288348923411175</v>
      </c>
      <c r="T73" s="256">
        <v>-3923</v>
      </c>
      <c r="U73" s="252">
        <f>(U64-U69)/(U65-U70)</f>
        <v>-4063.0355404539878</v>
      </c>
      <c r="V73" s="254">
        <f t="shared" si="16"/>
        <v>-3.5696033763443227</v>
      </c>
      <c r="W73" s="257">
        <v>-4212</v>
      </c>
      <c r="X73" s="258">
        <f>(X64-X69)/(X65-X70)</f>
        <v>-4711.3517446356118</v>
      </c>
      <c r="Y73" s="259">
        <f t="shared" si="17"/>
        <v>-11.855454526011675</v>
      </c>
      <c r="Z73" s="257">
        <v>-4556</v>
      </c>
      <c r="AA73" s="258">
        <f>(AA64-AA69)/(AA65-AA70)</f>
        <v>-5596.4057090230745</v>
      </c>
      <c r="AB73" s="259">
        <f t="shared" si="18"/>
        <v>-22.835946203315945</v>
      </c>
      <c r="AC73" s="257">
        <v>-4844</v>
      </c>
      <c r="AD73" s="258">
        <f>(AD64-AD69)/(AD65-AD70)</f>
        <v>-6868.5360343365028</v>
      </c>
      <c r="AE73" s="259">
        <f t="shared" si="19"/>
        <v>-41.794715820324171</v>
      </c>
    </row>
    <row r="75" spans="1:31" x14ac:dyDescent="0.2">
      <c r="A75" s="93" t="s">
        <v>218</v>
      </c>
    </row>
    <row r="76" spans="1:31" x14ac:dyDescent="0.2">
      <c r="A76" s="249"/>
      <c r="B76" s="266">
        <v>25</v>
      </c>
      <c r="C76" s="266"/>
      <c r="D76" s="266"/>
      <c r="E76" s="266">
        <v>30</v>
      </c>
      <c r="F76" s="266"/>
      <c r="G76" s="266"/>
      <c r="H76" s="266">
        <v>35</v>
      </c>
      <c r="I76" s="266"/>
      <c r="J76" s="266"/>
      <c r="K76" s="266">
        <v>40</v>
      </c>
      <c r="L76" s="266"/>
      <c r="M76" s="266"/>
      <c r="N76" s="266">
        <v>45</v>
      </c>
      <c r="O76" s="266"/>
      <c r="P76" s="266"/>
      <c r="Q76" s="266">
        <v>50</v>
      </c>
      <c r="R76" s="266"/>
      <c r="S76" s="266"/>
      <c r="T76" s="266">
        <v>55</v>
      </c>
      <c r="U76" s="266"/>
      <c r="V76" s="266"/>
      <c r="W76" s="266">
        <v>60</v>
      </c>
      <c r="X76" s="266"/>
      <c r="Y76" s="266"/>
      <c r="Z76" s="266">
        <v>65</v>
      </c>
      <c r="AA76" s="266"/>
      <c r="AB76" s="266"/>
      <c r="AC76" s="266">
        <v>70</v>
      </c>
      <c r="AD76" s="266"/>
      <c r="AE76" s="266"/>
    </row>
    <row r="77" spans="1:31" x14ac:dyDescent="0.2">
      <c r="A77" s="249"/>
      <c r="B77" s="250" t="s">
        <v>243</v>
      </c>
      <c r="C77" s="250" t="s">
        <v>242</v>
      </c>
      <c r="D77" s="250" t="s">
        <v>244</v>
      </c>
      <c r="E77" s="250" t="s">
        <v>243</v>
      </c>
      <c r="F77" s="250" t="s">
        <v>242</v>
      </c>
      <c r="G77" s="250" t="s">
        <v>244</v>
      </c>
      <c r="H77" s="250" t="s">
        <v>243</v>
      </c>
      <c r="I77" s="250" t="s">
        <v>242</v>
      </c>
      <c r="J77" s="250" t="s">
        <v>244</v>
      </c>
      <c r="K77" s="250" t="s">
        <v>243</v>
      </c>
      <c r="L77" s="250" t="s">
        <v>242</v>
      </c>
      <c r="M77" s="250" t="s">
        <v>244</v>
      </c>
      <c r="N77" s="250" t="s">
        <v>243</v>
      </c>
      <c r="O77" s="250" t="s">
        <v>242</v>
      </c>
      <c r="P77" s="250" t="s">
        <v>244</v>
      </c>
      <c r="Q77" s="250" t="s">
        <v>243</v>
      </c>
      <c r="R77" s="250" t="s">
        <v>242</v>
      </c>
      <c r="S77" s="250" t="s">
        <v>244</v>
      </c>
      <c r="T77" s="250" t="s">
        <v>243</v>
      </c>
      <c r="U77" s="250" t="s">
        <v>242</v>
      </c>
      <c r="V77" s="250" t="s">
        <v>244</v>
      </c>
      <c r="W77" s="250" t="s">
        <v>243</v>
      </c>
      <c r="X77" s="250" t="s">
        <v>242</v>
      </c>
      <c r="Y77" s="250" t="s">
        <v>244</v>
      </c>
      <c r="Z77" s="250" t="s">
        <v>243</v>
      </c>
      <c r="AA77" s="250" t="s">
        <v>242</v>
      </c>
      <c r="AB77" s="250" t="s">
        <v>244</v>
      </c>
      <c r="AC77" s="250" t="s">
        <v>243</v>
      </c>
      <c r="AD77" s="250" t="s">
        <v>242</v>
      </c>
      <c r="AE77" s="250" t="s">
        <v>244</v>
      </c>
    </row>
    <row r="78" spans="1:31" x14ac:dyDescent="0.2">
      <c r="A78" s="162" t="s">
        <v>40</v>
      </c>
      <c r="B78" s="59">
        <v>6731</v>
      </c>
      <c r="C78" s="163">
        <v>6573.7467348712626</v>
      </c>
      <c r="D78" s="163">
        <f>ABS(B78-C78) / B78*100</f>
        <v>2.3362541246283977</v>
      </c>
      <c r="E78" s="59">
        <v>6183</v>
      </c>
      <c r="F78" s="163">
        <v>6022.5896119488998</v>
      </c>
      <c r="G78" s="163">
        <f>ABS(E78-F78) / E78*100</f>
        <v>2.5943779403380267</v>
      </c>
      <c r="H78" s="59">
        <v>5576</v>
      </c>
      <c r="I78" s="163">
        <v>5412.5276046878471</v>
      </c>
      <c r="J78" s="163">
        <f>ABS(H78-I78) / H78*100</f>
        <v>2.9317144066024552</v>
      </c>
      <c r="K78" s="59">
        <v>4924</v>
      </c>
      <c r="L78" s="163">
        <v>4755.0607813424922</v>
      </c>
      <c r="M78" s="163">
        <f>ABS(K78-L78) / K78*100</f>
        <v>3.4309345787471122</v>
      </c>
      <c r="N78" s="59">
        <v>4218</v>
      </c>
      <c r="O78" s="163">
        <v>4066.0092306210327</v>
      </c>
      <c r="P78" s="163">
        <f>ABS(N78-O78) / N78*100</f>
        <v>3.6033847647929669</v>
      </c>
      <c r="Q78" s="59">
        <v>3505</v>
      </c>
      <c r="R78" s="163">
        <v>3366.0778757807375</v>
      </c>
      <c r="S78" s="163">
        <f>ABS(Q78-R78) / Q78*100</f>
        <v>3.9635413471972183</v>
      </c>
      <c r="T78" s="59">
        <v>2743</v>
      </c>
      <c r="U78" s="163">
        <v>2676.8999371546806</v>
      </c>
      <c r="V78" s="163">
        <f>ABS(T78-U78) / T78*100</f>
        <v>2.4097726155785404</v>
      </c>
      <c r="W78" s="59">
        <v>2078</v>
      </c>
      <c r="X78" s="163">
        <v>2021.7088197763287</v>
      </c>
      <c r="Y78" s="163">
        <f>ABS(W78-X78) / W78*100</f>
        <v>2.7089114640842777</v>
      </c>
      <c r="Z78" s="59">
        <v>1449</v>
      </c>
      <c r="AA78" s="163">
        <v>1421.9325247638765</v>
      </c>
      <c r="AB78" s="163">
        <f>ABS(Z78-AA78) / Z78*100</f>
        <v>1.8680107133280559</v>
      </c>
      <c r="AC78" s="59">
        <v>922</v>
      </c>
      <c r="AD78" s="59">
        <v>897.30404175997</v>
      </c>
      <c r="AE78" s="163">
        <f>ABS(AC78-AD78) / AC78*100</f>
        <v>2.6785204164891536</v>
      </c>
    </row>
    <row r="79" spans="1:31" x14ac:dyDescent="0.2">
      <c r="A79" s="162" t="s">
        <v>13</v>
      </c>
      <c r="B79" s="59">
        <v>5373</v>
      </c>
      <c r="C79" s="163">
        <v>5259.5891058096631</v>
      </c>
      <c r="D79" s="163">
        <f t="shared" ref="D79:D90" si="20">ABS(B79-C79) / B79*100</f>
        <v>2.1107555218748719</v>
      </c>
      <c r="E79" s="59">
        <v>5013</v>
      </c>
      <c r="F79" s="163">
        <v>4899.2579684822667</v>
      </c>
      <c r="G79" s="163">
        <f t="shared" ref="G79:G90" si="21">ABS(E79-F79) / E79*100</f>
        <v>2.2689413827594906</v>
      </c>
      <c r="H79" s="59">
        <v>4600</v>
      </c>
      <c r="I79" s="163">
        <v>4491.2953142757133</v>
      </c>
      <c r="J79" s="163">
        <f t="shared" ref="J79:J90" si="22">ABS(H79-I79) / H79*100</f>
        <v>2.3631453418323201</v>
      </c>
      <c r="K79" s="59">
        <v>4148</v>
      </c>
      <c r="L79" s="163">
        <v>4040.8334329005756</v>
      </c>
      <c r="M79" s="163">
        <f t="shared" ref="M79:M90" si="23">ABS(K79-L79) / K79*100</f>
        <v>2.5835720130044444</v>
      </c>
      <c r="N79" s="59">
        <v>3649</v>
      </c>
      <c r="O79" s="163">
        <v>3556.0129047581122</v>
      </c>
      <c r="P79" s="163">
        <f t="shared" ref="P79:P90" si="24">ABS(N79-O79) / N79*100</f>
        <v>2.5482898120550233</v>
      </c>
      <c r="Q79" s="59">
        <v>3126</v>
      </c>
      <c r="R79" s="163">
        <v>3048.9340653604659</v>
      </c>
      <c r="S79" s="163">
        <f t="shared" ref="S79:S90" si="25">ABS(Q79-R79) / Q79*100</f>
        <v>2.4653210057432542</v>
      </c>
      <c r="T79" s="59">
        <v>2594</v>
      </c>
      <c r="U79" s="163">
        <v>2532.7303183335898</v>
      </c>
      <c r="V79" s="163">
        <f t="shared" ref="V79:V90" si="26">ABS(T79-U79) / T79*100</f>
        <v>2.3619769339402534</v>
      </c>
      <c r="W79" s="59">
        <v>2013</v>
      </c>
      <c r="X79" s="163">
        <v>2022.6259135155033</v>
      </c>
      <c r="Y79" s="163">
        <f t="shared" ref="Y79:Y90" si="27">ABS(W79-X79) / W79*100</f>
        <v>0.47818745730269602</v>
      </c>
      <c r="Z79" s="59">
        <v>1514</v>
      </c>
      <c r="AA79" s="163">
        <v>1533.1127185570399</v>
      </c>
      <c r="AB79" s="163">
        <f t="shared" ref="AB79:AB90" si="28">ABS(Z79-AA79) / Z79*100</f>
        <v>1.2623988478890289</v>
      </c>
      <c r="AC79" s="59">
        <v>1075</v>
      </c>
      <c r="AD79" s="59">
        <v>1077.7068296485302</v>
      </c>
      <c r="AE79" s="163">
        <f t="shared" ref="AE79:AE90" si="29">ABS(AC79-AD79) / AC79*100</f>
        <v>0.25179810684001619</v>
      </c>
    </row>
    <row r="80" spans="1:31" x14ac:dyDescent="0.2">
      <c r="A80" s="162" t="s">
        <v>39</v>
      </c>
      <c r="B80" s="59">
        <v>3575</v>
      </c>
      <c r="C80" s="163">
        <v>3572.6899648287726</v>
      </c>
      <c r="D80" s="163">
        <f t="shared" si="20"/>
        <v>6.4616368425939999E-2</v>
      </c>
      <c r="E80" s="59">
        <v>3302</v>
      </c>
      <c r="F80" s="163">
        <v>3299.3928284278586</v>
      </c>
      <c r="G80" s="163">
        <f t="shared" si="21"/>
        <v>7.8957346218697655E-2</v>
      </c>
      <c r="H80" s="59">
        <v>3009</v>
      </c>
      <c r="I80" s="163">
        <v>2993.962403449003</v>
      </c>
      <c r="J80" s="163">
        <f t="shared" si="22"/>
        <v>0.49975395649707616</v>
      </c>
      <c r="K80" s="59">
        <v>2679</v>
      </c>
      <c r="L80" s="163">
        <v>2661.3325842576091</v>
      </c>
      <c r="M80" s="163">
        <f t="shared" si="23"/>
        <v>0.65947800456852779</v>
      </c>
      <c r="N80" s="59">
        <v>2338</v>
      </c>
      <c r="O80" s="163">
        <v>2308.6354302369245</v>
      </c>
      <c r="P80" s="163">
        <f t="shared" si="24"/>
        <v>1.2559696220306009</v>
      </c>
      <c r="Q80" s="59">
        <v>1974</v>
      </c>
      <c r="R80" s="163">
        <v>1945.670115914161</v>
      </c>
      <c r="S80" s="163">
        <f t="shared" si="25"/>
        <v>1.4351511694953907</v>
      </c>
      <c r="T80" s="59">
        <v>1604</v>
      </c>
      <c r="U80" s="163">
        <v>1582.828725134282</v>
      </c>
      <c r="V80" s="163">
        <f t="shared" si="26"/>
        <v>1.3199049168153387</v>
      </c>
      <c r="W80" s="59">
        <v>1234</v>
      </c>
      <c r="X80" s="163">
        <v>1231.6323753959866</v>
      </c>
      <c r="Y80" s="163">
        <f t="shared" si="27"/>
        <v>0.19186585121664279</v>
      </c>
      <c r="Z80" s="59">
        <v>903</v>
      </c>
      <c r="AA80" s="163">
        <v>902.84947825304403</v>
      </c>
      <c r="AB80" s="163">
        <f t="shared" si="28"/>
        <v>1.6669074967438968E-2</v>
      </c>
      <c r="AC80" s="59">
        <v>613</v>
      </c>
      <c r="AD80" s="59">
        <v>606.44898032557433</v>
      </c>
      <c r="AE80" s="163">
        <f t="shared" si="29"/>
        <v>1.0686818392211541</v>
      </c>
    </row>
    <row r="81" spans="1:31" x14ac:dyDescent="0.2">
      <c r="A81" s="162" t="s">
        <v>241</v>
      </c>
      <c r="B81" s="59">
        <v>15582</v>
      </c>
      <c r="C81" s="163">
        <v>16346.512820512327</v>
      </c>
      <c r="D81" s="163">
        <f t="shared" si="20"/>
        <v>4.9063844212060541</v>
      </c>
      <c r="E81" s="59">
        <v>15007</v>
      </c>
      <c r="F81" s="163">
        <v>15734.831783763888</v>
      </c>
      <c r="G81" s="163">
        <f t="shared" si="21"/>
        <v>4.8499485824207893</v>
      </c>
      <c r="H81" s="59">
        <v>14294</v>
      </c>
      <c r="I81" s="163">
        <v>14963.782066534533</v>
      </c>
      <c r="J81" s="163">
        <f t="shared" si="22"/>
        <v>4.6857567268401663</v>
      </c>
      <c r="K81" s="59">
        <v>13421</v>
      </c>
      <c r="L81" s="163">
        <v>14020.415043631443</v>
      </c>
      <c r="M81" s="163">
        <f t="shared" si="23"/>
        <v>4.4662472515568368</v>
      </c>
      <c r="N81" s="59">
        <v>12359</v>
      </c>
      <c r="O81" s="163">
        <v>12898.141670804491</v>
      </c>
      <c r="P81" s="163">
        <f t="shared" si="24"/>
        <v>4.3623405680434564</v>
      </c>
      <c r="Q81" s="59">
        <v>11129</v>
      </c>
      <c r="R81" s="163">
        <v>11603.130588929524</v>
      </c>
      <c r="S81" s="163">
        <f t="shared" si="25"/>
        <v>4.260316191297723</v>
      </c>
      <c r="T81" s="59">
        <v>9701</v>
      </c>
      <c r="U81" s="163">
        <v>10147.316573303115</v>
      </c>
      <c r="V81" s="163">
        <f t="shared" si="26"/>
        <v>4.6007274848274884</v>
      </c>
      <c r="W81" s="59">
        <v>8154</v>
      </c>
      <c r="X81" s="163">
        <v>8556.1547336076292</v>
      </c>
      <c r="Y81" s="163">
        <f t="shared" si="27"/>
        <v>4.9319932990879227</v>
      </c>
      <c r="Z81" s="59">
        <v>6540</v>
      </c>
      <c r="AA81" s="163">
        <v>6861.7021043285267</v>
      </c>
      <c r="AB81" s="163">
        <f t="shared" si="28"/>
        <v>4.9189924209254849</v>
      </c>
      <c r="AC81" s="59">
        <v>4909</v>
      </c>
      <c r="AD81" s="59">
        <v>5105.5728020344804</v>
      </c>
      <c r="AE81" s="163">
        <f t="shared" si="29"/>
        <v>4.004334936534538</v>
      </c>
    </row>
    <row r="82" spans="1:31" ht="13.5" thickBot="1" x14ac:dyDescent="0.25">
      <c r="A82" s="162" t="s">
        <v>288</v>
      </c>
      <c r="B82" s="59">
        <v>15.9</v>
      </c>
      <c r="C82" s="163">
        <v>19.669214741464419</v>
      </c>
      <c r="D82" s="163">
        <f t="shared" si="20"/>
        <v>23.705753090971186</v>
      </c>
      <c r="E82" s="59">
        <v>15.3</v>
      </c>
      <c r="F82" s="163">
        <v>19.236377485795693</v>
      </c>
      <c r="G82" s="163">
        <f t="shared" si="21"/>
        <v>25.727957423501252</v>
      </c>
      <c r="H82" s="59">
        <v>14.7</v>
      </c>
      <c r="I82" s="163">
        <v>18.663985850508567</v>
      </c>
      <c r="J82" s="163">
        <f t="shared" si="22"/>
        <v>26.965890139514066</v>
      </c>
      <c r="K82" s="59">
        <v>13.9</v>
      </c>
      <c r="L82" s="163">
        <v>17.929429163464498</v>
      </c>
      <c r="M82" s="163">
        <f t="shared" si="23"/>
        <v>28.988699017730195</v>
      </c>
      <c r="N82" s="59">
        <v>13.1</v>
      </c>
      <c r="O82" s="163">
        <v>17.010390627742542</v>
      </c>
      <c r="P82" s="163">
        <f t="shared" si="24"/>
        <v>29.850310135439251</v>
      </c>
      <c r="Q82" s="59">
        <v>12.1</v>
      </c>
      <c r="R82" s="163">
        <v>15.892105848455421</v>
      </c>
      <c r="S82" s="163">
        <f t="shared" si="25"/>
        <v>31.339717755829927</v>
      </c>
      <c r="T82" s="59">
        <v>10.9</v>
      </c>
      <c r="U82" s="163">
        <v>14.556558943343934</v>
      </c>
      <c r="V82" s="163">
        <f t="shared" si="26"/>
        <v>33.546412324256266</v>
      </c>
      <c r="W82" s="59">
        <v>9.6</v>
      </c>
      <c r="X82" s="163">
        <v>12.991512976697672</v>
      </c>
      <c r="Y82" s="163">
        <f t="shared" si="27"/>
        <v>35.32826017393409</v>
      </c>
      <c r="Z82" s="59">
        <v>8.1999999999999993</v>
      </c>
      <c r="AA82" s="163">
        <v>11.178330682843971</v>
      </c>
      <c r="AB82" s="163">
        <f t="shared" si="28"/>
        <v>36.321105888341116</v>
      </c>
      <c r="AC82" s="59">
        <v>6.5</v>
      </c>
      <c r="AD82" s="59">
        <v>9.0904480833027552</v>
      </c>
      <c r="AE82" s="163">
        <f t="shared" si="29"/>
        <v>39.853047435427001</v>
      </c>
    </row>
    <row r="83" spans="1:31" s="76" customFormat="1" x14ac:dyDescent="0.2">
      <c r="A83" s="162" t="s">
        <v>268</v>
      </c>
      <c r="B83" s="59">
        <v>832</v>
      </c>
      <c r="C83" s="59">
        <v>843.39010470260473</v>
      </c>
      <c r="D83" s="163">
        <f t="shared" si="20"/>
        <v>1.3690029690630685</v>
      </c>
      <c r="E83" s="59">
        <v>777</v>
      </c>
      <c r="F83" s="59">
        <v>780.13244818280089</v>
      </c>
      <c r="G83" s="163">
        <f t="shared" si="21"/>
        <v>0.40314648427295824</v>
      </c>
      <c r="H83" s="59">
        <v>701</v>
      </c>
      <c r="I83" s="59">
        <v>712.01560941367654</v>
      </c>
      <c r="J83" s="163">
        <f t="shared" si="22"/>
        <v>1.5714136110808192</v>
      </c>
      <c r="K83" s="59">
        <v>630</v>
      </c>
      <c r="L83" s="59">
        <v>639.65744568625621</v>
      </c>
      <c r="M83" s="163">
        <f t="shared" si="23"/>
        <v>1.5329278867073348</v>
      </c>
      <c r="N83" s="59">
        <v>556</v>
      </c>
      <c r="O83" s="59">
        <v>563.88677877618318</v>
      </c>
      <c r="P83" s="163">
        <f t="shared" si="24"/>
        <v>1.4184853913998521</v>
      </c>
      <c r="Q83" s="59">
        <v>480</v>
      </c>
      <c r="R83" s="59">
        <v>485.8895949723007</v>
      </c>
      <c r="S83" s="163">
        <f t="shared" si="25"/>
        <v>1.2269989525626457</v>
      </c>
      <c r="T83" s="59">
        <v>401</v>
      </c>
      <c r="U83" s="59">
        <v>406.76867601949562</v>
      </c>
      <c r="V83" s="163">
        <f t="shared" si="26"/>
        <v>1.438572573440303</v>
      </c>
      <c r="W83" s="59">
        <v>323</v>
      </c>
      <c r="X83" s="59">
        <v>327.785329820431</v>
      </c>
      <c r="Y83" s="163">
        <f t="shared" si="27"/>
        <v>1.4815262601953567</v>
      </c>
      <c r="Z83" s="59">
        <v>246</v>
      </c>
      <c r="AA83" s="59">
        <v>250.03156401154936</v>
      </c>
      <c r="AB83" s="163">
        <f t="shared" si="28"/>
        <v>1.638847159166408</v>
      </c>
      <c r="AC83" s="59">
        <v>174</v>
      </c>
      <c r="AD83" s="59">
        <v>174.64737209650806</v>
      </c>
      <c r="AE83" s="163">
        <f t="shared" si="29"/>
        <v>0.37205292902762327</v>
      </c>
    </row>
    <row r="84" spans="1:31" s="53" customFormat="1" x14ac:dyDescent="0.2">
      <c r="A84" s="162" t="s">
        <v>269</v>
      </c>
      <c r="B84" s="59">
        <v>581</v>
      </c>
      <c r="C84" s="59">
        <v>587.09438855070937</v>
      </c>
      <c r="D84" s="163">
        <f t="shared" si="20"/>
        <v>1.0489481154405109</v>
      </c>
      <c r="E84" s="59">
        <v>545</v>
      </c>
      <c r="F84" s="59">
        <v>549.3662672535487</v>
      </c>
      <c r="G84" s="163">
        <f t="shared" si="21"/>
        <v>0.80114995477957773</v>
      </c>
      <c r="H84" s="59">
        <v>502</v>
      </c>
      <c r="I84" s="59">
        <v>508.39821570912778</v>
      </c>
      <c r="J84" s="163">
        <f t="shared" si="22"/>
        <v>1.2745449619776461</v>
      </c>
      <c r="K84" s="59">
        <v>459</v>
      </c>
      <c r="L84" s="59">
        <v>464.47392597180527</v>
      </c>
      <c r="M84" s="163">
        <f t="shared" si="23"/>
        <v>1.1925764644455932</v>
      </c>
      <c r="N84" s="59">
        <v>418</v>
      </c>
      <c r="O84" s="59">
        <v>417.99473658534231</v>
      </c>
      <c r="P84" s="163">
        <f t="shared" si="24"/>
        <v>1.2591901094953697E-3</v>
      </c>
      <c r="Q84" s="59">
        <v>370</v>
      </c>
      <c r="R84" s="59">
        <v>369.59856273996263</v>
      </c>
      <c r="S84" s="163">
        <f t="shared" si="25"/>
        <v>0.10849655676685649</v>
      </c>
      <c r="T84" s="59">
        <v>317</v>
      </c>
      <c r="U84" s="59">
        <v>319.84339333322117</v>
      </c>
      <c r="V84" s="163">
        <f t="shared" si="26"/>
        <v>0.89696950574800383</v>
      </c>
      <c r="W84" s="59">
        <v>264</v>
      </c>
      <c r="X84" s="59">
        <v>269.37216158406625</v>
      </c>
      <c r="Y84" s="163">
        <f t="shared" si="27"/>
        <v>2.0349096909341848</v>
      </c>
      <c r="Z84" s="59">
        <v>209</v>
      </c>
      <c r="AA84" s="59">
        <v>218.61039554215873</v>
      </c>
      <c r="AB84" s="163">
        <f t="shared" si="28"/>
        <v>4.5982753790233142</v>
      </c>
      <c r="AC84" s="59">
        <v>161</v>
      </c>
      <c r="AD84" s="59">
        <v>167.73961132828515</v>
      </c>
      <c r="AE84" s="163">
        <f t="shared" si="29"/>
        <v>4.1860939927236958</v>
      </c>
    </row>
    <row r="85" spans="1:31" s="53" customFormat="1" x14ac:dyDescent="0.2">
      <c r="A85" s="162" t="s">
        <v>270</v>
      </c>
      <c r="B85" s="59">
        <v>500</v>
      </c>
      <c r="C85" s="59">
        <v>508.86260532589478</v>
      </c>
      <c r="D85" s="163">
        <f t="shared" si="20"/>
        <v>1.7725210651789551</v>
      </c>
      <c r="E85" s="59">
        <v>469</v>
      </c>
      <c r="F85" s="59">
        <v>473.52333476764613</v>
      </c>
      <c r="G85" s="163">
        <f t="shared" si="21"/>
        <v>0.96446370312284291</v>
      </c>
      <c r="H85" s="59">
        <v>427</v>
      </c>
      <c r="I85" s="59">
        <v>435.42785236158454</v>
      </c>
      <c r="J85" s="163">
        <f t="shared" si="22"/>
        <v>1.9737359160619534</v>
      </c>
      <c r="K85" s="59">
        <v>384</v>
      </c>
      <c r="L85" s="59">
        <v>394.87865899540651</v>
      </c>
      <c r="M85" s="163">
        <f t="shared" si="23"/>
        <v>2.8329841133871119</v>
      </c>
      <c r="N85" s="59">
        <v>340</v>
      </c>
      <c r="O85" s="59">
        <v>352.28344858830724</v>
      </c>
      <c r="P85" s="163">
        <f t="shared" si="24"/>
        <v>3.6127789965609525</v>
      </c>
      <c r="Q85" s="59">
        <v>297</v>
      </c>
      <c r="R85" s="59">
        <v>308.25136059310182</v>
      </c>
      <c r="S85" s="163">
        <f t="shared" si="25"/>
        <v>3.7883369000342837</v>
      </c>
      <c r="T85" s="59">
        <v>252</v>
      </c>
      <c r="U85" s="59">
        <v>263.32365878664592</v>
      </c>
      <c r="V85" s="163">
        <f t="shared" si="26"/>
        <v>4.4935153915261594</v>
      </c>
      <c r="W85" s="59">
        <v>211</v>
      </c>
      <c r="X85" s="59">
        <v>218.12015568121976</v>
      </c>
      <c r="Y85" s="163">
        <f t="shared" si="27"/>
        <v>3.3744813655069934</v>
      </c>
      <c r="Z85" s="59">
        <v>164</v>
      </c>
      <c r="AA85" s="59">
        <v>173.10994387377525</v>
      </c>
      <c r="AB85" s="163">
        <f t="shared" si="28"/>
        <v>5.5548438254727142</v>
      </c>
      <c r="AC85" s="59">
        <v>122</v>
      </c>
      <c r="AD85" s="59">
        <v>128.66176914372585</v>
      </c>
      <c r="AE85" s="163">
        <f t="shared" si="29"/>
        <v>5.4604665112506963</v>
      </c>
    </row>
    <row r="86" spans="1:31" s="53" customFormat="1" x14ac:dyDescent="0.2">
      <c r="A86" s="162" t="s">
        <v>271</v>
      </c>
      <c r="B86" s="59">
        <v>1850</v>
      </c>
      <c r="C86" s="59">
        <v>2007.1006062409383</v>
      </c>
      <c r="D86" s="163">
        <f t="shared" si="20"/>
        <v>8.4919246616723409</v>
      </c>
      <c r="E86" s="59">
        <v>1796</v>
      </c>
      <c r="F86" s="59">
        <v>1952.23473518936</v>
      </c>
      <c r="G86" s="163">
        <f t="shared" si="21"/>
        <v>8.6990387076481053</v>
      </c>
      <c r="H86" s="59">
        <v>1723</v>
      </c>
      <c r="I86" s="59">
        <v>1884.5203956685193</v>
      </c>
      <c r="J86" s="163">
        <f t="shared" si="22"/>
        <v>9.3743700329958983</v>
      </c>
      <c r="K86" s="59">
        <v>1648</v>
      </c>
      <c r="L86" s="164">
        <v>1802.7413807316154</v>
      </c>
      <c r="M86" s="163">
        <f t="shared" si="23"/>
        <v>9.389646889054335</v>
      </c>
      <c r="N86" s="59">
        <v>1568</v>
      </c>
      <c r="O86" s="59">
        <v>1705.9461953011148</v>
      </c>
      <c r="P86" s="163">
        <f t="shared" si="24"/>
        <v>8.7975889860404859</v>
      </c>
      <c r="Q86" s="59">
        <v>1469</v>
      </c>
      <c r="R86" s="164">
        <v>1593.9457759020047</v>
      </c>
      <c r="S86" s="163">
        <f t="shared" si="25"/>
        <v>8.5054986999322466</v>
      </c>
      <c r="T86" s="59">
        <v>1350</v>
      </c>
      <c r="U86" s="59">
        <v>1466.5180110547049</v>
      </c>
      <c r="V86" s="163">
        <f t="shared" si="26"/>
        <v>8.6309637818299887</v>
      </c>
      <c r="W86" s="59">
        <v>1225</v>
      </c>
      <c r="X86" s="164">
        <v>1324.0627343068263</v>
      </c>
      <c r="Y86" s="163">
        <f t="shared" si="27"/>
        <v>8.0867538209654128</v>
      </c>
      <c r="Z86" s="59">
        <v>1088</v>
      </c>
      <c r="AA86" s="59">
        <v>1166.874684334859</v>
      </c>
      <c r="AB86" s="163">
        <f t="shared" si="28"/>
        <v>7.2495114278363069</v>
      </c>
      <c r="AC86" s="59">
        <v>930</v>
      </c>
      <c r="AD86" s="59">
        <v>995.60435499582138</v>
      </c>
      <c r="AE86" s="163">
        <f t="shared" si="29"/>
        <v>7.0542317199807938</v>
      </c>
    </row>
    <row r="87" spans="1:31" s="79" customFormat="1" ht="13.5" thickBot="1" x14ac:dyDescent="0.25">
      <c r="A87" s="162" t="s">
        <v>288</v>
      </c>
      <c r="B87" s="235">
        <v>21.4</v>
      </c>
      <c r="C87" s="236">
        <v>24.93079459961687</v>
      </c>
      <c r="D87" s="163">
        <f t="shared" si="20"/>
        <v>16.499040185125573</v>
      </c>
      <c r="E87" s="235">
        <v>20.2</v>
      </c>
      <c r="F87" s="236">
        <v>23.882774198254179</v>
      </c>
      <c r="G87" s="163">
        <f t="shared" si="21"/>
        <v>18.231555436901882</v>
      </c>
      <c r="H87" s="235">
        <v>19</v>
      </c>
      <c r="I87" s="236">
        <v>22.670818216603834</v>
      </c>
      <c r="J87" s="163">
        <f t="shared" si="22"/>
        <v>19.320095876862283</v>
      </c>
      <c r="K87" s="235">
        <v>17.600000000000001</v>
      </c>
      <c r="L87" s="236">
        <v>21.288585267591483</v>
      </c>
      <c r="M87" s="163">
        <f t="shared" si="23"/>
        <v>20.957870838587962</v>
      </c>
      <c r="N87" s="235">
        <v>16.100000000000001</v>
      </c>
      <c r="O87" s="236">
        <v>19.732506575572717</v>
      </c>
      <c r="P87" s="163">
        <f t="shared" si="24"/>
        <v>22.562152643308792</v>
      </c>
      <c r="Q87" s="235">
        <v>14.5</v>
      </c>
      <c r="R87" s="236">
        <v>18.008659696164699</v>
      </c>
      <c r="S87" s="163">
        <f t="shared" si="25"/>
        <v>24.197653076997923</v>
      </c>
      <c r="T87" s="235">
        <v>12.9</v>
      </c>
      <c r="U87" s="236">
        <v>16.118624705722596</v>
      </c>
      <c r="V87" s="163">
        <f t="shared" si="26"/>
        <v>24.950579114128644</v>
      </c>
      <c r="W87" s="235">
        <v>11.1</v>
      </c>
      <c r="X87" s="236">
        <v>14.068376635246294</v>
      </c>
      <c r="Y87" s="163">
        <f t="shared" si="27"/>
        <v>26.742131849065714</v>
      </c>
      <c r="Z87" s="235">
        <v>9.3000000000000007</v>
      </c>
      <c r="AA87" s="236">
        <v>11.853478273455513</v>
      </c>
      <c r="AB87" s="163">
        <f t="shared" si="28"/>
        <v>27.456755628553896</v>
      </c>
      <c r="AC87" s="235">
        <v>7.2</v>
      </c>
      <c r="AD87" s="236">
        <v>9.4569707811117603</v>
      </c>
      <c r="AE87" s="163">
        <f t="shared" si="29"/>
        <v>31.346816404330003</v>
      </c>
    </row>
    <row r="88" spans="1:31" x14ac:dyDescent="0.2">
      <c r="A88" s="162" t="s">
        <v>291</v>
      </c>
      <c r="B88" s="235">
        <v>-2617</v>
      </c>
      <c r="C88" s="236"/>
      <c r="D88" s="163">
        <f t="shared" si="20"/>
        <v>-100</v>
      </c>
      <c r="E88" s="235">
        <v>-2840</v>
      </c>
      <c r="F88" s="236"/>
      <c r="G88" s="163">
        <f t="shared" si="21"/>
        <v>-100</v>
      </c>
      <c r="H88" s="235">
        <v>-3104</v>
      </c>
      <c r="I88" s="236"/>
      <c r="J88" s="163">
        <f t="shared" si="22"/>
        <v>-100</v>
      </c>
      <c r="K88" s="235">
        <v>-3399</v>
      </c>
      <c r="L88" s="236"/>
      <c r="M88" s="163">
        <f t="shared" si="23"/>
        <v>-100</v>
      </c>
      <c r="N88" s="235">
        <v>-3723</v>
      </c>
      <c r="O88" s="236"/>
      <c r="P88" s="163">
        <f t="shared" si="24"/>
        <v>-100</v>
      </c>
      <c r="Q88" s="235">
        <v>-4068</v>
      </c>
      <c r="R88" s="236"/>
      <c r="S88" s="163">
        <f t="shared" si="25"/>
        <v>-100</v>
      </c>
      <c r="T88" s="235">
        <v>-4368</v>
      </c>
      <c r="U88" s="236"/>
      <c r="V88" s="163">
        <f t="shared" si="26"/>
        <v>-100</v>
      </c>
      <c r="W88" s="235">
        <v>-4716</v>
      </c>
      <c r="X88" s="236"/>
      <c r="Y88" s="163">
        <f t="shared" si="27"/>
        <v>-100</v>
      </c>
      <c r="Z88" s="235">
        <v>-5066</v>
      </c>
      <c r="AA88" s="236"/>
      <c r="AB88" s="163">
        <f t="shared" si="28"/>
        <v>-100</v>
      </c>
      <c r="AC88" s="235">
        <v>-5340</v>
      </c>
      <c r="AD88" s="236"/>
      <c r="AE88" s="163">
        <f t="shared" si="29"/>
        <v>-100</v>
      </c>
    </row>
    <row r="89" spans="1:31" x14ac:dyDescent="0.2">
      <c r="A89" s="162" t="s">
        <v>290</v>
      </c>
      <c r="B89" s="235">
        <v>-2036</v>
      </c>
      <c r="C89" s="236"/>
      <c r="D89" s="163">
        <f t="shared" si="20"/>
        <v>-100</v>
      </c>
      <c r="E89" s="235">
        <v>-2186</v>
      </c>
      <c r="F89" s="236"/>
      <c r="G89" s="163">
        <f t="shared" si="21"/>
        <v>-100</v>
      </c>
      <c r="H89" s="235">
        <v>-2386</v>
      </c>
      <c r="I89" s="236"/>
      <c r="J89" s="163">
        <f t="shared" si="22"/>
        <v>-100</v>
      </c>
      <c r="K89" s="235">
        <v>-2620</v>
      </c>
      <c r="L89" s="236"/>
      <c r="M89" s="163">
        <f t="shared" si="23"/>
        <v>-100</v>
      </c>
      <c r="N89" s="235">
        <v>-2877</v>
      </c>
      <c r="O89" s="236"/>
      <c r="P89" s="163">
        <f t="shared" si="24"/>
        <v>-100</v>
      </c>
      <c r="Q89" s="235">
        <v>-3210</v>
      </c>
      <c r="R89" s="236"/>
      <c r="S89" s="163">
        <f t="shared" si="25"/>
        <v>-100</v>
      </c>
      <c r="T89" s="235">
        <v>-3620</v>
      </c>
      <c r="U89" s="236"/>
      <c r="V89" s="163">
        <f t="shared" si="26"/>
        <v>-100</v>
      </c>
      <c r="W89" s="235">
        <v>-4102</v>
      </c>
      <c r="X89" s="236"/>
      <c r="Y89" s="163">
        <f t="shared" si="27"/>
        <v>-100</v>
      </c>
      <c r="Z89" s="235">
        <v>-4776</v>
      </c>
      <c r="AA89" s="236"/>
      <c r="AB89" s="163">
        <f t="shared" si="28"/>
        <v>-100</v>
      </c>
      <c r="AC89" s="235">
        <v>-5704</v>
      </c>
      <c r="AD89" s="236"/>
      <c r="AE89" s="163">
        <f t="shared" si="29"/>
        <v>-100</v>
      </c>
    </row>
    <row r="90" spans="1:31" s="253" customFormat="1" x14ac:dyDescent="0.2">
      <c r="A90" s="162" t="s">
        <v>289</v>
      </c>
      <c r="B90" s="235">
        <v>-2510</v>
      </c>
      <c r="C90" s="236">
        <f>(C81-C86)/(C82-C87)</f>
        <v>-2725.3054407324958</v>
      </c>
      <c r="D90" s="163">
        <f t="shared" si="20"/>
        <v>-8.5779060052787148</v>
      </c>
      <c r="E90" s="235">
        <v>-2714</v>
      </c>
      <c r="F90" s="236">
        <f>(F81-F86)/(F82-F87)</f>
        <v>-2966.2979511884864</v>
      </c>
      <c r="G90" s="163">
        <f t="shared" si="21"/>
        <v>-9.2961662191778345</v>
      </c>
      <c r="H90" s="235">
        <v>-2959</v>
      </c>
      <c r="I90" s="236">
        <f>(I81-I86)/(I82-I87)</f>
        <v>-3264.2397973868815</v>
      </c>
      <c r="J90" s="163">
        <f t="shared" si="22"/>
        <v>-10.315640330749629</v>
      </c>
      <c r="K90" s="235">
        <v>-3235</v>
      </c>
      <c r="L90" s="236">
        <f>(L81-L86)/(L82-L87)</f>
        <v>-3637.1258983437729</v>
      </c>
      <c r="M90" s="163">
        <f t="shared" si="23"/>
        <v>-12.430475992079531</v>
      </c>
      <c r="N90" s="235">
        <v>-3536</v>
      </c>
      <c r="O90" s="236">
        <f>(O81-O86)/(O82-O87)</f>
        <v>-4111.5792604002709</v>
      </c>
      <c r="P90" s="163">
        <f t="shared" si="24"/>
        <v>-16.277694015844766</v>
      </c>
      <c r="Q90" s="235">
        <v>-3869</v>
      </c>
      <c r="R90" s="236">
        <f>(R81-R86)/(R82-R87)</f>
        <v>-4729.0007877004136</v>
      </c>
      <c r="S90" s="163">
        <f t="shared" si="25"/>
        <v>-22.227986241933671</v>
      </c>
      <c r="T90" s="235">
        <v>-4187</v>
      </c>
      <c r="U90" s="236">
        <f>(U81-U86)/(U82-U87)</f>
        <v>-5557.2555082633507</v>
      </c>
      <c r="V90" s="163">
        <f t="shared" si="26"/>
        <v>-32.726427233421326</v>
      </c>
      <c r="W90" s="235">
        <v>-4561</v>
      </c>
      <c r="X90" s="236">
        <f>(X81-X86)/(X82-X87)</f>
        <v>-6715.8845429402772</v>
      </c>
      <c r="Y90" s="163">
        <f t="shared" si="27"/>
        <v>-47.245879038374852</v>
      </c>
      <c r="Z90" s="235">
        <v>-4990</v>
      </c>
      <c r="AA90" s="236">
        <f>(AA81-AA86)/(AA82-AA87)</f>
        <v>-8434.9370407074148</v>
      </c>
      <c r="AB90" s="163">
        <f t="shared" si="28"/>
        <v>-69.036814443034373</v>
      </c>
      <c r="AC90" s="235">
        <v>-5437</v>
      </c>
      <c r="AD90" s="236">
        <f>(AD81-AD86)/(AD82-AD87)</f>
        <v>-11213.407714193907</v>
      </c>
      <c r="AE90" s="163">
        <f t="shared" si="29"/>
        <v>-106.24255497873656</v>
      </c>
    </row>
  </sheetData>
  <mergeCells count="30">
    <mergeCell ref="T76:V76"/>
    <mergeCell ref="W76:Y76"/>
    <mergeCell ref="Z76:AB76"/>
    <mergeCell ref="AC76:AE76"/>
    <mergeCell ref="T59:V59"/>
    <mergeCell ref="W59:Y59"/>
    <mergeCell ref="Z59:AB59"/>
    <mergeCell ref="AC59:AE59"/>
    <mergeCell ref="B76:D76"/>
    <mergeCell ref="E76:G76"/>
    <mergeCell ref="H76:J76"/>
    <mergeCell ref="K76:M76"/>
    <mergeCell ref="N76:P76"/>
    <mergeCell ref="Q76:S76"/>
    <mergeCell ref="W1:Y1"/>
    <mergeCell ref="Z1:AB1"/>
    <mergeCell ref="AC1:AE1"/>
    <mergeCell ref="B1:D1"/>
    <mergeCell ref="B59:D59"/>
    <mergeCell ref="E59:G59"/>
    <mergeCell ref="H59:J59"/>
    <mergeCell ref="K59:M59"/>
    <mergeCell ref="N59:P59"/>
    <mergeCell ref="Q59:S59"/>
    <mergeCell ref="E1:G1"/>
    <mergeCell ref="H1:J1"/>
    <mergeCell ref="K1:M1"/>
    <mergeCell ref="N1:P1"/>
    <mergeCell ref="Q1:S1"/>
    <mergeCell ref="T1:V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3F027-99CB-489C-A54D-549F6411C422}">
  <sheetPr codeName="Hoja23"/>
  <dimension ref="C33:S75"/>
  <sheetViews>
    <sheetView topLeftCell="A34" workbookViewId="0">
      <selection activeCell="R53" sqref="R53"/>
    </sheetView>
  </sheetViews>
  <sheetFormatPr baseColWidth="10" defaultRowHeight="12.75" x14ac:dyDescent="0.2"/>
  <cols>
    <col min="12" max="12" width="25.85546875" customWidth="1"/>
    <col min="18" max="18" width="29.7109375" customWidth="1"/>
  </cols>
  <sheetData>
    <row r="33" spans="12:19" x14ac:dyDescent="0.2">
      <c r="S33">
        <v>7</v>
      </c>
    </row>
    <row r="34" spans="12:19" x14ac:dyDescent="0.2">
      <c r="S34">
        <v>12</v>
      </c>
    </row>
    <row r="35" spans="12:19" x14ac:dyDescent="0.2">
      <c r="S35">
        <v>24</v>
      </c>
    </row>
    <row r="36" spans="12:19" x14ac:dyDescent="0.2">
      <c r="S36">
        <v>19</v>
      </c>
    </row>
    <row r="37" spans="12:19" x14ac:dyDescent="0.2">
      <c r="S37">
        <v>38</v>
      </c>
    </row>
    <row r="41" spans="12:19" x14ac:dyDescent="0.2">
      <c r="L41" s="43" t="s">
        <v>297</v>
      </c>
    </row>
    <row r="42" spans="12:19" x14ac:dyDescent="0.2">
      <c r="L42" s="43" t="s">
        <v>298</v>
      </c>
    </row>
    <row r="43" spans="12:19" x14ac:dyDescent="0.2">
      <c r="L43" s="43" t="s">
        <v>299</v>
      </c>
    </row>
    <row r="44" spans="12:19" x14ac:dyDescent="0.2">
      <c r="L44" s="43" t="s">
        <v>300</v>
      </c>
      <c r="N44" s="48" t="s">
        <v>319</v>
      </c>
      <c r="O44" s="59"/>
      <c r="P44" s="59"/>
      <c r="Q44" s="48" t="s">
        <v>324</v>
      </c>
      <c r="R44" s="48" t="s">
        <v>334</v>
      </c>
    </row>
    <row r="45" spans="12:19" x14ac:dyDescent="0.2">
      <c r="L45" s="43" t="s">
        <v>301</v>
      </c>
      <c r="N45" s="48" t="s">
        <v>320</v>
      </c>
      <c r="O45" s="59"/>
      <c r="P45" s="59">
        <v>16927.745498577387</v>
      </c>
      <c r="Q45" s="59">
        <v>15742</v>
      </c>
      <c r="R45" s="208">
        <v>17006.715596604623</v>
      </c>
      <c r="S45">
        <f>R45/Q45</f>
        <v>1.0803402106850859</v>
      </c>
    </row>
    <row r="46" spans="12:19" x14ac:dyDescent="0.2">
      <c r="L46" s="43" t="s">
        <v>302</v>
      </c>
      <c r="N46" s="48" t="s">
        <v>321</v>
      </c>
      <c r="O46" s="59"/>
      <c r="P46" s="163">
        <v>2848.6963924584302</v>
      </c>
      <c r="Q46" s="59">
        <v>2212</v>
      </c>
      <c r="R46" s="208">
        <v>3058.6565701988875</v>
      </c>
      <c r="S46" s="208">
        <f t="shared" ref="S46:S51" si="0">R46/Q46</f>
        <v>1.3827561348096236</v>
      </c>
    </row>
    <row r="47" spans="12:19" x14ac:dyDescent="0.2">
      <c r="L47" s="43" t="s">
        <v>303</v>
      </c>
      <c r="N47" s="48" t="s">
        <v>322</v>
      </c>
      <c r="O47" s="59"/>
      <c r="P47" s="236">
        <v>5598.5459926781059</v>
      </c>
      <c r="Q47" s="59">
        <v>6200</v>
      </c>
      <c r="R47" s="59">
        <v>4947.9929624540182</v>
      </c>
      <c r="S47" s="208">
        <f t="shared" si="0"/>
        <v>0.79806338104097063</v>
      </c>
    </row>
    <row r="48" spans="12:19" x14ac:dyDescent="0.2">
      <c r="L48" s="43" t="s">
        <v>304</v>
      </c>
      <c r="N48" s="48" t="s">
        <v>323</v>
      </c>
      <c r="O48" s="59"/>
      <c r="P48" s="163">
        <v>8.6158952570589147</v>
      </c>
      <c r="Q48" s="59">
        <v>7.56</v>
      </c>
      <c r="R48" s="208">
        <v>9.0366820173288804</v>
      </c>
      <c r="S48" s="267">
        <f t="shared" si="0"/>
        <v>1.1953283091704869</v>
      </c>
    </row>
    <row r="49" spans="3:19" x14ac:dyDescent="0.2">
      <c r="L49" s="43" t="s">
        <v>305</v>
      </c>
      <c r="N49" s="48" t="s">
        <v>325</v>
      </c>
      <c r="O49" s="59"/>
      <c r="P49" s="236">
        <v>11.130664113924935</v>
      </c>
      <c r="Q49" s="59">
        <v>9.74</v>
      </c>
      <c r="R49" s="208">
        <v>11.855614690080303</v>
      </c>
      <c r="S49" s="267">
        <f t="shared" si="0"/>
        <v>1.2172089004189224</v>
      </c>
    </row>
    <row r="50" spans="3:19" x14ac:dyDescent="0.2">
      <c r="N50" s="152" t="s">
        <v>333</v>
      </c>
      <c r="O50" s="59"/>
      <c r="P50" s="59">
        <f>P49-P48</f>
        <v>2.51476885686602</v>
      </c>
      <c r="Q50" s="59">
        <f>Q49-Q48</f>
        <v>2.1800000000000006</v>
      </c>
      <c r="R50" s="59">
        <f>R49-R48</f>
        <v>2.8189326727514228</v>
      </c>
      <c r="S50" s="208">
        <f t="shared" si="0"/>
        <v>1.2930883819960652</v>
      </c>
    </row>
    <row r="51" spans="3:19" x14ac:dyDescent="0.2">
      <c r="N51" s="152" t="s">
        <v>332</v>
      </c>
      <c r="O51" s="59"/>
      <c r="P51" s="59">
        <f>P45-P46</f>
        <v>14079.049106118957</v>
      </c>
      <c r="Q51" s="59">
        <f>Q45-Q46</f>
        <v>13530</v>
      </c>
      <c r="R51" s="59">
        <f>R45-R46</f>
        <v>13948.059026405735</v>
      </c>
      <c r="S51" s="208">
        <f t="shared" si="0"/>
        <v>1.0308986715747033</v>
      </c>
    </row>
    <row r="53" spans="3:19" x14ac:dyDescent="0.2">
      <c r="L53" t="s">
        <v>306</v>
      </c>
      <c r="M53" s="58" t="s">
        <v>8</v>
      </c>
      <c r="N53" s="50"/>
      <c r="O53" s="50">
        <v>100</v>
      </c>
    </row>
    <row r="54" spans="3:19" x14ac:dyDescent="0.2">
      <c r="L54" t="s">
        <v>307</v>
      </c>
      <c r="M54" s="58" t="s">
        <v>9</v>
      </c>
      <c r="N54" s="50"/>
      <c r="O54" s="50">
        <v>140</v>
      </c>
    </row>
    <row r="55" spans="3:19" x14ac:dyDescent="0.2">
      <c r="L55" t="s">
        <v>308</v>
      </c>
      <c r="M55" s="58" t="s">
        <v>10</v>
      </c>
      <c r="N55" s="50"/>
      <c r="O55" s="50">
        <v>26</v>
      </c>
    </row>
    <row r="56" spans="3:19" x14ac:dyDescent="0.2">
      <c r="L56" t="s">
        <v>309</v>
      </c>
      <c r="M56" s="58"/>
      <c r="N56" s="50"/>
      <c r="O56" s="50"/>
    </row>
    <row r="57" spans="3:19" x14ac:dyDescent="0.2">
      <c r="L57" t="s">
        <v>310</v>
      </c>
      <c r="M57" s="58" t="s">
        <v>11</v>
      </c>
      <c r="N57" s="50">
        <v>61.75</v>
      </c>
      <c r="O57" s="50">
        <v>204</v>
      </c>
    </row>
    <row r="58" spans="3:19" x14ac:dyDescent="0.2">
      <c r="L58" t="s">
        <v>311</v>
      </c>
      <c r="M58" s="58" t="s">
        <v>12</v>
      </c>
      <c r="N58" s="50">
        <v>61.75</v>
      </c>
      <c r="O58" s="50">
        <v>420</v>
      </c>
    </row>
    <row r="59" spans="3:19" x14ac:dyDescent="0.2">
      <c r="L59" t="s">
        <v>312</v>
      </c>
      <c r="M59" s="58" t="s">
        <v>6</v>
      </c>
      <c r="N59" s="50">
        <v>95.56</v>
      </c>
      <c r="O59" s="50">
        <v>489</v>
      </c>
    </row>
    <row r="60" spans="3:19" x14ac:dyDescent="0.2">
      <c r="L60" t="s">
        <v>313</v>
      </c>
      <c r="M60" s="58" t="s">
        <v>13</v>
      </c>
      <c r="N60" s="50">
        <v>848</v>
      </c>
      <c r="O60" s="50">
        <v>5437</v>
      </c>
    </row>
    <row r="61" spans="3:19" x14ac:dyDescent="0.2">
      <c r="L61" t="s">
        <v>314</v>
      </c>
      <c r="M61" s="58" t="s">
        <v>14</v>
      </c>
      <c r="N61" s="50">
        <v>3600</v>
      </c>
      <c r="O61" s="50">
        <v>9998</v>
      </c>
    </row>
    <row r="62" spans="3:19" x14ac:dyDescent="0.2">
      <c r="C62">
        <v>4219.9348992528057</v>
      </c>
    </row>
    <row r="63" spans="3:19" x14ac:dyDescent="0.2">
      <c r="C63">
        <v>3732.440459802991</v>
      </c>
      <c r="L63" t="s">
        <v>315</v>
      </c>
    </row>
    <row r="64" spans="3:19" x14ac:dyDescent="0.2">
      <c r="C64">
        <v>2409.4990674989426</v>
      </c>
      <c r="L64" t="s">
        <v>316</v>
      </c>
    </row>
    <row r="65" spans="3:13" x14ac:dyDescent="0.2">
      <c r="C65">
        <v>3058.6565701988875</v>
      </c>
      <c r="L65" t="s">
        <v>317</v>
      </c>
      <c r="M65" s="43" t="s">
        <v>318</v>
      </c>
    </row>
    <row r="66" spans="3:13" x14ac:dyDescent="0.2">
      <c r="C66">
        <v>9.0366820173288804</v>
      </c>
    </row>
    <row r="68" spans="3:13" x14ac:dyDescent="0.2">
      <c r="C68">
        <v>1762.5527662854222</v>
      </c>
    </row>
    <row r="69" spans="3:13" x14ac:dyDescent="0.2">
      <c r="C69">
        <v>1451.3282975303121</v>
      </c>
    </row>
    <row r="70" spans="3:13" x14ac:dyDescent="0.2">
      <c r="C70">
        <v>1067.6244438902922</v>
      </c>
    </row>
    <row r="71" spans="3:13" x14ac:dyDescent="0.2">
      <c r="C71">
        <v>17006.715596604623</v>
      </c>
    </row>
    <row r="72" spans="3:13" x14ac:dyDescent="0.2">
      <c r="C72">
        <v>11.855614690080303</v>
      </c>
    </row>
    <row r="75" spans="3:13" x14ac:dyDescent="0.2">
      <c r="C75">
        <f>(C71-C65)/(C72-C66)</f>
        <v>4947.9929624540182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69732-F6BA-47FF-AE3D-1AD44FBEC007}">
  <sheetPr codeName="Hoja26"/>
  <dimension ref="B4:U72"/>
  <sheetViews>
    <sheetView tabSelected="1" topLeftCell="A34" workbookViewId="0">
      <selection activeCell="H54" sqref="D54:H57"/>
    </sheetView>
  </sheetViews>
  <sheetFormatPr baseColWidth="10" defaultRowHeight="12.75" x14ac:dyDescent="0.2"/>
  <cols>
    <col min="5" max="5" width="26.140625" customWidth="1"/>
    <col min="12" max="12" width="14.42578125" customWidth="1"/>
  </cols>
  <sheetData>
    <row r="4" spans="11:19" x14ac:dyDescent="0.2">
      <c r="K4" s="43" t="s">
        <v>347</v>
      </c>
    </row>
    <row r="5" spans="11:19" x14ac:dyDescent="0.2">
      <c r="K5" s="43" t="s">
        <v>296</v>
      </c>
      <c r="L5" s="234">
        <v>38710</v>
      </c>
    </row>
    <row r="6" spans="11:19" x14ac:dyDescent="0.2">
      <c r="K6" s="43" t="s">
        <v>348</v>
      </c>
      <c r="L6">
        <v>62</v>
      </c>
    </row>
    <row r="7" spans="11:19" x14ac:dyDescent="0.2">
      <c r="K7" s="43" t="s">
        <v>364</v>
      </c>
      <c r="L7" s="234">
        <v>30336</v>
      </c>
    </row>
    <row r="10" spans="11:19" x14ac:dyDescent="0.2">
      <c r="K10" s="43" t="s">
        <v>349</v>
      </c>
      <c r="L10">
        <v>190</v>
      </c>
    </row>
    <row r="11" spans="11:19" x14ac:dyDescent="0.2">
      <c r="K11" s="43" t="s">
        <v>5</v>
      </c>
      <c r="L11">
        <v>282</v>
      </c>
    </row>
    <row r="12" spans="11:19" x14ac:dyDescent="0.2">
      <c r="K12" s="43" t="s">
        <v>37</v>
      </c>
      <c r="L12">
        <v>420</v>
      </c>
    </row>
    <row r="13" spans="11:19" x14ac:dyDescent="0.2">
      <c r="K13" s="43" t="s">
        <v>38</v>
      </c>
      <c r="L13">
        <v>3049</v>
      </c>
    </row>
    <row r="14" spans="11:19" x14ac:dyDescent="0.2">
      <c r="K14" s="43" t="s">
        <v>350</v>
      </c>
      <c r="L14">
        <v>2489</v>
      </c>
      <c r="N14" s="43" t="s">
        <v>13</v>
      </c>
      <c r="O14" s="43" t="s">
        <v>355</v>
      </c>
      <c r="P14">
        <v>2.3E-2</v>
      </c>
      <c r="R14" s="43" t="s">
        <v>356</v>
      </c>
      <c r="S14">
        <v>0.77</v>
      </c>
    </row>
    <row r="15" spans="11:19" x14ac:dyDescent="0.2">
      <c r="K15" s="43" t="s">
        <v>351</v>
      </c>
      <c r="L15">
        <v>1408</v>
      </c>
      <c r="N15" s="43" t="s">
        <v>39</v>
      </c>
      <c r="O15" s="43" t="s">
        <v>353</v>
      </c>
      <c r="P15">
        <v>0.04</v>
      </c>
      <c r="R15" s="43" t="s">
        <v>357</v>
      </c>
      <c r="S15">
        <v>0.66</v>
      </c>
    </row>
    <row r="16" spans="11:19" x14ac:dyDescent="0.2">
      <c r="K16" s="43" t="s">
        <v>352</v>
      </c>
      <c r="L16">
        <v>956</v>
      </c>
      <c r="N16" s="43" t="s">
        <v>262</v>
      </c>
      <c r="O16">
        <v>0.68600000000000005</v>
      </c>
      <c r="R16" s="43" t="s">
        <v>37</v>
      </c>
      <c r="S16">
        <v>0.55000000000000004</v>
      </c>
    </row>
    <row r="17" spans="11:21" x14ac:dyDescent="0.2">
      <c r="K17" s="43" t="s">
        <v>353</v>
      </c>
      <c r="L17">
        <v>60259</v>
      </c>
      <c r="N17" s="43" t="s">
        <v>37</v>
      </c>
      <c r="O17">
        <v>0.68200000000000005</v>
      </c>
      <c r="R17" s="43" t="s">
        <v>13</v>
      </c>
      <c r="S17">
        <v>0.45</v>
      </c>
    </row>
    <row r="18" spans="11:21" x14ac:dyDescent="0.2">
      <c r="K18" s="43" t="s">
        <v>354</v>
      </c>
      <c r="L18">
        <v>8262</v>
      </c>
      <c r="N18" s="43" t="s">
        <v>13</v>
      </c>
      <c r="O18">
        <v>0.53600000000000003</v>
      </c>
      <c r="R18" s="43" t="s">
        <v>39</v>
      </c>
      <c r="S18">
        <v>0.45</v>
      </c>
    </row>
    <row r="19" spans="11:21" x14ac:dyDescent="0.2">
      <c r="N19" s="43" t="s">
        <v>39</v>
      </c>
      <c r="O19">
        <v>0.95199999999999996</v>
      </c>
      <c r="R19" s="43" t="s">
        <v>264</v>
      </c>
      <c r="S19">
        <v>0.82</v>
      </c>
    </row>
    <row r="20" spans="11:21" x14ac:dyDescent="0.2">
      <c r="R20" s="43" t="s">
        <v>358</v>
      </c>
      <c r="S20">
        <v>0.72</v>
      </c>
    </row>
    <row r="21" spans="11:21" x14ac:dyDescent="0.2">
      <c r="R21" s="43" t="s">
        <v>258</v>
      </c>
      <c r="S21">
        <v>0.72</v>
      </c>
    </row>
    <row r="23" spans="11:21" x14ac:dyDescent="0.2">
      <c r="K23" s="43" t="s">
        <v>361</v>
      </c>
      <c r="L23">
        <v>2410</v>
      </c>
      <c r="M23">
        <v>3818</v>
      </c>
    </row>
    <row r="24" spans="11:21" x14ac:dyDescent="0.2">
      <c r="M24">
        <v>4434</v>
      </c>
    </row>
    <row r="25" spans="11:21" x14ac:dyDescent="0.2">
      <c r="K25" s="58" t="s">
        <v>8</v>
      </c>
      <c r="L25">
        <v>12903</v>
      </c>
      <c r="P25" s="48" t="s">
        <v>2</v>
      </c>
      <c r="Q25" s="208">
        <v>0.68600000000000005</v>
      </c>
      <c r="T25" s="43" t="s">
        <v>2</v>
      </c>
    </row>
    <row r="26" spans="11:21" x14ac:dyDescent="0.2">
      <c r="K26" s="58" t="s">
        <v>9</v>
      </c>
      <c r="L26" s="50">
        <v>119</v>
      </c>
      <c r="P26" s="48" t="s">
        <v>3</v>
      </c>
      <c r="Q26" s="208">
        <v>0.68600000000000005</v>
      </c>
      <c r="T26" s="43" t="s">
        <v>3</v>
      </c>
    </row>
    <row r="27" spans="11:21" x14ac:dyDescent="0.2">
      <c r="K27" s="58" t="s">
        <v>10</v>
      </c>
      <c r="L27">
        <v>62</v>
      </c>
      <c r="P27" s="48" t="s">
        <v>4</v>
      </c>
      <c r="Q27" s="208">
        <v>0.68600000000000005</v>
      </c>
      <c r="T27" s="43" t="s">
        <v>4</v>
      </c>
    </row>
    <row r="28" spans="11:21" x14ac:dyDescent="0.2">
      <c r="K28" s="58"/>
      <c r="P28" s="48" t="s">
        <v>5</v>
      </c>
      <c r="Q28" s="208">
        <v>0.68600000000000005</v>
      </c>
      <c r="T28" s="43" t="s">
        <v>5</v>
      </c>
      <c r="U28">
        <v>15.6</v>
      </c>
    </row>
    <row r="29" spans="11:21" x14ac:dyDescent="0.2">
      <c r="K29" s="58" t="s">
        <v>11</v>
      </c>
      <c r="L29" s="208">
        <v>190</v>
      </c>
      <c r="P29" s="48" t="s">
        <v>37</v>
      </c>
      <c r="Q29" s="208">
        <v>0.68200000000000005</v>
      </c>
      <c r="T29" s="43" t="s">
        <v>37</v>
      </c>
      <c r="U29">
        <v>38</v>
      </c>
    </row>
    <row r="30" spans="11:21" x14ac:dyDescent="0.2">
      <c r="K30" s="58" t="s">
        <v>12</v>
      </c>
      <c r="L30" s="208">
        <v>282</v>
      </c>
      <c r="P30" s="48" t="s">
        <v>13</v>
      </c>
      <c r="Q30" s="208">
        <v>0.53600000000000003</v>
      </c>
    </row>
    <row r="31" spans="11:21" x14ac:dyDescent="0.2">
      <c r="K31" s="58" t="s">
        <v>6</v>
      </c>
      <c r="L31" s="208">
        <v>420</v>
      </c>
      <c r="P31" s="48" t="s">
        <v>39</v>
      </c>
      <c r="Q31" s="208">
        <v>0.95199999999999996</v>
      </c>
    </row>
    <row r="32" spans="11:21" x14ac:dyDescent="0.2">
      <c r="K32" s="58" t="s">
        <v>13</v>
      </c>
      <c r="L32" s="208">
        <v>4434</v>
      </c>
      <c r="P32" s="48" t="s">
        <v>327</v>
      </c>
      <c r="Q32" s="208">
        <v>1</v>
      </c>
    </row>
    <row r="33" spans="11:17" x14ac:dyDescent="0.2">
      <c r="K33" s="58" t="s">
        <v>14</v>
      </c>
      <c r="L33" s="208">
        <v>3818</v>
      </c>
      <c r="P33" s="48" t="s">
        <v>328</v>
      </c>
      <c r="Q33">
        <v>1</v>
      </c>
    </row>
    <row r="34" spans="11:17" x14ac:dyDescent="0.2">
      <c r="P34" s="48" t="s">
        <v>329</v>
      </c>
      <c r="Q34">
        <v>1</v>
      </c>
    </row>
    <row r="35" spans="11:17" x14ac:dyDescent="0.2">
      <c r="P35" s="48" t="s">
        <v>330</v>
      </c>
      <c r="Q35">
        <v>1</v>
      </c>
    </row>
    <row r="36" spans="11:17" x14ac:dyDescent="0.2">
      <c r="P36" s="48" t="s">
        <v>331</v>
      </c>
      <c r="Q36">
        <v>1</v>
      </c>
    </row>
    <row r="54" spans="2:16" x14ac:dyDescent="0.2">
      <c r="D54" s="59"/>
      <c r="E54" s="48" t="s">
        <v>369</v>
      </c>
      <c r="F54" s="48" t="s">
        <v>370</v>
      </c>
      <c r="G54" s="48" t="s">
        <v>289</v>
      </c>
      <c r="H54" s="48" t="s">
        <v>368</v>
      </c>
      <c r="N54" s="234">
        <v>30336</v>
      </c>
    </row>
    <row r="55" spans="2:16" x14ac:dyDescent="0.2">
      <c r="D55" s="48" t="s">
        <v>365</v>
      </c>
      <c r="E55" s="59">
        <v>16446.607361891729</v>
      </c>
      <c r="F55" s="59">
        <v>13.251912173895194</v>
      </c>
      <c r="G55" s="48" t="s">
        <v>367</v>
      </c>
      <c r="H55" s="59"/>
    </row>
    <row r="56" spans="2:16" x14ac:dyDescent="0.2">
      <c r="D56" s="48" t="s">
        <v>364</v>
      </c>
      <c r="E56" s="59">
        <v>33519.205723178959</v>
      </c>
      <c r="F56" s="59">
        <v>14.904860591658569</v>
      </c>
      <c r="G56" s="59">
        <f>(E56-E55)/(F56-F55)</f>
        <v>10328.572977726903</v>
      </c>
      <c r="H56" s="59">
        <v>11977</v>
      </c>
    </row>
    <row r="57" spans="2:16" x14ac:dyDescent="0.2">
      <c r="D57" s="48" t="s">
        <v>366</v>
      </c>
      <c r="E57" s="59">
        <v>40069.197581848312</v>
      </c>
      <c r="F57" s="59">
        <v>16.303509252842971</v>
      </c>
      <c r="G57" s="59">
        <f>(E57-E56)/(F57-F56)</f>
        <v>4683.0859246114696</v>
      </c>
      <c r="H57" s="59">
        <v>3155</v>
      </c>
    </row>
    <row r="60" spans="2:16" x14ac:dyDescent="0.2">
      <c r="M60" t="s">
        <v>369</v>
      </c>
      <c r="N60" t="s">
        <v>370</v>
      </c>
      <c r="O60" t="s">
        <v>289</v>
      </c>
      <c r="P60" t="s">
        <v>368</v>
      </c>
    </row>
    <row r="61" spans="2:16" x14ac:dyDescent="0.2">
      <c r="L61" t="s">
        <v>365</v>
      </c>
      <c r="M61">
        <v>16267.137908873958</v>
      </c>
      <c r="N61">
        <v>12.848261577002949</v>
      </c>
      <c r="O61" t="s">
        <v>367</v>
      </c>
    </row>
    <row r="62" spans="2:16" x14ac:dyDescent="0.2">
      <c r="B62" s="43" t="s">
        <v>359</v>
      </c>
      <c r="C62">
        <v>3853.983212518197</v>
      </c>
      <c r="L62" t="s">
        <v>364</v>
      </c>
      <c r="M62">
        <v>33406.048527548221</v>
      </c>
      <c r="N62">
        <v>14.44107378488825</v>
      </c>
      <c r="O62">
        <v>10760.157747302028</v>
      </c>
      <c r="P62">
        <v>11977</v>
      </c>
    </row>
    <row r="63" spans="2:16" x14ac:dyDescent="0.2">
      <c r="B63" s="43" t="s">
        <v>13</v>
      </c>
      <c r="C63">
        <v>3440.4132690169849</v>
      </c>
      <c r="L63" t="s">
        <v>366</v>
      </c>
      <c r="M63">
        <v>40012.150757852934</v>
      </c>
      <c r="N63">
        <v>15.788837960791202</v>
      </c>
      <c r="O63">
        <v>4901.526801511005</v>
      </c>
      <c r="P63">
        <v>3155</v>
      </c>
    </row>
    <row r="64" spans="2:16" x14ac:dyDescent="0.2">
      <c r="B64" s="43" t="s">
        <v>39</v>
      </c>
      <c r="C64">
        <v>2211.1129493177395</v>
      </c>
      <c r="L64" s="59"/>
      <c r="M64" s="48" t="s">
        <v>241</v>
      </c>
      <c r="N64" s="48" t="s">
        <v>360</v>
      </c>
      <c r="O64" s="48" t="s">
        <v>289</v>
      </c>
      <c r="P64" s="48" t="s">
        <v>368</v>
      </c>
    </row>
    <row r="65" spans="2:17" x14ac:dyDescent="0.2">
      <c r="B65" s="43" t="s">
        <v>241</v>
      </c>
      <c r="C65">
        <v>9433.0082103116602</v>
      </c>
      <c r="L65" s="48" t="s">
        <v>365</v>
      </c>
      <c r="M65" s="59">
        <v>16267.137908873958</v>
      </c>
      <c r="N65" s="59">
        <v>12.848261577002949</v>
      </c>
      <c r="O65" s="48" t="s">
        <v>367</v>
      </c>
      <c r="P65" s="59"/>
    </row>
    <row r="66" spans="2:17" x14ac:dyDescent="0.2">
      <c r="B66" s="43" t="s">
        <v>360</v>
      </c>
      <c r="C66">
        <v>9.9794758326551456</v>
      </c>
      <c r="L66" s="48" t="s">
        <v>364</v>
      </c>
      <c r="M66" s="59">
        <v>33406.048527548221</v>
      </c>
      <c r="N66" s="59">
        <v>14.44107378488825</v>
      </c>
      <c r="O66" s="59">
        <f>(M66-M65)/(N66-N65)</f>
        <v>10760.157747302028</v>
      </c>
      <c r="P66" s="59">
        <v>11977</v>
      </c>
      <c r="Q66" s="208">
        <f>ABS(P66-O66)/P66</f>
        <v>0.10159825103932305</v>
      </c>
    </row>
    <row r="67" spans="2:17" x14ac:dyDescent="0.2">
      <c r="L67" s="48" t="s">
        <v>366</v>
      </c>
      <c r="M67" s="59">
        <v>40012.150757852934</v>
      </c>
      <c r="N67" s="59">
        <v>15.788837960791202</v>
      </c>
      <c r="O67" s="59">
        <f>(M67-M66)/(N67-N66)</f>
        <v>4901.526801511005</v>
      </c>
      <c r="P67" s="59">
        <v>3155</v>
      </c>
      <c r="Q67" s="208">
        <f>ABS(P67-O67)/P67</f>
        <v>0.55357426355340889</v>
      </c>
    </row>
    <row r="68" spans="2:17" x14ac:dyDescent="0.2">
      <c r="B68" s="43" t="s">
        <v>359</v>
      </c>
      <c r="C68">
        <v>1080.7720921100708</v>
      </c>
      <c r="D68" s="208">
        <v>2418.9565057673281</v>
      </c>
      <c r="E68" s="208">
        <v>1694.1066150363097</v>
      </c>
      <c r="F68" s="208">
        <v>1080.7720921100708</v>
      </c>
      <c r="H68" s="208">
        <v>1036.5246992687626</v>
      </c>
      <c r="I68" s="208">
        <v>1623.8022443561681</v>
      </c>
      <c r="J68" s="208">
        <v>2317.8575249140135</v>
      </c>
    </row>
    <row r="69" spans="2:17" x14ac:dyDescent="0.2">
      <c r="B69" s="43" t="s">
        <v>13</v>
      </c>
      <c r="C69">
        <v>829.0869307312247</v>
      </c>
      <c r="D69" s="208">
        <v>2089.1555130151487</v>
      </c>
      <c r="E69" s="208">
        <v>1406.6183642780227</v>
      </c>
      <c r="F69" s="208">
        <v>829.0869307312247</v>
      </c>
      <c r="H69" s="208">
        <v>800.27340811750867</v>
      </c>
      <c r="I69" s="208">
        <v>1357.1644388132154</v>
      </c>
      <c r="J69" s="208">
        <v>2015.3083841808696</v>
      </c>
    </row>
    <row r="70" spans="2:17" x14ac:dyDescent="0.2">
      <c r="B70" s="43" t="s">
        <v>39</v>
      </c>
      <c r="C70">
        <v>695.07503837419983</v>
      </c>
      <c r="D70" s="208">
        <v>1426.6234906390177</v>
      </c>
      <c r="E70" s="208">
        <v>1030.3680789955743</v>
      </c>
      <c r="F70" s="208">
        <v>695.07503837419983</v>
      </c>
      <c r="H70" s="208">
        <v>669.17681147818394</v>
      </c>
      <c r="I70" s="208">
        <v>991.24449739044439</v>
      </c>
      <c r="J70" s="208">
        <v>1371.869944377665</v>
      </c>
    </row>
    <row r="71" spans="2:17" x14ac:dyDescent="0.2">
      <c r="B71" s="43" t="s">
        <v>241</v>
      </c>
      <c r="C71">
        <v>40069.197581848312</v>
      </c>
      <c r="D71" s="208">
        <v>16446.607361891729</v>
      </c>
      <c r="E71" s="208">
        <v>33519.205723178959</v>
      </c>
      <c r="F71" s="208">
        <v>40069.197581848312</v>
      </c>
      <c r="H71" s="208">
        <v>40012.150757852934</v>
      </c>
      <c r="I71" s="208">
        <v>33406.048527548221</v>
      </c>
      <c r="J71" s="208">
        <v>16267.137908873958</v>
      </c>
    </row>
    <row r="72" spans="2:17" x14ac:dyDescent="0.2">
      <c r="B72" s="43" t="s">
        <v>360</v>
      </c>
      <c r="C72">
        <v>16.303509252842971</v>
      </c>
      <c r="D72" s="208">
        <v>13.251912173895194</v>
      </c>
      <c r="E72" s="208">
        <v>14.904860591658569</v>
      </c>
      <c r="F72" s="208">
        <v>16.303509252842971</v>
      </c>
      <c r="H72" s="208">
        <v>15.788837960791202</v>
      </c>
      <c r="I72" s="208">
        <v>14.44107378488825</v>
      </c>
      <c r="J72" s="208">
        <v>12.848261577002949</v>
      </c>
      <c r="L72">
        <v>1.6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FE42B-E7F9-4692-BC46-F2F22767196C}">
  <sheetPr codeName="Hoja21"/>
  <dimension ref="A1:AF937"/>
  <sheetViews>
    <sheetView workbookViewId="0">
      <selection activeCell="I45" sqref="I45"/>
    </sheetView>
  </sheetViews>
  <sheetFormatPr baseColWidth="10" defaultRowHeight="12.75" x14ac:dyDescent="0.2"/>
  <cols>
    <col min="1" max="1" width="6.140625" style="126" customWidth="1"/>
    <col min="2" max="3" width="4.7109375" style="126" customWidth="1"/>
    <col min="4" max="4" width="5.7109375" style="126" customWidth="1"/>
    <col min="5" max="8" width="11.42578125" style="126"/>
    <col min="9" max="11" width="16.5703125" style="126" customWidth="1"/>
    <col min="12" max="31" width="11.42578125" style="126"/>
    <col min="32" max="32" width="23.5703125" style="126" customWidth="1"/>
    <col min="33" max="16384" width="11.42578125" style="126"/>
  </cols>
  <sheetData>
    <row r="1" spans="1:32" ht="13.5" thickBot="1" x14ac:dyDescent="0.25">
      <c r="F1" s="87" t="s">
        <v>230</v>
      </c>
      <c r="G1" s="86">
        <v>85</v>
      </c>
      <c r="H1" s="126">
        <v>101</v>
      </c>
      <c r="I1" s="88" t="s">
        <v>229</v>
      </c>
      <c r="J1" s="151"/>
      <c r="K1" s="151"/>
      <c r="L1" s="76"/>
      <c r="M1" s="76"/>
      <c r="N1" s="76"/>
      <c r="O1" s="76"/>
      <c r="P1" s="76"/>
      <c r="Q1" s="76"/>
      <c r="R1" s="76"/>
      <c r="S1" s="76"/>
      <c r="T1" s="76"/>
      <c r="U1" s="77"/>
    </row>
    <row r="2" spans="1:32" x14ac:dyDescent="0.2">
      <c r="I2" s="89" t="s">
        <v>228</v>
      </c>
      <c r="J2" s="93"/>
      <c r="K2" s="93"/>
      <c r="L2" s="91">
        <v>180</v>
      </c>
      <c r="M2" s="53"/>
      <c r="N2" s="93" t="s">
        <v>34</v>
      </c>
      <c r="O2" s="91">
        <v>1966.0984391057113</v>
      </c>
      <c r="P2" s="53"/>
      <c r="Q2" s="93" t="s">
        <v>231</v>
      </c>
      <c r="R2" s="91">
        <v>142094310.60972768</v>
      </c>
      <c r="S2" s="53"/>
      <c r="T2" s="93" t="s">
        <v>248</v>
      </c>
      <c r="U2" s="103">
        <v>115085985.33884276</v>
      </c>
    </row>
    <row r="3" spans="1:32" ht="13.5" thickBot="1" x14ac:dyDescent="0.25">
      <c r="I3" s="90" t="s">
        <v>32</v>
      </c>
      <c r="J3" s="94"/>
      <c r="K3" s="94"/>
      <c r="L3" s="92">
        <v>3112.8140821706806</v>
      </c>
      <c r="M3" s="79"/>
      <c r="N3" s="94" t="s">
        <v>33</v>
      </c>
      <c r="O3" s="92">
        <v>3329.2050167094462</v>
      </c>
      <c r="P3" s="79"/>
      <c r="Q3" s="128" t="s">
        <v>247</v>
      </c>
      <c r="R3" s="130">
        <v>14209.431060972767</v>
      </c>
      <c r="S3" s="79"/>
      <c r="T3" s="128" t="s">
        <v>249</v>
      </c>
      <c r="U3" s="129">
        <v>11508.598533884277</v>
      </c>
    </row>
    <row r="4" spans="1:32" ht="12.95" customHeight="1" x14ac:dyDescent="0.2">
      <c r="I4" s="57"/>
      <c r="J4" s="57"/>
      <c r="K4" s="57"/>
      <c r="L4" s="132"/>
      <c r="M4" s="132"/>
      <c r="N4" s="57"/>
      <c r="O4" s="132"/>
      <c r="P4" s="132"/>
      <c r="Q4" s="57"/>
      <c r="R4" s="132"/>
      <c r="S4" s="132"/>
      <c r="T4" s="57"/>
      <c r="U4" s="132"/>
    </row>
    <row r="5" spans="1:32" ht="12.95" customHeight="1" thickBot="1" x14ac:dyDescent="0.25">
      <c r="I5" s="57"/>
      <c r="J5" s="57"/>
      <c r="K5" s="57"/>
      <c r="L5" s="132"/>
      <c r="M5" s="132"/>
      <c r="N5" s="57"/>
      <c r="O5" s="132"/>
      <c r="P5" s="132"/>
      <c r="Q5" s="57"/>
      <c r="R5" s="132"/>
      <c r="S5" s="132"/>
      <c r="T5" s="57"/>
      <c r="U5" s="132"/>
    </row>
    <row r="6" spans="1:32" ht="12.95" customHeight="1" thickBot="1" x14ac:dyDescent="0.25">
      <c r="A6" s="216" t="s">
        <v>224</v>
      </c>
      <c r="B6" s="217"/>
      <c r="C6" s="217"/>
      <c r="D6" s="218"/>
      <c r="E6" s="216" t="s">
        <v>223</v>
      </c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8"/>
      <c r="R6" s="54"/>
      <c r="S6" s="219" t="s">
        <v>250</v>
      </c>
      <c r="T6" s="220"/>
      <c r="U6" s="221"/>
      <c r="W6" s="216" t="s">
        <v>7</v>
      </c>
      <c r="X6" s="217"/>
      <c r="Y6" s="217"/>
      <c r="Z6" s="217"/>
      <c r="AA6" s="217"/>
      <c r="AB6" s="217"/>
      <c r="AC6" s="217"/>
      <c r="AD6" s="217"/>
      <c r="AE6" s="217"/>
      <c r="AF6" s="218"/>
    </row>
    <row r="7" spans="1:32" ht="12.95" customHeight="1" thickBot="1" x14ac:dyDescent="0.25">
      <c r="A7" s="71" t="s">
        <v>35</v>
      </c>
      <c r="B7" s="72" t="s">
        <v>36</v>
      </c>
      <c r="C7" s="72" t="s">
        <v>221</v>
      </c>
      <c r="D7" s="73" t="s">
        <v>222</v>
      </c>
      <c r="E7" s="72" t="s">
        <v>2</v>
      </c>
      <c r="F7" s="72" t="s">
        <v>3</v>
      </c>
      <c r="G7" s="72" t="s">
        <v>4</v>
      </c>
      <c r="H7" s="72" t="s">
        <v>5</v>
      </c>
      <c r="I7" s="72" t="s">
        <v>37</v>
      </c>
      <c r="J7" s="72" t="s">
        <v>256</v>
      </c>
      <c r="K7" s="72" t="s">
        <v>257</v>
      </c>
      <c r="L7" s="72" t="s">
        <v>13</v>
      </c>
      <c r="M7" s="72" t="s">
        <v>38</v>
      </c>
      <c r="N7" s="72" t="s">
        <v>39</v>
      </c>
      <c r="O7" s="72" t="s">
        <v>40</v>
      </c>
      <c r="P7" s="72" t="s">
        <v>41</v>
      </c>
      <c r="Q7" s="81" t="s">
        <v>42</v>
      </c>
      <c r="R7" s="57"/>
      <c r="S7" s="83">
        <v>1884.7235116342022</v>
      </c>
      <c r="T7" s="84">
        <v>1882.6541350867119</v>
      </c>
      <c r="U7" s="85">
        <v>1880.5129028093477</v>
      </c>
      <c r="W7" s="117" t="s">
        <v>2</v>
      </c>
      <c r="X7" s="117" t="s">
        <v>3</v>
      </c>
      <c r="Y7" s="117" t="s">
        <v>4</v>
      </c>
      <c r="Z7" s="117" t="s">
        <v>5</v>
      </c>
      <c r="AA7" s="117" t="s">
        <v>37</v>
      </c>
      <c r="AB7" s="117" t="s">
        <v>13</v>
      </c>
      <c r="AC7" s="117" t="s">
        <v>39</v>
      </c>
      <c r="AD7" s="117" t="s">
        <v>251</v>
      </c>
      <c r="AE7" s="117" t="s">
        <v>252</v>
      </c>
      <c r="AF7" s="117" t="s">
        <v>253</v>
      </c>
    </row>
    <row r="8" spans="1:32" ht="12.95" customHeight="1" x14ac:dyDescent="0.2">
      <c r="I8" s="57"/>
      <c r="J8" s="57"/>
      <c r="K8" s="57"/>
      <c r="L8" s="132"/>
      <c r="M8" s="132"/>
      <c r="N8" s="57"/>
      <c r="O8" s="132"/>
      <c r="P8" s="132"/>
      <c r="Q8" s="57"/>
      <c r="R8" s="132"/>
      <c r="S8" s="132"/>
      <c r="T8" s="57"/>
      <c r="U8" s="132"/>
    </row>
    <row r="9" spans="1:32" ht="12.95" customHeight="1" x14ac:dyDescent="0.2">
      <c r="I9" s="57"/>
      <c r="J9" s="57"/>
      <c r="K9" s="57"/>
      <c r="L9" s="132"/>
      <c r="M9" s="132"/>
      <c r="N9" s="57"/>
      <c r="O9" s="132"/>
      <c r="P9" s="132"/>
      <c r="Q9" s="57"/>
      <c r="R9" s="132"/>
      <c r="S9" s="132"/>
      <c r="T9" s="57"/>
      <c r="U9" s="132"/>
    </row>
    <row r="10" spans="1:32" ht="12.95" customHeight="1" x14ac:dyDescent="0.2">
      <c r="I10" s="57"/>
      <c r="J10" s="57"/>
      <c r="K10" s="57"/>
      <c r="L10" s="132"/>
      <c r="M10" s="132"/>
      <c r="N10" s="57"/>
      <c r="O10" s="132"/>
      <c r="P10" s="132"/>
      <c r="Q10" s="57"/>
      <c r="R10" s="132"/>
      <c r="S10" s="132"/>
      <c r="T10" s="57"/>
      <c r="U10" s="132"/>
    </row>
    <row r="11" spans="1:32" ht="12.95" customHeight="1" x14ac:dyDescent="0.2">
      <c r="I11" s="57"/>
      <c r="J11" s="57"/>
      <c r="K11" s="57"/>
      <c r="L11" s="132"/>
      <c r="M11" s="132"/>
      <c r="N11" s="57"/>
      <c r="O11" s="132"/>
      <c r="P11" s="132"/>
      <c r="Q11" s="57"/>
      <c r="R11" s="132"/>
      <c r="S11" s="132"/>
      <c r="T11" s="57"/>
      <c r="U11" s="132"/>
    </row>
    <row r="12" spans="1:32" ht="12.95" customHeight="1" x14ac:dyDescent="0.2">
      <c r="I12" s="57"/>
      <c r="J12" s="57"/>
      <c r="K12" s="57"/>
      <c r="L12" s="132"/>
      <c r="M12" s="132"/>
      <c r="N12" s="57"/>
      <c r="O12" s="132"/>
      <c r="P12" s="132"/>
      <c r="Q12" s="57"/>
      <c r="R12" s="132"/>
      <c r="S12" s="132"/>
      <c r="T12" s="57"/>
      <c r="U12" s="132"/>
    </row>
    <row r="13" spans="1:32" ht="12.95" customHeight="1" x14ac:dyDescent="0.2">
      <c r="I13" s="57"/>
      <c r="J13" s="57"/>
      <c r="K13" s="57"/>
      <c r="L13" s="132"/>
      <c r="M13" s="132"/>
      <c r="N13" s="57"/>
      <c r="O13" s="132"/>
      <c r="P13" s="132"/>
      <c r="Q13" s="57"/>
      <c r="R13" s="132"/>
      <c r="S13" s="132"/>
      <c r="T13" s="57"/>
      <c r="U13" s="132"/>
    </row>
    <row r="14" spans="1:32" ht="12.95" customHeight="1" x14ac:dyDescent="0.2">
      <c r="I14" s="43"/>
      <c r="J14" s="43"/>
      <c r="K14" s="43"/>
    </row>
    <row r="15" spans="1:32" ht="12.95" customHeight="1" x14ac:dyDescent="0.2">
      <c r="I15" s="43"/>
      <c r="J15" s="43"/>
      <c r="K15" s="43"/>
    </row>
    <row r="16" spans="1:32" ht="12.95" customHeight="1" x14ac:dyDescent="0.2">
      <c r="I16" s="43"/>
      <c r="J16" s="43"/>
      <c r="K16" s="43"/>
    </row>
    <row r="17" spans="9:11" ht="12.95" customHeight="1" x14ac:dyDescent="0.2">
      <c r="I17" s="43"/>
      <c r="J17" s="43"/>
      <c r="K17" s="43"/>
    </row>
    <row r="18" spans="9:11" ht="12.95" customHeight="1" x14ac:dyDescent="0.2">
      <c r="I18" s="43"/>
      <c r="J18" s="43"/>
      <c r="K18" s="43"/>
    </row>
    <row r="19" spans="9:11" ht="12.95" customHeight="1" x14ac:dyDescent="0.2">
      <c r="I19" s="43"/>
      <c r="J19" s="43"/>
      <c r="K19" s="43"/>
    </row>
    <row r="20" spans="9:11" ht="12.95" customHeight="1" x14ac:dyDescent="0.2">
      <c r="I20" s="43"/>
      <c r="J20" s="43"/>
      <c r="K20" s="43"/>
    </row>
    <row r="21" spans="9:11" ht="12.95" customHeight="1" x14ac:dyDescent="0.2">
      <c r="I21" s="43"/>
      <c r="J21" s="43"/>
      <c r="K21" s="43"/>
    </row>
    <row r="22" spans="9:11" ht="12.95" customHeight="1" x14ac:dyDescent="0.2">
      <c r="I22" s="43"/>
      <c r="J22" s="43"/>
      <c r="K22" s="43"/>
    </row>
    <row r="23" spans="9:11" ht="12.95" customHeight="1" x14ac:dyDescent="0.2">
      <c r="I23" s="43"/>
      <c r="J23" s="43"/>
      <c r="K23" s="43"/>
    </row>
    <row r="24" spans="9:11" ht="12.95" customHeight="1" x14ac:dyDescent="0.2">
      <c r="I24" s="43"/>
      <c r="J24" s="43"/>
      <c r="K24" s="43"/>
    </row>
    <row r="25" spans="9:11" ht="12.95" customHeight="1" x14ac:dyDescent="0.2">
      <c r="I25" s="43"/>
      <c r="J25" s="43"/>
      <c r="K25" s="43"/>
    </row>
    <row r="26" spans="9:11" ht="12.95" customHeight="1" x14ac:dyDescent="0.2">
      <c r="I26" s="43"/>
      <c r="J26" s="43"/>
      <c r="K26" s="43"/>
    </row>
    <row r="27" spans="9:11" ht="12.95" customHeight="1" x14ac:dyDescent="0.2">
      <c r="I27" s="43"/>
      <c r="J27" s="43"/>
      <c r="K27" s="43"/>
    </row>
    <row r="28" spans="9:11" ht="12.95" customHeight="1" x14ac:dyDescent="0.2">
      <c r="I28" s="43"/>
      <c r="J28" s="43"/>
      <c r="K28" s="43"/>
    </row>
    <row r="29" spans="9:11" ht="12.95" customHeight="1" x14ac:dyDescent="0.2">
      <c r="I29" s="43"/>
      <c r="J29" s="43"/>
      <c r="K29" s="43"/>
    </row>
    <row r="30" spans="9:11" ht="12.95" customHeight="1" x14ac:dyDescent="0.2">
      <c r="I30" s="43"/>
      <c r="J30" s="43"/>
      <c r="K30" s="43"/>
    </row>
    <row r="31" spans="9:11" ht="12.95" customHeight="1" x14ac:dyDescent="0.2">
      <c r="I31" s="43"/>
      <c r="J31" s="43"/>
      <c r="K31" s="43"/>
    </row>
    <row r="32" spans="9:11" ht="12.95" customHeight="1" x14ac:dyDescent="0.2">
      <c r="I32" s="43"/>
      <c r="J32" s="43"/>
      <c r="K32" s="43"/>
    </row>
    <row r="33" spans="1:32" ht="12.95" customHeight="1" x14ac:dyDescent="0.2">
      <c r="I33" s="43"/>
      <c r="J33" s="43"/>
      <c r="K33" s="43"/>
    </row>
    <row r="34" spans="1:32" ht="12.95" customHeight="1" thickBot="1" x14ac:dyDescent="0.25"/>
    <row r="35" spans="1:32" ht="13.5" thickBot="1" x14ac:dyDescent="0.25">
      <c r="A35" s="216" t="s">
        <v>224</v>
      </c>
      <c r="B35" s="217"/>
      <c r="C35" s="217"/>
      <c r="D35" s="218"/>
      <c r="E35" s="216" t="s">
        <v>223</v>
      </c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8"/>
      <c r="R35" s="54"/>
      <c r="S35" s="219" t="s">
        <v>250</v>
      </c>
      <c r="T35" s="220"/>
      <c r="U35" s="221"/>
      <c r="W35" s="216" t="s">
        <v>7</v>
      </c>
      <c r="X35" s="217"/>
      <c r="Y35" s="217"/>
      <c r="Z35" s="217"/>
      <c r="AA35" s="217"/>
      <c r="AB35" s="217"/>
      <c r="AC35" s="217"/>
      <c r="AD35" s="217"/>
      <c r="AE35" s="217"/>
      <c r="AF35" s="218"/>
    </row>
    <row r="36" spans="1:32" ht="13.5" thickBot="1" x14ac:dyDescent="0.25">
      <c r="A36" s="71" t="s">
        <v>35</v>
      </c>
      <c r="B36" s="72" t="s">
        <v>36</v>
      </c>
      <c r="C36" s="72" t="s">
        <v>221</v>
      </c>
      <c r="D36" s="73" t="s">
        <v>222</v>
      </c>
      <c r="E36" s="72" t="s">
        <v>2</v>
      </c>
      <c r="F36" s="72" t="s">
        <v>3</v>
      </c>
      <c r="G36" s="72" t="s">
        <v>4</v>
      </c>
      <c r="H36" s="72" t="s">
        <v>5</v>
      </c>
      <c r="I36" s="72" t="s">
        <v>37</v>
      </c>
      <c r="J36" s="72" t="s">
        <v>256</v>
      </c>
      <c r="K36" s="72" t="s">
        <v>257</v>
      </c>
      <c r="L36" s="72" t="s">
        <v>13</v>
      </c>
      <c r="M36" s="72" t="s">
        <v>38</v>
      </c>
      <c r="N36" s="72" t="s">
        <v>39</v>
      </c>
      <c r="O36" s="72" t="s">
        <v>40</v>
      </c>
      <c r="P36" s="72" t="s">
        <v>41</v>
      </c>
      <c r="Q36" s="81" t="s">
        <v>42</v>
      </c>
      <c r="R36" s="57"/>
      <c r="S36" s="83">
        <v>1884.7235116342022</v>
      </c>
      <c r="T36" s="84">
        <v>1882.6541350867119</v>
      </c>
      <c r="U36" s="85">
        <v>1880.5129028093477</v>
      </c>
      <c r="W36" s="117" t="s">
        <v>2</v>
      </c>
      <c r="X36" s="117" t="s">
        <v>3</v>
      </c>
      <c r="Y36" s="117" t="s">
        <v>4</v>
      </c>
      <c r="Z36" s="117" t="s">
        <v>5</v>
      </c>
      <c r="AA36" s="117" t="s">
        <v>37</v>
      </c>
      <c r="AB36" s="117" t="s">
        <v>13</v>
      </c>
      <c r="AC36" s="117" t="s">
        <v>39</v>
      </c>
      <c r="AD36" s="117" t="s">
        <v>251</v>
      </c>
      <c r="AE36" s="117" t="s">
        <v>252</v>
      </c>
      <c r="AF36" s="117" t="s">
        <v>253</v>
      </c>
    </row>
    <row r="37" spans="1:32" x14ac:dyDescent="0.2">
      <c r="A37" s="95">
        <v>101</v>
      </c>
      <c r="B37" s="95">
        <v>0</v>
      </c>
      <c r="C37" s="95">
        <v>0</v>
      </c>
      <c r="D37" s="95"/>
      <c r="E37" s="95">
        <v>0</v>
      </c>
      <c r="F37" s="95">
        <v>0</v>
      </c>
      <c r="G37" s="95">
        <v>0</v>
      </c>
      <c r="H37" s="95">
        <v>100</v>
      </c>
      <c r="I37" s="95">
        <v>9900</v>
      </c>
      <c r="J37" s="95"/>
      <c r="K37" s="95"/>
      <c r="L37" s="95">
        <v>0</v>
      </c>
      <c r="M37" s="95">
        <v>0</v>
      </c>
      <c r="N37" s="95">
        <v>0</v>
      </c>
      <c r="O37" s="95">
        <v>0</v>
      </c>
      <c r="P37" s="95">
        <v>0</v>
      </c>
      <c r="Q37" s="96">
        <v>0</v>
      </c>
      <c r="S37" s="98">
        <v>0</v>
      </c>
      <c r="T37" s="95">
        <v>0</v>
      </c>
      <c r="U37" s="99">
        <v>0</v>
      </c>
      <c r="W37" s="118">
        <v>0</v>
      </c>
      <c r="X37" s="119">
        <v>0</v>
      </c>
      <c r="Y37" s="119">
        <v>0</v>
      </c>
      <c r="Z37" s="119">
        <v>0</v>
      </c>
      <c r="AA37" s="119">
        <v>0</v>
      </c>
      <c r="AB37" s="119">
        <v>0</v>
      </c>
      <c r="AC37" s="119">
        <v>0</v>
      </c>
      <c r="AD37" s="119">
        <v>0</v>
      </c>
      <c r="AE37" s="119">
        <v>0</v>
      </c>
      <c r="AF37" s="120">
        <v>0</v>
      </c>
    </row>
    <row r="38" spans="1:32" x14ac:dyDescent="0.2">
      <c r="A38" s="95">
        <v>1</v>
      </c>
      <c r="B38" s="95">
        <v>0</v>
      </c>
      <c r="C38" s="95">
        <v>1</v>
      </c>
      <c r="D38" s="95"/>
      <c r="E38" s="95">
        <v>0</v>
      </c>
      <c r="F38" s="95">
        <v>0</v>
      </c>
      <c r="G38" s="95">
        <v>0</v>
      </c>
      <c r="H38" s="95">
        <v>98.841666666666669</v>
      </c>
      <c r="I38" s="95">
        <v>9838.2666666666664</v>
      </c>
      <c r="J38" s="95"/>
      <c r="K38" s="95"/>
      <c r="L38" s="97">
        <v>32.174999999999997</v>
      </c>
      <c r="M38" s="95">
        <v>0</v>
      </c>
      <c r="N38" s="95">
        <v>11.55</v>
      </c>
      <c r="O38" s="95">
        <v>0</v>
      </c>
      <c r="P38" s="95">
        <v>19.166666666666664</v>
      </c>
      <c r="Q38" s="95">
        <v>10000</v>
      </c>
      <c r="S38" s="98">
        <v>0</v>
      </c>
      <c r="T38" s="95">
        <v>32.174999999999997</v>
      </c>
      <c r="U38" s="99">
        <v>11.55</v>
      </c>
      <c r="W38" s="121">
        <v>1642.6667328324529</v>
      </c>
      <c r="X38" s="59">
        <v>1652.7572824650554</v>
      </c>
      <c r="Y38" s="59">
        <v>1662.7278836058781</v>
      </c>
      <c r="Z38" s="59">
        <v>1672.5797176677499</v>
      </c>
      <c r="AA38" s="59">
        <v>1682.3139470271451</v>
      </c>
      <c r="AB38" s="59">
        <v>1691.9317153488491</v>
      </c>
      <c r="AC38" s="59">
        <v>1701.4341479065424</v>
      </c>
      <c r="AD38" s="59">
        <v>1710.8223518993232</v>
      </c>
      <c r="AE38" s="59">
        <v>1720.0974167641916</v>
      </c>
      <c r="AF38" s="68">
        <v>1729.2604144845197</v>
      </c>
    </row>
    <row r="39" spans="1:32" x14ac:dyDescent="0.2">
      <c r="A39" s="95">
        <v>2</v>
      </c>
      <c r="B39" s="95">
        <v>0</v>
      </c>
      <c r="C39" s="95">
        <v>2</v>
      </c>
      <c r="D39" s="95"/>
      <c r="E39" s="95">
        <v>0</v>
      </c>
      <c r="F39" s="95">
        <v>0</v>
      </c>
      <c r="G39" s="95">
        <v>0</v>
      </c>
      <c r="H39" s="95">
        <v>97.696750694444447</v>
      </c>
      <c r="I39" s="95">
        <v>9776.9131138888879</v>
      </c>
      <c r="J39" s="95"/>
      <c r="K39" s="95"/>
      <c r="L39" s="95">
        <v>63.417385416666662</v>
      </c>
      <c r="M39" s="95">
        <v>0</v>
      </c>
      <c r="N39" s="95">
        <v>22.77717777777778</v>
      </c>
      <c r="O39" s="95">
        <v>0.89897499999999997</v>
      </c>
      <c r="P39" s="95">
        <v>38.296597222222218</v>
      </c>
      <c r="Q39" s="95">
        <v>9999.9999999999982</v>
      </c>
      <c r="S39" s="98">
        <v>0.89897499999999997</v>
      </c>
      <c r="T39" s="95">
        <v>64.149366666666666</v>
      </c>
      <c r="U39" s="99">
        <v>23.21030277777778</v>
      </c>
      <c r="W39" s="121">
        <v>54.492615143897844</v>
      </c>
      <c r="X39" s="59">
        <v>55.019648339412974</v>
      </c>
      <c r="Y39" s="59">
        <v>55.540008280543034</v>
      </c>
      <c r="Z39" s="59">
        <v>56.053777657021008</v>
      </c>
      <c r="AA39" s="59">
        <v>56.561037722449583</v>
      </c>
      <c r="AB39" s="59">
        <v>57.061868320057556</v>
      </c>
      <c r="AC39" s="59">
        <v>57.556347908039115</v>
      </c>
      <c r="AD39" s="59">
        <v>58.044553584482323</v>
      </c>
      <c r="AE39" s="59">
        <v>58.526561111893159</v>
      </c>
      <c r="AF39" s="68">
        <v>59.00244494132118</v>
      </c>
    </row>
    <row r="40" spans="1:32" x14ac:dyDescent="0.2">
      <c r="A40" s="95">
        <v>3</v>
      </c>
      <c r="B40" s="95">
        <v>0</v>
      </c>
      <c r="C40" s="95">
        <v>3</v>
      </c>
      <c r="D40" s="95"/>
      <c r="E40" s="95">
        <v>0</v>
      </c>
      <c r="F40" s="95">
        <v>0</v>
      </c>
      <c r="G40" s="95">
        <v>0</v>
      </c>
      <c r="H40" s="95">
        <v>96.565096665567125</v>
      </c>
      <c r="I40" s="95">
        <v>9715.9370660909717</v>
      </c>
      <c r="J40" s="95"/>
      <c r="K40" s="95"/>
      <c r="L40" s="95">
        <v>93.749607518576383</v>
      </c>
      <c r="M40" s="95">
        <v>0</v>
      </c>
      <c r="N40" s="95">
        <v>33.688797428009259</v>
      </c>
      <c r="O40" s="95">
        <v>2.6712932547453705</v>
      </c>
      <c r="P40" s="95">
        <v>57.388139042129623</v>
      </c>
      <c r="Q40" s="95">
        <v>10000</v>
      </c>
      <c r="S40" s="98">
        <v>2.6712932547453705</v>
      </c>
      <c r="T40" s="95">
        <v>95.924334286805546</v>
      </c>
      <c r="U40" s="99">
        <v>34.976066594675927</v>
      </c>
      <c r="W40" s="121">
        <v>3.5441250000000002</v>
      </c>
      <c r="X40" s="59">
        <v>7.0560969104166666</v>
      </c>
      <c r="Y40" s="59">
        <v>10.536135498175174</v>
      </c>
      <c r="Z40" s="59">
        <v>13.984460262856489</v>
      </c>
      <c r="AA40" s="59">
        <v>17.401290385370885</v>
      </c>
      <c r="AB40" s="59">
        <v>20.786844678396214</v>
      </c>
      <c r="AC40" s="59">
        <v>24.141341538540907</v>
      </c>
      <c r="AD40" s="59">
        <v>27.464998900192423</v>
      </c>
      <c r="AE40" s="59">
        <v>30.758034191012491</v>
      </c>
      <c r="AF40" s="68">
        <v>34.020664289041228</v>
      </c>
    </row>
    <row r="41" spans="1:32" x14ac:dyDescent="0.2">
      <c r="A41" s="95">
        <v>4</v>
      </c>
      <c r="B41" s="95">
        <v>0</v>
      </c>
      <c r="C41" s="95">
        <v>4</v>
      </c>
      <c r="D41" s="95"/>
      <c r="E41" s="95">
        <v>0</v>
      </c>
      <c r="F41" s="95">
        <v>0</v>
      </c>
      <c r="G41" s="95">
        <v>0</v>
      </c>
      <c r="H41" s="95">
        <v>95.446550962524313</v>
      </c>
      <c r="I41" s="95">
        <v>9655.3362606068295</v>
      </c>
      <c r="J41" s="95"/>
      <c r="K41" s="95"/>
      <c r="L41" s="95">
        <v>123.19359941232443</v>
      </c>
      <c r="M41" s="95">
        <v>0</v>
      </c>
      <c r="N41" s="95">
        <v>44.291975210836981</v>
      </c>
      <c r="O41" s="95">
        <v>5.2919220105904419</v>
      </c>
      <c r="P41" s="95">
        <v>76.439691796893939</v>
      </c>
      <c r="Q41" s="95">
        <v>10000</v>
      </c>
      <c r="S41" s="98">
        <v>5.2919220105904419</v>
      </c>
      <c r="T41" s="95">
        <v>127.5011297516012</v>
      </c>
      <c r="U41" s="99">
        <v>46.842574281053992</v>
      </c>
      <c r="W41" s="121">
        <v>20.95058424444457</v>
      </c>
      <c r="X41" s="59">
        <v>22.410256717731183</v>
      </c>
      <c r="Y41" s="59">
        <v>23.849851476774528</v>
      </c>
      <c r="Z41" s="59">
        <v>25.269762725348411</v>
      </c>
      <c r="AA41" s="59">
        <v>26.670372975306194</v>
      </c>
      <c r="AB41" s="59">
        <v>28.052053452874862</v>
      </c>
      <c r="AC41" s="59">
        <v>29.41516448995695</v>
      </c>
      <c r="AD41" s="59">
        <v>30.760055901005153</v>
      </c>
      <c r="AE41" s="59">
        <v>32.087067346013157</v>
      </c>
      <c r="AF41" s="68">
        <v>33.396528680145686</v>
      </c>
    </row>
    <row r="42" spans="1:32" x14ac:dyDescent="0.2">
      <c r="A42" s="95">
        <v>5</v>
      </c>
      <c r="B42" s="95">
        <v>0</v>
      </c>
      <c r="C42" s="95">
        <v>5</v>
      </c>
      <c r="D42" s="95"/>
      <c r="E42" s="95">
        <v>0</v>
      </c>
      <c r="F42" s="95">
        <v>0</v>
      </c>
      <c r="G42" s="95">
        <v>0</v>
      </c>
      <c r="H42" s="95">
        <v>94.340961747208411</v>
      </c>
      <c r="I42" s="95">
        <v>9595.1084476156248</v>
      </c>
      <c r="J42" s="95"/>
      <c r="K42" s="95"/>
      <c r="L42" s="95">
        <v>151.77078787266623</v>
      </c>
      <c r="M42" s="95">
        <v>0</v>
      </c>
      <c r="N42" s="95">
        <v>54.59368217447507</v>
      </c>
      <c r="O42" s="95">
        <v>8.7364143862629788</v>
      </c>
      <c r="P42" s="95">
        <v>95.449706203762929</v>
      </c>
      <c r="Q42" s="95">
        <v>10000</v>
      </c>
      <c r="S42" s="98">
        <v>8.7364143862629788</v>
      </c>
      <c r="T42" s="95">
        <v>158.88097259857341</v>
      </c>
      <c r="U42" s="99">
        <v>58.805230315098463</v>
      </c>
      <c r="W42" s="121">
        <v>10.083119614652206</v>
      </c>
      <c r="X42" s="59">
        <v>11.68816106703281</v>
      </c>
      <c r="Y42" s="59">
        <v>13.385914272883731</v>
      </c>
      <c r="Z42" s="59">
        <v>15.175265544836829</v>
      </c>
      <c r="AA42" s="59">
        <v>17.055118525398623</v>
      </c>
      <c r="AB42" s="59">
        <v>19.024393746157216</v>
      </c>
      <c r="AC42" s="59">
        <v>21.082028201374584</v>
      </c>
      <c r="AD42" s="59">
        <v>23.226974935440527</v>
      </c>
      <c r="AE42" s="59">
        <v>25.458202643684405</v>
      </c>
      <c r="AF42" s="68">
        <v>27.77469528605987</v>
      </c>
    </row>
    <row r="43" spans="1:32" x14ac:dyDescent="0.2">
      <c r="A43" s="95">
        <v>6</v>
      </c>
      <c r="B43" s="95">
        <v>0</v>
      </c>
      <c r="C43" s="95">
        <v>6</v>
      </c>
      <c r="D43" s="95"/>
      <c r="E43" s="95">
        <v>0</v>
      </c>
      <c r="F43" s="95">
        <v>0</v>
      </c>
      <c r="G43" s="95">
        <v>0</v>
      </c>
      <c r="H43" s="95">
        <v>93.248178940303248</v>
      </c>
      <c r="I43" s="95">
        <v>9535.2513900776157</v>
      </c>
      <c r="J43" s="95"/>
      <c r="K43" s="95"/>
      <c r="L43" s="95">
        <v>179.50210490331386</v>
      </c>
      <c r="M43" s="95">
        <v>0</v>
      </c>
      <c r="N43" s="95">
        <v>64.600746746428925</v>
      </c>
      <c r="O43" s="95">
        <v>12.980896526373488</v>
      </c>
      <c r="P43" s="95">
        <v>114.41668280596538</v>
      </c>
      <c r="Q43" s="95">
        <v>10000</v>
      </c>
      <c r="S43" s="98">
        <v>12.980896526373488</v>
      </c>
      <c r="T43" s="95">
        <v>190.06507505332419</v>
      </c>
      <c r="U43" s="99">
        <v>70.859557968595141</v>
      </c>
      <c r="W43" s="121">
        <v>246.24959458690623</v>
      </c>
      <c r="X43" s="59">
        <v>264.92495688468659</v>
      </c>
      <c r="Y43" s="59">
        <v>283.56144840861248</v>
      </c>
      <c r="Z43" s="59">
        <v>302.15896596347289</v>
      </c>
      <c r="AA43" s="59">
        <v>320.71740868641535</v>
      </c>
      <c r="AB43" s="59">
        <v>339.23667800925938</v>
      </c>
      <c r="AC43" s="59">
        <v>357.71667762172819</v>
      </c>
      <c r="AD43" s="59">
        <v>376.15731343556729</v>
      </c>
      <c r="AE43" s="59">
        <v>394.55849354952289</v>
      </c>
      <c r="AF43" s="68">
        <v>412.92012821515254</v>
      </c>
    </row>
    <row r="44" spans="1:32" x14ac:dyDescent="0.2">
      <c r="A44" s="95">
        <v>7</v>
      </c>
      <c r="B44" s="95">
        <v>0</v>
      </c>
      <c r="C44" s="95">
        <v>7</v>
      </c>
      <c r="D44" s="95"/>
      <c r="E44" s="95">
        <v>0</v>
      </c>
      <c r="F44" s="95">
        <v>0</v>
      </c>
      <c r="G44" s="95">
        <v>0</v>
      </c>
      <c r="H44" s="95">
        <v>92.168054200911399</v>
      </c>
      <c r="I44" s="95">
        <v>9475.7628636702138</v>
      </c>
      <c r="J44" s="95"/>
      <c r="K44" s="95"/>
      <c r="L44" s="95">
        <v>206.40799903451571</v>
      </c>
      <c r="M44" s="95">
        <v>0</v>
      </c>
      <c r="N44" s="95">
        <v>74.319857292980501</v>
      </c>
      <c r="O44" s="95">
        <v>18.002055022467513</v>
      </c>
      <c r="P44" s="95">
        <v>133.33917077891175</v>
      </c>
      <c r="Q44" s="95">
        <v>10000</v>
      </c>
      <c r="S44" s="98">
        <v>18.002055022467513</v>
      </c>
      <c r="T44" s="95">
        <v>221.05464207107644</v>
      </c>
      <c r="U44" s="99">
        <v>83.001196518137803</v>
      </c>
      <c r="W44" s="121">
        <v>10000.000000000002</v>
      </c>
      <c r="X44" s="59">
        <v>10000.000000000002</v>
      </c>
      <c r="Y44" s="59">
        <v>10000.000000000002</v>
      </c>
      <c r="Z44" s="59">
        <v>10000.000000000002</v>
      </c>
      <c r="AA44" s="59">
        <v>10000.000000000002</v>
      </c>
      <c r="AB44" s="59">
        <v>10000.000000000002</v>
      </c>
      <c r="AC44" s="59">
        <v>10000.000000000002</v>
      </c>
      <c r="AD44" s="59">
        <v>10000.000000000002</v>
      </c>
      <c r="AE44" s="59">
        <v>10000.000000000002</v>
      </c>
      <c r="AF44" s="68">
        <v>10000.000000000002</v>
      </c>
    </row>
    <row r="45" spans="1:32" x14ac:dyDescent="0.2">
      <c r="A45" s="95">
        <v>8</v>
      </c>
      <c r="B45" s="95">
        <v>0</v>
      </c>
      <c r="C45" s="95">
        <v>8</v>
      </c>
      <c r="D45" s="95"/>
      <c r="E45" s="95">
        <v>0</v>
      </c>
      <c r="F45" s="95">
        <v>0</v>
      </c>
      <c r="G45" s="95">
        <v>0</v>
      </c>
      <c r="H45" s="95">
        <v>91.100440906417504</v>
      </c>
      <c r="I45" s="95">
        <v>9416.6406567242448</v>
      </c>
      <c r="J45" s="95"/>
      <c r="K45" s="95"/>
      <c r="L45" s="95">
        <v>232.50844636340867</v>
      </c>
      <c r="M45" s="95">
        <v>0</v>
      </c>
      <c r="N45" s="95">
        <v>83.757564646637903</v>
      </c>
      <c r="O45" s="95">
        <v>23.777124596499558</v>
      </c>
      <c r="P45" s="95">
        <v>152.21576676279244</v>
      </c>
      <c r="Q45" s="95">
        <v>10000</v>
      </c>
      <c r="S45" s="98">
        <v>23.777124596499558</v>
      </c>
      <c r="T45" s="95">
        <v>251.85087137800463</v>
      </c>
      <c r="U45" s="99">
        <v>95.225898520281973</v>
      </c>
      <c r="W45" s="121">
        <v>263891.02441765124</v>
      </c>
      <c r="X45" s="59">
        <v>598764.5419918457</v>
      </c>
      <c r="Y45" s="59">
        <v>390578.19777590147</v>
      </c>
      <c r="Z45" s="59">
        <v>916266.99325096817</v>
      </c>
      <c r="AA45" s="59">
        <v>789092.80525869015</v>
      </c>
      <c r="AB45" s="59">
        <v>203957.19766527205</v>
      </c>
      <c r="AC45" s="59">
        <v>135096.54490629578</v>
      </c>
      <c r="AD45" s="59">
        <v>3297647.3052666243</v>
      </c>
      <c r="AE45" s="59">
        <v>25159220.254134431</v>
      </c>
      <c r="AF45" s="68">
        <v>3297647.3052666243</v>
      </c>
    </row>
    <row r="46" spans="1:32" x14ac:dyDescent="0.2">
      <c r="A46" s="95">
        <v>9</v>
      </c>
      <c r="B46" s="95">
        <v>0</v>
      </c>
      <c r="C46" s="95">
        <v>9</v>
      </c>
      <c r="D46" s="95"/>
      <c r="E46" s="95">
        <v>0</v>
      </c>
      <c r="F46" s="95">
        <v>0</v>
      </c>
      <c r="G46" s="95">
        <v>0</v>
      </c>
      <c r="H46" s="95">
        <v>90.04519413258484</v>
      </c>
      <c r="I46" s="95">
        <v>9357.8825701604201</v>
      </c>
      <c r="J46" s="95"/>
      <c r="K46" s="95"/>
      <c r="L46" s="95">
        <v>257.82296134299492</v>
      </c>
      <c r="M46" s="95">
        <v>0</v>
      </c>
      <c r="N46" s="95">
        <v>92.920284601293247</v>
      </c>
      <c r="O46" s="95">
        <v>30.283876041687456</v>
      </c>
      <c r="P46" s="95">
        <v>171.04511372102047</v>
      </c>
      <c r="Q46" s="95">
        <v>10000.000000000002</v>
      </c>
      <c r="S46" s="98">
        <v>30.283876041687456</v>
      </c>
      <c r="T46" s="95">
        <v>282.45495351235843</v>
      </c>
      <c r="U46" s="99">
        <v>107.52952714918624</v>
      </c>
      <c r="W46" s="121">
        <v>10.083119614652206</v>
      </c>
      <c r="X46" s="59">
        <v>11.68816106703281</v>
      </c>
      <c r="Y46" s="59">
        <v>13.385914272883731</v>
      </c>
      <c r="Z46" s="59">
        <v>15.175265544836829</v>
      </c>
      <c r="AA46" s="59">
        <v>17.055118525398623</v>
      </c>
      <c r="AB46" s="59">
        <v>19.024393746157216</v>
      </c>
      <c r="AC46" s="59">
        <v>21.082028201374584</v>
      </c>
      <c r="AD46" s="59">
        <v>23.226974935440527</v>
      </c>
      <c r="AE46" s="59">
        <v>25.458202643684405</v>
      </c>
      <c r="AF46" s="68">
        <v>27.77469528605987</v>
      </c>
    </row>
    <row r="47" spans="1:32" x14ac:dyDescent="0.2">
      <c r="A47" s="95">
        <v>10</v>
      </c>
      <c r="B47" s="95">
        <v>0</v>
      </c>
      <c r="C47" s="95">
        <v>10</v>
      </c>
      <c r="D47" s="95"/>
      <c r="E47" s="95">
        <v>0</v>
      </c>
      <c r="F47" s="95">
        <v>0</v>
      </c>
      <c r="G47" s="95">
        <v>0</v>
      </c>
      <c r="H47" s="95">
        <v>89.0021706338824</v>
      </c>
      <c r="I47" s="95">
        <v>9299.4864174260183</v>
      </c>
      <c r="J47" s="95"/>
      <c r="K47" s="95"/>
      <c r="L47" s="95">
        <v>282.37060732546314</v>
      </c>
      <c r="M47" s="95">
        <v>0</v>
      </c>
      <c r="N47" s="95">
        <v>101.81430037487554</v>
      </c>
      <c r="O47" s="95">
        <v>37.500604415785567</v>
      </c>
      <c r="P47" s="95">
        <v>189.82589982397528</v>
      </c>
      <c r="Q47" s="95">
        <v>10000</v>
      </c>
      <c r="S47" s="98">
        <v>37.500604415785567</v>
      </c>
      <c r="T47" s="95">
        <v>312.86807186537982</v>
      </c>
      <c r="U47" s="99">
        <v>119.90805359531703</v>
      </c>
      <c r="W47" s="121">
        <v>66.233624414018806</v>
      </c>
      <c r="X47" s="59">
        <v>71.572291295724284</v>
      </c>
      <c r="Y47" s="59">
        <v>76.94375246373572</v>
      </c>
      <c r="Z47" s="59">
        <v>82.347618085454826</v>
      </c>
      <c r="AA47" s="59">
        <v>87.783502167875014</v>
      </c>
      <c r="AB47" s="59">
        <v>93.251022495713229</v>
      </c>
      <c r="AC47" s="59">
        <v>98.749800570596989</v>
      </c>
      <c r="AD47" s="59">
        <v>104.27946155129325</v>
      </c>
      <c r="AE47" s="59">
        <v>109.83963419496605</v>
      </c>
      <c r="AF47" s="68">
        <v>115.42995079944967</v>
      </c>
    </row>
    <row r="48" spans="1:32" x14ac:dyDescent="0.2">
      <c r="A48" s="95">
        <v>11</v>
      </c>
      <c r="B48" s="95">
        <v>0</v>
      </c>
      <c r="C48" s="95">
        <v>11</v>
      </c>
      <c r="D48" s="95"/>
      <c r="E48" s="95">
        <v>0</v>
      </c>
      <c r="F48" s="95">
        <v>0</v>
      </c>
      <c r="G48" s="95">
        <v>0</v>
      </c>
      <c r="H48" s="95">
        <v>87.971228824039926</v>
      </c>
      <c r="I48" s="95">
        <v>9241.4500244317805</v>
      </c>
      <c r="J48" s="95"/>
      <c r="K48" s="95"/>
      <c r="L48" s="95">
        <v>306.17000686544338</v>
      </c>
      <c r="M48" s="95">
        <v>0</v>
      </c>
      <c r="N48" s="95">
        <v>110.44576503932569</v>
      </c>
      <c r="O48" s="95">
        <v>45.406117481894412</v>
      </c>
      <c r="P48" s="95">
        <v>208.55685735751572</v>
      </c>
      <c r="Q48" s="95">
        <v>10000</v>
      </c>
      <c r="S48" s="98">
        <v>45.406117481894412</v>
      </c>
      <c r="T48" s="95">
        <v>343.09140272201438</v>
      </c>
      <c r="U48" s="99">
        <v>132.357554523825</v>
      </c>
      <c r="W48" s="121">
        <v>25.81788762982443</v>
      </c>
      <c r="X48" s="59">
        <v>28.063207012277712</v>
      </c>
      <c r="Y48" s="59">
        <v>30.343186398235979</v>
      </c>
      <c r="Z48" s="59">
        <v>32.657467077188905</v>
      </c>
      <c r="AA48" s="59">
        <v>35.005693429347254</v>
      </c>
      <c r="AB48" s="59">
        <v>37.387512893489905</v>
      </c>
      <c r="AC48" s="59">
        <v>39.802575935054804</v>
      </c>
      <c r="AD48" s="59">
        <v>42.250536014476388</v>
      </c>
      <c r="AE48" s="59">
        <v>44.731049555772088</v>
      </c>
      <c r="AF48" s="68">
        <v>47.243775915380112</v>
      </c>
    </row>
    <row r="49" spans="1:32" x14ac:dyDescent="0.2">
      <c r="A49" s="95">
        <v>12</v>
      </c>
      <c r="B49" s="95">
        <v>1</v>
      </c>
      <c r="C49" s="95">
        <v>0</v>
      </c>
      <c r="D49" s="95"/>
      <c r="E49" s="95">
        <v>0</v>
      </c>
      <c r="F49" s="95">
        <v>0</v>
      </c>
      <c r="G49" s="95">
        <v>0</v>
      </c>
      <c r="H49" s="95">
        <v>86.952228756828134</v>
      </c>
      <c r="I49" s="95">
        <v>9183.7712294890116</v>
      </c>
      <c r="J49" s="95"/>
      <c r="K49" s="95"/>
      <c r="L49" s="95">
        <v>329.23935178865781</v>
      </c>
      <c r="M49" s="95">
        <v>0</v>
      </c>
      <c r="N49" s="95">
        <v>118.82070391775891</v>
      </c>
      <c r="O49" s="95">
        <v>53.979724392002979</v>
      </c>
      <c r="P49" s="95">
        <v>227.2367616557402</v>
      </c>
      <c r="Q49" s="95">
        <v>10000</v>
      </c>
      <c r="S49" s="98">
        <v>53.979724392002979</v>
      </c>
      <c r="T49" s="95">
        <v>373.12611530141766</v>
      </c>
      <c r="U49" s="99">
        <v>144.87420959123293</v>
      </c>
      <c r="W49" s="121">
        <v>253663.41037324638</v>
      </c>
      <c r="X49" s="59">
        <v>591815.15060101775</v>
      </c>
      <c r="Y49" s="59">
        <v>391698.76997364516</v>
      </c>
      <c r="Z49" s="59">
        <v>912785.63143162453</v>
      </c>
      <c r="AA49" s="59">
        <v>815897.18226594804</v>
      </c>
      <c r="AB49" s="59">
        <v>299388.66865386715</v>
      </c>
      <c r="AC49" s="59">
        <v>198654.5160284607</v>
      </c>
      <c r="AD49" s="59">
        <v>3463903.3293278096</v>
      </c>
      <c r="AE49" s="59">
        <v>38767681.11238686</v>
      </c>
      <c r="AF49" s="68">
        <v>3463903.3293278096</v>
      </c>
    </row>
    <row r="50" spans="1:32" x14ac:dyDescent="0.2">
      <c r="A50" s="95">
        <v>13</v>
      </c>
      <c r="B50" s="95">
        <v>1</v>
      </c>
      <c r="C50" s="95">
        <v>1</v>
      </c>
      <c r="D50" s="95"/>
      <c r="E50" s="95">
        <v>0</v>
      </c>
      <c r="F50" s="95">
        <v>0</v>
      </c>
      <c r="G50" s="95">
        <v>0</v>
      </c>
      <c r="H50" s="95">
        <v>85.945032107061536</v>
      </c>
      <c r="I50" s="95">
        <v>9126.4478832468976</v>
      </c>
      <c r="J50" s="95"/>
      <c r="K50" s="95"/>
      <c r="L50" s="95">
        <v>328.20518803130511</v>
      </c>
      <c r="M50" s="95">
        <v>23.391224999999999</v>
      </c>
      <c r="N50" s="95">
        <v>126.94501694871586</v>
      </c>
      <c r="O50" s="95">
        <v>63.201224608537878</v>
      </c>
      <c r="P50" s="95">
        <v>245.86443005748202</v>
      </c>
      <c r="Q50" s="95">
        <v>10000</v>
      </c>
      <c r="S50" s="98">
        <v>63.201224608537878</v>
      </c>
      <c r="T50" s="95">
        <v>402.97337179725696</v>
      </c>
      <c r="U50" s="99">
        <v>157.45429901910583</v>
      </c>
      <c r="W50" s="121">
        <v>251169.05350457612</v>
      </c>
      <c r="X50" s="59">
        <v>590047.0269395163</v>
      </c>
      <c r="Y50" s="59">
        <v>391941.16469316807</v>
      </c>
      <c r="Z50" s="59">
        <v>911950.3579658001</v>
      </c>
      <c r="AA50" s="59">
        <v>822498.82989760197</v>
      </c>
      <c r="AB50" s="59">
        <v>322609.292446865</v>
      </c>
      <c r="AC50" s="59">
        <v>214150.85674186403</v>
      </c>
      <c r="AD50" s="59">
        <v>3504366.5821893914</v>
      </c>
      <c r="AE50" s="59">
        <v>42272047.694576249</v>
      </c>
      <c r="AF50" s="68">
        <v>3504366.5821893914</v>
      </c>
    </row>
    <row r="51" spans="1:32" x14ac:dyDescent="0.2">
      <c r="A51" s="95">
        <v>14</v>
      </c>
      <c r="B51" s="95">
        <v>1</v>
      </c>
      <c r="C51" s="95">
        <v>2</v>
      </c>
      <c r="D51" s="95"/>
      <c r="E51" s="95">
        <v>0</v>
      </c>
      <c r="F51" s="95">
        <v>0</v>
      </c>
      <c r="G51" s="95">
        <v>0</v>
      </c>
      <c r="H51" s="95">
        <v>84.949502151821406</v>
      </c>
      <c r="I51" s="95">
        <v>9069.4778486300347</v>
      </c>
      <c r="J51" s="95"/>
      <c r="K51" s="95"/>
      <c r="L51" s="95">
        <v>327.15411105747864</v>
      </c>
      <c r="M51" s="95">
        <v>46.240888010416661</v>
      </c>
      <c r="N51" s="95">
        <v>134.82448101743779</v>
      </c>
      <c r="O51" s="95">
        <v>72.914448246771144</v>
      </c>
      <c r="P51" s="95">
        <v>264.43872088603882</v>
      </c>
      <c r="Q51" s="95">
        <v>10000</v>
      </c>
      <c r="S51" s="98">
        <v>72.914448246771144</v>
      </c>
      <c r="T51" s="95">
        <v>432.63432741780935</v>
      </c>
      <c r="U51" s="99">
        <v>170.09420122340461</v>
      </c>
      <c r="W51" s="121">
        <v>248699.22447844775</v>
      </c>
      <c r="X51" s="59">
        <v>588267.25485145277</v>
      </c>
      <c r="Y51" s="59">
        <v>392168.59105666686</v>
      </c>
      <c r="Z51" s="59">
        <v>911128.21889578702</v>
      </c>
      <c r="AA51" s="59">
        <v>829061.36931093025</v>
      </c>
      <c r="AB51" s="59">
        <v>345698.57830287097</v>
      </c>
      <c r="AC51" s="59">
        <v>229493.93321699722</v>
      </c>
      <c r="AD51" s="59">
        <v>3544517.1701131528</v>
      </c>
      <c r="AE51" s="59">
        <v>45816564.864689402</v>
      </c>
      <c r="AF51" s="68">
        <v>3544517.1701131528</v>
      </c>
    </row>
    <row r="52" spans="1:32" x14ac:dyDescent="0.2">
      <c r="A52" s="95">
        <v>15</v>
      </c>
      <c r="B52" s="95">
        <v>1</v>
      </c>
      <c r="C52" s="95">
        <v>3</v>
      </c>
      <c r="D52" s="95"/>
      <c r="E52" s="95">
        <v>0</v>
      </c>
      <c r="F52" s="95">
        <v>0</v>
      </c>
      <c r="G52" s="95">
        <v>0</v>
      </c>
      <c r="H52" s="95">
        <v>83.965503751896136</v>
      </c>
      <c r="I52" s="95">
        <v>9012.8590007761795</v>
      </c>
      <c r="J52" s="95"/>
      <c r="K52" s="95"/>
      <c r="L52" s="95">
        <v>326.08675657912767</v>
      </c>
      <c r="M52" s="95">
        <v>68.559047781414748</v>
      </c>
      <c r="N52" s="95">
        <v>142.46552546407031</v>
      </c>
      <c r="O52" s="95">
        <v>83.105371668777281</v>
      </c>
      <c r="P52" s="95">
        <v>282.95879397853429</v>
      </c>
      <c r="Q52" s="95">
        <v>10000</v>
      </c>
      <c r="S52" s="98">
        <v>83.105371668777281</v>
      </c>
      <c r="T52" s="95">
        <v>462.11013042585694</v>
      </c>
      <c r="U52" s="99">
        <v>182.79116370819105</v>
      </c>
      <c r="W52" s="121">
        <v>246253.68210440967</v>
      </c>
      <c r="X52" s="59">
        <v>586476.15696368227</v>
      </c>
      <c r="Y52" s="59">
        <v>392381.11748537666</v>
      </c>
      <c r="Z52" s="59">
        <v>910318.7779891903</v>
      </c>
      <c r="AA52" s="59">
        <v>835585.12431741296</v>
      </c>
      <c r="AB52" s="59">
        <v>368657.23418153613</v>
      </c>
      <c r="AC52" s="59">
        <v>244686.91042810163</v>
      </c>
      <c r="AD52" s="59">
        <v>3584359.0034697098</v>
      </c>
      <c r="AE52" s="59">
        <v>49400923.868159115</v>
      </c>
      <c r="AF52" s="68">
        <v>3584359.0034697098</v>
      </c>
    </row>
    <row r="53" spans="1:32" x14ac:dyDescent="0.2">
      <c r="A53" s="95">
        <v>16</v>
      </c>
      <c r="B53" s="95">
        <v>1</v>
      </c>
      <c r="C53" s="95">
        <v>4</v>
      </c>
      <c r="D53" s="95"/>
      <c r="E53" s="95">
        <v>0</v>
      </c>
      <c r="F53" s="95">
        <v>0</v>
      </c>
      <c r="G53" s="95">
        <v>0</v>
      </c>
      <c r="H53" s="95">
        <v>82.992903333436672</v>
      </c>
      <c r="I53" s="95">
        <v>8956.589226974198</v>
      </c>
      <c r="J53" s="95"/>
      <c r="K53" s="95"/>
      <c r="L53" s="95">
        <v>325.00374431656866</v>
      </c>
      <c r="M53" s="95">
        <v>90.355587526018923</v>
      </c>
      <c r="N53" s="95">
        <v>149.87439665144962</v>
      </c>
      <c r="O53" s="95">
        <v>93.760303537283761</v>
      </c>
      <c r="P53" s="95">
        <v>301.42383766104359</v>
      </c>
      <c r="Q53" s="95">
        <v>10000</v>
      </c>
      <c r="S53" s="98">
        <v>93.760303537283761</v>
      </c>
      <c r="T53" s="95">
        <v>491.40192217837949</v>
      </c>
      <c r="U53" s="99">
        <v>195.542492100473</v>
      </c>
      <c r="W53" s="121">
        <v>243832.18756371629</v>
      </c>
      <c r="X53" s="59">
        <v>584674.05123929388</v>
      </c>
      <c r="Y53" s="59">
        <v>392578.81399589183</v>
      </c>
      <c r="Z53" s="59">
        <v>909521.60467555339</v>
      </c>
      <c r="AA53" s="59">
        <v>842070.4123616867</v>
      </c>
      <c r="AB53" s="59">
        <v>391485.9675057517</v>
      </c>
      <c r="AC53" s="59">
        <v>259732.85556652886</v>
      </c>
      <c r="AD53" s="59">
        <v>3623895.8929084227</v>
      </c>
      <c r="AE53" s="59">
        <v>53024819.761067539</v>
      </c>
      <c r="AF53" s="68">
        <v>3623895.8929084227</v>
      </c>
    </row>
    <row r="54" spans="1:32" x14ac:dyDescent="0.2">
      <c r="A54" s="95">
        <v>17</v>
      </c>
      <c r="B54" s="95">
        <v>1</v>
      </c>
      <c r="C54" s="95">
        <v>5</v>
      </c>
      <c r="D54" s="95"/>
      <c r="E54" s="95">
        <v>0</v>
      </c>
      <c r="F54" s="95">
        <v>0</v>
      </c>
      <c r="G54" s="95">
        <v>0</v>
      </c>
      <c r="H54" s="95">
        <v>82.031568869824369</v>
      </c>
      <c r="I54" s="95">
        <v>8900.6664266022508</v>
      </c>
      <c r="J54" s="95"/>
      <c r="K54" s="95"/>
      <c r="L54" s="95">
        <v>323.90567837128407</v>
      </c>
      <c r="M54" s="95">
        <v>111.64021792011923</v>
      </c>
      <c r="N54" s="95">
        <v>157.05716375559814</v>
      </c>
      <c r="O54" s="95">
        <v>104.86587642384198</v>
      </c>
      <c r="P54" s="95">
        <v>319.83306805708014</v>
      </c>
      <c r="Q54" s="95">
        <v>9999.9999999999982</v>
      </c>
      <c r="S54" s="98">
        <v>104.86587642384198</v>
      </c>
      <c r="T54" s="95">
        <v>520.51083716604569</v>
      </c>
      <c r="U54" s="99">
        <v>208.3455490790509</v>
      </c>
      <c r="W54" s="121">
        <v>241434.50438600642</v>
      </c>
      <c r="X54" s="59">
        <v>582861.2510341584</v>
      </c>
      <c r="Y54" s="59">
        <v>392761.7521510449</v>
      </c>
      <c r="Z54" s="59">
        <v>908736.27402399981</v>
      </c>
      <c r="AA54" s="59">
        <v>848517.54461391945</v>
      </c>
      <c r="AB54" s="59">
        <v>414185.4849683987</v>
      </c>
      <c r="AC54" s="59">
        <v>274634.74137086619</v>
      </c>
      <c r="AD54" s="59">
        <v>3663131.5525483941</v>
      </c>
      <c r="AE54" s="59">
        <v>56687951.313615933</v>
      </c>
      <c r="AF54" s="68">
        <v>3663131.5525483941</v>
      </c>
    </row>
    <row r="55" spans="1:32" x14ac:dyDescent="0.2">
      <c r="A55" s="95">
        <v>18</v>
      </c>
      <c r="B55" s="95">
        <v>1</v>
      </c>
      <c r="C55" s="95">
        <v>6</v>
      </c>
      <c r="D55" s="95"/>
      <c r="E55" s="95">
        <v>0</v>
      </c>
      <c r="F55" s="95">
        <v>0</v>
      </c>
      <c r="G55" s="95">
        <v>0</v>
      </c>
      <c r="H55" s="95">
        <v>81.081369863748904</v>
      </c>
      <c r="I55" s="95">
        <v>8845.0885110661784</v>
      </c>
      <c r="J55" s="95"/>
      <c r="K55" s="95"/>
      <c r="L55" s="95">
        <v>322.79314759019081</v>
      </c>
      <c r="M55" s="95">
        <v>132.42248005157435</v>
      </c>
      <c r="N55" s="95">
        <v>164.01972435811712</v>
      </c>
      <c r="O55" s="95">
        <v>116.4090386566976</v>
      </c>
      <c r="P55" s="95">
        <v>338.18572841349169</v>
      </c>
      <c r="Q55" s="95">
        <v>9999.9999999999982</v>
      </c>
      <c r="S55" s="98">
        <v>116.4090386566976</v>
      </c>
      <c r="T55" s="95">
        <v>549.43800305250295</v>
      </c>
      <c r="U55" s="99">
        <v>221.19775332240482</v>
      </c>
      <c r="W55" s="121">
        <v>239060.39842621071</v>
      </c>
      <c r="X55" s="59">
        <v>581038.06515284383</v>
      </c>
      <c r="Y55" s="59">
        <v>392930.00501168054</v>
      </c>
      <c r="Z55" s="59">
        <v>907962.36672008131</v>
      </c>
      <c r="AA55" s="59">
        <v>854926.82606151747</v>
      </c>
      <c r="AB55" s="59">
        <v>436756.49234490463</v>
      </c>
      <c r="AC55" s="59">
        <v>289395.44933847722</v>
      </c>
      <c r="AD55" s="59">
        <v>3702069.6030557156</v>
      </c>
      <c r="AE55" s="59">
        <v>60390020.916671649</v>
      </c>
      <c r="AF55" s="68">
        <v>3702069.6030557156</v>
      </c>
    </row>
    <row r="56" spans="1:32" x14ac:dyDescent="0.2">
      <c r="A56" s="95">
        <v>19</v>
      </c>
      <c r="B56" s="95">
        <v>1</v>
      </c>
      <c r="C56" s="95">
        <v>7</v>
      </c>
      <c r="D56" s="95"/>
      <c r="E56" s="95">
        <v>0</v>
      </c>
      <c r="F56" s="95">
        <v>0</v>
      </c>
      <c r="G56" s="95">
        <v>0</v>
      </c>
      <c r="H56" s="95">
        <v>80.142177329493819</v>
      </c>
      <c r="I56" s="95">
        <v>8789.8534037381087</v>
      </c>
      <c r="J56" s="95"/>
      <c r="K56" s="95"/>
      <c r="L56" s="95">
        <v>321.66672592157317</v>
      </c>
      <c r="M56" s="95">
        <v>152.71174831927445</v>
      </c>
      <c r="N56" s="95">
        <v>170.76780984756826</v>
      </c>
      <c r="O56" s="95">
        <v>128.37704640070652</v>
      </c>
      <c r="P56" s="95">
        <v>356.48108844327385</v>
      </c>
      <c r="Q56" s="95">
        <v>9999.9999999999982</v>
      </c>
      <c r="S56" s="98">
        <v>128.37704640070652</v>
      </c>
      <c r="T56" s="95">
        <v>578.18454071346798</v>
      </c>
      <c r="U56" s="99">
        <v>234.09657847528536</v>
      </c>
      <c r="W56" s="121">
        <v>236709.63784168629</v>
      </c>
      <c r="X56" s="59">
        <v>579204.79790390399</v>
      </c>
      <c r="Y56" s="59">
        <v>393083.64708931203</v>
      </c>
      <c r="Z56" s="59">
        <v>907199.46904185985</v>
      </c>
      <c r="AA56" s="59">
        <v>861298.55560015922</v>
      </c>
      <c r="AB56" s="59">
        <v>459199.69431150012</v>
      </c>
      <c r="AC56" s="59">
        <v>304017.77282273193</v>
      </c>
      <c r="AD56" s="59">
        <v>3740713.5746111535</v>
      </c>
      <c r="AE56" s="59">
        <v>64130734.491282806</v>
      </c>
      <c r="AF56" s="68">
        <v>3740713.5746111535</v>
      </c>
    </row>
    <row r="57" spans="1:32" x14ac:dyDescent="0.2">
      <c r="A57" s="95">
        <v>20</v>
      </c>
      <c r="B57" s="95">
        <v>1</v>
      </c>
      <c r="C57" s="95">
        <v>8</v>
      </c>
      <c r="D57" s="95"/>
      <c r="E57" s="95">
        <v>0</v>
      </c>
      <c r="F57" s="95">
        <v>0</v>
      </c>
      <c r="G57" s="95">
        <v>0</v>
      </c>
      <c r="H57" s="95">
        <v>79.213863775427185</v>
      </c>
      <c r="I57" s="95">
        <v>8734.959039895286</v>
      </c>
      <c r="J57" s="95"/>
      <c r="K57" s="95"/>
      <c r="L57" s="95">
        <v>320.52697276286949</v>
      </c>
      <c r="M57" s="95">
        <v>172.5172332830102</v>
      </c>
      <c r="N57" s="95">
        <v>177.30699063667706</v>
      </c>
      <c r="O57" s="95">
        <v>140.75745596190623</v>
      </c>
      <c r="P57" s="95">
        <v>374.71844368482289</v>
      </c>
      <c r="Q57" s="95">
        <v>9999.9999999999982</v>
      </c>
      <c r="S57" s="98">
        <v>140.75745596190623</v>
      </c>
      <c r="T57" s="95">
        <v>606.75156427561683</v>
      </c>
      <c r="U57" s="99">
        <v>247.03955213367794</v>
      </c>
      <c r="W57" s="121">
        <v>234381.99306957639</v>
      </c>
      <c r="X57" s="59">
        <v>577361.74915454921</v>
      </c>
      <c r="Y57" s="59">
        <v>393222.75429964747</v>
      </c>
      <c r="Z57" s="59">
        <v>906447.17283524631</v>
      </c>
      <c r="AA57" s="59">
        <v>867633.02612415119</v>
      </c>
      <c r="AB57" s="59">
        <v>481515.79426907032</v>
      </c>
      <c r="AC57" s="59">
        <v>318504.42002004629</v>
      </c>
      <c r="AD57" s="59">
        <v>3779066.9097722871</v>
      </c>
      <c r="AE57" s="59">
        <v>67909801.401055098</v>
      </c>
      <c r="AF57" s="68">
        <v>3779066.9097722871</v>
      </c>
    </row>
    <row r="58" spans="1:32" x14ac:dyDescent="0.2">
      <c r="A58" s="95">
        <v>21</v>
      </c>
      <c r="B58" s="95">
        <v>1</v>
      </c>
      <c r="C58" s="95">
        <v>9</v>
      </c>
      <c r="D58" s="95"/>
      <c r="E58" s="95">
        <v>0</v>
      </c>
      <c r="F58" s="95">
        <v>0</v>
      </c>
      <c r="G58" s="95">
        <v>0</v>
      </c>
      <c r="H58" s="95">
        <v>78.296303186695155</v>
      </c>
      <c r="I58" s="95">
        <v>8680.4033666591113</v>
      </c>
      <c r="J58" s="95"/>
      <c r="K58" s="95"/>
      <c r="L58" s="95">
        <v>319.37443330049865</v>
      </c>
      <c r="M58" s="95">
        <v>191.84798446498115</v>
      </c>
      <c r="N58" s="95">
        <v>183.6426812019395</v>
      </c>
      <c r="O58" s="95">
        <v>153.53811630960627</v>
      </c>
      <c r="P58" s="95">
        <v>392.8971148771667</v>
      </c>
      <c r="Q58" s="95">
        <v>9999.9999999999982</v>
      </c>
      <c r="S58" s="98">
        <v>153.53811630960627</v>
      </c>
      <c r="T58" s="95">
        <v>635.14018115527654</v>
      </c>
      <c r="U58" s="99">
        <v>260.02425484781577</v>
      </c>
      <c r="W58" s="121">
        <v>232077.23680439222</v>
      </c>
      <c r="X58" s="59">
        <v>575509.21438470331</v>
      </c>
      <c r="Y58" s="59">
        <v>393347.40391697077</v>
      </c>
      <c r="Z58" s="59">
        <v>905705.07548862498</v>
      </c>
      <c r="AA58" s="59">
        <v>873930.52461609768</v>
      </c>
      <c r="AB58" s="59">
        <v>503705.49417249893</v>
      </c>
      <c r="AC58" s="59">
        <v>332858.01685070409</v>
      </c>
      <c r="AD58" s="59">
        <v>3817132.966233992</v>
      </c>
      <c r="AE58" s="59">
        <v>71726934.367289096</v>
      </c>
      <c r="AF58" s="68">
        <v>3817132.966233992</v>
      </c>
    </row>
    <row r="59" spans="1:32" x14ac:dyDescent="0.2">
      <c r="A59" s="95">
        <v>22</v>
      </c>
      <c r="B59" s="95">
        <v>1</v>
      </c>
      <c r="C59" s="95">
        <v>10</v>
      </c>
      <c r="D59" s="95"/>
      <c r="E59" s="95">
        <v>0</v>
      </c>
      <c r="F59" s="95">
        <v>0</v>
      </c>
      <c r="G59" s="95">
        <v>0</v>
      </c>
      <c r="H59" s="95">
        <v>77.38937100811593</v>
      </c>
      <c r="I59" s="95">
        <v>8626.1843429344081</v>
      </c>
      <c r="J59" s="95"/>
      <c r="K59" s="95"/>
      <c r="L59" s="95">
        <v>318.20963884190792</v>
      </c>
      <c r="M59" s="95">
        <v>210.71289310376176</v>
      </c>
      <c r="N59" s="95">
        <v>189.78014495197345</v>
      </c>
      <c r="O59" s="95">
        <v>166.707161809106</v>
      </c>
      <c r="P59" s="95">
        <v>411.0164473507254</v>
      </c>
      <c r="Q59" s="95">
        <v>9999.9999999999982</v>
      </c>
      <c r="S59" s="98">
        <v>166.707161809106</v>
      </c>
      <c r="T59" s="95">
        <v>663.35149209691861</v>
      </c>
      <c r="U59" s="99">
        <v>273.04831914292242</v>
      </c>
      <c r="W59" s="121">
        <v>229795.14397581571</v>
      </c>
      <c r="X59" s="59">
        <v>573647.48474045575</v>
      </c>
      <c r="Y59" s="59">
        <v>393457.67452936631</v>
      </c>
      <c r="Z59" s="59">
        <v>904972.77990678372</v>
      </c>
      <c r="AA59" s="59">
        <v>880191.33223588415</v>
      </c>
      <c r="AB59" s="59">
        <v>525769.49436540133</v>
      </c>
      <c r="AC59" s="59">
        <v>347081.10973729019</v>
      </c>
      <c r="AD59" s="59">
        <v>3854915.0194909973</v>
      </c>
      <c r="AE59" s="59">
        <v>75581849.386780098</v>
      </c>
      <c r="AF59" s="68">
        <v>3854915.0194909973</v>
      </c>
    </row>
    <row r="60" spans="1:32" x14ac:dyDescent="0.2">
      <c r="A60" s="95">
        <v>23</v>
      </c>
      <c r="B60" s="95">
        <v>1</v>
      </c>
      <c r="C60" s="95">
        <v>11</v>
      </c>
      <c r="D60" s="95"/>
      <c r="E60" s="95">
        <v>0</v>
      </c>
      <c r="F60" s="95">
        <v>0</v>
      </c>
      <c r="G60" s="95">
        <v>0</v>
      </c>
      <c r="H60" s="95">
        <v>76.492944127271926</v>
      </c>
      <c r="I60" s="95">
        <v>8572.2999393489026</v>
      </c>
      <c r="J60" s="95"/>
      <c r="K60" s="95"/>
      <c r="L60" s="95">
        <v>317.03310714001799</v>
      </c>
      <c r="M60" s="95">
        <v>229.12069486152978</v>
      </c>
      <c r="N60" s="95">
        <v>195.7244989307234</v>
      </c>
      <c r="O60" s="95">
        <v>180.25300515838444</v>
      </c>
      <c r="P60" s="95">
        <v>429.07581043316907</v>
      </c>
      <c r="Q60" s="95">
        <v>10000</v>
      </c>
      <c r="S60" s="98">
        <v>180.25300515838444</v>
      </c>
      <c r="T60" s="95">
        <v>691.38659121145542</v>
      </c>
      <c r="U60" s="99">
        <v>286.10942855737136</v>
      </c>
      <c r="W60" s="121">
        <v>227535.49172672018</v>
      </c>
      <c r="X60" s="59">
        <v>571776.8470869133</v>
      </c>
      <c r="Y60" s="59">
        <v>393553.64599477343</v>
      </c>
      <c r="Z60" s="59">
        <v>904249.89448417944</v>
      </c>
      <c r="AA60" s="59">
        <v>886415.72440896393</v>
      </c>
      <c r="AB60" s="59">
        <v>547708.49342014675</v>
      </c>
      <c r="AC60" s="59">
        <v>361176.1682844265</v>
      </c>
      <c r="AD60" s="59">
        <v>3892416.2654061234</v>
      </c>
      <c r="AE60" s="59">
        <v>79474265.652186215</v>
      </c>
      <c r="AF60" s="68">
        <v>3892416.2654061234</v>
      </c>
    </row>
    <row r="61" spans="1:32" x14ac:dyDescent="0.2">
      <c r="A61" s="95">
        <v>24</v>
      </c>
      <c r="B61" s="95">
        <v>2</v>
      </c>
      <c r="C61" s="95">
        <v>0</v>
      </c>
      <c r="D61" s="95"/>
      <c r="E61" s="95">
        <v>0</v>
      </c>
      <c r="F61" s="95">
        <v>0</v>
      </c>
      <c r="G61" s="95">
        <v>0</v>
      </c>
      <c r="H61" s="95">
        <v>75.606900857797697</v>
      </c>
      <c r="I61" s="95">
        <v>8518.7481381929229</v>
      </c>
      <c r="J61" s="95"/>
      <c r="K61" s="95"/>
      <c r="L61" s="95">
        <v>315.84534271024035</v>
      </c>
      <c r="M61" s="95">
        <v>247.07997248534843</v>
      </c>
      <c r="N61" s="95">
        <v>201.48071836140377</v>
      </c>
      <c r="O61" s="95">
        <v>194.1643305223339</v>
      </c>
      <c r="P61" s="95">
        <v>447.0745968699519</v>
      </c>
      <c r="Q61" s="95">
        <v>9999.9999999999982</v>
      </c>
      <c r="S61" s="98">
        <v>194.1643305223339</v>
      </c>
      <c r="T61" s="95">
        <v>719.24656601433935</v>
      </c>
      <c r="U61" s="99">
        <v>299.20531669795383</v>
      </c>
      <c r="W61" s="121">
        <v>225298.05939140744</v>
      </c>
      <c r="X61" s="59">
        <v>569897.58406045928</v>
      </c>
      <c r="Y61" s="59">
        <v>393635.39939785842</v>
      </c>
      <c r="Z61" s="59">
        <v>903536.03307755699</v>
      </c>
      <c r="AA61" s="59">
        <v>892603.97091394919</v>
      </c>
      <c r="AB61" s="59">
        <v>569523.18798307015</v>
      </c>
      <c r="AC61" s="59">
        <v>375145.58786336979</v>
      </c>
      <c r="AD61" s="59">
        <v>3929639.8226876711</v>
      </c>
      <c r="AE61" s="59">
        <v>83403905.474873886</v>
      </c>
      <c r="AF61" s="68">
        <v>3929639.8226876711</v>
      </c>
    </row>
    <row r="62" spans="1:32" x14ac:dyDescent="0.2">
      <c r="A62" s="95">
        <v>25</v>
      </c>
      <c r="B62" s="95">
        <v>2</v>
      </c>
      <c r="C62" s="95">
        <v>1</v>
      </c>
      <c r="D62" s="95"/>
      <c r="E62" s="95">
        <v>0</v>
      </c>
      <c r="F62" s="95">
        <v>0</v>
      </c>
      <c r="G62" s="95">
        <v>0</v>
      </c>
      <c r="H62" s="95">
        <v>74.731120922861535</v>
      </c>
      <c r="I62" s="95">
        <v>8465.526933359326</v>
      </c>
      <c r="J62" s="95"/>
      <c r="K62" s="95"/>
      <c r="L62" s="95">
        <v>314.6468371402342</v>
      </c>
      <c r="M62" s="95">
        <v>264.59915842327979</v>
      </c>
      <c r="N62" s="95">
        <v>207.05364103685122</v>
      </c>
      <c r="O62" s="95">
        <v>208.43008685832908</v>
      </c>
      <c r="P62" s="95">
        <v>465.0122222591167</v>
      </c>
      <c r="Q62" s="95">
        <v>9999.9999999999982</v>
      </c>
      <c r="S62" s="98">
        <v>208.43008685832908</v>
      </c>
      <c r="T62" s="95">
        <v>746.93249746346635</v>
      </c>
      <c r="U62" s="99">
        <v>312.33376631195392</v>
      </c>
      <c r="W62" s="121">
        <v>223082.62847405861</v>
      </c>
      <c r="X62" s="59">
        <v>568009.97412042564</v>
      </c>
      <c r="Y62" s="59">
        <v>393703.01700769161</v>
      </c>
      <c r="Z62" s="59">
        <v>902830.81497794786</v>
      </c>
      <c r="AA62" s="59">
        <v>898756.33596949733</v>
      </c>
      <c r="AB62" s="59">
        <v>591214.27262477472</v>
      </c>
      <c r="AC62" s="59">
        <v>388991.69210490189</v>
      </c>
      <c r="AD62" s="59">
        <v>3966588.7352792975</v>
      </c>
      <c r="AE62" s="59">
        <v>87370494.210153177</v>
      </c>
      <c r="AF62" s="68">
        <v>3966588.7352792975</v>
      </c>
    </row>
    <row r="63" spans="1:32" x14ac:dyDescent="0.2">
      <c r="A63" s="95">
        <v>26</v>
      </c>
      <c r="B63" s="95">
        <v>2</v>
      </c>
      <c r="C63" s="95">
        <v>2</v>
      </c>
      <c r="D63" s="95"/>
      <c r="E63" s="95">
        <v>0</v>
      </c>
      <c r="F63" s="95">
        <v>0</v>
      </c>
      <c r="G63" s="95">
        <v>0</v>
      </c>
      <c r="H63" s="95">
        <v>73.865485438838391</v>
      </c>
      <c r="I63" s="95">
        <v>8412.6343302836376</v>
      </c>
      <c r="J63" s="95"/>
      <c r="K63" s="95"/>
      <c r="L63" s="95">
        <v>313.43806939257007</v>
      </c>
      <c r="M63" s="95">
        <v>281.68653739609425</v>
      </c>
      <c r="N63" s="95">
        <v>212.44797156174843</v>
      </c>
      <c r="O63" s="95">
        <v>223.03948142713452</v>
      </c>
      <c r="P63" s="95">
        <v>482.88812449997494</v>
      </c>
      <c r="Q63" s="95">
        <v>9999.9999999999982</v>
      </c>
      <c r="S63" s="98">
        <v>223.03948142713452</v>
      </c>
      <c r="T63" s="95">
        <v>774.44545999688421</v>
      </c>
      <c r="U63" s="99">
        <v>325.49260837573303</v>
      </c>
      <c r="W63" s="121">
        <v>220888.98262739705</v>
      </c>
      <c r="X63" s="59">
        <v>566114.29160018463</v>
      </c>
      <c r="Y63" s="59">
        <v>393756.58223621704</v>
      </c>
      <c r="Z63" s="59">
        <v>902133.86488207127</v>
      </c>
      <c r="AA63" s="59">
        <v>904873.07832049357</v>
      </c>
      <c r="AB63" s="59">
        <v>612782.43969542941</v>
      </c>
      <c r="AC63" s="59">
        <v>402716.7353038193</v>
      </c>
      <c r="AD63" s="59">
        <v>4003265.9746656124</v>
      </c>
      <c r="AE63" s="59">
        <v>91373760.184818789</v>
      </c>
      <c r="AF63" s="68">
        <v>4003265.9746656124</v>
      </c>
    </row>
    <row r="64" spans="1:32" x14ac:dyDescent="0.2">
      <c r="A64" s="95">
        <v>27</v>
      </c>
      <c r="B64" s="95">
        <v>2</v>
      </c>
      <c r="C64" s="95">
        <v>3</v>
      </c>
      <c r="D64" s="95"/>
      <c r="E64" s="95">
        <v>0</v>
      </c>
      <c r="F64" s="95">
        <v>0</v>
      </c>
      <c r="G64" s="95">
        <v>0</v>
      </c>
      <c r="H64" s="95">
        <v>73.009876899171843</v>
      </c>
      <c r="I64" s="95">
        <v>8360.068345884416</v>
      </c>
      <c r="J64" s="95"/>
      <c r="K64" s="95"/>
      <c r="L64" s="95">
        <v>312.21950610046031</v>
      </c>
      <c r="M64" s="95">
        <v>298.35024892532761</v>
      </c>
      <c r="N64" s="95">
        <v>217.66828545198288</v>
      </c>
      <c r="O64" s="95">
        <v>237.98197348335759</v>
      </c>
      <c r="P64" s="95">
        <v>500.70176325528132</v>
      </c>
      <c r="Q64" s="95">
        <v>9999.9999999999982</v>
      </c>
      <c r="S64" s="98">
        <v>237.98197348335759</v>
      </c>
      <c r="T64" s="95">
        <v>801.78652157030604</v>
      </c>
      <c r="U64" s="99">
        <v>338.67972119953305</v>
      </c>
      <c r="W64" s="121">
        <v>218716.90763156096</v>
      </c>
      <c r="X64" s="59">
        <v>564210.8067576671</v>
      </c>
      <c r="Y64" s="59">
        <v>393796.17959750316</v>
      </c>
      <c r="Z64" s="59">
        <v>901444.81286315783</v>
      </c>
      <c r="AA64" s="59">
        <v>910954.45132352179</v>
      </c>
      <c r="AB64" s="59">
        <v>634228.37918496318</v>
      </c>
      <c r="AC64" s="59">
        <v>416322.90473821072</v>
      </c>
      <c r="AD64" s="59">
        <v>4039674.4420965849</v>
      </c>
      <c r="AE64" s="59">
        <v>95413434.62691538</v>
      </c>
      <c r="AF64" s="68">
        <v>4039674.4420965849</v>
      </c>
    </row>
    <row r="65" spans="1:32" x14ac:dyDescent="0.2">
      <c r="A65" s="95">
        <v>28</v>
      </c>
      <c r="B65" s="95">
        <v>2</v>
      </c>
      <c r="C65" s="95">
        <v>4</v>
      </c>
      <c r="D65" s="95"/>
      <c r="E65" s="95">
        <v>0</v>
      </c>
      <c r="F65" s="95">
        <v>0</v>
      </c>
      <c r="G65" s="95">
        <v>0</v>
      </c>
      <c r="H65" s="95">
        <v>72.164179158423096</v>
      </c>
      <c r="I65" s="95">
        <v>8307.8270085038403</v>
      </c>
      <c r="J65" s="95"/>
      <c r="K65" s="95"/>
      <c r="L65" s="95">
        <v>310.99160185671531</v>
      </c>
      <c r="M65" s="95">
        <v>314.59828981842475</v>
      </c>
      <c r="N65" s="95">
        <v>222.71903309621146</v>
      </c>
      <c r="O65" s="95">
        <v>253.24726813985069</v>
      </c>
      <c r="P65" s="95">
        <v>518.45261942653224</v>
      </c>
      <c r="Q65" s="95">
        <v>9999.9999999999982</v>
      </c>
      <c r="S65" s="98">
        <v>253.24726813985069</v>
      </c>
      <c r="T65" s="95">
        <v>828.95674369443043</v>
      </c>
      <c r="U65" s="99">
        <v>351.89302954821102</v>
      </c>
      <c r="W65" s="121">
        <v>216566.19137318397</v>
      </c>
      <c r="X65" s="59">
        <v>562299.78582531156</v>
      </c>
      <c r="Y65" s="59">
        <v>393821.89466776181</v>
      </c>
      <c r="Z65" s="59">
        <v>900763.29434122005</v>
      </c>
      <c r="AA65" s="59">
        <v>917000.70303162339</v>
      </c>
      <c r="AB65" s="59">
        <v>655552.77858806495</v>
      </c>
      <c r="AC65" s="59">
        <v>429812.32290659589</v>
      </c>
      <c r="AD65" s="59">
        <v>4075816.9707337618</v>
      </c>
      <c r="AE65" s="59">
        <v>99489251.597649142</v>
      </c>
      <c r="AF65" s="68">
        <v>4075816.9707337618</v>
      </c>
    </row>
    <row r="66" spans="1:32" x14ac:dyDescent="0.2">
      <c r="A66" s="95">
        <v>29</v>
      </c>
      <c r="B66" s="95">
        <v>2</v>
      </c>
      <c r="C66" s="95">
        <v>5</v>
      </c>
      <c r="D66" s="95"/>
      <c r="E66" s="95">
        <v>0</v>
      </c>
      <c r="F66" s="95">
        <v>0</v>
      </c>
      <c r="G66" s="95">
        <v>0</v>
      </c>
      <c r="H66" s="95">
        <v>71.32827741650469</v>
      </c>
      <c r="I66" s="95">
        <v>8255.9083578485133</v>
      </c>
      <c r="J66" s="95"/>
      <c r="K66" s="95"/>
      <c r="L66" s="95">
        <v>309.75479949607927</v>
      </c>
      <c r="M66" s="95">
        <v>330.43851661169634</v>
      </c>
      <c r="N66" s="95">
        <v>227.60454358451713</v>
      </c>
      <c r="O66" s="95">
        <v>268.82531040065635</v>
      </c>
      <c r="P66" s="95">
        <v>536.14019464203</v>
      </c>
      <c r="Q66" s="95">
        <v>9999.9999999999964</v>
      </c>
      <c r="S66" s="98">
        <v>268.82531040065635</v>
      </c>
      <c r="T66" s="95">
        <v>855.95718147206787</v>
      </c>
      <c r="U66" s="99">
        <v>365.13050377762465</v>
      </c>
      <c r="W66" s="121">
        <v>214436.62382468101</v>
      </c>
      <c r="X66" s="59">
        <v>560381.49105945206</v>
      </c>
      <c r="Y66" s="59">
        <v>393833.81404612452</v>
      </c>
      <c r="Z66" s="59">
        <v>900088.95005278813</v>
      </c>
      <c r="AA66" s="59">
        <v>923012.07627834054</v>
      </c>
      <c r="AB66" s="59">
        <v>676756.32277389325</v>
      </c>
      <c r="AC66" s="59">
        <v>443187.04968588758</v>
      </c>
      <c r="AD66" s="59">
        <v>4111696.3277211669</v>
      </c>
      <c r="AE66" s="59">
        <v>103600947.92537031</v>
      </c>
      <c r="AF66" s="68">
        <v>4111696.3277211669</v>
      </c>
    </row>
    <row r="67" spans="1:32" x14ac:dyDescent="0.2">
      <c r="A67" s="95">
        <v>30</v>
      </c>
      <c r="B67" s="95">
        <v>2</v>
      </c>
      <c r="C67" s="95">
        <v>6</v>
      </c>
      <c r="D67" s="95"/>
      <c r="E67" s="95">
        <v>0</v>
      </c>
      <c r="F67" s="95">
        <v>0</v>
      </c>
      <c r="G67" s="95">
        <v>0</v>
      </c>
      <c r="H67" s="95">
        <v>70.502058203096851</v>
      </c>
      <c r="I67" s="95">
        <v>8204.3104449304992</v>
      </c>
      <c r="J67" s="95"/>
      <c r="K67" s="95"/>
      <c r="L67" s="95">
        <v>308.50953037109667</v>
      </c>
      <c r="M67" s="95">
        <v>345.87864797180293</v>
      </c>
      <c r="N67" s="95">
        <v>232.32902840886507</v>
      </c>
      <c r="O67" s="95">
        <v>284.7062793572718</v>
      </c>
      <c r="P67" s="95">
        <v>553.76401075736487</v>
      </c>
      <c r="Q67" s="95">
        <v>9999.9999999999982</v>
      </c>
      <c r="S67" s="98">
        <v>284.7062793572718</v>
      </c>
      <c r="T67" s="95">
        <v>882.78888363507554</v>
      </c>
      <c r="U67" s="99">
        <v>378.39015898639201</v>
      </c>
      <c r="W67" s="121">
        <v>212327.99702373831</v>
      </c>
      <c r="X67" s="59">
        <v>558456.18078914995</v>
      </c>
      <c r="Y67" s="59">
        <v>393832.02531616384</v>
      </c>
      <c r="Z67" s="59">
        <v>899421.42602013482</v>
      </c>
      <c r="AA67" s="59">
        <v>928988.80876103928</v>
      </c>
      <c r="AB67" s="59">
        <v>697839.69386040512</v>
      </c>
      <c r="AC67" s="59">
        <v>456449.08441303379</v>
      </c>
      <c r="AD67" s="59">
        <v>4147315.2161836652</v>
      </c>
      <c r="AE67" s="59">
        <v>107748263.14155397</v>
      </c>
      <c r="AF67" s="68">
        <v>4147315.2161836652</v>
      </c>
    </row>
    <row r="68" spans="1:32" x14ac:dyDescent="0.2">
      <c r="A68" s="95">
        <v>31</v>
      </c>
      <c r="B68" s="95">
        <v>2</v>
      </c>
      <c r="C68" s="95">
        <v>7</v>
      </c>
      <c r="D68" s="95"/>
      <c r="E68" s="95">
        <v>0</v>
      </c>
      <c r="F68" s="95">
        <v>0</v>
      </c>
      <c r="G68" s="95">
        <v>0</v>
      </c>
      <c r="H68" s="95">
        <v>69.685409362244314</v>
      </c>
      <c r="I68" s="95">
        <v>8153.0313320085697</v>
      </c>
      <c r="J68" s="95"/>
      <c r="K68" s="95"/>
      <c r="L68" s="95">
        <v>307.25621462165674</v>
      </c>
      <c r="M68" s="95">
        <v>360.92626705646819</v>
      </c>
      <c r="N68" s="95">
        <v>236.89658503989463</v>
      </c>
      <c r="O68" s="95">
        <v>300.88058254318571</v>
      </c>
      <c r="P68" s="95">
        <v>571.32360936797852</v>
      </c>
      <c r="Q68" s="95">
        <v>9999.9999999999982</v>
      </c>
      <c r="S68" s="98">
        <v>300.88058254318571</v>
      </c>
      <c r="T68" s="95">
        <v>909.4528925810996</v>
      </c>
      <c r="U68" s="99">
        <v>391.67005418275403</v>
      </c>
      <c r="W68" s="121">
        <v>210240.10505300487</v>
      </c>
      <c r="X68" s="59">
        <v>556524.10946447589</v>
      </c>
      <c r="Y68" s="59">
        <v>393816.61700814904</v>
      </c>
      <c r="Z68" s="59">
        <v>898760.37352000654</v>
      </c>
      <c r="AA68" s="59">
        <v>934931.13312351261</v>
      </c>
      <c r="AB68" s="59">
        <v>718803.57109321223</v>
      </c>
      <c r="AC68" s="59">
        <v>469600.36789309245</v>
      </c>
      <c r="AD68" s="59">
        <v>4182676.2771554538</v>
      </c>
      <c r="AE68" s="59">
        <v>111930939.41870943</v>
      </c>
      <c r="AF68" s="68">
        <v>4182676.2771554538</v>
      </c>
    </row>
    <row r="69" spans="1:32" x14ac:dyDescent="0.2">
      <c r="A69" s="95">
        <v>32</v>
      </c>
      <c r="B69" s="95">
        <v>2</v>
      </c>
      <c r="C69" s="95">
        <v>8</v>
      </c>
      <c r="D69" s="95"/>
      <c r="E69" s="95">
        <v>0</v>
      </c>
      <c r="F69" s="95">
        <v>0</v>
      </c>
      <c r="G69" s="95">
        <v>0</v>
      </c>
      <c r="H69" s="95">
        <v>68.878220037131655</v>
      </c>
      <c r="I69" s="95">
        <v>8102.069092529684</v>
      </c>
      <c r="J69" s="95"/>
      <c r="K69" s="95"/>
      <c r="L69" s="95">
        <v>305.99526143835971</v>
      </c>
      <c r="M69" s="95">
        <v>375.58882383511184</v>
      </c>
      <c r="N69" s="95">
        <v>241.31120038441796</v>
      </c>
      <c r="O69" s="95">
        <v>317.33885044181079</v>
      </c>
      <c r="P69" s="95">
        <v>588.81855133348211</v>
      </c>
      <c r="Q69" s="95">
        <v>9999.9999999999982</v>
      </c>
      <c r="S69" s="98">
        <v>317.33885044181079</v>
      </c>
      <c r="T69" s="95">
        <v>935.95024441012742</v>
      </c>
      <c r="U69" s="99">
        <v>404.9682914662734</v>
      </c>
      <c r="W69" s="121">
        <v>208172.74401998366</v>
      </c>
      <c r="X69" s="59">
        <v>554585.52770424727</v>
      </c>
      <c r="Y69" s="59">
        <v>393787.67856202356</v>
      </c>
      <c r="Z69" s="59">
        <v>898105.44905188354</v>
      </c>
      <c r="AA69" s="59">
        <v>940839.27703785931</v>
      </c>
      <c r="AB69" s="59">
        <v>739648.63072887633</v>
      </c>
      <c r="AC69" s="59">
        <v>482642.78433639335</v>
      </c>
      <c r="AD69" s="59">
        <v>4217782.0914412672</v>
      </c>
      <c r="AE69" s="59">
        <v>116148721.5101507</v>
      </c>
      <c r="AF69" s="68">
        <v>4217782.0914412672</v>
      </c>
    </row>
    <row r="70" spans="1:32" x14ac:dyDescent="0.2">
      <c r="A70" s="95">
        <v>33</v>
      </c>
      <c r="B70" s="95">
        <v>2</v>
      </c>
      <c r="C70" s="95">
        <v>9</v>
      </c>
      <c r="D70" s="95"/>
      <c r="E70" s="95">
        <v>0</v>
      </c>
      <c r="F70" s="95">
        <v>0</v>
      </c>
      <c r="G70" s="95">
        <v>0</v>
      </c>
      <c r="H70" s="95">
        <v>68.080380655034887</v>
      </c>
      <c r="I70" s="95">
        <v>8051.4218110706879</v>
      </c>
      <c r="J70" s="95"/>
      <c r="K70" s="95"/>
      <c r="L70" s="95">
        <v>304.7270693198459</v>
      </c>
      <c r="M70" s="95">
        <v>389.87363737008047</v>
      </c>
      <c r="N70" s="95">
        <v>245.57675412783658</v>
      </c>
      <c r="O70" s="95">
        <v>334.07193114309916</v>
      </c>
      <c r="P70" s="95">
        <v>606.24841631341269</v>
      </c>
      <c r="Q70" s="95">
        <v>9999.9999999999982</v>
      </c>
      <c r="S70" s="98">
        <v>334.07193114309916</v>
      </c>
      <c r="T70" s="95">
        <v>962.28196896084887</v>
      </c>
      <c r="U70" s="99">
        <v>418.28301522410771</v>
      </c>
      <c r="W70" s="121">
        <v>206125.71203712048</v>
      </c>
      <c r="X70" s="59">
        <v>552640.68234322837</v>
      </c>
      <c r="Y70" s="59">
        <v>393745.30029109493</v>
      </c>
      <c r="Z70" s="59">
        <v>897456.31430578697</v>
      </c>
      <c r="AA70" s="59">
        <v>946713.4632856372</v>
      </c>
      <c r="AB70" s="59">
        <v>760375.54592255421</v>
      </c>
      <c r="AC70" s="59">
        <v>495578.16322734387</v>
      </c>
      <c r="AD70" s="59">
        <v>4252635.1814127658</v>
      </c>
      <c r="AE70" s="59">
        <v>120401356.69156347</v>
      </c>
      <c r="AF70" s="68">
        <v>4252635.1814127658</v>
      </c>
    </row>
    <row r="71" spans="1:32" x14ac:dyDescent="0.2">
      <c r="A71" s="95">
        <v>34</v>
      </c>
      <c r="B71" s="95">
        <v>2</v>
      </c>
      <c r="C71" s="95">
        <v>10</v>
      </c>
      <c r="D71" s="95"/>
      <c r="E71" s="95">
        <v>0</v>
      </c>
      <c r="F71" s="95">
        <v>0</v>
      </c>
      <c r="G71" s="95">
        <v>0</v>
      </c>
      <c r="H71" s="95">
        <v>67.291782912447403</v>
      </c>
      <c r="I71" s="95">
        <v>8001.0875832802385</v>
      </c>
      <c r="J71" s="95"/>
      <c r="K71" s="95"/>
      <c r="L71" s="95">
        <v>303.4520263242253</v>
      </c>
      <c r="M71" s="95">
        <v>403.78789805914374</v>
      </c>
      <c r="N71" s="95">
        <v>249.69702196553476</v>
      </c>
      <c r="O71" s="95">
        <v>351.07088514428642</v>
      </c>
      <c r="P71" s="95">
        <v>623.61280231412104</v>
      </c>
      <c r="Q71" s="95">
        <v>9999.9999999999964</v>
      </c>
      <c r="S71" s="98">
        <v>351.07088514428642</v>
      </c>
      <c r="T71" s="95">
        <v>988.44908984682866</v>
      </c>
      <c r="U71" s="99">
        <v>431.6124113415998</v>
      </c>
      <c r="W71" s="121">
        <v>204098.8092020888</v>
      </c>
      <c r="X71" s="59">
        <v>550689.81647879712</v>
      </c>
      <c r="Y71" s="59">
        <v>393689.57334642421</v>
      </c>
      <c r="Z71" s="59">
        <v>896812.63612965168</v>
      </c>
      <c r="AA71" s="59">
        <v>952553.90983828867</v>
      </c>
      <c r="AB71" s="59">
        <v>780984.98661990627</v>
      </c>
      <c r="AC71" s="59">
        <v>508408.28112734703</v>
      </c>
      <c r="AD71" s="59">
        <v>4287238.0127425035</v>
      </c>
      <c r="AE71" s="59">
        <v>124688594.70430598</v>
      </c>
      <c r="AF71" s="68">
        <v>4287238.0127425035</v>
      </c>
    </row>
    <row r="72" spans="1:32" x14ac:dyDescent="0.2">
      <c r="A72" s="95">
        <v>35</v>
      </c>
      <c r="B72" s="95">
        <v>2</v>
      </c>
      <c r="C72" s="95">
        <v>11</v>
      </c>
      <c r="D72" s="95"/>
      <c r="E72" s="95">
        <v>0</v>
      </c>
      <c r="F72" s="95">
        <v>0</v>
      </c>
      <c r="G72" s="95">
        <v>0</v>
      </c>
      <c r="H72" s="95">
        <v>66.512319760378219</v>
      </c>
      <c r="I72" s="95">
        <v>7951.0645158209509</v>
      </c>
      <c r="J72" s="95"/>
      <c r="K72" s="95"/>
      <c r="L72" s="95">
        <v>302.1705103147417</v>
      </c>
      <c r="M72" s="95">
        <v>417.33866983991152</v>
      </c>
      <c r="N72" s="95">
        <v>253.67567872715992</v>
      </c>
      <c r="O72" s="95">
        <v>368.32698029036277</v>
      </c>
      <c r="P72" s="95">
        <v>640.91132524649242</v>
      </c>
      <c r="Q72" s="95">
        <v>9999.9999999999982</v>
      </c>
      <c r="S72" s="98">
        <v>368.32698029036277</v>
      </c>
      <c r="T72" s="95">
        <v>1014.4526244924895</v>
      </c>
      <c r="U72" s="99">
        <v>444.95470642693249</v>
      </c>
      <c r="W72" s="121">
        <v>202091.83757826826</v>
      </c>
      <c r="X72" s="59">
        <v>548733.16951708624</v>
      </c>
      <c r="Y72" s="59">
        <v>393620.58968190593</v>
      </c>
      <c r="Z72" s="59">
        <v>896174.08649628458</v>
      </c>
      <c r="AA72" s="59">
        <v>958360.82993683743</v>
      </c>
      <c r="AB72" s="59">
        <v>801477.61945318128</v>
      </c>
      <c r="AC72" s="59">
        <v>521134.86341420619</v>
      </c>
      <c r="AD72" s="59">
        <v>4321592.9960777704</v>
      </c>
      <c r="AE72" s="59">
        <v>129010187.70038375</v>
      </c>
      <c r="AF72" s="68">
        <v>4321592.9960777704</v>
      </c>
    </row>
    <row r="73" spans="1:32" x14ac:dyDescent="0.2">
      <c r="A73" s="95">
        <v>36</v>
      </c>
      <c r="B73" s="95">
        <v>3</v>
      </c>
      <c r="C73" s="95">
        <v>0</v>
      </c>
      <c r="D73" s="95"/>
      <c r="E73" s="95">
        <v>0</v>
      </c>
      <c r="F73" s="95">
        <v>0</v>
      </c>
      <c r="G73" s="95">
        <v>0</v>
      </c>
      <c r="H73" s="95">
        <v>65.74188538982051</v>
      </c>
      <c r="I73" s="95">
        <v>7901.3507263117681</v>
      </c>
      <c r="J73" s="95"/>
      <c r="K73" s="95"/>
      <c r="L73" s="95">
        <v>300.88288919980283</v>
      </c>
      <c r="M73" s="95">
        <v>430.53289235681632</v>
      </c>
      <c r="N73" s="95">
        <v>257.51630139755889</v>
      </c>
      <c r="O73" s="95">
        <v>385.83168685001698</v>
      </c>
      <c r="P73" s="95">
        <v>658.14361849421346</v>
      </c>
      <c r="Q73" s="95">
        <v>9999.9999999999964</v>
      </c>
      <c r="S73" s="98">
        <v>385.83168685001698</v>
      </c>
      <c r="T73" s="95">
        <v>1040.2935841689075</v>
      </c>
      <c r="U73" s="99">
        <v>458.30816704959994</v>
      </c>
      <c r="W73" s="121">
        <v>200104.60117541527</v>
      </c>
      <c r="X73" s="59">
        <v>546770.97721860185</v>
      </c>
      <c r="Y73" s="59">
        <v>393538.44202002604</v>
      </c>
      <c r="Z73" s="59">
        <v>895540.34246992611</v>
      </c>
      <c r="AA73" s="59">
        <v>964134.43217085488</v>
      </c>
      <c r="AB73" s="59">
        <v>821854.10764139425</v>
      </c>
      <c r="AC73" s="59">
        <v>533759.58596031042</v>
      </c>
      <c r="AD73" s="59">
        <v>4355702.4886565292</v>
      </c>
      <c r="AE73" s="59">
        <v>133365890.18904029</v>
      </c>
      <c r="AF73" s="68">
        <v>4355702.4886565292</v>
      </c>
    </row>
    <row r="74" spans="1:32" x14ac:dyDescent="0.2">
      <c r="A74" s="95">
        <v>37</v>
      </c>
      <c r="B74" s="95">
        <v>3</v>
      </c>
      <c r="C74" s="95">
        <v>1</v>
      </c>
      <c r="D74" s="95"/>
      <c r="E74" s="95">
        <v>0</v>
      </c>
      <c r="F74" s="95">
        <v>0</v>
      </c>
      <c r="G74" s="95">
        <v>0</v>
      </c>
      <c r="H74" s="95">
        <v>64.980375217388428</v>
      </c>
      <c r="I74" s="95">
        <v>7851.9443432705621</v>
      </c>
      <c r="J74" s="95"/>
      <c r="K74" s="95"/>
      <c r="L74" s="95">
        <v>299.58952116750521</v>
      </c>
      <c r="M74" s="95">
        <v>443.37738309129548</v>
      </c>
      <c r="N74" s="95">
        <v>261.22237203800165</v>
      </c>
      <c r="O74" s="95">
        <v>403.57667272294077</v>
      </c>
      <c r="P74" s="95">
        <v>675.30933249230361</v>
      </c>
      <c r="Q74" s="95">
        <v>9999.9999999999964</v>
      </c>
      <c r="S74" s="98">
        <v>403.57667272294077</v>
      </c>
      <c r="T74" s="95">
        <v>1065.9729740294208</v>
      </c>
      <c r="U74" s="99">
        <v>471.67109899245116</v>
      </c>
      <c r="W74" s="121">
        <v>198136.9059305237</v>
      </c>
      <c r="X74" s="59">
        <v>544803.47174332885</v>
      </c>
      <c r="Y74" s="59">
        <v>393443.22381828923</v>
      </c>
      <c r="Z74" s="59">
        <v>894911.0861724331</v>
      </c>
      <c r="AA74" s="59">
        <v>969874.92055669392</v>
      </c>
      <c r="AB74" s="59">
        <v>842115.11089451297</v>
      </c>
      <c r="AC74" s="59">
        <v>546284.07675180677</v>
      </c>
      <c r="AD74" s="59">
        <v>4389568.7958675884</v>
      </c>
      <c r="AE74" s="59">
        <v>137755458.98490787</v>
      </c>
      <c r="AF74" s="68">
        <v>4389568.7958675884</v>
      </c>
    </row>
    <row r="75" spans="1:32" x14ac:dyDescent="0.2">
      <c r="A75" s="95">
        <v>38</v>
      </c>
      <c r="B75" s="95">
        <v>3</v>
      </c>
      <c r="C75" s="95">
        <v>2</v>
      </c>
      <c r="D75" s="95"/>
      <c r="E75" s="95">
        <v>0</v>
      </c>
      <c r="F75" s="95">
        <v>0</v>
      </c>
      <c r="G75" s="95">
        <v>0</v>
      </c>
      <c r="H75" s="95">
        <v>64.227685871120343</v>
      </c>
      <c r="I75" s="95">
        <v>7802.84350605695</v>
      </c>
      <c r="J75" s="95"/>
      <c r="K75" s="95"/>
      <c r="L75" s="95">
        <v>298.29075491477909</v>
      </c>
      <c r="M75" s="95">
        <v>455.8788394557958</v>
      </c>
      <c r="N75" s="95">
        <v>264.79728061119209</v>
      </c>
      <c r="O75" s="95">
        <v>421.5537987745189</v>
      </c>
      <c r="P75" s="95">
        <v>692.40813431564106</v>
      </c>
      <c r="Q75" s="95">
        <v>9999.9999999999964</v>
      </c>
      <c r="S75" s="98">
        <v>421.5537987745189</v>
      </c>
      <c r="T75" s="95">
        <v>1091.4917931450502</v>
      </c>
      <c r="U75" s="99">
        <v>485.04184651706669</v>
      </c>
      <c r="W75" s="121">
        <v>196188.55968887353</v>
      </c>
      <c r="X75" s="59">
        <v>542830.88169532421</v>
      </c>
      <c r="Y75" s="59">
        <v>393335.02923630335</v>
      </c>
      <c r="Z75" s="59">
        <v>894286.00474909891</v>
      </c>
      <c r="AA75" s="59">
        <v>975582.49461499136</v>
      </c>
      <c r="AB75" s="59">
        <v>862261.28532157082</v>
      </c>
      <c r="AC75" s="59">
        <v>558709.91745089111</v>
      </c>
      <c r="AD75" s="59">
        <v>4423194.1727570537</v>
      </c>
      <c r="AE75" s="59">
        <v>142178653.15766492</v>
      </c>
      <c r="AF75" s="68">
        <v>4423194.1727570537</v>
      </c>
    </row>
    <row r="76" spans="1:32" x14ac:dyDescent="0.2">
      <c r="A76" s="95">
        <v>39</v>
      </c>
      <c r="B76" s="95">
        <v>3</v>
      </c>
      <c r="C76" s="95">
        <v>3</v>
      </c>
      <c r="D76" s="95"/>
      <c r="E76" s="95">
        <v>0</v>
      </c>
      <c r="F76" s="95">
        <v>0</v>
      </c>
      <c r="G76" s="95">
        <v>0</v>
      </c>
      <c r="H76" s="95">
        <v>63.48371517644653</v>
      </c>
      <c r="I76" s="95">
        <v>7754.0463648153436</v>
      </c>
      <c r="J76" s="95"/>
      <c r="K76" s="95"/>
      <c r="L76" s="95">
        <v>296.98692987127527</v>
      </c>
      <c r="M76" s="95">
        <v>468.0438408522129</v>
      </c>
      <c r="N76" s="95">
        <v>268.24432771343874</v>
      </c>
      <c r="O76" s="95">
        <v>439.75511429406208</v>
      </c>
      <c r="P76" s="95">
        <v>709.4397072772183</v>
      </c>
      <c r="Q76" s="95">
        <v>9999.9999999999982</v>
      </c>
      <c r="S76" s="98">
        <v>439.75511429406208</v>
      </c>
      <c r="T76" s="95">
        <v>1116.8510345397353</v>
      </c>
      <c r="U76" s="99">
        <v>498.41879164223303</v>
      </c>
      <c r="W76" s="121">
        <v>194259.37218526629</v>
      </c>
      <c r="X76" s="59">
        <v>540853.43216680759</v>
      </c>
      <c r="Y76" s="59">
        <v>393213.95310351253</v>
      </c>
      <c r="Z76" s="59">
        <v>893664.79033413087</v>
      </c>
      <c r="AA76" s="59">
        <v>981257.34944743582</v>
      </c>
      <c r="AB76" s="59">
        <v>882293.28334262478</v>
      </c>
      <c r="AC76" s="59">
        <v>571038.6449032675</v>
      </c>
      <c r="AD76" s="59">
        <v>4456580.8254830455</v>
      </c>
      <c r="AE76" s="59">
        <v>146635233.98314798</v>
      </c>
      <c r="AF76" s="68">
        <v>4456580.8254830455</v>
      </c>
    </row>
    <row r="77" spans="1:32" x14ac:dyDescent="0.2">
      <c r="A77" s="95">
        <v>40</v>
      </c>
      <c r="B77" s="95">
        <v>3</v>
      </c>
      <c r="C77" s="95">
        <v>4</v>
      </c>
      <c r="D77" s="95"/>
      <c r="E77" s="95">
        <v>0</v>
      </c>
      <c r="F77" s="95">
        <v>0</v>
      </c>
      <c r="G77" s="95">
        <v>0</v>
      </c>
      <c r="H77" s="95">
        <v>62.748362142319358</v>
      </c>
      <c r="I77" s="95">
        <v>7705.5510804182186</v>
      </c>
      <c r="J77" s="95"/>
      <c r="K77" s="95"/>
      <c r="L77" s="95">
        <v>295.67837641811525</v>
      </c>
      <c r="M77" s="95">
        <v>479.87885069536804</v>
      </c>
      <c r="N77" s="95">
        <v>271.56672721723578</v>
      </c>
      <c r="O77" s="95">
        <v>458.17285257286693</v>
      </c>
      <c r="P77" s="95">
        <v>726.40375053587331</v>
      </c>
      <c r="Q77" s="95">
        <v>9999.9999999999964</v>
      </c>
      <c r="S77" s="98">
        <v>458.17285257286693</v>
      </c>
      <c r="T77" s="95">
        <v>1142.0516852253852</v>
      </c>
      <c r="U77" s="99">
        <v>511.80035343528402</v>
      </c>
      <c r="W77" s="121">
        <v>192349.15502544449</v>
      </c>
      <c r="X77" s="59">
        <v>538871.34478175186</v>
      </c>
      <c r="Y77" s="59">
        <v>393080.09088756697</v>
      </c>
      <c r="Z77" s="59">
        <v>893047.14001579839</v>
      </c>
      <c r="AA77" s="59">
        <v>986899.67581280193</v>
      </c>
      <c r="AB77" s="59">
        <v>902211.75360447809</v>
      </c>
      <c r="AC77" s="59">
        <v>583271.75259275548</v>
      </c>
      <c r="AD77" s="59">
        <v>4489730.9127205973</v>
      </c>
      <c r="AE77" s="59">
        <v>151124964.89586857</v>
      </c>
      <c r="AF77" s="68">
        <v>4489730.9127205973</v>
      </c>
    </row>
    <row r="78" spans="1:32" x14ac:dyDescent="0.2">
      <c r="A78" s="95">
        <v>41</v>
      </c>
      <c r="B78" s="95">
        <v>3</v>
      </c>
      <c r="C78" s="95">
        <v>5</v>
      </c>
      <c r="D78" s="95"/>
      <c r="E78" s="95">
        <v>0</v>
      </c>
      <c r="F78" s="95">
        <v>0</v>
      </c>
      <c r="G78" s="95">
        <v>0</v>
      </c>
      <c r="H78" s="95">
        <v>62.021526947504157</v>
      </c>
      <c r="I78" s="95">
        <v>7657.3558244096121</v>
      </c>
      <c r="J78" s="95"/>
      <c r="K78" s="95"/>
      <c r="L78" s="95">
        <v>294.36541610161993</v>
      </c>
      <c r="M78" s="95">
        <v>491.39021840211387</v>
      </c>
      <c r="N78" s="95">
        <v>274.76760882738711</v>
      </c>
      <c r="O78" s="95">
        <v>476.79942659851173</v>
      </c>
      <c r="P78" s="95">
        <v>743.29997871324827</v>
      </c>
      <c r="Q78" s="95">
        <v>9999.9999999999964</v>
      </c>
      <c r="S78" s="98">
        <v>476.79942659851173</v>
      </c>
      <c r="T78" s="95">
        <v>1167.0947262367445</v>
      </c>
      <c r="U78" s="99">
        <v>525.18498731608167</v>
      </c>
      <c r="W78" s="121">
        <v>190457.72166769428</v>
      </c>
      <c r="X78" s="59">
        <v>536884.83773898066</v>
      </c>
      <c r="Y78" s="59">
        <v>392933.53866332141</v>
      </c>
      <c r="Z78" s="59">
        <v>892432.75580127072</v>
      </c>
      <c r="AA78" s="59">
        <v>992509.6602022507</v>
      </c>
      <c r="AB78" s="59">
        <v>922017.34090008994</v>
      </c>
      <c r="AC78" s="59">
        <v>595410.6920449523</v>
      </c>
      <c r="AD78" s="59">
        <v>4522646.5470185596</v>
      </c>
      <c r="AE78" s="59">
        <v>155647611.44288713</v>
      </c>
      <c r="AF78" s="68">
        <v>4522646.5470185596</v>
      </c>
    </row>
    <row r="79" spans="1:32" x14ac:dyDescent="0.2">
      <c r="A79" s="95">
        <v>42</v>
      </c>
      <c r="B79" s="95">
        <v>3</v>
      </c>
      <c r="C79" s="95">
        <v>6</v>
      </c>
      <c r="D79" s="95"/>
      <c r="E79" s="95">
        <v>0</v>
      </c>
      <c r="F79" s="95">
        <v>0</v>
      </c>
      <c r="G79" s="95">
        <v>0</v>
      </c>
      <c r="H79" s="95">
        <v>61.303110927028904</v>
      </c>
      <c r="I79" s="95">
        <v>7609.4587789488442</v>
      </c>
      <c r="J79" s="95"/>
      <c r="K79" s="95"/>
      <c r="L79" s="95">
        <v>293.04836184213275</v>
      </c>
      <c r="M79" s="95">
        <v>502.58418134665135</v>
      </c>
      <c r="N79" s="95">
        <v>277.85002055369245</v>
      </c>
      <c r="O79" s="95">
        <v>495.62742486191388</v>
      </c>
      <c r="P79" s="95">
        <v>760.12812151973401</v>
      </c>
      <c r="Q79" s="95">
        <v>9999.9999999999982</v>
      </c>
      <c r="S79" s="98">
        <v>495.62742486191388</v>
      </c>
      <c r="T79" s="95">
        <v>1191.9811326660756</v>
      </c>
      <c r="U79" s="99">
        <v>538.5711843734141</v>
      </c>
      <c r="W79" s="121">
        <v>188584.88740462862</v>
      </c>
      <c r="X79" s="59">
        <v>534894.12585477799</v>
      </c>
      <c r="Y79" s="59">
        <v>392774.39308245073</v>
      </c>
      <c r="Z79" s="59">
        <v>891821.34458115906</v>
      </c>
      <c r="AA79" s="59">
        <v>998087.48491389432</v>
      </c>
      <c r="AB79" s="59">
        <v>941710.686091593</v>
      </c>
      <c r="AC79" s="59">
        <v>607456.8741817869</v>
      </c>
      <c r="AD79" s="59">
        <v>4555329.796110291</v>
      </c>
      <c r="AE79" s="59">
        <v>160202941.23899743</v>
      </c>
      <c r="AF79" s="68">
        <v>4555329.796110291</v>
      </c>
    </row>
    <row r="80" spans="1:32" x14ac:dyDescent="0.2">
      <c r="A80" s="95">
        <v>43</v>
      </c>
      <c r="B80" s="95">
        <v>3</v>
      </c>
      <c r="C80" s="95">
        <v>7</v>
      </c>
      <c r="D80" s="95"/>
      <c r="E80" s="95">
        <v>0</v>
      </c>
      <c r="F80" s="95">
        <v>0</v>
      </c>
      <c r="G80" s="95">
        <v>0</v>
      </c>
      <c r="H80" s="95">
        <v>60.593016558790822</v>
      </c>
      <c r="I80" s="95">
        <v>7561.858136754463</v>
      </c>
      <c r="J80" s="95"/>
      <c r="K80" s="95"/>
      <c r="L80" s="95">
        <v>291.72751813804842</v>
      </c>
      <c r="M80" s="95">
        <v>513.46686678263006</v>
      </c>
      <c r="N80" s="95">
        <v>280.81693110310573</v>
      </c>
      <c r="O80" s="95">
        <v>514.64960727379048</v>
      </c>
      <c r="P80" s="95">
        <v>776.88792338916926</v>
      </c>
      <c r="Q80" s="95">
        <v>9999.9999999999982</v>
      </c>
      <c r="S80" s="98">
        <v>514.64960727379048</v>
      </c>
      <c r="T80" s="95">
        <v>1216.7118736976593</v>
      </c>
      <c r="U80" s="99">
        <v>551.95747069359084</v>
      </c>
      <c r="W80" s="121">
        <v>186730.46934514979</v>
      </c>
      <c r="X80" s="59">
        <v>532899.42060501385</v>
      </c>
      <c r="Y80" s="59">
        <v>392602.75134367403</v>
      </c>
      <c r="Z80" s="59">
        <v>891212.6180937785</v>
      </c>
      <c r="AA80" s="59">
        <v>1003633.3281266274</v>
      </c>
      <c r="AB80" s="59">
        <v>961292.42603684182</v>
      </c>
      <c r="AC80" s="59">
        <v>619411.67062873859</v>
      </c>
      <c r="AD80" s="59">
        <v>4587782.6841798238</v>
      </c>
      <c r="AE80" s="59">
        <v>164790723.92317724</v>
      </c>
      <c r="AF80" s="68">
        <v>4587782.6841798238</v>
      </c>
    </row>
    <row r="81" spans="1:32" x14ac:dyDescent="0.2">
      <c r="A81" s="95">
        <v>44</v>
      </c>
      <c r="B81" s="95">
        <v>3</v>
      </c>
      <c r="C81" s="95">
        <v>8</v>
      </c>
      <c r="D81" s="95"/>
      <c r="E81" s="95">
        <v>0</v>
      </c>
      <c r="F81" s="95">
        <v>0</v>
      </c>
      <c r="G81" s="95">
        <v>0</v>
      </c>
      <c r="H81" s="95">
        <v>59.891147450318165</v>
      </c>
      <c r="I81" s="95">
        <v>7514.5521010484199</v>
      </c>
      <c r="J81" s="95"/>
      <c r="K81" s="95"/>
      <c r="L81" s="95">
        <v>290.4031812651566</v>
      </c>
      <c r="M81" s="95">
        <v>524.04429373259381</v>
      </c>
      <c r="N81" s="95">
        <v>283.67123219416999</v>
      </c>
      <c r="O81" s="95">
        <v>533.85890118727423</v>
      </c>
      <c r="P81" s="95">
        <v>793.57914312206515</v>
      </c>
      <c r="Q81" s="95">
        <v>9999.9999999999982</v>
      </c>
      <c r="S81" s="98">
        <v>533.85890118727423</v>
      </c>
      <c r="T81" s="95">
        <v>1241.2879126421112</v>
      </c>
      <c r="U81" s="99">
        <v>565.34240670102156</v>
      </c>
      <c r="W81" s="121">
        <v>184894.28639658913</v>
      </c>
      <c r="X81" s="59">
        <v>530900.93016679317</v>
      </c>
      <c r="Y81" s="59">
        <v>392418.71116357745</v>
      </c>
      <c r="Z81" s="59">
        <v>890606.29288914567</v>
      </c>
      <c r="AA81" s="59">
        <v>1009147.3639732226</v>
      </c>
      <c r="AB81" s="59">
        <v>980763.19351941859</v>
      </c>
      <c r="AC81" s="59">
        <v>631276.41497642663</v>
      </c>
      <c r="AD81" s="59">
        <v>4620007.1930851731</v>
      </c>
      <c r="AE81" s="59">
        <v>169410731.11626241</v>
      </c>
      <c r="AF81" s="68">
        <v>4620007.1930851731</v>
      </c>
    </row>
    <row r="82" spans="1:32" x14ac:dyDescent="0.2">
      <c r="A82" s="95">
        <v>45</v>
      </c>
      <c r="B82" s="95">
        <v>3</v>
      </c>
      <c r="C82" s="95">
        <v>9</v>
      </c>
      <c r="D82" s="95"/>
      <c r="E82" s="95">
        <v>0</v>
      </c>
      <c r="F82" s="95">
        <v>0</v>
      </c>
      <c r="G82" s="95">
        <v>0</v>
      </c>
      <c r="H82" s="95">
        <v>59.197408325685316</v>
      </c>
      <c r="I82" s="95">
        <v>7467.5388855004667</v>
      </c>
      <c r="J82" s="95"/>
      <c r="K82" s="95"/>
      <c r="L82" s="95">
        <v>289.07563947140716</v>
      </c>
      <c r="M82" s="95">
        <v>534.32237484532527</v>
      </c>
      <c r="N82" s="95">
        <v>286.41574079643237</v>
      </c>
      <c r="O82" s="95">
        <v>553.24839752354251</v>
      </c>
      <c r="P82" s="95">
        <v>810.20155353713892</v>
      </c>
      <c r="Q82" s="95">
        <v>9999.9999999999982</v>
      </c>
      <c r="S82" s="98">
        <v>553.24839752354251</v>
      </c>
      <c r="T82" s="95">
        <v>1265.7102069705186</v>
      </c>
      <c r="U82" s="99">
        <v>578.72458651056536</v>
      </c>
      <c r="W82" s="121">
        <v>183076.15924702268</v>
      </c>
      <c r="X82" s="59">
        <v>528898.85945963126</v>
      </c>
      <c r="Y82" s="59">
        <v>392222.37074802618</v>
      </c>
      <c r="Z82" s="59">
        <v>890002.09029272664</v>
      </c>
      <c r="AA82" s="59">
        <v>1014629.7626126929</v>
      </c>
      <c r="AB82" s="59">
        <v>1000123.6171820194</v>
      </c>
      <c r="AC82" s="59">
        <v>643052.40399821789</v>
      </c>
      <c r="AD82" s="59">
        <v>4652005.2635403369</v>
      </c>
      <c r="AE82" s="59">
        <v>174062736.37980273</v>
      </c>
      <c r="AF82" s="68">
        <v>4652005.2635403369</v>
      </c>
    </row>
    <row r="83" spans="1:32" x14ac:dyDescent="0.2">
      <c r="A83" s="95">
        <v>46</v>
      </c>
      <c r="B83" s="95">
        <v>3</v>
      </c>
      <c r="C83" s="95">
        <v>10</v>
      </c>
      <c r="D83" s="95"/>
      <c r="E83" s="95">
        <v>0</v>
      </c>
      <c r="F83" s="95">
        <v>0</v>
      </c>
      <c r="G83" s="95">
        <v>0</v>
      </c>
      <c r="H83" s="95">
        <v>58.511705012579462</v>
      </c>
      <c r="I83" s="95">
        <v>7420.816714172779</v>
      </c>
      <c r="J83" s="95"/>
      <c r="K83" s="95"/>
      <c r="L83" s="95">
        <v>287.74517316720193</v>
      </c>
      <c r="M83" s="95">
        <v>544.30691822163249</v>
      </c>
      <c r="N83" s="95">
        <v>289.05320129744484</v>
      </c>
      <c r="O83" s="95">
        <v>572.81134699742165</v>
      </c>
      <c r="P83" s="95">
        <v>826.7549411309393</v>
      </c>
      <c r="Q83" s="95">
        <v>9999.9999999999982</v>
      </c>
      <c r="S83" s="98">
        <v>572.81134699742165</v>
      </c>
      <c r="T83" s="95">
        <v>1289.9797083483952</v>
      </c>
      <c r="U83" s="99">
        <v>592.10263729144401</v>
      </c>
      <c r="W83" s="121">
        <v>181275.91034776028</v>
      </c>
      <c r="X83" s="59">
        <v>526893.41018616233</v>
      </c>
      <c r="Y83" s="59">
        <v>392013.82876415597</v>
      </c>
      <c r="Z83" s="59">
        <v>889399.73636894964</v>
      </c>
      <c r="AA83" s="59">
        <v>1020080.690301921</v>
      </c>
      <c r="AB83" s="59">
        <v>1019374.3214631488</v>
      </c>
      <c r="AC83" s="59">
        <v>654740.89882543846</v>
      </c>
      <c r="AD83" s="59">
        <v>4683778.7962575369</v>
      </c>
      <c r="AE83" s="59">
        <v>178746515.17606026</v>
      </c>
      <c r="AF83" s="68">
        <v>4683778.7962575369</v>
      </c>
    </row>
    <row r="84" spans="1:32" x14ac:dyDescent="0.2">
      <c r="A84" s="95">
        <v>47</v>
      </c>
      <c r="B84" s="95">
        <v>3</v>
      </c>
      <c r="C84" s="95">
        <v>11</v>
      </c>
      <c r="D84" s="95"/>
      <c r="E84" s="95">
        <v>0</v>
      </c>
      <c r="F84" s="95">
        <v>0</v>
      </c>
      <c r="G84" s="95">
        <v>0</v>
      </c>
      <c r="H84" s="95">
        <v>57.833944429517082</v>
      </c>
      <c r="I84" s="95">
        <v>7374.3838214648067</v>
      </c>
      <c r="J84" s="95"/>
      <c r="K84" s="95"/>
      <c r="L84" s="95">
        <v>286.4120551113142</v>
      </c>
      <c r="M84" s="95">
        <v>554.00362920911186</v>
      </c>
      <c r="N84" s="95">
        <v>291.58628759986232</v>
      </c>
      <c r="O84" s="95">
        <v>592.54115644002684</v>
      </c>
      <c r="P84" s="95">
        <v>843.23910574536001</v>
      </c>
      <c r="Q84" s="95">
        <v>9999.9999999999982</v>
      </c>
      <c r="S84" s="98">
        <v>592.54115644002684</v>
      </c>
      <c r="T84" s="95">
        <v>1314.0973626694567</v>
      </c>
      <c r="U84" s="99">
        <v>605.47521864251564</v>
      </c>
      <c r="W84" s="121">
        <v>179493.3638960073</v>
      </c>
      <c r="X84" s="59">
        <v>524884.78087238548</v>
      </c>
      <c r="Y84" s="59">
        <v>391793.18431293603</v>
      </c>
      <c r="Z84" s="59">
        <v>888798.96188449685</v>
      </c>
      <c r="AA84" s="59">
        <v>1025500.3094665527</v>
      </c>
      <c r="AB84" s="59">
        <v>1038515.9265370501</v>
      </c>
      <c r="AC84" s="59">
        <v>666343.12608171802</v>
      </c>
      <c r="AD84" s="59">
        <v>4715329.6530511463</v>
      </c>
      <c r="AE84" s="59">
        <v>183461844.8291114</v>
      </c>
      <c r="AF84" s="68">
        <v>4715329.6530511463</v>
      </c>
    </row>
    <row r="85" spans="1:32" x14ac:dyDescent="0.2">
      <c r="A85" s="95">
        <v>48</v>
      </c>
      <c r="B85" s="95">
        <v>4</v>
      </c>
      <c r="C85" s="95">
        <v>0</v>
      </c>
      <c r="D85" s="95"/>
      <c r="E85" s="95">
        <v>0</v>
      </c>
      <c r="F85" s="95">
        <v>0</v>
      </c>
      <c r="G85" s="95">
        <v>0</v>
      </c>
      <c r="H85" s="95">
        <v>57.164034573208511</v>
      </c>
      <c r="I85" s="95">
        <v>7328.2384520583482</v>
      </c>
      <c r="J85" s="95"/>
      <c r="K85" s="95"/>
      <c r="L85" s="95">
        <v>285.07655059253648</v>
      </c>
      <c r="M85" s="95">
        <v>563.41811216641372</v>
      </c>
      <c r="N85" s="95">
        <v>294.01760515105883</v>
      </c>
      <c r="O85" s="95">
        <v>612.43138521559524</v>
      </c>
      <c r="P85" s="95">
        <v>859.65386024283805</v>
      </c>
      <c r="Q85" s="95">
        <v>9999.9999999999982</v>
      </c>
      <c r="S85" s="98">
        <v>612.43138521559524</v>
      </c>
      <c r="T85" s="95">
        <v>1338.0641100892174</v>
      </c>
      <c r="U85" s="99">
        <v>618.84102197870698</v>
      </c>
      <c r="W85" s="121">
        <v>177728.34581769654</v>
      </c>
      <c r="X85" s="59">
        <v>522873.16690745286</v>
      </c>
      <c r="Y85" s="59">
        <v>391560.53690229333</v>
      </c>
      <c r="Z85" s="59">
        <v>888199.50227138936</v>
      </c>
      <c r="AA85" s="59">
        <v>1030888.7787711628</v>
      </c>
      <c r="AB85" s="59">
        <v>1057549.0482568003</v>
      </c>
      <c r="AC85" s="59">
        <v>677860.27897794067</v>
      </c>
      <c r="AD85" s="59">
        <v>4746659.6579047358</v>
      </c>
      <c r="AE85" s="59">
        <v>188208504.48701614</v>
      </c>
      <c r="AF85" s="68">
        <v>4746659.6579047358</v>
      </c>
    </row>
    <row r="86" spans="1:32" x14ac:dyDescent="0.2">
      <c r="A86" s="95">
        <v>49</v>
      </c>
      <c r="B86" s="95">
        <v>4</v>
      </c>
      <c r="C86" s="95">
        <v>1</v>
      </c>
      <c r="D86" s="95"/>
      <c r="E86" s="95">
        <v>0</v>
      </c>
      <c r="F86" s="95">
        <v>0</v>
      </c>
      <c r="G86" s="95">
        <v>0</v>
      </c>
      <c r="H86" s="95">
        <v>56.501884506068848</v>
      </c>
      <c r="I86" s="95">
        <v>7282.3788608628529</v>
      </c>
      <c r="J86" s="95"/>
      <c r="K86" s="95"/>
      <c r="L86" s="95">
        <v>283.73891760715276</v>
      </c>
      <c r="M86" s="95">
        <v>572.55587219752499</v>
      </c>
      <c r="N86" s="95">
        <v>296.34969290759625</v>
      </c>
      <c r="O86" s="95">
        <v>632.47574172976044</v>
      </c>
      <c r="P86" s="95">
        <v>875.99903018904274</v>
      </c>
      <c r="Q86" s="95">
        <v>9999.9999999999982</v>
      </c>
      <c r="S86" s="98">
        <v>632.47574172976044</v>
      </c>
      <c r="T86" s="95">
        <v>1361.8808850584071</v>
      </c>
      <c r="U86" s="99">
        <v>632.19876992840909</v>
      </c>
      <c r="W86" s="121">
        <v>175980.6837504892</v>
      </c>
      <c r="X86" s="59">
        <v>520858.76058300532</v>
      </c>
      <c r="Y86" s="59">
        <v>391315.98642078962</v>
      </c>
      <c r="Z86" s="59">
        <v>887601.09758987883</v>
      </c>
      <c r="AA86" s="59">
        <v>1036246.253188685</v>
      </c>
      <c r="AB86" s="59">
        <v>1076474.2981004994</v>
      </c>
      <c r="AC86" s="59">
        <v>689293.51836922462</v>
      </c>
      <c r="AD86" s="59">
        <v>4777770.5980025716</v>
      </c>
      <c r="AE86" s="59">
        <v>192986275.08501872</v>
      </c>
      <c r="AF86" s="68">
        <v>4777770.5980025716</v>
      </c>
    </row>
    <row r="87" spans="1:32" x14ac:dyDescent="0.2">
      <c r="A87" s="95">
        <v>50</v>
      </c>
      <c r="B87" s="95">
        <v>4</v>
      </c>
      <c r="C87" s="95">
        <v>2</v>
      </c>
      <c r="D87" s="95"/>
      <c r="E87" s="95">
        <v>0</v>
      </c>
      <c r="F87" s="95">
        <v>0</v>
      </c>
      <c r="G87" s="95">
        <v>0</v>
      </c>
      <c r="H87" s="95">
        <v>55.847404343873549</v>
      </c>
      <c r="I87" s="95">
        <v>7236.8033129609466</v>
      </c>
      <c r="J87" s="95"/>
      <c r="K87" s="95"/>
      <c r="L87" s="95">
        <v>282.39940703233179</v>
      </c>
      <c r="M87" s="95">
        <v>581.42231685657941</v>
      </c>
      <c r="N87" s="95">
        <v>298.58502523679454</v>
      </c>
      <c r="O87" s="95">
        <v>652.66808002660775</v>
      </c>
      <c r="P87" s="95">
        <v>892.27445354286499</v>
      </c>
      <c r="Q87" s="95">
        <v>9999.9999999999982</v>
      </c>
      <c r="S87" s="98">
        <v>652.66808002660775</v>
      </c>
      <c r="T87" s="95">
        <v>1385.5486163562114</v>
      </c>
      <c r="U87" s="99">
        <v>645.54721574164228</v>
      </c>
      <c r="W87" s="121">
        <v>174250.20702694272</v>
      </c>
      <c r="X87" s="59">
        <v>518841.75113206101</v>
      </c>
      <c r="Y87" s="59">
        <v>391059.63311184297</v>
      </c>
      <c r="Z87" s="59">
        <v>887003.49249115854</v>
      </c>
      <c r="AA87" s="59">
        <v>1041572.8840691154</v>
      </c>
      <c r="AB87" s="59">
        <v>1095292.2831204841</v>
      </c>
      <c r="AC87" s="59">
        <v>700643.97377529659</v>
      </c>
      <c r="AD87" s="59">
        <v>4808664.2247269014</v>
      </c>
      <c r="AE87" s="59">
        <v>197794939.30974564</v>
      </c>
      <c r="AF87" s="68">
        <v>4808664.2247269014</v>
      </c>
    </row>
    <row r="88" spans="1:32" x14ac:dyDescent="0.2">
      <c r="A88" s="95">
        <v>51</v>
      </c>
      <c r="B88" s="95">
        <v>4</v>
      </c>
      <c r="C88" s="95">
        <v>3</v>
      </c>
      <c r="D88" s="95"/>
      <c r="E88" s="95">
        <v>0</v>
      </c>
      <c r="F88" s="95">
        <v>0</v>
      </c>
      <c r="G88" s="95">
        <v>0</v>
      </c>
      <c r="H88" s="95">
        <v>55.200505243557011</v>
      </c>
      <c r="I88" s="95">
        <v>7191.5100835541843</v>
      </c>
      <c r="J88" s="95"/>
      <c r="K88" s="95"/>
      <c r="L88" s="95">
        <v>281.05826279553327</v>
      </c>
      <c r="M88" s="95">
        <v>590.02275782369168</v>
      </c>
      <c r="N88" s="95">
        <v>300.72601375757301</v>
      </c>
      <c r="O88" s="95">
        <v>673.00239647193541</v>
      </c>
      <c r="P88" s="95">
        <v>908.4799803535235</v>
      </c>
      <c r="Q88" s="95">
        <v>9999.9999999999982</v>
      </c>
      <c r="S88" s="98">
        <v>673.00239647193541</v>
      </c>
      <c r="T88" s="95">
        <v>1409.0682271233345</v>
      </c>
      <c r="U88" s="99">
        <v>658.88514270880057</v>
      </c>
      <c r="W88" s="121">
        <v>172536.74665784446</v>
      </c>
      <c r="X88" s="59">
        <v>516822.32476746058</v>
      </c>
      <c r="Y88" s="59">
        <v>390791.57754848397</v>
      </c>
      <c r="Z88" s="59">
        <v>886406.43617990764</v>
      </c>
      <c r="AA88" s="59">
        <v>1046868.8192074847</v>
      </c>
      <c r="AB88" s="59">
        <v>1114003.6058954999</v>
      </c>
      <c r="AC88" s="59">
        <v>711912.74436558387</v>
      </c>
      <c r="AD88" s="59">
        <v>4839342.2546222648</v>
      </c>
      <c r="AE88" s="59">
        <v>202634281.56436789</v>
      </c>
      <c r="AF88" s="68">
        <v>4839342.2546222648</v>
      </c>
    </row>
    <row r="89" spans="1:32" x14ac:dyDescent="0.2">
      <c r="A89" s="95">
        <v>52</v>
      </c>
      <c r="B89" s="95">
        <v>4</v>
      </c>
      <c r="C89" s="95">
        <v>4</v>
      </c>
      <c r="D89" s="95"/>
      <c r="E89" s="95">
        <v>0</v>
      </c>
      <c r="F89" s="95">
        <v>0</v>
      </c>
      <c r="G89" s="95">
        <v>0</v>
      </c>
      <c r="H89" s="95">
        <v>54.561099391152474</v>
      </c>
      <c r="I89" s="95">
        <v>7146.4974579090285</v>
      </c>
      <c r="J89" s="95"/>
      <c r="K89" s="95"/>
      <c r="L89" s="95">
        <v>279.71572204001853</v>
      </c>
      <c r="M89" s="95">
        <v>598.36241255230834</v>
      </c>
      <c r="N89" s="95">
        <v>302.77500912265288</v>
      </c>
      <c r="O89" s="95">
        <v>693.47282652022909</v>
      </c>
      <c r="P89" s="95">
        <v>924.61547246460805</v>
      </c>
      <c r="Q89" s="95">
        <v>9999.9999999999982</v>
      </c>
      <c r="S89" s="98">
        <v>693.47282652022909</v>
      </c>
      <c r="T89" s="95">
        <v>1432.4406348948855</v>
      </c>
      <c r="U89" s="99">
        <v>672.21136358978936</v>
      </c>
      <c r="W89" s="121">
        <v>170840.13531570899</v>
      </c>
      <c r="X89" s="59">
        <v>514800.66471987439</v>
      </c>
      <c r="Y89" s="59">
        <v>390511.9206086396</v>
      </c>
      <c r="Z89" s="59">
        <v>885809.68237668124</v>
      </c>
      <c r="AA89" s="59">
        <v>1052134.2029111043</v>
      </c>
      <c r="AB89" s="59">
        <v>1132608.8644857616</v>
      </c>
      <c r="AC89" s="59">
        <v>723100.89991029375</v>
      </c>
      <c r="AD89" s="59">
        <v>4869806.3703280641</v>
      </c>
      <c r="AE89" s="59">
        <v>207504087.93469596</v>
      </c>
      <c r="AF89" s="68">
        <v>4869806.3703280641</v>
      </c>
    </row>
    <row r="90" spans="1:32" x14ac:dyDescent="0.2">
      <c r="A90" s="95">
        <v>53</v>
      </c>
      <c r="B90" s="95">
        <v>4</v>
      </c>
      <c r="C90" s="95">
        <v>5</v>
      </c>
      <c r="D90" s="95"/>
      <c r="E90" s="95">
        <v>0</v>
      </c>
      <c r="F90" s="95">
        <v>0</v>
      </c>
      <c r="G90" s="95">
        <v>0</v>
      </c>
      <c r="H90" s="95">
        <v>53.929099989871624</v>
      </c>
      <c r="I90" s="95">
        <v>7101.7637313030527</v>
      </c>
      <c r="J90" s="95"/>
      <c r="K90" s="95"/>
      <c r="L90" s="95">
        <v>278.3720152865543</v>
      </c>
      <c r="M90" s="95">
        <v>606.44640588855657</v>
      </c>
      <c r="N90" s="95">
        <v>304.7343027441371</v>
      </c>
      <c r="O90" s="95">
        <v>714.07364156293863</v>
      </c>
      <c r="P90" s="95">
        <v>940.68080322488709</v>
      </c>
      <c r="Q90" s="95">
        <v>9999.9999999999982</v>
      </c>
      <c r="S90" s="98">
        <v>714.07364156293863</v>
      </c>
      <c r="T90" s="95">
        <v>1455.6667516330899</v>
      </c>
      <c r="U90" s="99">
        <v>685.52472005337313</v>
      </c>
      <c r="W90" s="121">
        <v>169160.20731843784</v>
      </c>
      <c r="X90" s="59">
        <v>512776.95127537684</v>
      </c>
      <c r="Y90" s="59">
        <v>390220.76345093496</v>
      </c>
      <c r="Z90" s="59">
        <v>885212.98928015714</v>
      </c>
      <c r="AA90" s="59">
        <v>1057369.1760660866</v>
      </c>
      <c r="AB90" s="59">
        <v>1151108.6523908379</v>
      </c>
      <c r="AC90" s="59">
        <v>734209.48169870686</v>
      </c>
      <c r="AD90" s="59">
        <v>4900058.2214805381</v>
      </c>
      <c r="AE90" s="59">
        <v>212404146.15617651</v>
      </c>
      <c r="AF90" s="68">
        <v>4900058.2214805381</v>
      </c>
    </row>
    <row r="91" spans="1:32" x14ac:dyDescent="0.2">
      <c r="A91" s="95">
        <v>54</v>
      </c>
      <c r="B91" s="95">
        <v>4</v>
      </c>
      <c r="C91" s="95">
        <v>6</v>
      </c>
      <c r="D91" s="95"/>
      <c r="E91" s="95">
        <v>0</v>
      </c>
      <c r="F91" s="95">
        <v>0</v>
      </c>
      <c r="G91" s="95">
        <v>0</v>
      </c>
      <c r="H91" s="95">
        <v>53.304421248322278</v>
      </c>
      <c r="I91" s="95">
        <v>7057.3072089713687</v>
      </c>
      <c r="J91" s="95"/>
      <c r="K91" s="95"/>
      <c r="L91" s="95">
        <v>277.02736659139629</v>
      </c>
      <c r="M91" s="95">
        <v>614.27977166306562</v>
      </c>
      <c r="N91" s="95">
        <v>306.60612846441114</v>
      </c>
      <c r="O91" s="95">
        <v>734.79924585572348</v>
      </c>
      <c r="P91" s="95">
        <v>956.67585720571037</v>
      </c>
      <c r="Q91" s="95">
        <v>9999.9999999999982</v>
      </c>
      <c r="S91" s="98">
        <v>734.79924585572348</v>
      </c>
      <c r="T91" s="95">
        <v>1478.7474837598249</v>
      </c>
      <c r="U91" s="99">
        <v>698.8240821265523</v>
      </c>
      <c r="W91" s="121">
        <v>167496.79861313989</v>
      </c>
      <c r="X91" s="59">
        <v>510751.36181259138</v>
      </c>
      <c r="Y91" s="59">
        <v>389918.20749100525</v>
      </c>
      <c r="Z91" s="59">
        <v>884616.11952925369</v>
      </c>
      <c r="AA91" s="59">
        <v>1062573.87620314</v>
      </c>
      <c r="AB91" s="59">
        <v>1169503.5585102967</v>
      </c>
      <c r="AC91" s="59">
        <v>745239.50342586637</v>
      </c>
      <c r="AD91" s="59">
        <v>4930099.4255852932</v>
      </c>
      <c r="AE91" s="59">
        <v>217334245.58176181</v>
      </c>
      <c r="AF91" s="68">
        <v>4930099.4255852932</v>
      </c>
    </row>
    <row r="92" spans="1:32" x14ac:dyDescent="0.2">
      <c r="A92" s="95">
        <v>55</v>
      </c>
      <c r="B92" s="95">
        <v>4</v>
      </c>
      <c r="C92" s="95">
        <v>7</v>
      </c>
      <c r="D92" s="95"/>
      <c r="E92" s="95">
        <v>0</v>
      </c>
      <c r="F92" s="95">
        <v>0</v>
      </c>
      <c r="G92" s="95">
        <v>0</v>
      </c>
      <c r="H92" s="95">
        <v>52.686978368862547</v>
      </c>
      <c r="I92" s="95">
        <v>7013.1262060532836</v>
      </c>
      <c r="J92" s="95"/>
      <c r="K92" s="95"/>
      <c r="L92" s="95">
        <v>275.68199370063758</v>
      </c>
      <c r="M92" s="95">
        <v>621.86745425572678</v>
      </c>
      <c r="N92" s="95">
        <v>308.39266417423761</v>
      </c>
      <c r="O92" s="95">
        <v>755.64417352240696</v>
      </c>
      <c r="P92" s="95">
        <v>972.60052992484259</v>
      </c>
      <c r="Q92" s="95">
        <v>9999.9999999999982</v>
      </c>
      <c r="S92" s="98">
        <v>755.64417352240696</v>
      </c>
      <c r="T92" s="95">
        <v>1501.6837321889818</v>
      </c>
      <c r="U92" s="99">
        <v>712.10834765379423</v>
      </c>
      <c r="W92" s="121">
        <v>165849.74676011069</v>
      </c>
      <c r="X92" s="59">
        <v>508724.07083941263</v>
      </c>
      <c r="Y92" s="59">
        <v>389604.35437831015</v>
      </c>
      <c r="Z92" s="59">
        <v>884018.84016512893</v>
      </c>
      <c r="AA92" s="59">
        <v>1067748.4375626419</v>
      </c>
      <c r="AB92" s="59">
        <v>1187794.1671070422</v>
      </c>
      <c r="AC92" s="59">
        <v>756191.95204880042</v>
      </c>
      <c r="AD92" s="59">
        <v>4959931.5688614473</v>
      </c>
      <c r="AE92" s="59">
        <v>222294177.15062326</v>
      </c>
      <c r="AF92" s="68">
        <v>4959931.5688614473</v>
      </c>
    </row>
    <row r="93" spans="1:32" x14ac:dyDescent="0.2">
      <c r="A93" s="95">
        <v>56</v>
      </c>
      <c r="B93" s="95">
        <v>4</v>
      </c>
      <c r="C93" s="95">
        <v>8</v>
      </c>
      <c r="D93" s="95"/>
      <c r="E93" s="95">
        <v>0</v>
      </c>
      <c r="F93" s="95">
        <v>0</v>
      </c>
      <c r="G93" s="95">
        <v>0</v>
      </c>
      <c r="H93" s="95">
        <v>52.076687536089892</v>
      </c>
      <c r="I93" s="95">
        <v>6969.2190475391781</v>
      </c>
      <c r="J93" s="95"/>
      <c r="K93" s="95"/>
      <c r="L93" s="95">
        <v>274.33610820100466</v>
      </c>
      <c r="M93" s="95">
        <v>629.21431013385063</v>
      </c>
      <c r="N93" s="95">
        <v>310.09603337985192</v>
      </c>
      <c r="O93" s="95">
        <v>776.60308563345336</v>
      </c>
      <c r="P93" s="95">
        <v>988.45472757656876</v>
      </c>
      <c r="Q93" s="95">
        <v>9999.9999999999982</v>
      </c>
      <c r="S93" s="98">
        <v>776.60308563345336</v>
      </c>
      <c r="T93" s="95">
        <v>1524.4763923586549</v>
      </c>
      <c r="U93" s="99">
        <v>725.37644176594245</v>
      </c>
      <c r="W93" s="121">
        <v>164218.8909169696</v>
      </c>
      <c r="X93" s="59">
        <v>506695.25002930791</v>
      </c>
      <c r="Y93" s="59">
        <v>389279.30597344134</v>
      </c>
      <c r="Z93" s="59">
        <v>883420.92259307229</v>
      </c>
      <c r="AA93" s="59">
        <v>1072892.9911589925</v>
      </c>
      <c r="AB93" s="59">
        <v>1205981.0577732862</v>
      </c>
      <c r="AC93" s="59">
        <v>767067.78861337772</v>
      </c>
      <c r="AD93" s="59">
        <v>4989556.2070584474</v>
      </c>
      <c r="AE93" s="59">
        <v>227283733.35768172</v>
      </c>
      <c r="AF93" s="68">
        <v>4989556.2070584474</v>
      </c>
    </row>
    <row r="94" spans="1:32" x14ac:dyDescent="0.2">
      <c r="A94" s="95">
        <v>57</v>
      </c>
      <c r="B94" s="95">
        <v>4</v>
      </c>
      <c r="C94" s="95">
        <v>9</v>
      </c>
      <c r="D94" s="95"/>
      <c r="E94" s="95">
        <v>0</v>
      </c>
      <c r="F94" s="95">
        <v>0</v>
      </c>
      <c r="G94" s="95">
        <v>0</v>
      </c>
      <c r="H94" s="95">
        <v>51.47346590546352</v>
      </c>
      <c r="I94" s="95">
        <v>6925.5840682176122</v>
      </c>
      <c r="J94" s="95"/>
      <c r="K94" s="95"/>
      <c r="L94" s="95">
        <v>272.989915667182</v>
      </c>
      <c r="M94" s="95">
        <v>636.32510936417179</v>
      </c>
      <c r="N94" s="95">
        <v>311.71830672080068</v>
      </c>
      <c r="O94" s="95">
        <v>797.67076735685089</v>
      </c>
      <c r="P94" s="95">
        <v>1004.2383667679163</v>
      </c>
      <c r="Q94" s="95">
        <v>9999.9999999999982</v>
      </c>
      <c r="S94" s="98">
        <v>797.67076735685089</v>
      </c>
      <c r="T94" s="95">
        <v>1547.1263542631573</v>
      </c>
      <c r="U94" s="99">
        <v>738.62731635863565</v>
      </c>
      <c r="W94" s="121">
        <v>162604.07182295274</v>
      </c>
      <c r="X94" s="59">
        <v>504665.06825720501</v>
      </c>
      <c r="Y94" s="59">
        <v>388943.16432591673</v>
      </c>
      <c r="Z94" s="59">
        <v>882822.14254430193</v>
      </c>
      <c r="AA94" s="59">
        <v>1078007.664844247</v>
      </c>
      <c r="AB94" s="59">
        <v>1224064.805399087</v>
      </c>
      <c r="AC94" s="59">
        <v>777867.94905285013</v>
      </c>
      <c r="AD94" s="59">
        <v>5018974.8662465606</v>
      </c>
      <c r="AE94" s="59">
        <v>232302708.22392827</v>
      </c>
      <c r="AF94" s="68">
        <v>5018974.8662465606</v>
      </c>
    </row>
    <row r="95" spans="1:32" x14ac:dyDescent="0.2">
      <c r="A95" s="95">
        <v>58</v>
      </c>
      <c r="B95" s="95">
        <v>4</v>
      </c>
      <c r="C95" s="95">
        <v>10</v>
      </c>
      <c r="D95" s="95"/>
      <c r="E95" s="95">
        <v>0</v>
      </c>
      <c r="F95" s="95">
        <v>0</v>
      </c>
      <c r="G95" s="95">
        <v>0</v>
      </c>
      <c r="H95" s="95">
        <v>50.877231592058571</v>
      </c>
      <c r="I95" s="95">
        <v>6882.2196126226536</v>
      </c>
      <c r="J95" s="95"/>
      <c r="K95" s="95"/>
      <c r="L95" s="95">
        <v>271.64361580574462</v>
      </c>
      <c r="M95" s="95">
        <v>643.20453709914409</v>
      </c>
      <c r="N95" s="95">
        <v>313.2615034402022</v>
      </c>
      <c r="O95" s="95">
        <v>818.84212517935055</v>
      </c>
      <c r="P95" s="95">
        <v>1019.9513742608439</v>
      </c>
      <c r="Q95" s="95">
        <v>9999.9999999999982</v>
      </c>
      <c r="S95" s="98">
        <v>818.84212517935055</v>
      </c>
      <c r="T95" s="95">
        <v>1569.6345024848645</v>
      </c>
      <c r="U95" s="99">
        <v>751.85994958006722</v>
      </c>
      <c r="W95" s="121">
        <v>161005.13178336035</v>
      </c>
      <c r="X95" s="59">
        <v>502633.69163496885</v>
      </c>
      <c r="Y95" s="59">
        <v>388596.03165245225</v>
      </c>
      <c r="Z95" s="59">
        <v>882222.28003767552</v>
      </c>
      <c r="AA95" s="59">
        <v>1083092.5833710358</v>
      </c>
      <c r="AB95" s="59">
        <v>1242045.980143399</v>
      </c>
      <c r="AC95" s="59">
        <v>788593.3449591063</v>
      </c>
      <c r="AD95" s="59">
        <v>5048189.043581998</v>
      </c>
      <c r="AE95" s="59">
        <v>237350897.26751027</v>
      </c>
      <c r="AF95" s="68">
        <v>5048189.043581998</v>
      </c>
    </row>
    <row r="96" spans="1:32" x14ac:dyDescent="0.2">
      <c r="A96" s="95">
        <v>59</v>
      </c>
      <c r="B96" s="95">
        <v>4</v>
      </c>
      <c r="C96" s="95">
        <v>11</v>
      </c>
      <c r="D96" s="95"/>
      <c r="E96" s="95">
        <v>0</v>
      </c>
      <c r="F96" s="95">
        <v>0</v>
      </c>
      <c r="G96" s="95">
        <v>0</v>
      </c>
      <c r="H96" s="95">
        <v>50.287903659450556</v>
      </c>
      <c r="I96" s="95">
        <v>6839.1240349814334</v>
      </c>
      <c r="J96" s="95"/>
      <c r="K96" s="95"/>
      <c r="L96" s="95">
        <v>270.29740259577585</v>
      </c>
      <c r="M96" s="95">
        <v>649.85719503796201</v>
      </c>
      <c r="N96" s="95">
        <v>314.72759280904876</v>
      </c>
      <c r="O96" s="95">
        <v>840.1121841960769</v>
      </c>
      <c r="P96" s="95">
        <v>1035.5936867202502</v>
      </c>
      <c r="Q96" s="95">
        <v>9999.9999999999982</v>
      </c>
      <c r="S96" s="98">
        <v>840.1121841960769</v>
      </c>
      <c r="T96" s="95">
        <v>1592.001716225888</v>
      </c>
      <c r="U96" s="99">
        <v>765.0733453279214</v>
      </c>
      <c r="W96" s="121">
        <v>159421.9146541573</v>
      </c>
      <c r="X96" s="59">
        <v>500601.28354647261</v>
      </c>
      <c r="Y96" s="59">
        <v>388238.01031570439</v>
      </c>
      <c r="Z96" s="59">
        <v>881621.11934132932</v>
      </c>
      <c r="AA96" s="59">
        <v>1088147.8684547662</v>
      </c>
      <c r="AB96" s="59">
        <v>1259925.1474075683</v>
      </c>
      <c r="AC96" s="59">
        <v>799244.86432761489</v>
      </c>
      <c r="AD96" s="59">
        <v>5077200.2080476135</v>
      </c>
      <c r="AE96" s="59">
        <v>242428097.47555786</v>
      </c>
      <c r="AF96" s="68">
        <v>5077200.2080476135</v>
      </c>
    </row>
    <row r="97" spans="1:32" x14ac:dyDescent="0.2">
      <c r="A97" s="95">
        <v>60</v>
      </c>
      <c r="B97" s="95">
        <v>5</v>
      </c>
      <c r="C97" s="95">
        <v>0</v>
      </c>
      <c r="D97" s="95"/>
      <c r="E97" s="95">
        <v>0</v>
      </c>
      <c r="F97" s="95">
        <v>0</v>
      </c>
      <c r="G97" s="95">
        <v>0</v>
      </c>
      <c r="H97" s="95">
        <v>49.705402108728585</v>
      </c>
      <c r="I97" s="95">
        <v>6796.2956991619258</v>
      </c>
      <c r="J97" s="95"/>
      <c r="K97" s="95"/>
      <c r="L97" s="95">
        <v>268.95146442624565</v>
      </c>
      <c r="M97" s="95">
        <v>656.28760286273575</v>
      </c>
      <c r="N97" s="95">
        <v>316.11849550611231</v>
      </c>
      <c r="O97" s="95">
        <v>861.4760854665891</v>
      </c>
      <c r="P97" s="95">
        <v>1051.1652504676604</v>
      </c>
      <c r="Q97" s="95">
        <v>9999.9999999999982</v>
      </c>
      <c r="S97" s="98">
        <v>861.4760854665891</v>
      </c>
      <c r="T97" s="95">
        <v>1614.2288693395776</v>
      </c>
      <c r="U97" s="99">
        <v>778.26653275532431</v>
      </c>
      <c r="W97" s="121">
        <v>157854.26582672476</v>
      </c>
      <c r="X97" s="59">
        <v>498568.00468226761</v>
      </c>
      <c r="Y97" s="59">
        <v>387869.2028034752</v>
      </c>
      <c r="Z97" s="59">
        <v>881018.44893425121</v>
      </c>
      <c r="AA97" s="59">
        <v>1093173.6388351163</v>
      </c>
      <c r="AB97" s="59">
        <v>1277702.8678112184</v>
      </c>
      <c r="AC97" s="59">
        <v>809823.37227700581</v>
      </c>
      <c r="AD97" s="59">
        <v>5106009.8011700595</v>
      </c>
      <c r="AE97" s="59">
        <v>247534107.27672791</v>
      </c>
      <c r="AF97" s="68">
        <v>5106009.8011700595</v>
      </c>
    </row>
    <row r="98" spans="1:32" x14ac:dyDescent="0.2">
      <c r="A98" s="95">
        <v>61</v>
      </c>
      <c r="B98" s="95">
        <v>5</v>
      </c>
      <c r="C98" s="95">
        <v>1</v>
      </c>
      <c r="D98" s="95"/>
      <c r="E98" s="95">
        <v>0</v>
      </c>
      <c r="F98" s="95">
        <v>0</v>
      </c>
      <c r="G98" s="95">
        <v>0</v>
      </c>
      <c r="H98" s="95">
        <v>49.071658231842292</v>
      </c>
      <c r="I98" s="95">
        <v>6745.8039669719292</v>
      </c>
      <c r="J98" s="95"/>
      <c r="K98" s="95"/>
      <c r="L98" s="95">
        <v>267.29220752172671</v>
      </c>
      <c r="M98" s="95">
        <v>661.73453078023545</v>
      </c>
      <c r="N98" s="95">
        <v>317.06728004353579</v>
      </c>
      <c r="O98" s="95">
        <v>882.92908343553188</v>
      </c>
      <c r="P98" s="95">
        <v>1076.1012730151963</v>
      </c>
      <c r="Q98" s="95">
        <v>9999.9999999999982</v>
      </c>
      <c r="S98" s="98">
        <v>882.92908343553188</v>
      </c>
      <c r="T98" s="95">
        <v>1636.3168303618538</v>
      </c>
      <c r="U98" s="99">
        <v>791.43856578565078</v>
      </c>
      <c r="W98" s="121">
        <v>156288.87769060975</v>
      </c>
      <c r="X98" s="59">
        <v>496492.46574013174</v>
      </c>
      <c r="Y98" s="59">
        <v>387457.38927480596</v>
      </c>
      <c r="Z98" s="59">
        <v>880340.64326372405</v>
      </c>
      <c r="AA98" s="59">
        <v>1098078.9125335796</v>
      </c>
      <c r="AB98" s="59">
        <v>1295273.2219314838</v>
      </c>
      <c r="AC98" s="59">
        <v>820262.22646317992</v>
      </c>
      <c r="AD98" s="59">
        <v>5134193.7368975151</v>
      </c>
      <c r="AE98" s="59">
        <v>252668301.01362544</v>
      </c>
      <c r="AF98" s="68">
        <v>5134193.7368975151</v>
      </c>
    </row>
    <row r="99" spans="1:32" x14ac:dyDescent="0.2">
      <c r="A99" s="95">
        <v>62</v>
      </c>
      <c r="B99" s="95">
        <v>5</v>
      </c>
      <c r="C99" s="95">
        <v>2</v>
      </c>
      <c r="D99" s="95"/>
      <c r="E99" s="95">
        <v>0</v>
      </c>
      <c r="F99" s="95">
        <v>0</v>
      </c>
      <c r="G99" s="95">
        <v>0</v>
      </c>
      <c r="H99" s="95">
        <v>48.445994589386302</v>
      </c>
      <c r="I99" s="95">
        <v>6695.6847965825473</v>
      </c>
      <c r="J99" s="95"/>
      <c r="K99" s="95"/>
      <c r="L99" s="95">
        <v>265.61689113098714</v>
      </c>
      <c r="M99" s="95">
        <v>666.97460533546325</v>
      </c>
      <c r="N99" s="95">
        <v>317.94193469369742</v>
      </c>
      <c r="O99" s="95">
        <v>904.44151491844275</v>
      </c>
      <c r="P99" s="95">
        <v>1100.8942627494732</v>
      </c>
      <c r="Q99" s="95">
        <v>9999.9999999999982</v>
      </c>
      <c r="S99" s="98">
        <v>904.44151491844275</v>
      </c>
      <c r="T99" s="95">
        <v>1658.2406932545125</v>
      </c>
      <c r="U99" s="99">
        <v>804.57315526416244</v>
      </c>
      <c r="W99" s="121">
        <v>154739.01298684452</v>
      </c>
      <c r="X99" s="59">
        <v>494416.71192099922</v>
      </c>
      <c r="Y99" s="59">
        <v>387035.06078283803</v>
      </c>
      <c r="Z99" s="59">
        <v>879661.02416846505</v>
      </c>
      <c r="AA99" s="59">
        <v>1102954.075186152</v>
      </c>
      <c r="AB99" s="59">
        <v>1312740.2987351613</v>
      </c>
      <c r="AC99" s="59">
        <v>830627.98816113512</v>
      </c>
      <c r="AD99" s="59">
        <v>5162174.1719415952</v>
      </c>
      <c r="AE99" s="59">
        <v>257830475.18556705</v>
      </c>
      <c r="AF99" s="68">
        <v>5162174.1719415952</v>
      </c>
    </row>
    <row r="100" spans="1:32" x14ac:dyDescent="0.2">
      <c r="A100" s="95">
        <v>63</v>
      </c>
      <c r="B100" s="95">
        <v>5</v>
      </c>
      <c r="C100" s="95">
        <v>3</v>
      </c>
      <c r="D100" s="95"/>
      <c r="E100" s="95">
        <v>0</v>
      </c>
      <c r="F100" s="95">
        <v>0</v>
      </c>
      <c r="G100" s="95">
        <v>0</v>
      </c>
      <c r="H100" s="95">
        <v>47.828308158371627</v>
      </c>
      <c r="I100" s="95">
        <v>6645.9354718892091</v>
      </c>
      <c r="J100" s="95"/>
      <c r="K100" s="95"/>
      <c r="L100" s="95">
        <v>263.92643904596582</v>
      </c>
      <c r="M100" s="95">
        <v>672.01223825001205</v>
      </c>
      <c r="N100" s="95">
        <v>318.744497294864</v>
      </c>
      <c r="O100" s="95">
        <v>926.00856792657783</v>
      </c>
      <c r="P100" s="95">
        <v>1125.5444774349971</v>
      </c>
      <c r="Q100" s="95">
        <v>9999.9999999999982</v>
      </c>
      <c r="S100" s="98">
        <v>926.00856792657783</v>
      </c>
      <c r="T100" s="95">
        <v>1680.0016688434057</v>
      </c>
      <c r="U100" s="99">
        <v>817.6694726734853</v>
      </c>
      <c r="W100" s="121">
        <v>153204.51777472498</v>
      </c>
      <c r="X100" s="59">
        <v>492340.89613619365</v>
      </c>
      <c r="Y100" s="59">
        <v>386602.32270765293</v>
      </c>
      <c r="Z100" s="59">
        <v>878979.39299594541</v>
      </c>
      <c r="AA100" s="59">
        <v>1107799.2443921308</v>
      </c>
      <c r="AB100" s="59">
        <v>1330104.6833908134</v>
      </c>
      <c r="AC100" s="59">
        <v>840921.47599152266</v>
      </c>
      <c r="AD100" s="59">
        <v>5189952.5333889835</v>
      </c>
      <c r="AE100" s="59">
        <v>263020427.71895602</v>
      </c>
      <c r="AF100" s="68">
        <v>5189952.5333889835</v>
      </c>
    </row>
    <row r="101" spans="1:32" x14ac:dyDescent="0.2">
      <c r="A101" s="95">
        <v>64</v>
      </c>
      <c r="B101" s="95">
        <v>5</v>
      </c>
      <c r="C101" s="95">
        <v>4</v>
      </c>
      <c r="D101" s="95"/>
      <c r="E101" s="95">
        <v>0</v>
      </c>
      <c r="F101" s="95">
        <v>0</v>
      </c>
      <c r="G101" s="95">
        <v>0</v>
      </c>
      <c r="H101" s="95">
        <v>47.218497229352387</v>
      </c>
      <c r="I101" s="95">
        <v>6596.5532961622375</v>
      </c>
      <c r="J101" s="95"/>
      <c r="K101" s="95"/>
      <c r="L101" s="95">
        <v>262.22174821250542</v>
      </c>
      <c r="M101" s="95">
        <v>676.85175739157535</v>
      </c>
      <c r="N101" s="95">
        <v>319.47695395467724</v>
      </c>
      <c r="O101" s="95">
        <v>947.62555817118403</v>
      </c>
      <c r="P101" s="95">
        <v>1150.0521888784656</v>
      </c>
      <c r="Q101" s="95">
        <v>9999.9999999999982</v>
      </c>
      <c r="S101" s="98">
        <v>947.62555817118403</v>
      </c>
      <c r="T101" s="95">
        <v>1701.6009591270456</v>
      </c>
      <c r="U101" s="99">
        <v>830.72671656203329</v>
      </c>
      <c r="W101" s="121">
        <v>151685.23964012566</v>
      </c>
      <c r="X101" s="59">
        <v>490265.16868750984</v>
      </c>
      <c r="Y101" s="59">
        <v>386159.28044108982</v>
      </c>
      <c r="Z101" s="59">
        <v>878295.55521664291</v>
      </c>
      <c r="AA101" s="59">
        <v>1112614.5349760281</v>
      </c>
      <c r="AB101" s="59">
        <v>1347366.9556745975</v>
      </c>
      <c r="AC101" s="59">
        <v>851143.48821210349</v>
      </c>
      <c r="AD101" s="59">
        <v>5217530.2228480978</v>
      </c>
      <c r="AE101" s="59">
        <v>268237957.94180411</v>
      </c>
      <c r="AF101" s="68">
        <v>5217530.2228480978</v>
      </c>
    </row>
    <row r="102" spans="1:32" x14ac:dyDescent="0.2">
      <c r="A102" s="95">
        <v>65</v>
      </c>
      <c r="B102" s="95">
        <v>5</v>
      </c>
      <c r="C102" s="95">
        <v>5</v>
      </c>
      <c r="D102" s="95"/>
      <c r="E102" s="95">
        <v>0</v>
      </c>
      <c r="F102" s="95">
        <v>0</v>
      </c>
      <c r="G102" s="95">
        <v>0</v>
      </c>
      <c r="H102" s="95">
        <v>46.616461389678143</v>
      </c>
      <c r="I102" s="95">
        <v>6547.5355919142376</v>
      </c>
      <c r="J102" s="95"/>
      <c r="K102" s="95"/>
      <c r="L102" s="95">
        <v>260.503689411609</v>
      </c>
      <c r="M102" s="95">
        <v>681.49740831408553</v>
      </c>
      <c r="N102" s="95">
        <v>320.14124044570877</v>
      </c>
      <c r="O102" s="95">
        <v>969.28792603294903</v>
      </c>
      <c r="P102" s="95">
        <v>1174.4176824917292</v>
      </c>
      <c r="Q102" s="95">
        <v>9999.9999999999982</v>
      </c>
      <c r="S102" s="98">
        <v>969.28792603294903</v>
      </c>
      <c r="T102" s="95">
        <v>1723.0397573395728</v>
      </c>
      <c r="U102" s="99">
        <v>843.74411193931235</v>
      </c>
      <c r="W102" s="121">
        <v>150181.02768036106</v>
      </c>
      <c r="X102" s="59">
        <v>488189.67730101658</v>
      </c>
      <c r="Y102" s="59">
        <v>385706.03936814191</v>
      </c>
      <c r="Z102" s="59">
        <v>877609.32038374082</v>
      </c>
      <c r="AA102" s="59">
        <v>1117400.0590466952</v>
      </c>
      <c r="AB102" s="59">
        <v>1364527.6899664332</v>
      </c>
      <c r="AC102" s="59">
        <v>861294.80332334153</v>
      </c>
      <c r="AD102" s="59">
        <v>5244908.6170697305</v>
      </c>
      <c r="AE102" s="59">
        <v>273482866.55887383</v>
      </c>
      <c r="AF102" s="68">
        <v>5244908.6170697305</v>
      </c>
    </row>
    <row r="103" spans="1:32" x14ac:dyDescent="0.2">
      <c r="A103" s="95">
        <v>66</v>
      </c>
      <c r="B103" s="95">
        <v>5</v>
      </c>
      <c r="C103" s="95">
        <v>6</v>
      </c>
      <c r="D103" s="95"/>
      <c r="E103" s="95">
        <v>0</v>
      </c>
      <c r="F103" s="95">
        <v>0</v>
      </c>
      <c r="G103" s="95">
        <v>0</v>
      </c>
      <c r="H103" s="95">
        <v>46.02210150695975</v>
      </c>
      <c r="I103" s="95">
        <v>6498.8797007683143</v>
      </c>
      <c r="J103" s="95"/>
      <c r="K103" s="95"/>
      <c r="L103" s="95">
        <v>258.77310792409969</v>
      </c>
      <c r="M103" s="95">
        <v>685.95335576987543</v>
      </c>
      <c r="N103" s="95">
        <v>320.73924355948691</v>
      </c>
      <c r="O103" s="95">
        <v>990.99123360581632</v>
      </c>
      <c r="P103" s="95">
        <v>1198.6412568654448</v>
      </c>
      <c r="Q103" s="95">
        <v>9999.9999999999964</v>
      </c>
      <c r="S103" s="98">
        <v>990.99123360581632</v>
      </c>
      <c r="T103" s="95">
        <v>1744.3192480132941</v>
      </c>
      <c r="U103" s="99">
        <v>856.72090968365785</v>
      </c>
      <c r="W103" s="121">
        <v>148691.73248919749</v>
      </c>
      <c r="X103" s="59">
        <v>486114.56716046773</v>
      </c>
      <c r="Y103" s="59">
        <v>385242.70484878134</v>
      </c>
      <c r="Z103" s="59">
        <v>876920.50209284096</v>
      </c>
      <c r="AA103" s="59">
        <v>1122155.926055717</v>
      </c>
      <c r="AB103" s="59">
        <v>1381587.4552480893</v>
      </c>
      <c r="AC103" s="59">
        <v>871376.18065371981</v>
      </c>
      <c r="AD103" s="59">
        <v>5272089.0685488135</v>
      </c>
      <c r="AE103" s="59">
        <v>278754955.62742263</v>
      </c>
      <c r="AF103" s="68">
        <v>5272089.0685488135</v>
      </c>
    </row>
    <row r="104" spans="1:32" x14ac:dyDescent="0.2">
      <c r="A104" s="95">
        <v>67</v>
      </c>
      <c r="B104" s="95">
        <v>5</v>
      </c>
      <c r="C104" s="95">
        <v>7</v>
      </c>
      <c r="D104" s="95"/>
      <c r="E104" s="95">
        <v>0</v>
      </c>
      <c r="F104" s="95">
        <v>0</v>
      </c>
      <c r="G104" s="95">
        <v>0</v>
      </c>
      <c r="H104" s="95">
        <v>45.435319712746015</v>
      </c>
      <c r="I104" s="95">
        <v>6450.5829833271191</v>
      </c>
      <c r="J104" s="95"/>
      <c r="K104" s="95"/>
      <c r="L104" s="95">
        <v>257.03082417908161</v>
      </c>
      <c r="M104" s="95">
        <v>690.22368519436725</v>
      </c>
      <c r="N104" s="95">
        <v>321.27280242034897</v>
      </c>
      <c r="O104" s="95">
        <v>1012.7311618131757</v>
      </c>
      <c r="P104" s="95">
        <v>1222.7232233531586</v>
      </c>
      <c r="Q104" s="95">
        <v>9999.9999999999964</v>
      </c>
      <c r="S104" s="98">
        <v>1012.7311618131757</v>
      </c>
      <c r="T104" s="95">
        <v>1765.4406070407911</v>
      </c>
      <c r="U104" s="99">
        <v>869.65638596215342</v>
      </c>
      <c r="W104" s="121">
        <v>147217.20614201293</v>
      </c>
      <c r="X104" s="59">
        <v>484039.98094032402</v>
      </c>
      <c r="Y104" s="59">
        <v>384769.38220020535</v>
      </c>
      <c r="Z104" s="59">
        <v>876228.91794169706</v>
      </c>
      <c r="AA104" s="59">
        <v>1126882.2428550874</v>
      </c>
      <c r="AB104" s="59">
        <v>1398546.8151031395</v>
      </c>
      <c r="AC104" s="59">
        <v>881388.36092550308</v>
      </c>
      <c r="AD104" s="59">
        <v>5299072.9061079696</v>
      </c>
      <c r="AE104" s="59">
        <v>284054028.53353059</v>
      </c>
      <c r="AF104" s="68">
        <v>5299072.9061079696</v>
      </c>
    </row>
    <row r="105" spans="1:32" x14ac:dyDescent="0.2">
      <c r="A105" s="95">
        <v>68</v>
      </c>
      <c r="B105" s="95">
        <v>5</v>
      </c>
      <c r="C105" s="95">
        <v>8</v>
      </c>
      <c r="D105" s="95"/>
      <c r="E105" s="95">
        <v>0</v>
      </c>
      <c r="F105" s="95">
        <v>0</v>
      </c>
      <c r="G105" s="95">
        <v>0</v>
      </c>
      <c r="H105" s="95">
        <v>44.856019386408505</v>
      </c>
      <c r="I105" s="95">
        <v>6402.6428190427223</v>
      </c>
      <c r="J105" s="95"/>
      <c r="K105" s="95"/>
      <c r="L105" s="95">
        <v>255.27763438659267</v>
      </c>
      <c r="M105" s="95">
        <v>694.31240416378819</v>
      </c>
      <c r="N105" s="95">
        <v>321.74370976042667</v>
      </c>
      <c r="O105" s="95">
        <v>1034.5035075944966</v>
      </c>
      <c r="P105" s="95">
        <v>1246.6639056655624</v>
      </c>
      <c r="Q105" s="95">
        <v>9999.9999999999982</v>
      </c>
      <c r="S105" s="98">
        <v>1034.5035075944966</v>
      </c>
      <c r="T105" s="95">
        <v>1786.4050017366042</v>
      </c>
      <c r="U105" s="99">
        <v>882.5498416624846</v>
      </c>
      <c r="W105" s="121">
        <v>145757.30218110466</v>
      </c>
      <c r="X105" s="59">
        <v>481966.05883839133</v>
      </c>
      <c r="Y105" s="59">
        <v>384286.17667949729</v>
      </c>
      <c r="Z105" s="59">
        <v>875534.38948998053</v>
      </c>
      <c r="AA105" s="59">
        <v>1131579.1137541693</v>
      </c>
      <c r="AB105" s="59">
        <v>1415406.3277187396</v>
      </c>
      <c r="AC105" s="59">
        <v>891332.06680164929</v>
      </c>
      <c r="AD105" s="59">
        <v>5325861.4354635319</v>
      </c>
      <c r="AE105" s="59">
        <v>289379889.96899414</v>
      </c>
      <c r="AF105" s="68">
        <v>5325861.4354635319</v>
      </c>
    </row>
    <row r="106" spans="1:32" x14ac:dyDescent="0.2">
      <c r="A106" s="95">
        <v>69</v>
      </c>
      <c r="B106" s="95">
        <v>5</v>
      </c>
      <c r="C106" s="95">
        <v>9</v>
      </c>
      <c r="D106" s="95"/>
      <c r="E106" s="95">
        <v>0</v>
      </c>
      <c r="F106" s="95">
        <v>0</v>
      </c>
      <c r="G106" s="95">
        <v>0</v>
      </c>
      <c r="H106" s="95">
        <v>44.284105139231798</v>
      </c>
      <c r="I106" s="95">
        <v>6355.0566060873034</v>
      </c>
      <c r="J106" s="95"/>
      <c r="K106" s="95"/>
      <c r="L106" s="95">
        <v>253.51431115482896</v>
      </c>
      <c r="M106" s="95">
        <v>698.22344382639949</v>
      </c>
      <c r="N106" s="95">
        <v>322.15371315702549</v>
      </c>
      <c r="O106" s="95">
        <v>1056.3041811605303</v>
      </c>
      <c r="P106" s="95">
        <v>1270.4636394746772</v>
      </c>
      <c r="Q106" s="95">
        <v>9999.9999999999964</v>
      </c>
      <c r="S106" s="98">
        <v>1056.3041811605303</v>
      </c>
      <c r="T106" s="95">
        <v>1807.2135908984931</v>
      </c>
      <c r="U106" s="99">
        <v>895.40060183648654</v>
      </c>
      <c r="W106" s="121">
        <v>144311.87560114203</v>
      </c>
      <c r="X106" s="59">
        <v>479892.93860807869</v>
      </c>
      <c r="Y106" s="59">
        <v>383793.19346669427</v>
      </c>
      <c r="Z106" s="59">
        <v>874836.74221908336</v>
      </c>
      <c r="AA106" s="59">
        <v>1136246.640575937</v>
      </c>
      <c r="AB106" s="59">
        <v>1432166.5458891708</v>
      </c>
      <c r="AC106" s="59">
        <v>901208.0034145473</v>
      </c>
      <c r="AD106" s="59">
        <v>5352455.9397746539</v>
      </c>
      <c r="AE106" s="59">
        <v>294732345.90876877</v>
      </c>
      <c r="AF106" s="68">
        <v>5352455.9397746539</v>
      </c>
    </row>
    <row r="107" spans="1:32" x14ac:dyDescent="0.2">
      <c r="A107" s="95">
        <v>70</v>
      </c>
      <c r="B107" s="95">
        <v>5</v>
      </c>
      <c r="C107" s="95">
        <v>10</v>
      </c>
      <c r="D107" s="95"/>
      <c r="E107" s="95">
        <v>0</v>
      </c>
      <c r="F107" s="95">
        <v>0</v>
      </c>
      <c r="G107" s="95">
        <v>0</v>
      </c>
      <c r="H107" s="95">
        <v>43.719482798706593</v>
      </c>
      <c r="I107" s="95">
        <v>6307.8217612246608</v>
      </c>
      <c r="J107" s="95"/>
      <c r="K107" s="95"/>
      <c r="L107" s="95">
        <v>251.74160409231186</v>
      </c>
      <c r="M107" s="95">
        <v>701.96066030771988</v>
      </c>
      <c r="N107" s="95">
        <v>322.50451623361602</v>
      </c>
      <c r="O107" s="95">
        <v>1078.1292033152624</v>
      </c>
      <c r="P107" s="95">
        <v>1294.1227720277186</v>
      </c>
      <c r="Q107" s="95">
        <v>9999.9999999999964</v>
      </c>
      <c r="S107" s="98">
        <v>1078.1292033152624</v>
      </c>
      <c r="T107" s="95">
        <v>1827.8675248682769</v>
      </c>
      <c r="U107" s="99">
        <v>908.2080151551487</v>
      </c>
      <c r="W107" s="121">
        <v>142880.78283476405</v>
      </c>
      <c r="X107" s="59">
        <v>477820.75559028122</v>
      </c>
      <c r="Y107" s="59">
        <v>383290.53764825681</v>
      </c>
      <c r="Z107" s="59">
        <v>874135.80549196876</v>
      </c>
      <c r="AA107" s="59">
        <v>1140884.9227125107</v>
      </c>
      <c r="AB107" s="59">
        <v>1448828.0170211059</v>
      </c>
      <c r="AC107" s="59">
        <v>911016.85887723067</v>
      </c>
      <c r="AD107" s="59">
        <v>5378857.6801761184</v>
      </c>
      <c r="AE107" s="59">
        <v>300111203.58894491</v>
      </c>
      <c r="AF107" s="68">
        <v>5378857.6801761184</v>
      </c>
    </row>
    <row r="108" spans="1:32" x14ac:dyDescent="0.2">
      <c r="A108" s="95">
        <v>71</v>
      </c>
      <c r="B108" s="95">
        <v>5</v>
      </c>
      <c r="C108" s="95">
        <v>11</v>
      </c>
      <c r="D108" s="95"/>
      <c r="E108" s="95">
        <v>0</v>
      </c>
      <c r="F108" s="95">
        <v>0</v>
      </c>
      <c r="G108" s="95">
        <v>0</v>
      </c>
      <c r="H108" s="95">
        <v>43.162059393023085</v>
      </c>
      <c r="I108" s="95">
        <v>6260.9357196825304</v>
      </c>
      <c r="J108" s="95"/>
      <c r="K108" s="95"/>
      <c r="L108" s="95">
        <v>249.96024039536007</v>
      </c>
      <c r="M108" s="95">
        <v>705.52783609021276</v>
      </c>
      <c r="N108" s="95">
        <v>322.79777982561183</v>
      </c>
      <c r="O108" s="95">
        <v>1099.9747028428474</v>
      </c>
      <c r="P108" s="95">
        <v>1317.6416617704112</v>
      </c>
      <c r="Q108" s="95">
        <v>9999.9999999999964</v>
      </c>
      <c r="S108" s="98">
        <v>1099.9747028428474</v>
      </c>
      <c r="T108" s="95">
        <v>1848.367945592257</v>
      </c>
      <c r="U108" s="99">
        <v>920.97145337484437</v>
      </c>
      <c r="W108" s="121">
        <v>141463.88173831929</v>
      </c>
      <c r="X108" s="59">
        <v>475749.64274489065</v>
      </c>
      <c r="Y108" s="59">
        <v>382778.31420093065</v>
      </c>
      <c r="Z108" s="59">
        <v>873431.41251307563</v>
      </c>
      <c r="AA108" s="59">
        <v>1145494.0571799844</v>
      </c>
      <c r="AB108" s="59">
        <v>1465391.2831405445</v>
      </c>
      <c r="AC108" s="59">
        <v>920759.30477769417</v>
      </c>
      <c r="AD108" s="59">
        <v>5405067.8962954395</v>
      </c>
      <c r="AE108" s="59">
        <v>305516271.48524034</v>
      </c>
      <c r="AF108" s="68">
        <v>5405067.8962954395</v>
      </c>
    </row>
    <row r="109" spans="1:32" x14ac:dyDescent="0.2">
      <c r="A109" s="95">
        <v>72</v>
      </c>
      <c r="B109" s="95">
        <v>6</v>
      </c>
      <c r="C109" s="95">
        <v>0</v>
      </c>
      <c r="D109" s="95"/>
      <c r="E109" s="95">
        <v>0</v>
      </c>
      <c r="F109" s="95">
        <v>0</v>
      </c>
      <c r="G109" s="95">
        <v>0</v>
      </c>
      <c r="H109" s="95">
        <v>42.61174313576204</v>
      </c>
      <c r="I109" s="95">
        <v>6214.395935025711</v>
      </c>
      <c r="J109" s="95"/>
      <c r="K109" s="95"/>
      <c r="L109" s="95">
        <v>248.48210556481189</v>
      </c>
      <c r="M109" s="95">
        <v>708.61750122430885</v>
      </c>
      <c r="N109" s="95">
        <v>323.03512311206936</v>
      </c>
      <c r="O109" s="95">
        <v>1121.8369139578137</v>
      </c>
      <c r="P109" s="95">
        <v>1341.0206779795205</v>
      </c>
      <c r="Q109" s="95">
        <v>9999.9999999999982</v>
      </c>
      <c r="S109" s="98">
        <v>1121.8369139578137</v>
      </c>
      <c r="T109" s="95">
        <v>1868.7159866812253</v>
      </c>
      <c r="U109" s="99">
        <v>933.69031081455887</v>
      </c>
      <c r="W109" s="121">
        <v>140061.03157774764</v>
      </c>
      <c r="X109" s="59">
        <v>473679.73068193882</v>
      </c>
      <c r="Y109" s="59">
        <v>382256.62797599752</v>
      </c>
      <c r="Z109" s="59">
        <v>872723.40028828476</v>
      </c>
      <c r="AA109" s="59">
        <v>1150074.1386725507</v>
      </c>
      <c r="AB109" s="59">
        <v>1481856.8809013769</v>
      </c>
      <c r="AC109" s="59">
        <v>930435.9966569189</v>
      </c>
      <c r="AD109" s="59">
        <v>5431087.8067548154</v>
      </c>
      <c r="AE109" s="59">
        <v>310947359.29199517</v>
      </c>
      <c r="AF109" s="68">
        <v>5431087.8067548154</v>
      </c>
    </row>
    <row r="110" spans="1:32" x14ac:dyDescent="0.2">
      <c r="A110" s="95">
        <v>73</v>
      </c>
      <c r="B110" s="95">
        <v>6</v>
      </c>
      <c r="C110" s="95">
        <v>1</v>
      </c>
      <c r="D110" s="95"/>
      <c r="E110" s="95">
        <v>0</v>
      </c>
      <c r="F110" s="95">
        <v>0</v>
      </c>
      <c r="G110" s="95">
        <v>0</v>
      </c>
      <c r="H110" s="95">
        <v>42.068443410781072</v>
      </c>
      <c r="I110" s="95">
        <v>6168.1998790299967</v>
      </c>
      <c r="J110" s="95"/>
      <c r="K110" s="95"/>
      <c r="L110" s="95">
        <v>246.98731245333738</v>
      </c>
      <c r="M110" s="95">
        <v>711.5520509527189</v>
      </c>
      <c r="N110" s="95">
        <v>323.21812471440438</v>
      </c>
      <c r="O110" s="95">
        <v>1143.7139890343781</v>
      </c>
      <c r="P110" s="95">
        <v>1364.2602004043804</v>
      </c>
      <c r="Q110" s="95">
        <v>9999.9999999999964</v>
      </c>
      <c r="S110" s="98">
        <v>1143.7139890343781</v>
      </c>
      <c r="T110" s="95">
        <v>1888.9127734700589</v>
      </c>
      <c r="U110" s="99">
        <v>946.3640038438939</v>
      </c>
      <c r="W110" s="121">
        <v>138672.09301460162</v>
      </c>
      <c r="X110" s="59">
        <v>471611.14769237774</v>
      </c>
      <c r="Y110" s="59">
        <v>381725.58368390525</v>
      </c>
      <c r="Z110" s="59">
        <v>872011.60958495573</v>
      </c>
      <c r="AA110" s="59">
        <v>1154625.259615927</v>
      </c>
      <c r="AB110" s="59">
        <v>1498225.1122245025</v>
      </c>
      <c r="AC110" s="59">
        <v>940047.57447118941</v>
      </c>
      <c r="AD110" s="59">
        <v>5456918.3802874591</v>
      </c>
      <c r="AE110" s="59">
        <v>316404277.67228264</v>
      </c>
      <c r="AF110" s="68">
        <v>5456918.3802874591</v>
      </c>
    </row>
    <row r="111" spans="1:32" x14ac:dyDescent="0.2">
      <c r="A111" s="95">
        <v>74</v>
      </c>
      <c r="B111" s="95">
        <v>6</v>
      </c>
      <c r="C111" s="95">
        <v>2</v>
      </c>
      <c r="D111" s="95"/>
      <c r="E111" s="95">
        <v>0</v>
      </c>
      <c r="F111" s="95">
        <v>0</v>
      </c>
      <c r="G111" s="95">
        <v>0</v>
      </c>
      <c r="H111" s="95">
        <v>41.53207075729361</v>
      </c>
      <c r="I111" s="95">
        <v>6122.3450415569096</v>
      </c>
      <c r="J111" s="95"/>
      <c r="K111" s="95"/>
      <c r="L111" s="95">
        <v>245.49513459487684</v>
      </c>
      <c r="M111" s="95">
        <v>714.31653227378956</v>
      </c>
      <c r="N111" s="95">
        <v>323.34831347695007</v>
      </c>
      <c r="O111" s="95">
        <v>1165.6022940199</v>
      </c>
      <c r="P111" s="95">
        <v>1387.3606133202775</v>
      </c>
      <c r="Q111" s="95">
        <v>9999.9999999999964</v>
      </c>
      <c r="S111" s="98">
        <v>1165.6022940199</v>
      </c>
      <c r="T111" s="95">
        <v>1908.9594230769064</v>
      </c>
      <c r="U111" s="99">
        <v>958.99196009539651</v>
      </c>
      <c r="W111" s="121">
        <v>137296.92809220683</v>
      </c>
      <c r="X111" s="59">
        <v>469544.01977850043</v>
      </c>
      <c r="Y111" s="59">
        <v>381185.28587927326</v>
      </c>
      <c r="Z111" s="59">
        <v>871295.884892039</v>
      </c>
      <c r="AA111" s="59">
        <v>1159147.5102200876</v>
      </c>
      <c r="AB111" s="59">
        <v>1514496.5102877431</v>
      </c>
      <c r="AC111" s="59">
        <v>949594.66064913955</v>
      </c>
      <c r="AD111" s="59">
        <v>5482560.7997989897</v>
      </c>
      <c r="AE111" s="59">
        <v>321886838.4720816</v>
      </c>
      <c r="AF111" s="68">
        <v>5482560.7997989897</v>
      </c>
    </row>
    <row r="112" spans="1:32" x14ac:dyDescent="0.2">
      <c r="A112" s="95">
        <v>75</v>
      </c>
      <c r="B112" s="95">
        <v>6</v>
      </c>
      <c r="C112" s="95">
        <v>3</v>
      </c>
      <c r="D112" s="95"/>
      <c r="E112" s="95">
        <v>0</v>
      </c>
      <c r="F112" s="95">
        <v>0</v>
      </c>
      <c r="G112" s="95">
        <v>0</v>
      </c>
      <c r="H112" s="95">
        <v>41.002536855138118</v>
      </c>
      <c r="I112" s="95">
        <v>6076.8289304292202</v>
      </c>
      <c r="J112" s="95"/>
      <c r="K112" s="95"/>
      <c r="L112" s="95">
        <v>244.00575508266175</v>
      </c>
      <c r="M112" s="95">
        <v>716.91488391005282</v>
      </c>
      <c r="N112" s="95">
        <v>323.42718068324683</v>
      </c>
      <c r="O112" s="95">
        <v>1187.4984020170325</v>
      </c>
      <c r="P112" s="95">
        <v>1410.3223110226452</v>
      </c>
      <c r="Q112" s="95">
        <v>9999.9999999999982</v>
      </c>
      <c r="S112" s="98">
        <v>1187.4984020170325</v>
      </c>
      <c r="T112" s="95">
        <v>1928.8570444619663</v>
      </c>
      <c r="U112" s="99">
        <v>971.57362875613535</v>
      </c>
      <c r="W112" s="121">
        <v>135935.40022195911</v>
      </c>
      <c r="X112" s="59">
        <v>467478.4706840053</v>
      </c>
      <c r="Y112" s="59">
        <v>380635.83894626505</v>
      </c>
      <c r="Z112" s="59">
        <v>870576.07438027184</v>
      </c>
      <c r="AA112" s="59">
        <v>1163640.9785313043</v>
      </c>
      <c r="AB112" s="59">
        <v>1530671.5883858302</v>
      </c>
      <c r="AC112" s="59">
        <v>959077.86307528685</v>
      </c>
      <c r="AD112" s="59">
        <v>5508016.2142249225</v>
      </c>
      <c r="AE112" s="59">
        <v>327394854.68630654</v>
      </c>
      <c r="AF112" s="68">
        <v>5508016.2142249225</v>
      </c>
    </row>
    <row r="113" spans="1:32" x14ac:dyDescent="0.2">
      <c r="A113" s="95">
        <v>76</v>
      </c>
      <c r="B113" s="95">
        <v>6</v>
      </c>
      <c r="C113" s="95">
        <v>4</v>
      </c>
      <c r="D113" s="95"/>
      <c r="E113" s="95">
        <v>0</v>
      </c>
      <c r="F113" s="95">
        <v>0</v>
      </c>
      <c r="G113" s="95">
        <v>0</v>
      </c>
      <c r="H113" s="95">
        <v>40.479754510235104</v>
      </c>
      <c r="I113" s="95">
        <v>6031.6490713072671</v>
      </c>
      <c r="J113" s="95"/>
      <c r="K113" s="95"/>
      <c r="L113" s="95">
        <v>242.51935082526114</v>
      </c>
      <c r="M113" s="95">
        <v>719.35096706491458</v>
      </c>
      <c r="N113" s="95">
        <v>323.45618040328742</v>
      </c>
      <c r="O113" s="95">
        <v>1209.3989787315923</v>
      </c>
      <c r="P113" s="95">
        <v>1433.1456971574394</v>
      </c>
      <c r="Q113" s="95">
        <v>9999.9999999999964</v>
      </c>
      <c r="S113" s="98">
        <v>1209.3989787315923</v>
      </c>
      <c r="T113" s="95">
        <v>1948.6067384858613</v>
      </c>
      <c r="U113" s="99">
        <v>984.1084794625948</v>
      </c>
      <c r="W113" s="121">
        <v>134587.374169758</v>
      </c>
      <c r="X113" s="59">
        <v>465414.62192371034</v>
      </c>
      <c r="Y113" s="59">
        <v>380077.347084323</v>
      </c>
      <c r="Z113" s="59">
        <v>869852.02986246545</v>
      </c>
      <c r="AA113" s="59">
        <v>1168105.7504835015</v>
      </c>
      <c r="AB113" s="59">
        <v>1546750.8547021521</v>
      </c>
      <c r="AC113" s="59">
        <v>968497.77535118465</v>
      </c>
      <c r="AD113" s="59">
        <v>5533285.7535770945</v>
      </c>
      <c r="AE113" s="59">
        <v>332928140.43988365</v>
      </c>
      <c r="AF113" s="68">
        <v>5533285.7535770945</v>
      </c>
    </row>
    <row r="114" spans="1:32" x14ac:dyDescent="0.2">
      <c r="A114" s="95">
        <v>77</v>
      </c>
      <c r="B114" s="95">
        <v>6</v>
      </c>
      <c r="C114" s="95">
        <v>5</v>
      </c>
      <c r="D114" s="95"/>
      <c r="E114" s="95">
        <v>0</v>
      </c>
      <c r="F114" s="95">
        <v>0</v>
      </c>
      <c r="G114" s="95">
        <v>0</v>
      </c>
      <c r="H114" s="95">
        <v>39.963637640229607</v>
      </c>
      <c r="I114" s="95">
        <v>5986.8030075660618</v>
      </c>
      <c r="J114" s="95"/>
      <c r="K114" s="95"/>
      <c r="L114" s="95">
        <v>241.03609270757369</v>
      </c>
      <c r="M114" s="95">
        <v>721.62856686935595</v>
      </c>
      <c r="N114" s="95">
        <v>323.4367304789298</v>
      </c>
      <c r="O114" s="95">
        <v>1231.300780331065</v>
      </c>
      <c r="P114" s="95">
        <v>1455.8311844067814</v>
      </c>
      <c r="Q114" s="95">
        <v>9999.9999999999964</v>
      </c>
      <c r="S114" s="98">
        <v>1231.300780331065</v>
      </c>
      <c r="T114" s="95">
        <v>1968.2095979676099</v>
      </c>
      <c r="U114" s="99">
        <v>996.5960018471643</v>
      </c>
      <c r="W114" s="121">
        <v>133252.71604257455</v>
      </c>
      <c r="X114" s="59">
        <v>463352.59281291859</v>
      </c>
      <c r="Y114" s="59">
        <v>379509.91429425869</v>
      </c>
      <c r="Z114" s="59">
        <v>869123.60675388738</v>
      </c>
      <c r="AA114" s="59">
        <v>1172541.9099489278</v>
      </c>
      <c r="AB114" s="59">
        <v>1562734.8123205958</v>
      </c>
      <c r="AC114" s="59">
        <v>977854.97720238869</v>
      </c>
      <c r="AD114" s="59">
        <v>5558370.5293755513</v>
      </c>
      <c r="AE114" s="59">
        <v>338486510.9692592</v>
      </c>
      <c r="AF114" s="68">
        <v>5558370.5293755513</v>
      </c>
    </row>
    <row r="115" spans="1:32" x14ac:dyDescent="0.2">
      <c r="A115" s="95">
        <v>78</v>
      </c>
      <c r="B115" s="95">
        <v>6</v>
      </c>
      <c r="C115" s="95">
        <v>6</v>
      </c>
      <c r="D115" s="95"/>
      <c r="E115" s="95">
        <v>0</v>
      </c>
      <c r="F115" s="95">
        <v>0</v>
      </c>
      <c r="G115" s="95">
        <v>0</v>
      </c>
      <c r="H115" s="95">
        <v>39.454101260316676</v>
      </c>
      <c r="I115" s="95">
        <v>5942.2883001731716</v>
      </c>
      <c r="J115" s="95"/>
      <c r="K115" s="95"/>
      <c r="L115" s="95">
        <v>239.55614574787731</v>
      </c>
      <c r="M115" s="95">
        <v>723.75139380216501</v>
      </c>
      <c r="N115" s="95">
        <v>323.37021348017419</v>
      </c>
      <c r="O115" s="95">
        <v>1253.2006513541191</v>
      </c>
      <c r="P115" s="95">
        <v>1478.379194182173</v>
      </c>
      <c r="Q115" s="95">
        <v>9999.9999999999964</v>
      </c>
      <c r="S115" s="98">
        <v>1253.2006513541191</v>
      </c>
      <c r="T115" s="95">
        <v>1987.6667077421996</v>
      </c>
      <c r="U115" s="99">
        <v>1009.0357050935939</v>
      </c>
      <c r="W115" s="121">
        <v>131931.29327515239</v>
      </c>
      <c r="X115" s="59">
        <v>461292.50049644004</v>
      </c>
      <c r="Y115" s="59">
        <v>378933.64436469186</v>
      </c>
      <c r="Z115" s="59">
        <v>868390.66403274809</v>
      </c>
      <c r="AA115" s="59">
        <v>1176949.5387881517</v>
      </c>
      <c r="AB115" s="59">
        <v>1578623.959238824</v>
      </c>
      <c r="AC115" s="59">
        <v>987150.03487220861</v>
      </c>
      <c r="AD115" s="59">
        <v>5583271.6350682164</v>
      </c>
      <c r="AE115" s="59">
        <v>344069782.60432744</v>
      </c>
      <c r="AF115" s="68">
        <v>5583271.6350682164</v>
      </c>
    </row>
    <row r="116" spans="1:32" x14ac:dyDescent="0.2">
      <c r="A116" s="95">
        <v>79</v>
      </c>
      <c r="B116" s="95">
        <v>6</v>
      </c>
      <c r="C116" s="95">
        <v>7</v>
      </c>
      <c r="D116" s="95"/>
      <c r="E116" s="95">
        <v>0</v>
      </c>
      <c r="F116" s="95">
        <v>0</v>
      </c>
      <c r="G116" s="95">
        <v>0</v>
      </c>
      <c r="H116" s="95">
        <v>38.951061469247641</v>
      </c>
      <c r="I116" s="95">
        <v>5898.1025275673892</v>
      </c>
      <c r="J116" s="95"/>
      <c r="K116" s="95"/>
      <c r="L116" s="95">
        <v>238.07966925103133</v>
      </c>
      <c r="M116" s="95">
        <v>725.72308508418121</v>
      </c>
      <c r="N116" s="95">
        <v>323.25797763325971</v>
      </c>
      <c r="O116" s="95">
        <v>1275.0955226697849</v>
      </c>
      <c r="P116" s="95">
        <v>1500.790156325103</v>
      </c>
      <c r="Q116" s="95">
        <v>9999.9999999999964</v>
      </c>
      <c r="S116" s="98">
        <v>1275.0955226697849</v>
      </c>
      <c r="T116" s="95">
        <v>2006.9791447177624</v>
      </c>
      <c r="U116" s="99">
        <v>1021.4271175012462</v>
      </c>
      <c r="W116" s="121">
        <v>130622.97461684044</v>
      </c>
      <c r="X116" s="59">
        <v>459234.4599772736</v>
      </c>
      <c r="Y116" s="59">
        <v>378348.64085883397</v>
      </c>
      <c r="Z116" s="59">
        <v>867653.064200797</v>
      </c>
      <c r="AA116" s="59">
        <v>1181328.7168993792</v>
      </c>
      <c r="AB116" s="59">
        <v>1594418.7883829449</v>
      </c>
      <c r="AC116" s="59">
        <v>996383.50150271144</v>
      </c>
      <c r="AD116" s="59">
        <v>5607990.1464387802</v>
      </c>
      <c r="AE116" s="59">
        <v>349677772.75076622</v>
      </c>
      <c r="AF116" s="68">
        <v>5607990.1464387802</v>
      </c>
    </row>
    <row r="117" spans="1:32" x14ac:dyDescent="0.2">
      <c r="A117" s="95">
        <v>80</v>
      </c>
      <c r="B117" s="95">
        <v>6</v>
      </c>
      <c r="C117" s="95">
        <v>8</v>
      </c>
      <c r="D117" s="95"/>
      <c r="E117" s="95">
        <v>0</v>
      </c>
      <c r="F117" s="95">
        <v>0</v>
      </c>
      <c r="G117" s="95">
        <v>0</v>
      </c>
      <c r="H117" s="95">
        <v>38.454435435514732</v>
      </c>
      <c r="I117" s="95">
        <v>5854.2432855381694</v>
      </c>
      <c r="J117" s="95"/>
      <c r="K117" s="95"/>
      <c r="L117" s="95">
        <v>236.6068169579234</v>
      </c>
      <c r="M117" s="95">
        <v>727.54720604702368</v>
      </c>
      <c r="N117" s="95">
        <v>323.10133772150181</v>
      </c>
      <c r="O117" s="95">
        <v>1296.9824094849948</v>
      </c>
      <c r="P117" s="95">
        <v>1523.0645088148688</v>
      </c>
      <c r="Q117" s="95">
        <v>9999.9999999999964</v>
      </c>
      <c r="S117" s="98">
        <v>1296.9824094849948</v>
      </c>
      <c r="T117" s="95">
        <v>2026.1479779323565</v>
      </c>
      <c r="U117" s="99">
        <v>1033.7697860579744</v>
      </c>
      <c r="W117" s="121">
        <v>129327.63011855677</v>
      </c>
      <c r="X117" s="59">
        <v>457178.58414495253</v>
      </c>
      <c r="Y117" s="59">
        <v>377755.00710160815</v>
      </c>
      <c r="Z117" s="59">
        <v>866910.67324403382</v>
      </c>
      <c r="AA117" s="59">
        <v>1185679.5222671074</v>
      </c>
      <c r="AB117" s="59">
        <v>1610119.7876235307</v>
      </c>
      <c r="AC117" s="59">
        <v>1005555.9175034355</v>
      </c>
      <c r="AD117" s="59">
        <v>5632527.1220032247</v>
      </c>
      <c r="AE117" s="59">
        <v>355310299.87276942</v>
      </c>
      <c r="AF117" s="68">
        <v>5632527.1220032247</v>
      </c>
    </row>
    <row r="118" spans="1:32" x14ac:dyDescent="0.2">
      <c r="A118" s="95">
        <v>81</v>
      </c>
      <c r="B118" s="95">
        <v>6</v>
      </c>
      <c r="C118" s="95">
        <v>9</v>
      </c>
      <c r="D118" s="95"/>
      <c r="E118" s="95">
        <v>0</v>
      </c>
      <c r="F118" s="95">
        <v>0</v>
      </c>
      <c r="G118" s="95">
        <v>0</v>
      </c>
      <c r="H118" s="95">
        <v>37.964141383711919</v>
      </c>
      <c r="I118" s="95">
        <v>5810.7081871058435</v>
      </c>
      <c r="J118" s="95"/>
      <c r="K118" s="95"/>
      <c r="L118" s="95">
        <v>235.13773719125203</v>
      </c>
      <c r="M118" s="95">
        <v>729.2272514767667</v>
      </c>
      <c r="N118" s="95">
        <v>322.90157595975961</v>
      </c>
      <c r="O118" s="95">
        <v>1318.858409399219</v>
      </c>
      <c r="P118" s="95">
        <v>1545.2026974834444</v>
      </c>
      <c r="Q118" s="95">
        <v>9999.9999999999964</v>
      </c>
      <c r="S118" s="98">
        <v>1318.858409399219</v>
      </c>
      <c r="T118" s="95">
        <v>2045.1742686103555</v>
      </c>
      <c r="U118" s="99">
        <v>1046.0632760214637</v>
      </c>
      <c r="W118" s="121">
        <v>128045.13111988109</v>
      </c>
      <c r="X118" s="59">
        <v>455124.98380355758</v>
      </c>
      <c r="Y118" s="59">
        <v>377152.84616710187</v>
      </c>
      <c r="Z118" s="59">
        <v>866163.3605935399</v>
      </c>
      <c r="AA118" s="59">
        <v>1190002.0310101083</v>
      </c>
      <c r="AB118" s="59">
        <v>1625727.4397929469</v>
      </c>
      <c r="AC118" s="59">
        <v>1014667.810908249</v>
      </c>
      <c r="AD118" s="59">
        <v>5656883.6033953847</v>
      </c>
      <c r="AE118" s="59">
        <v>360967183.47616482</v>
      </c>
      <c r="AF118" s="68">
        <v>5656883.6033953847</v>
      </c>
    </row>
    <row r="119" spans="1:32" x14ac:dyDescent="0.2">
      <c r="A119" s="95">
        <v>82</v>
      </c>
      <c r="B119" s="95">
        <v>6</v>
      </c>
      <c r="C119" s="95">
        <v>10</v>
      </c>
      <c r="D119" s="95"/>
      <c r="E119" s="95">
        <v>0</v>
      </c>
      <c r="F119" s="95">
        <v>0</v>
      </c>
      <c r="G119" s="95">
        <v>0</v>
      </c>
      <c r="H119" s="95">
        <v>37.480098581069591</v>
      </c>
      <c r="I119" s="95">
        <v>5767.4948624025919</v>
      </c>
      <c r="J119" s="95"/>
      <c r="K119" s="95"/>
      <c r="L119" s="95">
        <v>233.67257299773277</v>
      </c>
      <c r="M119" s="95">
        <v>730.76664693301768</v>
      </c>
      <c r="N119" s="95">
        <v>322.65994284339115</v>
      </c>
      <c r="O119" s="95">
        <v>1340.7207005049709</v>
      </c>
      <c r="P119" s="95">
        <v>1567.2051757372228</v>
      </c>
      <c r="Q119" s="95">
        <v>9999.9999999999964</v>
      </c>
      <c r="S119" s="98">
        <v>1340.7207005049709</v>
      </c>
      <c r="T119" s="95">
        <v>2064.0590702184495</v>
      </c>
      <c r="U119" s="99">
        <v>1058.3071705088726</v>
      </c>
      <c r="W119" s="121">
        <v>126775.35023627561</v>
      </c>
      <c r="X119" s="59">
        <v>453073.7676994006</v>
      </c>
      <c r="Y119" s="59">
        <v>376542.26086634485</v>
      </c>
      <c r="Z119" s="59">
        <v>865410.99908643786</v>
      </c>
      <c r="AA119" s="59">
        <v>1194296.3174287539</v>
      </c>
      <c r="AB119" s="59">
        <v>1641242.2227039475</v>
      </c>
      <c r="AC119" s="59">
        <v>1023719.6977207767</v>
      </c>
      <c r="AD119" s="59">
        <v>5681060.6157419374</v>
      </c>
      <c r="AE119" s="59">
        <v>366648244.09190673</v>
      </c>
      <c r="AF119" s="68">
        <v>5681060.6157419374</v>
      </c>
    </row>
    <row r="120" spans="1:32" x14ac:dyDescent="0.2">
      <c r="A120" s="95">
        <v>83</v>
      </c>
      <c r="B120" s="95">
        <v>6</v>
      </c>
      <c r="C120" s="95">
        <v>11</v>
      </c>
      <c r="D120" s="95"/>
      <c r="E120" s="95">
        <v>0</v>
      </c>
      <c r="F120" s="95">
        <v>0</v>
      </c>
      <c r="G120" s="95">
        <v>0</v>
      </c>
      <c r="H120" s="95">
        <v>37.002227324160955</v>
      </c>
      <c r="I120" s="95">
        <v>5724.6009585541897</v>
      </c>
      <c r="J120" s="95"/>
      <c r="K120" s="95"/>
      <c r="L120" s="95">
        <v>232.21146228681422</v>
      </c>
      <c r="M120" s="95">
        <v>732.16875004384349</v>
      </c>
      <c r="N120" s="95">
        <v>322.37765797252399</v>
      </c>
      <c r="O120" s="95">
        <v>1362.5665395329886</v>
      </c>
      <c r="P120" s="95">
        <v>1589.0724042854761</v>
      </c>
      <c r="Q120" s="95">
        <v>9999.9999999999964</v>
      </c>
      <c r="S120" s="98">
        <v>1362.5665395329886</v>
      </c>
      <c r="T120" s="95">
        <v>2082.803428521258</v>
      </c>
      <c r="U120" s="99">
        <v>1070.5010700946166</v>
      </c>
      <c r="W120" s="121">
        <v>125518.16134643253</v>
      </c>
      <c r="X120" s="59">
        <v>451025.04254838364</v>
      </c>
      <c r="Y120" s="59">
        <v>375923.35373540776</v>
      </c>
      <c r="Z120" s="59">
        <v>864653.46492698311</v>
      </c>
      <c r="AA120" s="59">
        <v>1198562.4540516855</v>
      </c>
      <c r="AB120" s="59">
        <v>1656664.6091694988</v>
      </c>
      <c r="AC120" s="59">
        <v>1032712.0822487997</v>
      </c>
      <c r="AD120" s="59">
        <v>5705059.1680271914</v>
      </c>
      <c r="AE120" s="59">
        <v>372353303.25993389</v>
      </c>
      <c r="AF120" s="68">
        <v>5705059.1680271914</v>
      </c>
    </row>
    <row r="121" spans="1:32" x14ac:dyDescent="0.2">
      <c r="A121" s="95">
        <v>84</v>
      </c>
      <c r="B121" s="95">
        <v>7</v>
      </c>
      <c r="C121" s="95">
        <v>0</v>
      </c>
      <c r="D121" s="95"/>
      <c r="E121" s="95">
        <v>0</v>
      </c>
      <c r="F121" s="95">
        <v>0</v>
      </c>
      <c r="G121" s="95">
        <v>0</v>
      </c>
      <c r="H121" s="95">
        <v>36.530448925777904</v>
      </c>
      <c r="I121" s="95">
        <v>5682.0241395624998</v>
      </c>
      <c r="J121" s="95"/>
      <c r="K121" s="95"/>
      <c r="L121" s="95">
        <v>230.75453796598805</v>
      </c>
      <c r="M121" s="95">
        <v>733.43685177698501</v>
      </c>
      <c r="N121" s="95">
        <v>322.05591085244004</v>
      </c>
      <c r="O121" s="95">
        <v>1384.3932600409369</v>
      </c>
      <c r="P121" s="95">
        <v>1610.8048508753691</v>
      </c>
      <c r="Q121" s="95">
        <v>9999.9999999999964</v>
      </c>
      <c r="S121" s="98">
        <v>1384.3932600409369</v>
      </c>
      <c r="T121" s="95">
        <v>2101.4083816365592</v>
      </c>
      <c r="U121" s="99">
        <v>1082.6445924161369</v>
      </c>
      <c r="W121" s="121">
        <v>124273.43957974708</v>
      </c>
      <c r="X121" s="59">
        <v>448978.91306303564</v>
      </c>
      <c r="Y121" s="59">
        <v>375296.2270238155</v>
      </c>
      <c r="Z121" s="59">
        <v>863890.63764779281</v>
      </c>
      <c r="AA121" s="59">
        <v>1202800.5116818291</v>
      </c>
      <c r="AB121" s="59">
        <v>1671995.0670237909</v>
      </c>
      <c r="AC121" s="59">
        <v>1041645.4574280212</v>
      </c>
      <c r="AD121" s="59">
        <v>5728880.2534480318</v>
      </c>
      <c r="AE121" s="59">
        <v>378082183.5133819</v>
      </c>
      <c r="AF121" s="68">
        <v>5728880.2534480318</v>
      </c>
    </row>
    <row r="122" spans="1:32" x14ac:dyDescent="0.2">
      <c r="A122" s="95">
        <v>85</v>
      </c>
      <c r="B122" s="95">
        <v>7</v>
      </c>
      <c r="C122" s="95">
        <v>1</v>
      </c>
      <c r="D122" s="95"/>
      <c r="E122" s="95">
        <v>0</v>
      </c>
      <c r="F122" s="95">
        <v>0</v>
      </c>
      <c r="G122" s="95">
        <v>0</v>
      </c>
      <c r="H122" s="95">
        <v>36.064685701974234</v>
      </c>
      <c r="I122" s="95">
        <v>5639.7620861887299</v>
      </c>
      <c r="J122" s="95"/>
      <c r="K122" s="95"/>
      <c r="L122" s="95">
        <v>229.30192807277464</v>
      </c>
      <c r="M122" s="95">
        <v>734.57417768778953</v>
      </c>
      <c r="N122" s="95">
        <v>321.69586167084543</v>
      </c>
      <c r="O122" s="95">
        <v>1406.1982706445056</v>
      </c>
      <c r="P122" s="95">
        <v>1632.4029900333769</v>
      </c>
      <c r="Q122" s="95">
        <v>9999.9999999999964</v>
      </c>
      <c r="S122" s="98">
        <v>1406.1982706445056</v>
      </c>
      <c r="T122" s="95">
        <v>2119.8749600901374</v>
      </c>
      <c r="U122" s="99">
        <v>1094.7373717875034</v>
      </c>
      <c r="W122" s="121">
        <v>123041.0613039146</v>
      </c>
      <c r="X122" s="59">
        <v>446935.48197923112</v>
      </c>
      <c r="Y122" s="59">
        <v>374660.98268326989</v>
      </c>
      <c r="Z122" s="59">
        <v>863122.40007121698</v>
      </c>
      <c r="AA122" s="59">
        <v>1207010.5594417662</v>
      </c>
      <c r="AB122" s="59">
        <v>1687234.0591443998</v>
      </c>
      <c r="AC122" s="59">
        <v>1050520.3051355728</v>
      </c>
      <c r="AD122" s="59">
        <v>5752524.849759371</v>
      </c>
      <c r="AE122" s="59">
        <v>383834708.3631413</v>
      </c>
      <c r="AF122" s="68">
        <v>5752524.849759371</v>
      </c>
    </row>
    <row r="123" spans="1:32" x14ac:dyDescent="0.2">
      <c r="A123" s="95">
        <v>86</v>
      </c>
      <c r="B123" s="95">
        <v>7</v>
      </c>
      <c r="C123" s="95">
        <v>2</v>
      </c>
      <c r="D123" s="95"/>
      <c r="E123" s="95">
        <v>0</v>
      </c>
      <c r="F123" s="95">
        <v>0</v>
      </c>
      <c r="G123" s="95">
        <v>0</v>
      </c>
      <c r="H123" s="95">
        <v>35.604860959274063</v>
      </c>
      <c r="I123" s="95">
        <v>5597.8124958374337</v>
      </c>
      <c r="J123" s="95"/>
      <c r="K123" s="95"/>
      <c r="L123" s="95">
        <v>227.85375590346521</v>
      </c>
      <c r="M123" s="95">
        <v>735.58388914428429</v>
      </c>
      <c r="N123" s="95">
        <v>321.29864205276948</v>
      </c>
      <c r="O123" s="95">
        <v>1427.9790532898162</v>
      </c>
      <c r="P123" s="95">
        <v>1653.8673028129533</v>
      </c>
      <c r="Q123" s="95">
        <v>9999.9999999999964</v>
      </c>
      <c r="S123" s="98">
        <v>1427.9790532898162</v>
      </c>
      <c r="T123" s="95">
        <v>2138.2041868702509</v>
      </c>
      <c r="U123" s="99">
        <v>1106.7790588207001</v>
      </c>
      <c r="W123" s="121">
        <v>121820.90411265077</v>
      </c>
      <c r="X123" s="59">
        <v>444894.85008259484</v>
      </c>
      <c r="Y123" s="59">
        <v>374017.72235667618</v>
      </c>
      <c r="Z123" s="59">
        <v>862348.63827085844</v>
      </c>
      <c r="AA123" s="59">
        <v>1211192.6648184597</v>
      </c>
      <c r="AB123" s="59">
        <v>1702382.0434755604</v>
      </c>
      <c r="AC123" s="59">
        <v>1059337.0964936267</v>
      </c>
      <c r="AD123" s="59">
        <v>5775993.9196104268</v>
      </c>
      <c r="AE123" s="59">
        <v>389610702.28275174</v>
      </c>
      <c r="AF123" s="68">
        <v>5775993.9196104268</v>
      </c>
    </row>
    <row r="124" spans="1:32" x14ac:dyDescent="0.2">
      <c r="A124" s="95">
        <v>87</v>
      </c>
      <c r="B124" s="95">
        <v>7</v>
      </c>
      <c r="C124" s="95">
        <v>3</v>
      </c>
      <c r="D124" s="95"/>
      <c r="E124" s="95">
        <v>0</v>
      </c>
      <c r="F124" s="95">
        <v>0</v>
      </c>
      <c r="G124" s="95">
        <v>0</v>
      </c>
      <c r="H124" s="95">
        <v>35.150898982043316</v>
      </c>
      <c r="I124" s="95">
        <v>5556.1730824412589</v>
      </c>
      <c r="J124" s="95"/>
      <c r="K124" s="95"/>
      <c r="L124" s="95">
        <v>226.4101401386979</v>
      </c>
      <c r="M124" s="95">
        <v>736.4690845298062</v>
      </c>
      <c r="N124" s="95">
        <v>320.86535579380995</v>
      </c>
      <c r="O124" s="95">
        <v>1449.7331615660764</v>
      </c>
      <c r="P124" s="95">
        <v>1675.1982765483031</v>
      </c>
      <c r="Q124" s="95">
        <v>9999.9999999999964</v>
      </c>
      <c r="S124" s="98">
        <v>1449.7331615660764</v>
      </c>
      <c r="T124" s="95">
        <v>2156.3970774817226</v>
      </c>
      <c r="U124" s="99">
        <v>1118.7693200544477</v>
      </c>
      <c r="W124" s="121">
        <v>120612.84681353364</v>
      </c>
      <c r="X124" s="59">
        <v>442857.11623459437</v>
      </c>
      <c r="Y124" s="59">
        <v>373366.54736746836</v>
      </c>
      <c r="Z124" s="59">
        <v>861569.24153324438</v>
      </c>
      <c r="AA124" s="59">
        <v>1215346.8937073424</v>
      </c>
      <c r="AB124" s="59">
        <v>1717439.4730525149</v>
      </c>
      <c r="AC124" s="59">
        <v>1068096.2921634649</v>
      </c>
      <c r="AD124" s="59">
        <v>5799288.4108721633</v>
      </c>
      <c r="AE124" s="59">
        <v>395409990.6936239</v>
      </c>
      <c r="AF124" s="68">
        <v>5799288.4108721633</v>
      </c>
    </row>
    <row r="125" spans="1:32" x14ac:dyDescent="0.2">
      <c r="A125" s="95">
        <v>88</v>
      </c>
      <c r="B125" s="95">
        <v>7</v>
      </c>
      <c r="C125" s="95">
        <v>4</v>
      </c>
      <c r="D125" s="95"/>
      <c r="E125" s="95">
        <v>0</v>
      </c>
      <c r="F125" s="95">
        <v>0</v>
      </c>
      <c r="G125" s="95">
        <v>0</v>
      </c>
      <c r="H125" s="95">
        <v>34.702725020022264</v>
      </c>
      <c r="I125" s="95">
        <v>5514.8415763464427</v>
      </c>
      <c r="J125" s="95"/>
      <c r="K125" s="95"/>
      <c r="L125" s="95">
        <v>224.97119496594436</v>
      </c>
      <c r="M125" s="95">
        <v>737.23280042359602</v>
      </c>
      <c r="N125" s="95">
        <v>320.39707957241899</v>
      </c>
      <c r="O125" s="95">
        <v>1471.4582190574547</v>
      </c>
      <c r="P125" s="95">
        <v>1696.396404614117</v>
      </c>
      <c r="Q125" s="95">
        <v>9999.9999999999964</v>
      </c>
      <c r="S125" s="98">
        <v>1471.4582190574547</v>
      </c>
      <c r="T125" s="95">
        <v>2174.4546399996566</v>
      </c>
      <c r="U125" s="99">
        <v>1130.7078375904173</v>
      </c>
      <c r="W125" s="121">
        <v>119416.7694159661</v>
      </c>
      <c r="X125" s="59">
        <v>440822.3773983256</v>
      </c>
      <c r="Y125" s="59">
        <v>372707.55870922742</v>
      </c>
      <c r="Z125" s="59">
        <v>860784.10231965454</v>
      </c>
      <c r="AA125" s="59">
        <v>1219473.3104557735</v>
      </c>
      <c r="AB125" s="59">
        <v>1732406.7960268983</v>
      </c>
      <c r="AC125" s="59">
        <v>1076798.342630337</v>
      </c>
      <c r="AD125" s="59">
        <v>5822409.2569561824</v>
      </c>
      <c r="AE125" s="59">
        <v>401232399.95058006</v>
      </c>
      <c r="AF125" s="68">
        <v>5822409.2569561824</v>
      </c>
    </row>
    <row r="126" spans="1:32" x14ac:dyDescent="0.2">
      <c r="A126" s="95">
        <v>89</v>
      </c>
      <c r="B126" s="95">
        <v>7</v>
      </c>
      <c r="C126" s="95">
        <v>5</v>
      </c>
      <c r="D126" s="95"/>
      <c r="E126" s="95">
        <v>0</v>
      </c>
      <c r="F126" s="95">
        <v>0</v>
      </c>
      <c r="G126" s="95">
        <v>0</v>
      </c>
      <c r="H126" s="95">
        <v>34.26026527601698</v>
      </c>
      <c r="I126" s="95">
        <v>5473.8157241990375</v>
      </c>
      <c r="J126" s="95"/>
      <c r="K126" s="95"/>
      <c r="L126" s="95">
        <v>223.53703019898137</v>
      </c>
      <c r="M126" s="95">
        <v>737.87801275975607</v>
      </c>
      <c r="N126" s="95">
        <v>319.89486364189702</v>
      </c>
      <c r="O126" s="95">
        <v>1493.151917733177</v>
      </c>
      <c r="P126" s="95">
        <v>1717.4621861911298</v>
      </c>
      <c r="Q126" s="95">
        <v>9999.9999999999964</v>
      </c>
      <c r="S126" s="98">
        <v>1493.151917733177</v>
      </c>
      <c r="T126" s="95">
        <v>2192.3778751227824</v>
      </c>
      <c r="U126" s="99">
        <v>1142.5943087366954</v>
      </c>
      <c r="W126" s="121">
        <v>118232.55311925776</v>
      </c>
      <c r="X126" s="59">
        <v>438790.72866399342</v>
      </c>
      <c r="Y126" s="59">
        <v>372040.85703558847</v>
      </c>
      <c r="Z126" s="59">
        <v>859993.11622811295</v>
      </c>
      <c r="AA126" s="59">
        <v>1223571.977905863</v>
      </c>
      <c r="AB126" s="59">
        <v>1747284.4556931269</v>
      </c>
      <c r="AC126" s="59">
        <v>1085443.6884794398</v>
      </c>
      <c r="AD126" s="59">
        <v>5845357.3771253824</v>
      </c>
      <c r="AE126" s="59">
        <v>407077757.32770544</v>
      </c>
      <c r="AF126" s="68">
        <v>5845357.3771253824</v>
      </c>
    </row>
    <row r="127" spans="1:32" x14ac:dyDescent="0.2">
      <c r="A127" s="95">
        <v>90</v>
      </c>
      <c r="B127" s="95">
        <v>7</v>
      </c>
      <c r="C127" s="95">
        <v>6</v>
      </c>
      <c r="D127" s="95"/>
      <c r="E127" s="95">
        <v>0</v>
      </c>
      <c r="F127" s="95">
        <v>0</v>
      </c>
      <c r="G127" s="95">
        <v>0</v>
      </c>
      <c r="H127" s="95">
        <v>33.823446893747764</v>
      </c>
      <c r="I127" s="95">
        <v>5433.0932888318794</v>
      </c>
      <c r="J127" s="95"/>
      <c r="K127" s="95"/>
      <c r="L127" s="95">
        <v>222.10775139442015</v>
      </c>
      <c r="M127" s="95">
        <v>738.40763796496628</v>
      </c>
      <c r="N127" s="95">
        <v>319.35973250274208</v>
      </c>
      <c r="O127" s="95">
        <v>1514.8120163748767</v>
      </c>
      <c r="P127" s="95">
        <v>1738.396126037363</v>
      </c>
      <c r="Q127" s="95">
        <v>9999.9999999999945</v>
      </c>
      <c r="S127" s="98">
        <v>1514.8120163748767</v>
      </c>
      <c r="T127" s="95">
        <v>2210.1677762264294</v>
      </c>
      <c r="U127" s="99">
        <v>1154.4284456583605</v>
      </c>
      <c r="W127" s="121">
        <v>117060.08030082514</v>
      </c>
      <c r="X127" s="59">
        <v>436762.26327409223</v>
      </c>
      <c r="Y127" s="59">
        <v>371366.54265042988</v>
      </c>
      <c r="Z127" s="59">
        <v>859196.18195554381</v>
      </c>
      <c r="AA127" s="59">
        <v>1227642.9574366759</v>
      </c>
      <c r="AB127" s="59">
        <v>1762072.8905157542</v>
      </c>
      <c r="AC127" s="59">
        <v>1094032.7606633231</v>
      </c>
      <c r="AD127" s="59">
        <v>5868133.676796644</v>
      </c>
      <c r="AE127" s="59">
        <v>412945891.00450206</v>
      </c>
      <c r="AF127" s="68">
        <v>5868133.676796644</v>
      </c>
    </row>
    <row r="128" spans="1:32" x14ac:dyDescent="0.2">
      <c r="A128" s="95">
        <v>91</v>
      </c>
      <c r="B128" s="95">
        <v>7</v>
      </c>
      <c r="C128" s="95">
        <v>7</v>
      </c>
      <c r="D128" s="95"/>
      <c r="E128" s="95">
        <v>0</v>
      </c>
      <c r="F128" s="95">
        <v>0</v>
      </c>
      <c r="G128" s="95">
        <v>0</v>
      </c>
      <c r="H128" s="95">
        <v>33.39219794585248</v>
      </c>
      <c r="I128" s="95">
        <v>5392.6720491522801</v>
      </c>
      <c r="J128" s="95"/>
      <c r="K128" s="95"/>
      <c r="L128" s="95">
        <v>220.68345996536425</v>
      </c>
      <c r="M128" s="95">
        <v>738.82453407534274</v>
      </c>
      <c r="N128" s="95">
        <v>318.79268555597645</v>
      </c>
      <c r="O128" s="95">
        <v>1536.4363390402543</v>
      </c>
      <c r="P128" s="95">
        <v>1759.1987342649254</v>
      </c>
      <c r="Q128" s="95">
        <v>9999.9999999999964</v>
      </c>
      <c r="S128" s="98">
        <v>1536.4363390402543</v>
      </c>
      <c r="T128" s="95">
        <v>2227.8253294151332</v>
      </c>
      <c r="U128" s="99">
        <v>1166.2099750350342</v>
      </c>
      <c r="W128" s="121">
        <v>115899.23450450864</v>
      </c>
      <c r="X128" s="59">
        <v>434737.0726482881</v>
      </c>
      <c r="Y128" s="59">
        <v>370684.715498342</v>
      </c>
      <c r="Z128" s="59">
        <v>858393.20126009767</v>
      </c>
      <c r="AA128" s="59">
        <v>1231686.3090058146</v>
      </c>
      <c r="AB128" s="59">
        <v>1776772.5341577581</v>
      </c>
      <c r="AC128" s="59">
        <v>1102565.9807610312</v>
      </c>
      <c r="AD128" s="59">
        <v>5890739.0478358399</v>
      </c>
      <c r="AE128" s="59">
        <v>418836630.05233788</v>
      </c>
      <c r="AF128" s="68">
        <v>5890739.0478358399</v>
      </c>
    </row>
    <row r="129" spans="1:32" x14ac:dyDescent="0.2">
      <c r="A129" s="95">
        <v>92</v>
      </c>
      <c r="B129" s="95">
        <v>7</v>
      </c>
      <c r="C129" s="95">
        <v>8</v>
      </c>
      <c r="D129" s="95"/>
      <c r="E129" s="95">
        <v>0</v>
      </c>
      <c r="F129" s="95">
        <v>0</v>
      </c>
      <c r="G129" s="95">
        <v>0</v>
      </c>
      <c r="H129" s="95">
        <v>32.966447422042862</v>
      </c>
      <c r="I129" s="95">
        <v>5352.5498000304478</v>
      </c>
      <c r="J129" s="95"/>
      <c r="K129" s="95"/>
      <c r="L129" s="95">
        <v>219.26425329226532</v>
      </c>
      <c r="M129" s="95">
        <v>739.13150183281914</v>
      </c>
      <c r="N129" s="95">
        <v>318.19469773805372</v>
      </c>
      <c r="O129" s="95">
        <v>1558.0227735621324</v>
      </c>
      <c r="P129" s="95">
        <v>1779.8705261222344</v>
      </c>
      <c r="Q129" s="95">
        <v>9999.9999999999964</v>
      </c>
      <c r="S129" s="98">
        <v>1558.0227735621324</v>
      </c>
      <c r="T129" s="95">
        <v>2245.351513574878</v>
      </c>
      <c r="U129" s="99">
        <v>1177.9386377252758</v>
      </c>
      <c r="W129" s="121">
        <v>114749.90042900559</v>
      </c>
      <c r="X129" s="59">
        <v>432715.24640800699</v>
      </c>
      <c r="Y129" s="59">
        <v>369995.47515536757</v>
      </c>
      <c r="Z129" s="59">
        <v>857584.078923653</v>
      </c>
      <c r="AA129" s="59">
        <v>1235702.0911903866</v>
      </c>
      <c r="AB129" s="59">
        <v>1791383.8155097286</v>
      </c>
      <c r="AC129" s="59">
        <v>1111043.7612292632</v>
      </c>
      <c r="AD129" s="59">
        <v>5913174.3688454116</v>
      </c>
      <c r="AE129" s="59">
        <v>424749804.42118329</v>
      </c>
      <c r="AF129" s="68">
        <v>5913174.3688454116</v>
      </c>
    </row>
    <row r="130" spans="1:32" x14ac:dyDescent="0.2">
      <c r="A130" s="95">
        <v>93</v>
      </c>
      <c r="B130" s="95">
        <v>7</v>
      </c>
      <c r="C130" s="95">
        <v>9</v>
      </c>
      <c r="D130" s="95"/>
      <c r="E130" s="95">
        <v>0</v>
      </c>
      <c r="F130" s="95">
        <v>0</v>
      </c>
      <c r="G130" s="95">
        <v>0</v>
      </c>
      <c r="H130" s="95">
        <v>32.546125217411813</v>
      </c>
      <c r="I130" s="95">
        <v>5312.7243521886321</v>
      </c>
      <c r="J130" s="95"/>
      <c r="K130" s="95"/>
      <c r="L130" s="95">
        <v>217.85022483104427</v>
      </c>
      <c r="M130" s="95">
        <v>739.33128576142235</v>
      </c>
      <c r="N130" s="95">
        <v>317.56672013792667</v>
      </c>
      <c r="O130" s="95">
        <v>1579.5692700820173</v>
      </c>
      <c r="P130" s="95">
        <v>1800.4120217815409</v>
      </c>
      <c r="Q130" s="95">
        <v>9999.9999999999945</v>
      </c>
      <c r="S130" s="98">
        <v>1579.5692700820173</v>
      </c>
      <c r="T130" s="95">
        <v>2262.7473004249769</v>
      </c>
      <c r="U130" s="99">
        <v>1189.6141884376868</v>
      </c>
      <c r="W130" s="121">
        <v>113611.96391641795</v>
      </c>
      <c r="X130" s="59">
        <v>430696.87240073166</v>
      </c>
      <c r="Y130" s="59">
        <v>369298.92082001141</v>
      </c>
      <c r="Z130" s="59">
        <v>856768.72271449456</v>
      </c>
      <c r="AA130" s="59">
        <v>1239690.3612273643</v>
      </c>
      <c r="AB130" s="59">
        <v>1805907.1587199199</v>
      </c>
      <c r="AC130" s="59">
        <v>1119466.5056458386</v>
      </c>
      <c r="AD130" s="59">
        <v>5935440.5054447781</v>
      </c>
      <c r="AE130" s="59">
        <v>430685244.92662805</v>
      </c>
      <c r="AF130" s="68">
        <v>5935440.5054447781</v>
      </c>
    </row>
    <row r="131" spans="1:32" x14ac:dyDescent="0.2">
      <c r="A131" s="95">
        <v>94</v>
      </c>
      <c r="B131" s="95">
        <v>7</v>
      </c>
      <c r="C131" s="95">
        <v>10</v>
      </c>
      <c r="D131" s="95"/>
      <c r="E131" s="95">
        <v>0</v>
      </c>
      <c r="F131" s="95">
        <v>0</v>
      </c>
      <c r="G131" s="95">
        <v>0</v>
      </c>
      <c r="H131" s="95">
        <v>32.131162120889812</v>
      </c>
      <c r="I131" s="95">
        <v>5273.1935320909861</v>
      </c>
      <c r="J131" s="95"/>
      <c r="K131" s="95"/>
      <c r="L131" s="95">
        <v>216.44146421854381</v>
      </c>
      <c r="M131" s="95">
        <v>739.42657522380762</v>
      </c>
      <c r="N131" s="95">
        <v>316.90968059683757</v>
      </c>
      <c r="O131" s="95">
        <v>1601.0738396173026</v>
      </c>
      <c r="P131" s="95">
        <v>1820.8237461316282</v>
      </c>
      <c r="Q131" s="95">
        <v>9999.9999999999964</v>
      </c>
      <c r="S131" s="98">
        <v>1601.0738396173026</v>
      </c>
      <c r="T131" s="95">
        <v>2280.01365456959</v>
      </c>
      <c r="U131" s="99">
        <v>1201.2363954085974</v>
      </c>
      <c r="W131" s="121">
        <v>112485.31194091348</v>
      </c>
      <c r="X131" s="59">
        <v>428682.03672401141</v>
      </c>
      <c r="Y131" s="59">
        <v>368595.15130451316</v>
      </c>
      <c r="Z131" s="59">
        <v>855947.04335017479</v>
      </c>
      <c r="AA131" s="59">
        <v>1243651.1750533376</v>
      </c>
      <c r="AB131" s="59">
        <v>1820342.9832251361</v>
      </c>
      <c r="AC131" s="59">
        <v>1127834.6089457339</v>
      </c>
      <c r="AD131" s="59">
        <v>5957538.3105438203</v>
      </c>
      <c r="AE131" s="59">
        <v>436642783.23717189</v>
      </c>
      <c r="AF131" s="68">
        <v>5957538.3105438203</v>
      </c>
    </row>
    <row r="132" spans="1:32" x14ac:dyDescent="0.2">
      <c r="A132" s="95">
        <v>95</v>
      </c>
      <c r="B132" s="95">
        <v>7</v>
      </c>
      <c r="C132" s="95">
        <v>11</v>
      </c>
      <c r="D132" s="95"/>
      <c r="E132" s="95">
        <v>0</v>
      </c>
      <c r="F132" s="95">
        <v>0</v>
      </c>
      <c r="G132" s="95">
        <v>0</v>
      </c>
      <c r="H132" s="95">
        <v>31.721489803848467</v>
      </c>
      <c r="I132" s="95">
        <v>5233.9551818341388</v>
      </c>
      <c r="J132" s="95"/>
      <c r="K132" s="95"/>
      <c r="L132" s="95">
        <v>215.03805737537692</v>
      </c>
      <c r="M132" s="95">
        <v>739.42000545841279</v>
      </c>
      <c r="N132" s="95">
        <v>316.22448429137268</v>
      </c>
      <c r="O132" s="95">
        <v>1622.5345526612768</v>
      </c>
      <c r="P132" s="95">
        <v>1841.106228575569</v>
      </c>
      <c r="Q132" s="95">
        <v>9999.9999999999964</v>
      </c>
      <c r="S132" s="98">
        <v>1622.5345526612768</v>
      </c>
      <c r="T132" s="95">
        <v>2297.1515335488857</v>
      </c>
      <c r="U132" s="99">
        <v>1212.8050400862103</v>
      </c>
      <c r="W132" s="121">
        <v>111369.83259749942</v>
      </c>
      <c r="X132" s="59">
        <v>426670.82374918624</v>
      </c>
      <c r="Y132" s="59">
        <v>367884.26502637903</v>
      </c>
      <c r="Z132" s="59">
        <v>855118.95446055965</v>
      </c>
      <c r="AA132" s="59">
        <v>1247584.5873436676</v>
      </c>
      <c r="AB132" s="59">
        <v>1834691.703782419</v>
      </c>
      <c r="AC132" s="59">
        <v>1136148.4576499497</v>
      </c>
      <c r="AD132" s="59">
        <v>5979468.6246096604</v>
      </c>
      <c r="AE132" s="59">
        <v>442622251.86178154</v>
      </c>
      <c r="AF132" s="68">
        <v>5979468.6246096604</v>
      </c>
    </row>
    <row r="133" spans="1:32" x14ac:dyDescent="0.2">
      <c r="A133" s="95">
        <v>96</v>
      </c>
      <c r="B133" s="95">
        <v>8</v>
      </c>
      <c r="C133" s="95">
        <v>0</v>
      </c>
      <c r="D133" s="95"/>
      <c r="E133" s="95">
        <v>0</v>
      </c>
      <c r="F133" s="95">
        <v>0</v>
      </c>
      <c r="G133" s="95">
        <v>0</v>
      </c>
      <c r="H133" s="95">
        <v>31.317040808849399</v>
      </c>
      <c r="I133" s="95">
        <v>5195.0071590384869</v>
      </c>
      <c r="J133" s="95"/>
      <c r="K133" s="95"/>
      <c r="L133" s="95">
        <v>213.64008660623375</v>
      </c>
      <c r="M133" s="95">
        <v>739.31415859758283</v>
      </c>
      <c r="N133" s="95">
        <v>315.51201430030426</v>
      </c>
      <c r="O133" s="95">
        <v>1643.9495378151166</v>
      </c>
      <c r="P133" s="95">
        <v>1861.260002833422</v>
      </c>
      <c r="Q133" s="95">
        <v>9999.9999999999964</v>
      </c>
      <c r="S133" s="98">
        <v>1643.9495378151166</v>
      </c>
      <c r="T133" s="95">
        <v>2314.1618878898466</v>
      </c>
      <c r="U133" s="99">
        <v>1224.3199168210749</v>
      </c>
      <c r="W133" s="121">
        <v>110265.41509090755</v>
      </c>
      <c r="X133" s="59">
        <v>424663.31614483026</v>
      </c>
      <c r="Y133" s="59">
        <v>367166.36000016757</v>
      </c>
      <c r="Z133" s="59">
        <v>854284.37255106412</v>
      </c>
      <c r="AA133" s="59">
        <v>1251490.6515510448</v>
      </c>
      <c r="AB133" s="59">
        <v>1848953.7305015039</v>
      </c>
      <c r="AC133" s="59">
        <v>1144408.4300874611</v>
      </c>
      <c r="AD133" s="59">
        <v>6001232.2759269793</v>
      </c>
      <c r="AE133" s="59">
        <v>448623484.13770854</v>
      </c>
      <c r="AF133" s="68">
        <v>6001232.2759269793</v>
      </c>
    </row>
    <row r="134" spans="1:32" x14ac:dyDescent="0.2">
      <c r="A134" s="95">
        <v>97</v>
      </c>
      <c r="B134" s="95">
        <v>8</v>
      </c>
      <c r="C134" s="95">
        <v>1</v>
      </c>
      <c r="D134" s="95"/>
      <c r="E134" s="95">
        <v>0</v>
      </c>
      <c r="F134" s="95">
        <v>0</v>
      </c>
      <c r="G134" s="95">
        <v>0</v>
      </c>
      <c r="H134" s="95">
        <v>30.917748538536568</v>
      </c>
      <c r="I134" s="95">
        <v>5156.3473367401839</v>
      </c>
      <c r="J134" s="95"/>
      <c r="K134" s="95"/>
      <c r="L134" s="95">
        <v>212.24763069770856</v>
      </c>
      <c r="M134" s="95">
        <v>739.11156466701107</v>
      </c>
      <c r="N134" s="95">
        <v>314.7731321557257</v>
      </c>
      <c r="O134" s="95">
        <v>1665.3169804510744</v>
      </c>
      <c r="P134" s="95">
        <v>1881.2856067497555</v>
      </c>
      <c r="Q134" s="95">
        <v>9999.9999999999964</v>
      </c>
      <c r="S134" s="98">
        <v>1665.3169804510744</v>
      </c>
      <c r="T134" s="95">
        <v>2331.0456611567215</v>
      </c>
      <c r="U134" s="99">
        <v>1235.7808325627748</v>
      </c>
      <c r="W134" s="121">
        <v>109171.94972458937</v>
      </c>
      <c r="X134" s="59">
        <v>422659.59489991656</v>
      </c>
      <c r="Y134" s="59">
        <v>366441.53382952511</v>
      </c>
      <c r="Z134" s="59">
        <v>853443.21696608013</v>
      </c>
      <c r="AA134" s="59">
        <v>1255369.4199434572</v>
      </c>
      <c r="AB134" s="59">
        <v>1863129.4688780173</v>
      </c>
      <c r="AC134" s="59">
        <v>1152614.8966104931</v>
      </c>
      <c r="AD134" s="59">
        <v>6022830.0808520792</v>
      </c>
      <c r="AE134" s="59">
        <v>454646314.21856064</v>
      </c>
      <c r="AF134" s="68">
        <v>6022830.0808520792</v>
      </c>
    </row>
    <row r="135" spans="1:32" x14ac:dyDescent="0.2">
      <c r="A135" s="95">
        <v>98</v>
      </c>
      <c r="B135" s="95">
        <v>8</v>
      </c>
      <c r="C135" s="95">
        <v>2</v>
      </c>
      <c r="D135" s="95"/>
      <c r="E135" s="95">
        <v>0</v>
      </c>
      <c r="F135" s="95">
        <v>0</v>
      </c>
      <c r="G135" s="95">
        <v>0</v>
      </c>
      <c r="H135" s="95">
        <v>30.523547244670226</v>
      </c>
      <c r="I135" s="95">
        <v>5117.9736032838382</v>
      </c>
      <c r="J135" s="95"/>
      <c r="K135" s="95"/>
      <c r="L135" s="95">
        <v>210.86076501370647</v>
      </c>
      <c r="M135" s="95">
        <v>738.81470256683679</v>
      </c>
      <c r="N135" s="95">
        <v>314.00867837896794</v>
      </c>
      <c r="O135" s="95">
        <v>1686.6351214060896</v>
      </c>
      <c r="P135" s="95">
        <v>1901.1835821058862</v>
      </c>
      <c r="Q135" s="95">
        <v>9999.9999999999964</v>
      </c>
      <c r="S135" s="98">
        <v>1686.6351214060896</v>
      </c>
      <c r="T135" s="95">
        <v>2347.8037900011273</v>
      </c>
      <c r="U135" s="99">
        <v>1247.187606562705</v>
      </c>
      <c r="W135" s="121">
        <v>108089.32788982052</v>
      </c>
      <c r="X135" s="59">
        <v>420659.73934670689</v>
      </c>
      <c r="Y135" s="59">
        <v>365709.88369946601</v>
      </c>
      <c r="Z135" s="59">
        <v>852595.40985259996</v>
      </c>
      <c r="AA135" s="59">
        <v>1259220.9436415704</v>
      </c>
      <c r="AB135" s="59">
        <v>1877219.3198273815</v>
      </c>
      <c r="AC135" s="59">
        <v>1160768.219803347</v>
      </c>
      <c r="AD135" s="59">
        <v>6044262.8440608922</v>
      </c>
      <c r="AE135" s="59">
        <v>460690577.06262153</v>
      </c>
      <c r="AF135" s="68">
        <v>6044262.8440608922</v>
      </c>
    </row>
    <row r="136" spans="1:32" x14ac:dyDescent="0.2">
      <c r="A136" s="95">
        <v>99</v>
      </c>
      <c r="B136" s="95">
        <v>8</v>
      </c>
      <c r="C136" s="95">
        <v>3</v>
      </c>
      <c r="D136" s="95"/>
      <c r="E136" s="95">
        <v>0</v>
      </c>
      <c r="F136" s="95">
        <v>0</v>
      </c>
      <c r="G136" s="95">
        <v>0</v>
      </c>
      <c r="H136" s="95">
        <v>30.134372017300681</v>
      </c>
      <c r="I136" s="95">
        <v>5079.8838622159083</v>
      </c>
      <c r="J136" s="95"/>
      <c r="K136" s="95"/>
      <c r="L136" s="95">
        <v>209.47956158848851</v>
      </c>
      <c r="M136" s="95">
        <v>738.42600103473239</v>
      </c>
      <c r="N136" s="95">
        <v>313.21947300176873</v>
      </c>
      <c r="O136" s="95">
        <v>1707.902255705073</v>
      </c>
      <c r="P136" s="95">
        <v>1920.9544744367245</v>
      </c>
      <c r="Q136" s="95">
        <v>9999.9999999999964</v>
      </c>
      <c r="S136" s="98">
        <v>1707.902255705073</v>
      </c>
      <c r="T136" s="95">
        <v>2364.4372042117998</v>
      </c>
      <c r="U136" s="99">
        <v>1258.5400700828259</v>
      </c>
      <c r="W136" s="121">
        <v>107017.44205491313</v>
      </c>
      <c r="X136" s="59">
        <v>418663.82718336902</v>
      </c>
      <c r="Y136" s="59">
        <v>364971.5063688939</v>
      </c>
      <c r="Z136" s="59">
        <v>851740.87612403836</v>
      </c>
      <c r="AA136" s="59">
        <v>1263045.2726555304</v>
      </c>
      <c r="AB136" s="59">
        <v>1891223.6797194011</v>
      </c>
      <c r="AC136" s="59">
        <v>1168868.754685011</v>
      </c>
      <c r="AD136" s="59">
        <v>6065531.3587911567</v>
      </c>
      <c r="AE136" s="59">
        <v>466756108.42141271</v>
      </c>
      <c r="AF136" s="68">
        <v>6065531.3587911567</v>
      </c>
    </row>
    <row r="137" spans="1:32" x14ac:dyDescent="0.2">
      <c r="A137" s="95">
        <v>100</v>
      </c>
      <c r="B137" s="95">
        <v>8</v>
      </c>
      <c r="C137" s="95">
        <v>4</v>
      </c>
      <c r="D137" s="95"/>
      <c r="E137" s="95">
        <v>0</v>
      </c>
      <c r="F137" s="95">
        <v>0</v>
      </c>
      <c r="G137" s="95">
        <v>0</v>
      </c>
      <c r="H137" s="95">
        <v>29.750158774080099</v>
      </c>
      <c r="I137" s="95">
        <v>5042.0760321787893</v>
      </c>
      <c r="J137" s="95"/>
      <c r="K137" s="95"/>
      <c r="L137" s="95">
        <v>208.10408921741185</v>
      </c>
      <c r="M137" s="95">
        <v>737.94783959130802</v>
      </c>
      <c r="N137" s="95">
        <v>312.40631607315049</v>
      </c>
      <c r="O137" s="95">
        <v>1729.1167313131355</v>
      </c>
      <c r="P137" s="95">
        <v>1940.5988328521205</v>
      </c>
      <c r="Q137" s="95">
        <v>9999.9999999999964</v>
      </c>
      <c r="S137" s="98">
        <v>1729.1167313131355</v>
      </c>
      <c r="T137" s="95">
        <v>2380.9468267640013</v>
      </c>
      <c r="U137" s="99">
        <v>1269.838066110276</v>
      </c>
      <c r="W137" s="121">
        <v>105956.18575453525</v>
      </c>
      <c r="X137" s="59">
        <v>416671.93449632503</v>
      </c>
      <c r="Y137" s="59">
        <v>364226.49816335901</v>
      </c>
      <c r="Z137" s="59">
        <v>850879.54342425673</v>
      </c>
      <c r="AA137" s="59">
        <v>1266842.4559211885</v>
      </c>
      <c r="AB137" s="59">
        <v>1905142.9404134995</v>
      </c>
      <c r="AC137" s="59">
        <v>1176916.848905762</v>
      </c>
      <c r="AD137" s="59">
        <v>6086636.4070789255</v>
      </c>
      <c r="AE137" s="59">
        <v>472842744.82849163</v>
      </c>
      <c r="AF137" s="68">
        <v>6086636.4070789255</v>
      </c>
    </row>
    <row r="138" spans="1:32" x14ac:dyDescent="0.2">
      <c r="A138" s="95">
        <v>101</v>
      </c>
      <c r="B138" s="95">
        <v>8</v>
      </c>
      <c r="C138" s="95">
        <v>5</v>
      </c>
      <c r="D138" s="95"/>
      <c r="E138" s="95">
        <v>0</v>
      </c>
      <c r="F138" s="95">
        <v>0</v>
      </c>
      <c r="G138" s="95">
        <v>0</v>
      </c>
      <c r="H138" s="95">
        <v>29.370844249710576</v>
      </c>
      <c r="I138" s="95">
        <v>5004.5480468055976</v>
      </c>
      <c r="J138" s="95"/>
      <c r="K138" s="95"/>
      <c r="L138" s="95">
        <v>206.73441354542103</v>
      </c>
      <c r="M138" s="95">
        <v>737.38254946815402</v>
      </c>
      <c r="N138" s="95">
        <v>311.56998815244668</v>
      </c>
      <c r="O138" s="95">
        <v>1750.2769479160547</v>
      </c>
      <c r="P138" s="95">
        <v>1960.1172098626109</v>
      </c>
      <c r="Q138" s="95">
        <v>9999.9999999999964</v>
      </c>
      <c r="S138" s="98">
        <v>1750.2769479160547</v>
      </c>
      <c r="T138" s="95">
        <v>2397.3335738685823</v>
      </c>
      <c r="U138" s="99">
        <v>1281.0814490777341</v>
      </c>
      <c r="W138" s="121">
        <v>104905.45357913611</v>
      </c>
      <c r="X138" s="59">
        <v>414684.13578233338</v>
      </c>
      <c r="Y138" s="59">
        <v>363474.95496804721</v>
      </c>
      <c r="Z138" s="59">
        <v>850011.34209179122</v>
      </c>
      <c r="AA138" s="59">
        <v>1270612.5413357555</v>
      </c>
      <c r="AB138" s="59">
        <v>1918977.4892945783</v>
      </c>
      <c r="AC138" s="59">
        <v>1184912.8429379729</v>
      </c>
      <c r="AD138" s="59">
        <v>6107578.7599896146</v>
      </c>
      <c r="AE138" s="59">
        <v>478950323.58848125</v>
      </c>
      <c r="AF138" s="68">
        <v>6107578.7599896146</v>
      </c>
    </row>
    <row r="139" spans="1:32" x14ac:dyDescent="0.2">
      <c r="A139" s="95">
        <v>102</v>
      </c>
      <c r="B139" s="95">
        <v>8</v>
      </c>
      <c r="C139" s="95">
        <v>6</v>
      </c>
      <c r="D139" s="95"/>
      <c r="E139" s="95">
        <v>0</v>
      </c>
      <c r="F139" s="95">
        <v>0</v>
      </c>
      <c r="G139" s="95">
        <v>0</v>
      </c>
      <c r="H139" s="95">
        <v>28.996365985526765</v>
      </c>
      <c r="I139" s="95">
        <v>4967.2978546156364</v>
      </c>
      <c r="J139" s="95"/>
      <c r="K139" s="95"/>
      <c r="L139" s="95">
        <v>205.37059715334436</v>
      </c>
      <c r="M139" s="95">
        <v>736.73241451883848</v>
      </c>
      <c r="N139" s="95">
        <v>310.71125078890219</v>
      </c>
      <c r="O139" s="95">
        <v>1771.3813557282876</v>
      </c>
      <c r="P139" s="95">
        <v>1979.51016120946</v>
      </c>
      <c r="Q139" s="95">
        <v>9999.9999999999964</v>
      </c>
      <c r="S139" s="98">
        <v>1771.3813557282876</v>
      </c>
      <c r="T139" s="95">
        <v>2413.5983550207006</v>
      </c>
      <c r="U139" s="99">
        <v>1292.2700845894176</v>
      </c>
      <c r="W139" s="121">
        <v>103865.14116447634</v>
      </c>
      <c r="X139" s="59">
        <v>412700.50397030805</v>
      </c>
      <c r="Y139" s="59">
        <v>362716.97222099692</v>
      </c>
      <c r="Z139" s="59">
        <v>849136.20512428961</v>
      </c>
      <c r="AA139" s="59">
        <v>1274355.5757928903</v>
      </c>
      <c r="AB139" s="59">
        <v>1932727.7093094729</v>
      </c>
      <c r="AC139" s="59">
        <v>1192857.0702613208</v>
      </c>
      <c r="AD139" s="59">
        <v>6128359.1778437551</v>
      </c>
      <c r="AE139" s="59">
        <v>485078682.766325</v>
      </c>
      <c r="AF139" s="68">
        <v>6128359.1778437551</v>
      </c>
    </row>
    <row r="140" spans="1:32" x14ac:dyDescent="0.2">
      <c r="A140" s="95">
        <v>103</v>
      </c>
      <c r="B140" s="95">
        <v>8</v>
      </c>
      <c r="C140" s="95">
        <v>7</v>
      </c>
      <c r="D140" s="95"/>
      <c r="E140" s="95">
        <v>0</v>
      </c>
      <c r="F140" s="95">
        <v>0</v>
      </c>
      <c r="G140" s="95">
        <v>0</v>
      </c>
      <c r="H140" s="95">
        <v>28.626662319211299</v>
      </c>
      <c r="I140" s="95">
        <v>4930.323418910546</v>
      </c>
      <c r="J140" s="95"/>
      <c r="K140" s="95"/>
      <c r="L140" s="95">
        <v>204.01269964204869</v>
      </c>
      <c r="M140" s="95">
        <v>735.99967211316846</v>
      </c>
      <c r="N140" s="95">
        <v>309.8308469882586</v>
      </c>
      <c r="O140" s="95">
        <v>1792.4284543278609</v>
      </c>
      <c r="P140" s="95">
        <v>1998.7782456989019</v>
      </c>
      <c r="Q140" s="95">
        <v>9999.9999999999964</v>
      </c>
      <c r="S140" s="98">
        <v>1792.4284543278609</v>
      </c>
      <c r="T140" s="95">
        <v>2429.7420730482013</v>
      </c>
      <c r="U140" s="99">
        <v>1303.4038491526114</v>
      </c>
      <c r="W140" s="121">
        <v>102835.14518126195</v>
      </c>
      <c r="X140" s="59">
        <v>410721.11044287699</v>
      </c>
      <c r="Y140" s="59">
        <v>361952.64490653976</v>
      </c>
      <c r="Z140" s="59">
        <v>848254.06814315659</v>
      </c>
      <c r="AA140" s="59">
        <v>1278071.6052172265</v>
      </c>
      <c r="AB140" s="59">
        <v>1946393.9790039742</v>
      </c>
      <c r="AC140" s="59">
        <v>1200749.8575425923</v>
      </c>
      <c r="AD140" s="59">
        <v>6148978.4104376286</v>
      </c>
      <c r="AE140" s="59">
        <v>491227661.17676264</v>
      </c>
      <c r="AF140" s="68">
        <v>6148978.4104376286</v>
      </c>
    </row>
    <row r="141" spans="1:32" x14ac:dyDescent="0.2">
      <c r="A141" s="95">
        <v>104</v>
      </c>
      <c r="B141" s="95">
        <v>8</v>
      </c>
      <c r="C141" s="95">
        <v>8</v>
      </c>
      <c r="D141" s="95"/>
      <c r="E141" s="95">
        <v>0</v>
      </c>
      <c r="F141" s="95">
        <v>0</v>
      </c>
      <c r="G141" s="95">
        <v>0</v>
      </c>
      <c r="H141" s="95">
        <v>28.261672374641353</v>
      </c>
      <c r="I141" s="95">
        <v>4893.6227176711363</v>
      </c>
      <c r="J141" s="95"/>
      <c r="K141" s="95"/>
      <c r="L141" s="95">
        <v>202.66077771450418</v>
      </c>
      <c r="M141" s="95">
        <v>735.18651401502007</v>
      </c>
      <c r="N141" s="95">
        <v>308.92950166672114</v>
      </c>
      <c r="O141" s="95">
        <v>1813.4167915174871</v>
      </c>
      <c r="P141" s="95">
        <v>2017.922025040486</v>
      </c>
      <c r="Q141" s="95">
        <v>9999.9999999999964</v>
      </c>
      <c r="S141" s="98">
        <v>1813.4167915174871</v>
      </c>
      <c r="T141" s="95">
        <v>2445.7656241596605</v>
      </c>
      <c r="U141" s="99">
        <v>1314.48262991462</v>
      </c>
      <c r="W141" s="121">
        <v>101815.36332488111</v>
      </c>
      <c r="X141" s="59">
        <v>408746.02505768347</v>
      </c>
      <c r="Y141" s="59">
        <v>361182.06754896033</v>
      </c>
      <c r="Z141" s="59">
        <v>847364.86935841292</v>
      </c>
      <c r="AA141" s="59">
        <v>1281760.6745983444</v>
      </c>
      <c r="AB141" s="59">
        <v>1959976.6725603938</v>
      </c>
      <c r="AC141" s="59">
        <v>1208591.5248102683</v>
      </c>
      <c r="AD141" s="59">
        <v>6169437.1972589446</v>
      </c>
      <c r="AE141" s="59">
        <v>497397098.37402159</v>
      </c>
      <c r="AF141" s="68">
        <v>6169437.1972589446</v>
      </c>
    </row>
    <row r="142" spans="1:32" x14ac:dyDescent="0.2">
      <c r="A142" s="95">
        <v>105</v>
      </c>
      <c r="B142" s="95">
        <v>8</v>
      </c>
      <c r="C142" s="95">
        <v>9</v>
      </c>
      <c r="D142" s="95"/>
      <c r="E142" s="95">
        <v>0</v>
      </c>
      <c r="F142" s="95">
        <v>0</v>
      </c>
      <c r="G142" s="95">
        <v>0</v>
      </c>
      <c r="H142" s="95">
        <v>27.901336051864675</v>
      </c>
      <c r="I142" s="95">
        <v>4857.1937434548909</v>
      </c>
      <c r="J142" s="95"/>
      <c r="K142" s="95"/>
      <c r="L142" s="95">
        <v>201.3148852558096</v>
      </c>
      <c r="M142" s="95">
        <v>734.2950872440357</v>
      </c>
      <c r="N142" s="95">
        <v>308.00792209269156</v>
      </c>
      <c r="O142" s="95">
        <v>1834.3449622112714</v>
      </c>
      <c r="P142" s="95">
        <v>2036.9420636894322</v>
      </c>
      <c r="Q142" s="95">
        <v>9999.9999999999964</v>
      </c>
      <c r="S142" s="98">
        <v>1834.3449622112714</v>
      </c>
      <c r="T142" s="95">
        <v>2461.6698979920916</v>
      </c>
      <c r="U142" s="99">
        <v>1325.506324405037</v>
      </c>
      <c r="W142" s="121">
        <v>100805.69430524269</v>
      </c>
      <c r="X142" s="59">
        <v>406775.31616843282</v>
      </c>
      <c r="Y142" s="59">
        <v>360405.33420637116</v>
      </c>
      <c r="Z142" s="59">
        <v>846468.54953376914</v>
      </c>
      <c r="AA142" s="59">
        <v>1285422.8280241906</v>
      </c>
      <c r="AB142" s="59">
        <v>1973476.1598356431</v>
      </c>
      <c r="AC142" s="59">
        <v>1216382.385624072</v>
      </c>
      <c r="AD142" s="59">
        <v>6189736.2676977217</v>
      </c>
      <c r="AE142" s="59">
        <v>503586834.64171934</v>
      </c>
      <c r="AF142" s="68">
        <v>6189736.2676977217</v>
      </c>
    </row>
    <row r="143" spans="1:32" x14ac:dyDescent="0.2">
      <c r="A143" s="95">
        <v>106</v>
      </c>
      <c r="B143" s="95">
        <v>8</v>
      </c>
      <c r="C143" s="95">
        <v>10</v>
      </c>
      <c r="D143" s="95"/>
      <c r="E143" s="95">
        <v>0</v>
      </c>
      <c r="F143" s="95">
        <v>0</v>
      </c>
      <c r="G143" s="95">
        <v>0</v>
      </c>
      <c r="H143" s="95">
        <v>27.545594017203399</v>
      </c>
      <c r="I143" s="95">
        <v>4821.0345032941468</v>
      </c>
      <c r="J143" s="95"/>
      <c r="K143" s="95"/>
      <c r="L143" s="95">
        <v>199.97507341122744</v>
      </c>
      <c r="M143" s="95">
        <v>733.32749492148184</v>
      </c>
      <c r="N143" s="95">
        <v>307.06679831663729</v>
      </c>
      <c r="O143" s="95">
        <v>1855.2116073463937</v>
      </c>
      <c r="P143" s="95">
        <v>2055.838928692905</v>
      </c>
      <c r="Q143" s="95">
        <v>9999.9999999999964</v>
      </c>
      <c r="S143" s="98">
        <v>1855.2116073463937</v>
      </c>
      <c r="T143" s="95">
        <v>2477.4557776583201</v>
      </c>
      <c r="U143" s="99">
        <v>1336.4748402832336</v>
      </c>
      <c r="W143" s="121">
        <v>99806.03783671571</v>
      </c>
      <c r="X143" s="59">
        <v>404809.05064568779</v>
      </c>
      <c r="Y143" s="59">
        <v>359622.53846479947</v>
      </c>
      <c r="Z143" s="59">
        <v>845565.05195191631</v>
      </c>
      <c r="AA143" s="59">
        <v>1289058.1087139514</v>
      </c>
      <c r="AB143" s="59">
        <v>1986892.8063998045</v>
      </c>
      <c r="AC143" s="59">
        <v>1224122.7472396458</v>
      </c>
      <c r="AD143" s="59">
        <v>6209876.3412525207</v>
      </c>
      <c r="AE143" s="59">
        <v>509796710.98297185</v>
      </c>
      <c r="AF143" s="68">
        <v>6209876.3412525207</v>
      </c>
    </row>
    <row r="144" spans="1:32" x14ac:dyDescent="0.2">
      <c r="A144" s="95">
        <v>107</v>
      </c>
      <c r="B144" s="95">
        <v>8</v>
      </c>
      <c r="C144" s="95">
        <v>11</v>
      </c>
      <c r="D144" s="95"/>
      <c r="E144" s="95">
        <v>0</v>
      </c>
      <c r="F144" s="95">
        <v>0</v>
      </c>
      <c r="G144" s="95">
        <v>0</v>
      </c>
      <c r="H144" s="95">
        <v>27.194387693484057</v>
      </c>
      <c r="I144" s="95">
        <v>4785.1430185949403</v>
      </c>
      <c r="J144" s="95"/>
      <c r="K144" s="95"/>
      <c r="L144" s="95">
        <v>198.64139066227705</v>
      </c>
      <c r="M144" s="95">
        <v>732.28579710055624</v>
      </c>
      <c r="N144" s="95">
        <v>306.10680358945586</v>
      </c>
      <c r="O144" s="95">
        <v>1876.0154128191648</v>
      </c>
      <c r="P144" s="95">
        <v>2074.6131895401172</v>
      </c>
      <c r="Q144" s="95">
        <v>9999.9999999999964</v>
      </c>
      <c r="S144" s="98">
        <v>1876.0154128191648</v>
      </c>
      <c r="T144" s="95">
        <v>2493.1241397940262</v>
      </c>
      <c r="U144" s="99">
        <v>1347.388095090962</v>
      </c>
      <c r="W144" s="121">
        <v>98816.294628168282</v>
      </c>
      <c r="X144" s="59">
        <v>402847.29389741452</v>
      </c>
      <c r="Y144" s="59">
        <v>358833.77343248093</v>
      </c>
      <c r="Z144" s="59">
        <v>844654.32238003705</v>
      </c>
      <c r="AA144" s="59">
        <v>1292666.5590503856</v>
      </c>
      <c r="AB144" s="59">
        <v>2000226.9735751653</v>
      </c>
      <c r="AC144" s="59">
        <v>1231812.9107685303</v>
      </c>
      <c r="AD144" s="59">
        <v>6229858.1277321819</v>
      </c>
      <c r="AE144" s="59">
        <v>516026569.110704</v>
      </c>
      <c r="AF144" s="68">
        <v>6229858.1277321819</v>
      </c>
    </row>
    <row r="145" spans="1:32" x14ac:dyDescent="0.2">
      <c r="A145" s="95">
        <v>108</v>
      </c>
      <c r="B145" s="95">
        <v>9</v>
      </c>
      <c r="C145" s="95">
        <v>0</v>
      </c>
      <c r="D145" s="95"/>
      <c r="E145" s="95">
        <v>0</v>
      </c>
      <c r="F145" s="95">
        <v>0</v>
      </c>
      <c r="G145" s="95">
        <v>0</v>
      </c>
      <c r="H145" s="95">
        <v>26.847659250392134</v>
      </c>
      <c r="I145" s="95">
        <v>4749.5173250365151</v>
      </c>
      <c r="J145" s="95"/>
      <c r="K145" s="95"/>
      <c r="L145" s="95">
        <v>197.31388290093267</v>
      </c>
      <c r="M145" s="95">
        <v>731.17201158142632</v>
      </c>
      <c r="N145" s="95">
        <v>305.12859476968038</v>
      </c>
      <c r="O145" s="95">
        <v>1896.7551084448726</v>
      </c>
      <c r="P145" s="95">
        <v>2093.2654180161762</v>
      </c>
      <c r="Q145" s="95">
        <v>9999.9999999999945</v>
      </c>
      <c r="S145" s="98">
        <v>1896.7551084448726</v>
      </c>
      <c r="T145" s="95">
        <v>2508.6758546044598</v>
      </c>
      <c r="U145" s="99">
        <v>1358.2460160099788</v>
      </c>
      <c r="W145" s="121">
        <v>97836.3663731056</v>
      </c>
      <c r="X145" s="59">
        <v>400890.1098892829</v>
      </c>
      <c r="Y145" s="59">
        <v>358039.13173435745</v>
      </c>
      <c r="Z145" s="59">
        <v>843736.3090355373</v>
      </c>
      <c r="AA145" s="59">
        <v>1296248.22061162</v>
      </c>
      <c r="AB145" s="59">
        <v>2013479.0184756934</v>
      </c>
      <c r="AC145" s="59">
        <v>1239453.1713336012</v>
      </c>
      <c r="AD145" s="59">
        <v>6249682.3274531979</v>
      </c>
      <c r="AE145" s="59">
        <v>522276251.4381572</v>
      </c>
      <c r="AF145" s="68">
        <v>6249682.3274531979</v>
      </c>
    </row>
    <row r="146" spans="1:32" x14ac:dyDescent="0.2">
      <c r="A146" s="95">
        <v>109</v>
      </c>
      <c r="B146" s="95">
        <v>9</v>
      </c>
      <c r="C146" s="95">
        <v>1</v>
      </c>
      <c r="D146" s="95"/>
      <c r="E146" s="95">
        <v>0</v>
      </c>
      <c r="F146" s="95">
        <v>0</v>
      </c>
      <c r="G146" s="95">
        <v>0</v>
      </c>
      <c r="H146" s="95">
        <v>26.505351594949634</v>
      </c>
      <c r="I146" s="95">
        <v>4714.1554724714952</v>
      </c>
      <c r="J146" s="95"/>
      <c r="K146" s="95"/>
      <c r="L146" s="95">
        <v>195.9925935019721</v>
      </c>
      <c r="M146" s="95">
        <v>729.98811471127749</v>
      </c>
      <c r="N146" s="95">
        <v>304.13281271986205</v>
      </c>
      <c r="O146" s="95">
        <v>1917.4294669408512</v>
      </c>
      <c r="P146" s="95">
        <v>2111.7961880595881</v>
      </c>
      <c r="Q146" s="95">
        <v>9999.9999999999964</v>
      </c>
      <c r="S146" s="98">
        <v>1917.4294669408512</v>
      </c>
      <c r="T146" s="95">
        <v>2524.1117859108285</v>
      </c>
      <c r="U146" s="99">
        <v>1369.0485396245881</v>
      </c>
      <c r="W146" s="121">
        <v>96866.155739905633</v>
      </c>
      <c r="X146" s="59">
        <v>398937.56116472342</v>
      </c>
      <c r="Y146" s="59">
        <v>357238.7055067739</v>
      </c>
      <c r="Z146" s="59">
        <v>842810.9625520031</v>
      </c>
      <c r="AA146" s="59">
        <v>1299803.1342024144</v>
      </c>
      <c r="AB146" s="59">
        <v>2026649.2940469314</v>
      </c>
      <c r="AC146" s="59">
        <v>1247043.8182201176</v>
      </c>
      <c r="AD146" s="59">
        <v>6269349.6314328695</v>
      </c>
      <c r="AE146" s="59">
        <v>528545601.06959009</v>
      </c>
      <c r="AF146" s="68">
        <v>6269349.6314328695</v>
      </c>
    </row>
    <row r="147" spans="1:32" x14ac:dyDescent="0.2">
      <c r="A147" s="95">
        <v>110</v>
      </c>
      <c r="B147" s="95">
        <v>9</v>
      </c>
      <c r="C147" s="95">
        <v>2</v>
      </c>
      <c r="D147" s="95"/>
      <c r="E147" s="95">
        <v>0</v>
      </c>
      <c r="F147" s="95">
        <v>0</v>
      </c>
      <c r="G147" s="95">
        <v>0</v>
      </c>
      <c r="H147" s="95">
        <v>26.167408362114024</v>
      </c>
      <c r="I147" s="95">
        <v>4679.0555248267101</v>
      </c>
      <c r="J147" s="95"/>
      <c r="K147" s="95"/>
      <c r="L147" s="95">
        <v>194.6775633935211</v>
      </c>
      <c r="M147" s="95">
        <v>728.73604216964304</v>
      </c>
      <c r="N147" s="95">
        <v>303.12008269245251</v>
      </c>
      <c r="O147" s="95">
        <v>1938.0373029322182</v>
      </c>
      <c r="P147" s="95">
        <v>2130.2060756233368</v>
      </c>
      <c r="Q147" s="95">
        <v>9999.9999999999964</v>
      </c>
      <c r="S147" s="98">
        <v>1938.0373029322182</v>
      </c>
      <c r="T147" s="95">
        <v>2539.432791196361</v>
      </c>
      <c r="U147" s="99">
        <v>1379.7956116890132</v>
      </c>
      <c r="W147" s="121">
        <v>95905.566362151571</v>
      </c>
      <c r="X147" s="59">
        <v>396989.70886474324</v>
      </c>
      <c r="Y147" s="59">
        <v>356432.5863923718</v>
      </c>
      <c r="Z147" s="59">
        <v>841878.23594538111</v>
      </c>
      <c r="AA147" s="59">
        <v>1303331.3398848993</v>
      </c>
      <c r="AB147" s="59">
        <v>2039738.1491062816</v>
      </c>
      <c r="AC147" s="59">
        <v>1254585.1350225338</v>
      </c>
      <c r="AD147" s="59">
        <v>6288860.7215783624</v>
      </c>
      <c r="AE147" s="59">
        <v>534834461.79116845</v>
      </c>
      <c r="AF147" s="68">
        <v>6288860.7215783624</v>
      </c>
    </row>
    <row r="148" spans="1:32" x14ac:dyDescent="0.2">
      <c r="A148" s="95">
        <v>111</v>
      </c>
      <c r="B148" s="95">
        <v>9</v>
      </c>
      <c r="C148" s="95">
        <v>3</v>
      </c>
      <c r="D148" s="95"/>
      <c r="E148" s="95">
        <v>0</v>
      </c>
      <c r="F148" s="95">
        <v>0</v>
      </c>
      <c r="G148" s="95">
        <v>0</v>
      </c>
      <c r="H148" s="95">
        <v>25.833773905497072</v>
      </c>
      <c r="I148" s="95">
        <v>4644.2155600046772</v>
      </c>
      <c r="J148" s="95"/>
      <c r="K148" s="95"/>
      <c r="L148" s="95">
        <v>193.36883112583672</v>
      </c>
      <c r="M148" s="95">
        <v>727.41768973928481</v>
      </c>
      <c r="N148" s="95">
        <v>302.09101470550013</v>
      </c>
      <c r="O148" s="95">
        <v>1958.577471979743</v>
      </c>
      <c r="P148" s="95">
        <v>2148.4956585394575</v>
      </c>
      <c r="Q148" s="95">
        <v>9999.9999999999964</v>
      </c>
      <c r="S148" s="98">
        <v>1958.577471979743</v>
      </c>
      <c r="T148" s="95">
        <v>2554.6397216520477</v>
      </c>
      <c r="U148" s="99">
        <v>1390.4871868995024</v>
      </c>
      <c r="W148" s="121">
        <v>94954.502829060235</v>
      </c>
      <c r="X148" s="59">
        <v>395046.61274750484</v>
      </c>
      <c r="Y148" s="59">
        <v>355620.86553517461</v>
      </c>
      <c r="Z148" s="59">
        <v>840938.08458038862</v>
      </c>
      <c r="AA148" s="59">
        <v>1306832.8770087932</v>
      </c>
      <c r="AB148" s="59">
        <v>2052745.928383664</v>
      </c>
      <c r="AC148" s="59">
        <v>1262077.3997872141</v>
      </c>
      <c r="AD148" s="59">
        <v>6308216.2708717994</v>
      </c>
      <c r="AE148" s="59">
        <v>541142678.06204021</v>
      </c>
      <c r="AF148" s="68">
        <v>6308216.2708717994</v>
      </c>
    </row>
    <row r="149" spans="1:32" x14ac:dyDescent="0.2">
      <c r="A149" s="95">
        <v>112</v>
      </c>
      <c r="B149" s="95">
        <v>9</v>
      </c>
      <c r="C149" s="95">
        <v>4</v>
      </c>
      <c r="D149" s="95"/>
      <c r="E149" s="95">
        <v>0</v>
      </c>
      <c r="F149" s="95">
        <v>0</v>
      </c>
      <c r="G149" s="95">
        <v>0</v>
      </c>
      <c r="H149" s="95">
        <v>25.504393288201985</v>
      </c>
      <c r="I149" s="95">
        <v>4609.6336697857287</v>
      </c>
      <c r="J149" s="95"/>
      <c r="K149" s="95"/>
      <c r="L149" s="95">
        <v>192.06643293837251</v>
      </c>
      <c r="M149" s="95">
        <v>726.03491406288583</v>
      </c>
      <c r="N149" s="95">
        <v>301.04620390846196</v>
      </c>
      <c r="O149" s="95">
        <v>1979.0488696293223</v>
      </c>
      <c r="P149" s="95">
        <v>2166.6655163870232</v>
      </c>
      <c r="Q149" s="95">
        <v>9999.9999999999964</v>
      </c>
      <c r="S149" s="98">
        <v>1979.0488696293223</v>
      </c>
      <c r="T149" s="95">
        <v>2569.7334222220629</v>
      </c>
      <c r="U149" s="99">
        <v>1401.123228671077</v>
      </c>
      <c r="W149" s="121">
        <v>94012.87067600539</v>
      </c>
      <c r="X149" s="59">
        <v>393108.33120766882</v>
      </c>
      <c r="Y149" s="59">
        <v>354803.63357586181</v>
      </c>
      <c r="Z149" s="59">
        <v>839990.46613715077</v>
      </c>
      <c r="AA149" s="59">
        <v>1310307.7842411017</v>
      </c>
      <c r="AB149" s="59">
        <v>2065672.9725625208</v>
      </c>
      <c r="AC149" s="59">
        <v>1269520.8851511918</v>
      </c>
      <c r="AD149" s="59">
        <v>6327416.9435515013</v>
      </c>
      <c r="AE149" s="59">
        <v>547470095.00559175</v>
      </c>
      <c r="AF149" s="68">
        <v>6327416.9435515013</v>
      </c>
    </row>
    <row r="150" spans="1:32" x14ac:dyDescent="0.2">
      <c r="A150" s="95">
        <v>113</v>
      </c>
      <c r="B150" s="95">
        <v>9</v>
      </c>
      <c r="C150" s="95">
        <v>5</v>
      </c>
      <c r="D150" s="95"/>
      <c r="E150" s="95">
        <v>0</v>
      </c>
      <c r="F150" s="95">
        <v>0</v>
      </c>
      <c r="G150" s="95">
        <v>0</v>
      </c>
      <c r="H150" s="95">
        <v>25.179212273777409</v>
      </c>
      <c r="I150" s="95">
        <v>4575.3079597307888</v>
      </c>
      <c r="J150" s="95"/>
      <c r="K150" s="95"/>
      <c r="L150" s="95">
        <v>190.77040282516708</v>
      </c>
      <c r="M150" s="95">
        <v>724.589533385815</v>
      </c>
      <c r="N150" s="95">
        <v>299.98623093842525</v>
      </c>
      <c r="O150" s="95">
        <v>1999.4504304825507</v>
      </c>
      <c r="P150" s="95">
        <v>2184.7162303634727</v>
      </c>
      <c r="Q150" s="95">
        <v>9999.9999999999964</v>
      </c>
      <c r="S150" s="98">
        <v>1999.4504304825507</v>
      </c>
      <c r="T150" s="95">
        <v>2584.7147316488667</v>
      </c>
      <c r="U150" s="99">
        <v>1411.7037089188341</v>
      </c>
      <c r="W150" s="121">
        <v>93080.576375135002</v>
      </c>
      <c r="X150" s="59">
        <v>391174.92129550426</v>
      </c>
      <c r="Y150" s="59">
        <v>353980.98064722825</v>
      </c>
      <c r="Z150" s="59">
        <v>839035.34057806979</v>
      </c>
      <c r="AA150" s="59">
        <v>1313756.0995953069</v>
      </c>
      <c r="AB150" s="59">
        <v>2078519.6183211491</v>
      </c>
      <c r="AC150" s="59">
        <v>1276915.8584771005</v>
      </c>
      <c r="AD150" s="59">
        <v>6346463.3952894937</v>
      </c>
      <c r="AE150" s="59">
        <v>553816558.40088129</v>
      </c>
      <c r="AF150" s="68">
        <v>6346463.3952894937</v>
      </c>
    </row>
    <row r="151" spans="1:32" x14ac:dyDescent="0.2">
      <c r="A151" s="95">
        <v>114</v>
      </c>
      <c r="B151" s="95">
        <v>9</v>
      </c>
      <c r="C151" s="95">
        <v>6</v>
      </c>
      <c r="D151" s="95"/>
      <c r="E151" s="95">
        <v>0</v>
      </c>
      <c r="F151" s="95">
        <v>0</v>
      </c>
      <c r="G151" s="95">
        <v>0</v>
      </c>
      <c r="H151" s="95">
        <v>24.858177317286746</v>
      </c>
      <c r="I151" s="95">
        <v>4541.2365490847878</v>
      </c>
      <c r="J151" s="95"/>
      <c r="K151" s="95"/>
      <c r="L151" s="95">
        <v>189.48077259859662</v>
      </c>
      <c r="M151" s="95">
        <v>723.08332828521509</v>
      </c>
      <c r="N151" s="95">
        <v>298.91166226702097</v>
      </c>
      <c r="O151" s="95">
        <v>2019.7811272878923</v>
      </c>
      <c r="P151" s="95">
        <v>2202.6483831591972</v>
      </c>
      <c r="Q151" s="95">
        <v>9999.9999999999964</v>
      </c>
      <c r="S151" s="98">
        <v>2019.7811272878923</v>
      </c>
      <c r="T151" s="95">
        <v>2599.584482517992</v>
      </c>
      <c r="U151" s="99">
        <v>1422.2286078437155</v>
      </c>
      <c r="W151" s="121">
        <v>92157.527326081588</v>
      </c>
      <c r="X151" s="59">
        <v>389246.43873576942</v>
      </c>
      <c r="Y151" s="59">
        <v>353152.99636982457</v>
      </c>
      <c r="Z151" s="59">
        <v>838072.67011492641</v>
      </c>
      <c r="AA151" s="59">
        <v>1317177.8604600488</v>
      </c>
      <c r="AB151" s="59">
        <v>2091286.198374338</v>
      </c>
      <c r="AC151" s="59">
        <v>1284262.581984411</v>
      </c>
      <c r="AD151" s="59">
        <v>6365356.2733653998</v>
      </c>
      <c r="AE151" s="59">
        <v>560181914.67424667</v>
      </c>
      <c r="AF151" s="68">
        <v>6365356.2733653998</v>
      </c>
    </row>
    <row r="152" spans="1:32" x14ac:dyDescent="0.2">
      <c r="A152" s="95">
        <v>115</v>
      </c>
      <c r="B152" s="95">
        <v>9</v>
      </c>
      <c r="C152" s="95">
        <v>7</v>
      </c>
      <c r="D152" s="95"/>
      <c r="E152" s="95">
        <v>0</v>
      </c>
      <c r="F152" s="95">
        <v>0</v>
      </c>
      <c r="G152" s="95">
        <v>0</v>
      </c>
      <c r="H152" s="95">
        <v>24.54123555649134</v>
      </c>
      <c r="I152" s="95">
        <v>4507.4175706807191</v>
      </c>
      <c r="J152" s="95"/>
      <c r="K152" s="95"/>
      <c r="L152" s="95">
        <v>188.19757195153099</v>
      </c>
      <c r="M152" s="95">
        <v>721.51804238566558</v>
      </c>
      <c r="N152" s="95">
        <v>297.82305053830333</v>
      </c>
      <c r="O152" s="95">
        <v>2040.0399700519679</v>
      </c>
      <c r="P152" s="95">
        <v>2220.4625588353188</v>
      </c>
      <c r="Q152" s="95">
        <v>9999.9999999999964</v>
      </c>
      <c r="S152" s="98">
        <v>2040.0399700519679</v>
      </c>
      <c r="T152" s="95">
        <v>2614.3435013025178</v>
      </c>
      <c r="U152" s="99">
        <v>1432.697913722656</v>
      </c>
      <c r="W152" s="121">
        <v>91243.631846764605</v>
      </c>
      <c r="X152" s="59">
        <v>387322.9379463644</v>
      </c>
      <c r="Y152" s="59">
        <v>352319.76984777633</v>
      </c>
      <c r="Z152" s="59">
        <v>837102.41917621426</v>
      </c>
      <c r="AA152" s="59">
        <v>1320573.103627305</v>
      </c>
      <c r="AB152" s="59">
        <v>2103973.0415152889</v>
      </c>
      <c r="AC152" s="59">
        <v>1291561.3128770944</v>
      </c>
      <c r="AD152" s="59">
        <v>6384096.2168368082</v>
      </c>
      <c r="AE152" s="59">
        <v>566566010.89108348</v>
      </c>
      <c r="AF152" s="68">
        <v>6384096.2168368082</v>
      </c>
    </row>
    <row r="153" spans="1:32" x14ac:dyDescent="0.2">
      <c r="A153" s="95">
        <v>116</v>
      </c>
      <c r="B153" s="95">
        <v>9</v>
      </c>
      <c r="C153" s="95">
        <v>8</v>
      </c>
      <c r="D153" s="95"/>
      <c r="E153" s="95">
        <v>0</v>
      </c>
      <c r="F153" s="95">
        <v>0</v>
      </c>
      <c r="G153" s="95">
        <v>0</v>
      </c>
      <c r="H153" s="95">
        <v>24.228334803146076</v>
      </c>
      <c r="I153" s="95">
        <v>4473.8491708443262</v>
      </c>
      <c r="J153" s="95"/>
      <c r="K153" s="95"/>
      <c r="L153" s="95">
        <v>186.92082851793208</v>
      </c>
      <c r="M153" s="95">
        <v>719.89538306166196</v>
      </c>
      <c r="N153" s="95">
        <v>296.72093489786056</v>
      </c>
      <c r="O153" s="95">
        <v>2060.226005170487</v>
      </c>
      <c r="P153" s="95">
        <v>2238.1593427045832</v>
      </c>
      <c r="Q153" s="95">
        <v>9999.9999999999964</v>
      </c>
      <c r="S153" s="98">
        <v>2060.226005170487</v>
      </c>
      <c r="T153" s="95">
        <v>2628.9926084072299</v>
      </c>
      <c r="U153" s="99">
        <v>1443.1116227030277</v>
      </c>
      <c r="W153" s="121">
        <v>90338.799164284195</v>
      </c>
      <c r="X153" s="59">
        <v>385404.47205675917</v>
      </c>
      <c r="Y153" s="59">
        <v>351481.38966477738</v>
      </c>
      <c r="Z153" s="59">
        <v>836124.55437471019</v>
      </c>
      <c r="AA153" s="59">
        <v>1323941.8653200753</v>
      </c>
      <c r="AB153" s="59">
        <v>2116580.472657802</v>
      </c>
      <c r="AC153" s="59">
        <v>1298812.3034678278</v>
      </c>
      <c r="AD153" s="59">
        <v>6402683.8567062365</v>
      </c>
      <c r="AE153" s="59">
        <v>572968694.74778974</v>
      </c>
      <c r="AF153" s="68">
        <v>6402683.8567062365</v>
      </c>
    </row>
    <row r="154" spans="1:32" x14ac:dyDescent="0.2">
      <c r="A154" s="95">
        <v>117</v>
      </c>
      <c r="B154" s="95">
        <v>9</v>
      </c>
      <c r="C154" s="95">
        <v>9</v>
      </c>
      <c r="D154" s="95"/>
      <c r="E154" s="95">
        <v>0</v>
      </c>
      <c r="F154" s="95">
        <v>0</v>
      </c>
      <c r="G154" s="95">
        <v>0</v>
      </c>
      <c r="H154" s="95">
        <v>23.919423534405965</v>
      </c>
      <c r="I154" s="95">
        <v>4440.5295092994238</v>
      </c>
      <c r="J154" s="95"/>
      <c r="K154" s="95"/>
      <c r="L154" s="95">
        <v>185.65056793193216</v>
      </c>
      <c r="M154" s="95">
        <v>718.21702212715365</v>
      </c>
      <c r="N154" s="95">
        <v>295.60584131341272</v>
      </c>
      <c r="O154" s="95">
        <v>2080.3383145783669</v>
      </c>
      <c r="P154" s="95">
        <v>2255.739321215302</v>
      </c>
      <c r="Q154" s="95">
        <v>9999.9999999999964</v>
      </c>
      <c r="S154" s="98">
        <v>2080.3383145783669</v>
      </c>
      <c r="T154" s="95">
        <v>2643.5326182124741</v>
      </c>
      <c r="U154" s="99">
        <v>1453.4697386012972</v>
      </c>
      <c r="W154" s="121">
        <v>89442.939405905039</v>
      </c>
      <c r="X154" s="59">
        <v>383491.09292619943</v>
      </c>
      <c r="Y154" s="59">
        <v>350637.94388025423</v>
      </c>
      <c r="Z154" s="59">
        <v>835139.0444752808</v>
      </c>
      <c r="AA154" s="59">
        <v>1327284.1812195706</v>
      </c>
      <c r="AB154" s="59">
        <v>2129108.8128787046</v>
      </c>
      <c r="AC154" s="59">
        <v>1306015.8012988628</v>
      </c>
      <c r="AD154" s="59">
        <v>6421119.8160847779</v>
      </c>
      <c r="AE154" s="59">
        <v>579389814.56387448</v>
      </c>
      <c r="AF154" s="68">
        <v>6421119.8160847779</v>
      </c>
    </row>
    <row r="155" spans="1:32" x14ac:dyDescent="0.2">
      <c r="A155" s="95">
        <v>118</v>
      </c>
      <c r="B155" s="95">
        <v>9</v>
      </c>
      <c r="C155" s="95">
        <v>10</v>
      </c>
      <c r="D155" s="95"/>
      <c r="E155" s="95">
        <v>0</v>
      </c>
      <c r="F155" s="95">
        <v>0</v>
      </c>
      <c r="G155" s="95">
        <v>0</v>
      </c>
      <c r="H155" s="95">
        <v>23.61445088434229</v>
      </c>
      <c r="I155" s="95">
        <v>4407.4567590738443</v>
      </c>
      <c r="J155" s="95"/>
      <c r="K155" s="95"/>
      <c r="L155" s="95">
        <v>184.38681388542906</v>
      </c>
      <c r="M155" s="95">
        <v>716.48459651237511</v>
      </c>
      <c r="N155" s="95">
        <v>294.47828288714493</v>
      </c>
      <c r="O155" s="95">
        <v>2100.37601491859</v>
      </c>
      <c r="P155" s="95">
        <v>2273.2030818382714</v>
      </c>
      <c r="Q155" s="95">
        <v>9999.9999999999964</v>
      </c>
      <c r="S155" s="98">
        <v>2100.37601491859</v>
      </c>
      <c r="T155" s="95">
        <v>2657.9643391176974</v>
      </c>
      <c r="U155" s="99">
        <v>1463.7722727058147</v>
      </c>
      <c r="W155" s="121">
        <v>88555.963590129817</v>
      </c>
      <c r="X155" s="59">
        <v>381582.85116169206</v>
      </c>
      <c r="Y155" s="59">
        <v>349789.52002569888</v>
      </c>
      <c r="Z155" s="59">
        <v>834145.86036292603</v>
      </c>
      <c r="AA155" s="59">
        <v>1330600.0864919205</v>
      </c>
      <c r="AB155" s="59">
        <v>2141558.3794605057</v>
      </c>
      <c r="AC155" s="59">
        <v>1313172.0492596619</v>
      </c>
      <c r="AD155" s="59">
        <v>6439404.7103525354</v>
      </c>
      <c r="AE155" s="59">
        <v>585829219.27422702</v>
      </c>
      <c r="AF155" s="68">
        <v>6439404.7103525354</v>
      </c>
    </row>
    <row r="156" spans="1:32" x14ac:dyDescent="0.2">
      <c r="A156" s="95">
        <v>119</v>
      </c>
      <c r="B156" s="95">
        <v>9</v>
      </c>
      <c r="C156" s="95">
        <v>11</v>
      </c>
      <c r="D156" s="95"/>
      <c r="E156" s="95">
        <v>0</v>
      </c>
      <c r="F156" s="95">
        <v>0</v>
      </c>
      <c r="G156" s="95">
        <v>0</v>
      </c>
      <c r="H156" s="95">
        <v>23.313366635566926</v>
      </c>
      <c r="I156" s="95">
        <v>4374.629106406006</v>
      </c>
      <c r="J156" s="95"/>
      <c r="K156" s="95"/>
      <c r="L156" s="95">
        <v>183.12958818423419</v>
      </c>
      <c r="M156" s="95">
        <v>714.6997089282014</v>
      </c>
      <c r="N156" s="95">
        <v>293.33876016001568</v>
      </c>
      <c r="O156" s="95">
        <v>2120.3382567293688</v>
      </c>
      <c r="P156" s="95">
        <v>2290.5512129566041</v>
      </c>
      <c r="Q156" s="95">
        <v>9999.9999999999964</v>
      </c>
      <c r="S156" s="98">
        <v>2120.3382567293688</v>
      </c>
      <c r="T156" s="95">
        <v>2672.2885735846876</v>
      </c>
      <c r="U156" s="99">
        <v>1474.019243583655</v>
      </c>
      <c r="W156" s="121">
        <v>87677.783617861031</v>
      </c>
      <c r="X156" s="59">
        <v>379679.79613577353</v>
      </c>
      <c r="Y156" s="59">
        <v>348936.20510116627</v>
      </c>
      <c r="Z156" s="59">
        <v>833144.97501106292</v>
      </c>
      <c r="AA156" s="59">
        <v>1333889.6158143934</v>
      </c>
      <c r="AB156" s="59">
        <v>2153929.4859342519</v>
      </c>
      <c r="AC156" s="59">
        <v>1320281.2857014104</v>
      </c>
      <c r="AD156" s="59">
        <v>6457539.1473159194</v>
      </c>
      <c r="AE156" s="59">
        <v>592286758.42154288</v>
      </c>
      <c r="AF156" s="68">
        <v>6457539.1473159194</v>
      </c>
    </row>
    <row r="157" spans="1:32" x14ac:dyDescent="0.2">
      <c r="A157" s="95">
        <v>120</v>
      </c>
      <c r="B157" s="95">
        <v>10</v>
      </c>
      <c r="C157" s="95">
        <v>0</v>
      </c>
      <c r="D157" s="95"/>
      <c r="E157" s="95">
        <v>0</v>
      </c>
      <c r="F157" s="95">
        <v>0</v>
      </c>
      <c r="G157" s="95">
        <v>0</v>
      </c>
      <c r="H157" s="95">
        <v>23.016121210963448</v>
      </c>
      <c r="I157" s="95">
        <v>4342.044750652105</v>
      </c>
      <c r="J157" s="95"/>
      <c r="K157" s="95"/>
      <c r="L157" s="95">
        <v>181.87891080280832</v>
      </c>
      <c r="M157" s="95">
        <v>712.86392851825553</v>
      </c>
      <c r="N157" s="95">
        <v>292.18776140827254</v>
      </c>
      <c r="O157" s="95">
        <v>2140.224223649187</v>
      </c>
      <c r="P157" s="95">
        <v>2307.7843037584057</v>
      </c>
      <c r="Q157" s="95">
        <v>9999.9999999999982</v>
      </c>
      <c r="S157" s="98">
        <v>2140.224223649187</v>
      </c>
      <c r="T157" s="95">
        <v>2686.5061181805072</v>
      </c>
      <c r="U157" s="99">
        <v>1484.2106768914325</v>
      </c>
      <c r="W157" s="121">
        <v>86808.312263650572</v>
      </c>
      <c r="X157" s="59">
        <v>377781.97600406333</v>
      </c>
      <c r="Y157" s="59">
        <v>348078.08557193278</v>
      </c>
      <c r="Z157" s="59">
        <v>832136.36345004675</v>
      </c>
      <c r="AA157" s="59">
        <v>1337152.8034011424</v>
      </c>
      <c r="AB157" s="59">
        <v>2166222.4421225768</v>
      </c>
      <c r="AC157" s="59">
        <v>1327343.744548508</v>
      </c>
      <c r="AD157" s="59">
        <v>6475523.7273619203</v>
      </c>
      <c r="AE157" s="59">
        <v>598762282.1489048</v>
      </c>
      <c r="AF157" s="68">
        <v>6475523.7273619203</v>
      </c>
    </row>
    <row r="158" spans="1:32" x14ac:dyDescent="0.2">
      <c r="A158" s="95">
        <v>121</v>
      </c>
      <c r="B158" s="95">
        <v>10</v>
      </c>
      <c r="C158" s="95">
        <v>1</v>
      </c>
      <c r="D158" s="95"/>
      <c r="E158" s="95">
        <v>0</v>
      </c>
      <c r="F158" s="95">
        <v>0</v>
      </c>
      <c r="G158" s="95">
        <v>0</v>
      </c>
      <c r="H158" s="95">
        <v>22.668961382698082</v>
      </c>
      <c r="I158" s="95">
        <v>4299.5704664423984</v>
      </c>
      <c r="J158" s="95"/>
      <c r="K158" s="95"/>
      <c r="L158" s="95">
        <v>180.21041581241309</v>
      </c>
      <c r="M158" s="95">
        <v>709.3154423324487</v>
      </c>
      <c r="N158" s="95">
        <v>290.34399148911353</v>
      </c>
      <c r="O158" s="95">
        <v>2160.0331316393113</v>
      </c>
      <c r="P158" s="95">
        <v>2337.8575909016145</v>
      </c>
      <c r="Q158" s="95">
        <v>9999.9999999999982</v>
      </c>
      <c r="S158" s="98">
        <v>2160.0331316393113</v>
      </c>
      <c r="T158" s="95">
        <v>2700.6177636201264</v>
      </c>
      <c r="U158" s="99">
        <v>1494.3466051900127</v>
      </c>
      <c r="W158" s="121">
        <v>85940.229141014075</v>
      </c>
      <c r="X158" s="59">
        <v>375857.95589127077</v>
      </c>
      <c r="Y158" s="59">
        <v>347186.2408581826</v>
      </c>
      <c r="Z158" s="59">
        <v>831050.65803898138</v>
      </c>
      <c r="AA158" s="59">
        <v>1340278.2536281953</v>
      </c>
      <c r="AB158" s="59">
        <v>2178257.0356460689</v>
      </c>
      <c r="AC158" s="59">
        <v>1334249.0434284245</v>
      </c>
      <c r="AD158" s="59">
        <v>6492819.4166321373</v>
      </c>
      <c r="AE158" s="59">
        <v>605255101.56553698</v>
      </c>
      <c r="AF158" s="68">
        <v>6492819.4166321373</v>
      </c>
    </row>
    <row r="159" spans="1:32" x14ac:dyDescent="0.2">
      <c r="A159" s="95">
        <v>122</v>
      </c>
      <c r="B159" s="95">
        <v>10</v>
      </c>
      <c r="C159" s="95">
        <v>2</v>
      </c>
      <c r="D159" s="95"/>
      <c r="E159" s="95">
        <v>0</v>
      </c>
      <c r="F159" s="95">
        <v>0</v>
      </c>
      <c r="G159" s="95">
        <v>0</v>
      </c>
      <c r="H159" s="95">
        <v>22.327037881842386</v>
      </c>
      <c r="I159" s="95">
        <v>4257.5104901490813</v>
      </c>
      <c r="J159" s="95"/>
      <c r="K159" s="95"/>
      <c r="L159" s="95">
        <v>178.52961964469048</v>
      </c>
      <c r="M159" s="95">
        <v>705.75746215341246</v>
      </c>
      <c r="N159" s="95">
        <v>288.49669991173022</v>
      </c>
      <c r="O159" s="95">
        <v>2179.7180074380567</v>
      </c>
      <c r="P159" s="95">
        <v>2367.6606828211843</v>
      </c>
      <c r="Q159" s="95">
        <v>9999.9999999999982</v>
      </c>
      <c r="S159" s="98">
        <v>2179.7180074380567</v>
      </c>
      <c r="T159" s="95">
        <v>2714.5913676360642</v>
      </c>
      <c r="U159" s="99">
        <v>1504.403417263683</v>
      </c>
      <c r="W159" s="121">
        <v>85080.826849603924</v>
      </c>
      <c r="X159" s="59">
        <v>373939.58144885965</v>
      </c>
      <c r="Y159" s="59">
        <v>346289.90907694941</v>
      </c>
      <c r="Z159" s="59">
        <v>829957.35769776336</v>
      </c>
      <c r="AA159" s="59">
        <v>1343376.8990649548</v>
      </c>
      <c r="AB159" s="59">
        <v>2190212.0667683696</v>
      </c>
      <c r="AC159" s="59">
        <v>1341106.8596127641</v>
      </c>
      <c r="AD159" s="59">
        <v>6509963.5005192645</v>
      </c>
      <c r="AE159" s="59">
        <v>611765065.06605625</v>
      </c>
      <c r="AF159" s="68">
        <v>6509963.5005192645</v>
      </c>
    </row>
    <row r="160" spans="1:32" x14ac:dyDescent="0.2">
      <c r="A160" s="95">
        <v>123</v>
      </c>
      <c r="B160" s="95">
        <v>10</v>
      </c>
      <c r="C160" s="95">
        <v>3</v>
      </c>
      <c r="D160" s="95"/>
      <c r="E160" s="95">
        <v>0</v>
      </c>
      <c r="F160" s="95">
        <v>0</v>
      </c>
      <c r="G160" s="95">
        <v>0</v>
      </c>
      <c r="H160" s="95">
        <v>21.990271727124597</v>
      </c>
      <c r="I160" s="95">
        <v>4215.8607983621396</v>
      </c>
      <c r="J160" s="95"/>
      <c r="K160" s="95"/>
      <c r="L160" s="95">
        <v>176.83758480709716</v>
      </c>
      <c r="M160" s="95">
        <v>702.19078871601835</v>
      </c>
      <c r="N160" s="95">
        <v>286.64639091737911</v>
      </c>
      <c r="O160" s="95">
        <v>2199.2784505546256</v>
      </c>
      <c r="P160" s="95">
        <v>2397.1957149156133</v>
      </c>
      <c r="Q160" s="95">
        <v>9999.9999999999982</v>
      </c>
      <c r="S160" s="98">
        <v>2199.2784505546256</v>
      </c>
      <c r="T160" s="95">
        <v>2728.4282767290488</v>
      </c>
      <c r="U160" s="99">
        <v>1514.3814729657129</v>
      </c>
      <c r="W160" s="121">
        <v>84230.018581107899</v>
      </c>
      <c r="X160" s="59">
        <v>372026.89591335168</v>
      </c>
      <c r="Y160" s="59">
        <v>345389.17621084006</v>
      </c>
      <c r="Z160" s="59">
        <v>828856.44536198198</v>
      </c>
      <c r="AA160" s="59">
        <v>1346448.7793213117</v>
      </c>
      <c r="AB160" s="59">
        <v>2202087.871117108</v>
      </c>
      <c r="AC160" s="59">
        <v>1347917.4261118008</v>
      </c>
      <c r="AD160" s="59">
        <v>6526956.612617502</v>
      </c>
      <c r="AE160" s="59">
        <v>618292021.67867374</v>
      </c>
      <c r="AF160" s="68">
        <v>6526956.612617502</v>
      </c>
    </row>
    <row r="161" spans="1:32" x14ac:dyDescent="0.2">
      <c r="A161" s="95">
        <v>124</v>
      </c>
      <c r="B161" s="95">
        <v>10</v>
      </c>
      <c r="C161" s="95">
        <v>4</v>
      </c>
      <c r="D161" s="95"/>
      <c r="E161" s="95">
        <v>0</v>
      </c>
      <c r="F161" s="95">
        <v>0</v>
      </c>
      <c r="G161" s="95">
        <v>0</v>
      </c>
      <c r="H161" s="95">
        <v>21.658585128573801</v>
      </c>
      <c r="I161" s="95">
        <v>4174.617406471607</v>
      </c>
      <c r="J161" s="95"/>
      <c r="K161" s="95"/>
      <c r="L161" s="95">
        <v>175.13533729416699</v>
      </c>
      <c r="M161" s="95">
        <v>698.61620195282046</v>
      </c>
      <c r="N161" s="95">
        <v>284.79355393782004</v>
      </c>
      <c r="O161" s="95">
        <v>2218.714102029026</v>
      </c>
      <c r="P161" s="95">
        <v>2426.4648131859826</v>
      </c>
      <c r="Q161" s="95">
        <v>9999.9999999999964</v>
      </c>
      <c r="S161" s="98">
        <v>2218.714102029026</v>
      </c>
      <c r="T161" s="95">
        <v>2742.1298243237256</v>
      </c>
      <c r="U161" s="99">
        <v>1524.2811380137664</v>
      </c>
      <c r="W161" s="121">
        <v>83387.718395296804</v>
      </c>
      <c r="X161" s="59">
        <v>370119.94135781954</v>
      </c>
      <c r="Y161" s="59">
        <v>344484.12766739854</v>
      </c>
      <c r="Z161" s="59">
        <v>827747.90590667923</v>
      </c>
      <c r="AA161" s="59">
        <v>1349493.9336302555</v>
      </c>
      <c r="AB161" s="59">
        <v>2213884.7801554585</v>
      </c>
      <c r="AC161" s="59">
        <v>1354680.9720284559</v>
      </c>
      <c r="AD161" s="59">
        <v>6543799.3791413642</v>
      </c>
      <c r="AE161" s="59">
        <v>624835821.05781507</v>
      </c>
      <c r="AF161" s="68">
        <v>6543799.3791413642</v>
      </c>
    </row>
    <row r="162" spans="1:32" x14ac:dyDescent="0.2">
      <c r="A162" s="95">
        <v>125</v>
      </c>
      <c r="B162" s="95">
        <v>10</v>
      </c>
      <c r="C162" s="95">
        <v>5</v>
      </c>
      <c r="D162" s="95"/>
      <c r="E162" s="95">
        <v>0</v>
      </c>
      <c r="F162" s="95">
        <v>0</v>
      </c>
      <c r="G162" s="95">
        <v>0</v>
      </c>
      <c r="H162" s="95">
        <v>21.331901469551145</v>
      </c>
      <c r="I162" s="95">
        <v>4133.7763682975456</v>
      </c>
      <c r="J162" s="95"/>
      <c r="K162" s="95"/>
      <c r="L162" s="95">
        <v>173.42386763991684</v>
      </c>
      <c r="M162" s="95">
        <v>695.03446145092801</v>
      </c>
      <c r="N162" s="95">
        <v>282.93866392298588</v>
      </c>
      <c r="O162" s="95">
        <v>2238.0246431571682</v>
      </c>
      <c r="P162" s="95">
        <v>2455.4700940619014</v>
      </c>
      <c r="Q162" s="95">
        <v>9999.9999999999964</v>
      </c>
      <c r="S162" s="98">
        <v>2238.0246431571682</v>
      </c>
      <c r="T162" s="95">
        <v>2755.6973308947586</v>
      </c>
      <c r="U162" s="99">
        <v>1534.1027837103829</v>
      </c>
      <c r="W162" s="121">
        <v>82553.841211343839</v>
      </c>
      <c r="X162" s="59">
        <v>368218.75870888302</v>
      </c>
      <c r="Y162" s="59">
        <v>343574.84827675892</v>
      </c>
      <c r="Z162" s="59">
        <v>826631.72611527657</v>
      </c>
      <c r="AA162" s="59">
        <v>1352512.4008714592</v>
      </c>
      <c r="AB162" s="59">
        <v>2225603.121239949</v>
      </c>
      <c r="AC162" s="59">
        <v>1361397.7226459277</v>
      </c>
      <c r="AD162" s="59">
        <v>6560492.4190695984</v>
      </c>
      <c r="AE162" s="59">
        <v>631396313.47688472</v>
      </c>
      <c r="AF162" s="68">
        <v>6560492.4190695984</v>
      </c>
    </row>
    <row r="163" spans="1:32" x14ac:dyDescent="0.2">
      <c r="A163" s="95">
        <v>126</v>
      </c>
      <c r="B163" s="95">
        <v>10</v>
      </c>
      <c r="C163" s="95">
        <v>6</v>
      </c>
      <c r="D163" s="95"/>
      <c r="E163" s="95">
        <v>0</v>
      </c>
      <c r="F163" s="95">
        <v>0</v>
      </c>
      <c r="G163" s="95">
        <v>0</v>
      </c>
      <c r="H163" s="95">
        <v>21.010145289052083</v>
      </c>
      <c r="I163" s="95">
        <v>4093.3337757234922</v>
      </c>
      <c r="J163" s="95"/>
      <c r="K163" s="95"/>
      <c r="L163" s="95">
        <v>171.70413194164988</v>
      </c>
      <c r="M163" s="95">
        <v>691.44630689932444</v>
      </c>
      <c r="N163" s="95">
        <v>281.0821816633387</v>
      </c>
      <c r="O163" s="95">
        <v>2257.2097942478417</v>
      </c>
      <c r="P163" s="95">
        <v>2484.213664235298</v>
      </c>
      <c r="Q163" s="95">
        <v>9999.9999999999964</v>
      </c>
      <c r="S163" s="98">
        <v>2257.2097942478417</v>
      </c>
      <c r="T163" s="95">
        <v>2769.1321040917255</v>
      </c>
      <c r="U163" s="99">
        <v>1543.8467866715782</v>
      </c>
      <c r="W163" s="121">
        <v>81728.302799230398</v>
      </c>
      <c r="X163" s="59">
        <v>366323.38776349515</v>
      </c>
      <c r="Y163" s="59">
        <v>342661.42228944344</v>
      </c>
      <c r="Z163" s="59">
        <v>825507.89464876277</v>
      </c>
      <c r="AA163" s="59">
        <v>1355504.219594409</v>
      </c>
      <c r="AB163" s="59">
        <v>2237243.2176780463</v>
      </c>
      <c r="AC163" s="59">
        <v>1368067.8995133429</v>
      </c>
      <c r="AD163" s="59">
        <v>6577036.3442867296</v>
      </c>
      <c r="AE163" s="59">
        <v>637973349.8211714</v>
      </c>
      <c r="AF163" s="68">
        <v>6577036.3442867296</v>
      </c>
    </row>
    <row r="164" spans="1:32" x14ac:dyDescent="0.2">
      <c r="A164" s="95">
        <v>127</v>
      </c>
      <c r="B164" s="95">
        <v>10</v>
      </c>
      <c r="C164" s="95">
        <v>7</v>
      </c>
      <c r="D164" s="95"/>
      <c r="E164" s="95">
        <v>0</v>
      </c>
      <c r="F164" s="95">
        <v>0</v>
      </c>
      <c r="G164" s="95">
        <v>0</v>
      </c>
      <c r="H164" s="95">
        <v>20.693242264275547</v>
      </c>
      <c r="I164" s="95">
        <v>4053.2857583333389</v>
      </c>
      <c r="J164" s="95"/>
      <c r="K164" s="95"/>
      <c r="L164" s="95">
        <v>169.97705285591621</v>
      </c>
      <c r="M164" s="95">
        <v>687.85245852682999</v>
      </c>
      <c r="N164" s="95">
        <v>279.22455410691805</v>
      </c>
      <c r="O164" s="95">
        <v>2276.2693134108708</v>
      </c>
      <c r="P164" s="95">
        <v>2512.6976205018477</v>
      </c>
      <c r="Q164" s="95">
        <v>9999.9999999999964</v>
      </c>
      <c r="S164" s="98">
        <v>2276.2693134108708</v>
      </c>
      <c r="T164" s="95">
        <v>2782.4354388628267</v>
      </c>
      <c r="U164" s="99">
        <v>1553.5135285633544</v>
      </c>
      <c r="W164" s="121">
        <v>80911.019771238105</v>
      </c>
      <c r="X164" s="59">
        <v>364433.86720552196</v>
      </c>
      <c r="Y164" s="59">
        <v>341743.93337430136</v>
      </c>
      <c r="Z164" s="59">
        <v>824376.40201514121</v>
      </c>
      <c r="AA164" s="59">
        <v>1358469.4280410747</v>
      </c>
      <c r="AB164" s="59">
        <v>2248805.388785508</v>
      </c>
      <c r="AC164" s="59">
        <v>1374691.7205294929</v>
      </c>
      <c r="AD164" s="59">
        <v>6593431.7597222785</v>
      </c>
      <c r="AE164" s="59">
        <v>644566781.58089364</v>
      </c>
      <c r="AF164" s="68">
        <v>6593431.7597222785</v>
      </c>
    </row>
    <row r="165" spans="1:32" x14ac:dyDescent="0.2">
      <c r="A165" s="95">
        <v>128</v>
      </c>
      <c r="B165" s="95">
        <v>10</v>
      </c>
      <c r="C165" s="95">
        <v>8</v>
      </c>
      <c r="D165" s="95"/>
      <c r="E165" s="95">
        <v>0</v>
      </c>
      <c r="F165" s="95">
        <v>0</v>
      </c>
      <c r="G165" s="95">
        <v>0</v>
      </c>
      <c r="H165" s="95">
        <v>20.381119193456058</v>
      </c>
      <c r="I165" s="95">
        <v>4013.6284830516156</v>
      </c>
      <c r="J165" s="95"/>
      <c r="K165" s="95"/>
      <c r="L165" s="95">
        <v>168.24352056737189</v>
      </c>
      <c r="M165" s="95">
        <v>684.25361753090044</v>
      </c>
      <c r="N165" s="95">
        <v>277.36621467109222</v>
      </c>
      <c r="O165" s="95">
        <v>2295.2029953757406</v>
      </c>
      <c r="P165" s="95">
        <v>2540.9240496098205</v>
      </c>
      <c r="Q165" s="95">
        <v>9999.9999999999964</v>
      </c>
      <c r="S165" s="98">
        <v>2295.2029953757406</v>
      </c>
      <c r="T165" s="95">
        <v>2795.6086175774099</v>
      </c>
      <c r="U165" s="99">
        <v>1563.1033958459122</v>
      </c>
      <c r="W165" s="121">
        <v>80101.909573525729</v>
      </c>
      <c r="X165" s="59">
        <v>362550.23462211771</v>
      </c>
      <c r="Y165" s="59">
        <v>340822.46461658721</v>
      </c>
      <c r="Z165" s="59">
        <v>823237.24053913844</v>
      </c>
      <c r="AA165" s="59">
        <v>1361408.0641681342</v>
      </c>
      <c r="AB165" s="59">
        <v>2260289.9499434917</v>
      </c>
      <c r="AC165" s="59">
        <v>1381269.4000247081</v>
      </c>
      <c r="AD165" s="59">
        <v>6609679.2634877032</v>
      </c>
      <c r="AE165" s="59">
        <v>651176460.84438133</v>
      </c>
      <c r="AF165" s="68">
        <v>6609679.2634877032</v>
      </c>
    </row>
    <row r="166" spans="1:32" x14ac:dyDescent="0.2">
      <c r="A166" s="95">
        <v>129</v>
      </c>
      <c r="B166" s="95">
        <v>10</v>
      </c>
      <c r="C166" s="95">
        <v>9</v>
      </c>
      <c r="D166" s="95"/>
      <c r="E166" s="95">
        <v>0</v>
      </c>
      <c r="F166" s="95">
        <v>0</v>
      </c>
      <c r="G166" s="95">
        <v>0</v>
      </c>
      <c r="H166" s="95">
        <v>20.073703978954764</v>
      </c>
      <c r="I166" s="95">
        <v>3974.3581537871446</v>
      </c>
      <c r="J166" s="95"/>
      <c r="K166" s="95"/>
      <c r="L166" s="95">
        <v>166.5043937312571</v>
      </c>
      <c r="M166" s="95">
        <v>680.65046649745022</v>
      </c>
      <c r="N166" s="95">
        <v>275.50758354902786</v>
      </c>
      <c r="O166" s="95">
        <v>2314.0106703400138</v>
      </c>
      <c r="P166" s="95">
        <v>2568.8950281161488</v>
      </c>
      <c r="Q166" s="95">
        <v>9999.9999999999964</v>
      </c>
      <c r="S166" s="98">
        <v>2314.0106703400138</v>
      </c>
      <c r="T166" s="95">
        <v>2808.6529101473275</v>
      </c>
      <c r="U166" s="99">
        <v>1572.6167795253627</v>
      </c>
      <c r="W166" s="121">
        <v>79300.890477790468</v>
      </c>
      <c r="X166" s="59">
        <v>360672.52651989739</v>
      </c>
      <c r="Y166" s="59">
        <v>339897.09851617384</v>
      </c>
      <c r="Z166" s="59">
        <v>822090.40433217271</v>
      </c>
      <c r="AA166" s="59">
        <v>1364320.1656687511</v>
      </c>
      <c r="AB166" s="59">
        <v>2271697.2126554078</v>
      </c>
      <c r="AC166" s="59">
        <v>1387801.1488409205</v>
      </c>
      <c r="AD166" s="59">
        <v>6625779.4470111141</v>
      </c>
      <c r="AE166" s="59">
        <v>657802240.29139245</v>
      </c>
      <c r="AF166" s="68">
        <v>6625779.4470111141</v>
      </c>
    </row>
    <row r="167" spans="1:32" x14ac:dyDescent="0.2">
      <c r="A167" s="95">
        <v>130</v>
      </c>
      <c r="B167" s="95">
        <v>10</v>
      </c>
      <c r="C167" s="95">
        <v>10</v>
      </c>
      <c r="D167" s="95"/>
      <c r="E167" s="95">
        <v>0</v>
      </c>
      <c r="F167" s="95">
        <v>0</v>
      </c>
      <c r="G167" s="95">
        <v>0</v>
      </c>
      <c r="H167" s="95">
        <v>19.770925610605531</v>
      </c>
      <c r="I167" s="95">
        <v>3935.4710110800343</v>
      </c>
      <c r="J167" s="95"/>
      <c r="K167" s="95"/>
      <c r="L167" s="95">
        <v>164.76050039019574</v>
      </c>
      <c r="M167" s="95">
        <v>677.04366981188468</v>
      </c>
      <c r="N167" s="95">
        <v>273.6490680108987</v>
      </c>
      <c r="O167" s="95">
        <v>2332.6922028468671</v>
      </c>
      <c r="P167" s="95">
        <v>2596.6126222495109</v>
      </c>
      <c r="Q167" s="95">
        <v>9999.9999999999964</v>
      </c>
      <c r="S167" s="98">
        <v>2332.6922028468671</v>
      </c>
      <c r="T167" s="95">
        <v>2821.5695741471359</v>
      </c>
      <c r="U167" s="99">
        <v>1582.0540749127438</v>
      </c>
      <c r="W167" s="121">
        <v>78507.881573012564</v>
      </c>
      <c r="X167" s="59">
        <v>358800.77834090998</v>
      </c>
      <c r="Y167" s="59">
        <v>338967.91698589904</v>
      </c>
      <c r="Z167" s="59">
        <v>820935.88926258427</v>
      </c>
      <c r="AA167" s="59">
        <v>1367205.7699939115</v>
      </c>
      <c r="AB167" s="59">
        <v>2283027.4846035186</v>
      </c>
      <c r="AC167" s="59">
        <v>1394287.1744099739</v>
      </c>
      <c r="AD167" s="59">
        <v>6641732.8951698095</v>
      </c>
      <c r="AE167" s="59">
        <v>664443973.1865623</v>
      </c>
      <c r="AF167" s="68">
        <v>6641732.8951698095</v>
      </c>
    </row>
    <row r="168" spans="1:32" x14ac:dyDescent="0.2">
      <c r="A168" s="95">
        <v>131</v>
      </c>
      <c r="B168" s="95">
        <v>10</v>
      </c>
      <c r="C168" s="95">
        <v>11</v>
      </c>
      <c r="D168" s="95"/>
      <c r="E168" s="95">
        <v>0</v>
      </c>
      <c r="F168" s="95">
        <v>0</v>
      </c>
      <c r="G168" s="95">
        <v>0</v>
      </c>
      <c r="H168" s="95">
        <v>19.472714149312232</v>
      </c>
      <c r="I168" s="95">
        <v>3896.9633317519833</v>
      </c>
      <c r="J168" s="95"/>
      <c r="K168" s="95"/>
      <c r="L168" s="95">
        <v>163.01263886599935</v>
      </c>
      <c r="M168" s="95">
        <v>673.4338740615226</v>
      </c>
      <c r="N168" s="95">
        <v>271.79106269985704</v>
      </c>
      <c r="O168" s="95">
        <v>2351.2474906910838</v>
      </c>
      <c r="P168" s="95">
        <v>2624.0788877802388</v>
      </c>
      <c r="Q168" s="95">
        <v>9999.9999999999964</v>
      </c>
      <c r="S168" s="98">
        <v>2351.2474906910838</v>
      </c>
      <c r="T168" s="95">
        <v>2834.3598549331459</v>
      </c>
      <c r="U168" s="99">
        <v>1591.4156813901488</v>
      </c>
      <c r="W168" s="121">
        <v>77722.802757282436</v>
      </c>
      <c r="X168" s="59">
        <v>356935.02447841346</v>
      </c>
      <c r="Y168" s="59">
        <v>338035.00135004165</v>
      </c>
      <c r="Z168" s="59">
        <v>819773.6929261263</v>
      </c>
      <c r="AA168" s="59">
        <v>1370064.914373331</v>
      </c>
      <c r="AB168" s="59">
        <v>2294281.0697052623</v>
      </c>
      <c r="AC168" s="59">
        <v>1400727.680830223</v>
      </c>
      <c r="AD168" s="59">
        <v>6657540.18642068</v>
      </c>
      <c r="AE168" s="59">
        <v>671101513.37298298</v>
      </c>
      <c r="AF168" s="68">
        <v>6657540.18642068</v>
      </c>
    </row>
    <row r="169" spans="1:32" x14ac:dyDescent="0.2">
      <c r="A169" s="95">
        <v>132</v>
      </c>
      <c r="B169" s="95">
        <v>11</v>
      </c>
      <c r="C169" s="95">
        <v>0</v>
      </c>
      <c r="D169" s="95"/>
      <c r="E169" s="95">
        <v>0</v>
      </c>
      <c r="F169" s="95">
        <v>0</v>
      </c>
      <c r="G169" s="95">
        <v>0</v>
      </c>
      <c r="H169" s="95">
        <v>19.17900071089344</v>
      </c>
      <c r="I169" s="95">
        <v>3858.8314285598653</v>
      </c>
      <c r="J169" s="95"/>
      <c r="K169" s="95"/>
      <c r="L169" s="95">
        <v>161.65966987582445</v>
      </c>
      <c r="M169" s="95">
        <v>669.42361718090285</v>
      </c>
      <c r="N169" s="95">
        <v>269.93394992279616</v>
      </c>
      <c r="O169" s="95">
        <v>2369.6764638528621</v>
      </c>
      <c r="P169" s="95">
        <v>2651.2958698968528</v>
      </c>
      <c r="Q169" s="95">
        <v>9999.9999999999964</v>
      </c>
      <c r="S169" s="98">
        <v>2369.6764638528621</v>
      </c>
      <c r="T169" s="95">
        <v>2847.0249857613398</v>
      </c>
      <c r="U169" s="99">
        <v>1600.702002183782</v>
      </c>
      <c r="W169" s="121">
        <v>76945.574729709595</v>
      </c>
      <c r="X169" s="59">
        <v>355075.29829245526</v>
      </c>
      <c r="Y169" s="59">
        <v>337098.43234292581</v>
      </c>
      <c r="Z169" s="59">
        <v>818603.81461671763</v>
      </c>
      <c r="AA169" s="59">
        <v>1372897.6358359263</v>
      </c>
      <c r="AB169" s="59">
        <v>2305458.2681693048</v>
      </c>
      <c r="AC169" s="59">
        <v>1407122.8689414747</v>
      </c>
      <c r="AD169" s="59">
        <v>6673201.8929285137</v>
      </c>
      <c r="AE169" s="59">
        <v>677774715.26591146</v>
      </c>
      <c r="AF169" s="68">
        <v>6673201.8929285137</v>
      </c>
    </row>
    <row r="170" spans="1:32" x14ac:dyDescent="0.2">
      <c r="A170" s="95">
        <v>133</v>
      </c>
      <c r="B170" s="95">
        <v>11</v>
      </c>
      <c r="C170" s="95">
        <v>1</v>
      </c>
      <c r="D170" s="95"/>
      <c r="E170" s="95">
        <v>0</v>
      </c>
      <c r="F170" s="95">
        <v>0</v>
      </c>
      <c r="G170" s="95">
        <v>0</v>
      </c>
      <c r="H170" s="95">
        <v>18.889717450170799</v>
      </c>
      <c r="I170" s="95">
        <v>3821.0716498525653</v>
      </c>
      <c r="J170" s="95"/>
      <c r="K170" s="95"/>
      <c r="L170" s="95">
        <v>160.29082855826437</v>
      </c>
      <c r="M170" s="95">
        <v>665.42269545626539</v>
      </c>
      <c r="N170" s="95">
        <v>268.07809993593617</v>
      </c>
      <c r="O170" s="95">
        <v>2387.9814056577534</v>
      </c>
      <c r="P170" s="95">
        <v>2678.2656030890416</v>
      </c>
      <c r="Q170" s="95">
        <v>9999.9999999999964</v>
      </c>
      <c r="S170" s="98">
        <v>2387.9814056577534</v>
      </c>
      <c r="T170" s="95">
        <v>2859.5661879041595</v>
      </c>
      <c r="U170" s="99">
        <v>1609.9134441437566</v>
      </c>
      <c r="W170" s="121">
        <v>76176.118982412503</v>
      </c>
      <c r="X170" s="59">
        <v>353221.63212525856</v>
      </c>
      <c r="Y170" s="59">
        <v>336158.29010764905</v>
      </c>
      <c r="Z170" s="59">
        <v>817426.25529745617</v>
      </c>
      <c r="AA170" s="59">
        <v>1375703.9712298664</v>
      </c>
      <c r="AB170" s="59">
        <v>2316559.0953803034</v>
      </c>
      <c r="AC170" s="59">
        <v>1413472.9363983169</v>
      </c>
      <c r="AD170" s="59">
        <v>6688718.2995212628</v>
      </c>
      <c r="AE170" s="59">
        <v>684463433.56543267</v>
      </c>
      <c r="AF170" s="68">
        <v>6688718.2995212628</v>
      </c>
    </row>
    <row r="171" spans="1:32" x14ac:dyDescent="0.2">
      <c r="A171" s="95">
        <v>134</v>
      </c>
      <c r="B171" s="95">
        <v>11</v>
      </c>
      <c r="C171" s="95">
        <v>2</v>
      </c>
      <c r="D171" s="95"/>
      <c r="E171" s="95">
        <v>0</v>
      </c>
      <c r="F171" s="95">
        <v>0</v>
      </c>
      <c r="G171" s="95">
        <v>0</v>
      </c>
      <c r="H171" s="95">
        <v>18.604797545297391</v>
      </c>
      <c r="I171" s="95">
        <v>3783.6803792310334</v>
      </c>
      <c r="J171" s="95"/>
      <c r="K171" s="95"/>
      <c r="L171" s="95">
        <v>158.92975841971338</v>
      </c>
      <c r="M171" s="95">
        <v>661.40890084161731</v>
      </c>
      <c r="N171" s="95">
        <v>266.22385806613977</v>
      </c>
      <c r="O171" s="95">
        <v>2406.1622074378661</v>
      </c>
      <c r="P171" s="95">
        <v>2704.9900984583301</v>
      </c>
      <c r="Q171" s="95">
        <v>9999.9999999999982</v>
      </c>
      <c r="S171" s="98">
        <v>2406.1622074378661</v>
      </c>
      <c r="T171" s="95">
        <v>2871.9846707661804</v>
      </c>
      <c r="U171" s="99">
        <v>1619.0504043713336</v>
      </c>
      <c r="W171" s="121">
        <v>75414.357792588387</v>
      </c>
      <c r="X171" s="59">
        <v>351374.0573164185</v>
      </c>
      <c r="Y171" s="59">
        <v>335214.6541949329</v>
      </c>
      <c r="Z171" s="59">
        <v>816241.01757189422</v>
      </c>
      <c r="AA171" s="59">
        <v>1378483.9572422011</v>
      </c>
      <c r="AB171" s="59">
        <v>2327583.8538244064</v>
      </c>
      <c r="AC171" s="59">
        <v>1419778.0748119832</v>
      </c>
      <c r="AD171" s="59">
        <v>6704089.9727544244</v>
      </c>
      <c r="AE171" s="59">
        <v>691167523.53818715</v>
      </c>
      <c r="AF171" s="68">
        <v>6704089.9727544244</v>
      </c>
    </row>
    <row r="172" spans="1:32" x14ac:dyDescent="0.2">
      <c r="A172" s="95">
        <v>135</v>
      </c>
      <c r="B172" s="95">
        <v>11</v>
      </c>
      <c r="C172" s="95">
        <v>3</v>
      </c>
      <c r="D172" s="95"/>
      <c r="E172" s="95">
        <v>0</v>
      </c>
      <c r="F172" s="95">
        <v>0</v>
      </c>
      <c r="G172" s="95">
        <v>0</v>
      </c>
      <c r="H172" s="95">
        <v>18.324175182322488</v>
      </c>
      <c r="I172" s="95">
        <v>3746.6540352115326</v>
      </c>
      <c r="J172" s="95"/>
      <c r="K172" s="95"/>
      <c r="L172" s="95">
        <v>157.57653076500239</v>
      </c>
      <c r="M172" s="95">
        <v>657.38341851146197</v>
      </c>
      <c r="N172" s="95">
        <v>264.37155939701177</v>
      </c>
      <c r="O172" s="95">
        <v>2424.2189241312735</v>
      </c>
      <c r="P172" s="95">
        <v>2731.4713568013922</v>
      </c>
      <c r="Q172" s="95">
        <v>9999.9999999999964</v>
      </c>
      <c r="S172" s="98">
        <v>2424.2189241312735</v>
      </c>
      <c r="T172" s="95">
        <v>2884.2816319986814</v>
      </c>
      <c r="U172" s="99">
        <v>1628.1132838829174</v>
      </c>
      <c r="W172" s="121">
        <v>74660.214214662497</v>
      </c>
      <c r="X172" s="59">
        <v>349532.60421790916</v>
      </c>
      <c r="Y172" s="59">
        <v>334267.60356209282</v>
      </c>
      <c r="Z172" s="59">
        <v>815048.10565557447</v>
      </c>
      <c r="AA172" s="59">
        <v>1381237.6304180762</v>
      </c>
      <c r="AB172" s="59">
        <v>2338532.8246494434</v>
      </c>
      <c r="AC172" s="59">
        <v>1426038.4729547568</v>
      </c>
      <c r="AD172" s="59">
        <v>6719317.4556725156</v>
      </c>
      <c r="AE172" s="59">
        <v>697886840.99385965</v>
      </c>
      <c r="AF172" s="68">
        <v>6719317.4556725156</v>
      </c>
    </row>
    <row r="173" spans="1:32" x14ac:dyDescent="0.2">
      <c r="A173" s="95">
        <v>136</v>
      </c>
      <c r="B173" s="95">
        <v>11</v>
      </c>
      <c r="C173" s="95">
        <v>4</v>
      </c>
      <c r="D173" s="95"/>
      <c r="E173" s="95">
        <v>0</v>
      </c>
      <c r="F173" s="95">
        <v>0</v>
      </c>
      <c r="G173" s="95">
        <v>0</v>
      </c>
      <c r="H173" s="95">
        <v>18.047785539989125</v>
      </c>
      <c r="I173" s="95">
        <v>3709.9890708920484</v>
      </c>
      <c r="J173" s="95"/>
      <c r="K173" s="95"/>
      <c r="L173" s="95">
        <v>156.23121234450485</v>
      </c>
      <c r="M173" s="95">
        <v>653.34740048587332</v>
      </c>
      <c r="N173" s="95">
        <v>262.52152821538101</v>
      </c>
      <c r="O173" s="95">
        <v>2442.1516347425268</v>
      </c>
      <c r="P173" s="95">
        <v>2757.7113677796738</v>
      </c>
      <c r="Q173" s="95">
        <v>9999.9999999999964</v>
      </c>
      <c r="S173" s="98">
        <v>2442.1516347425268</v>
      </c>
      <c r="T173" s="95">
        <v>2896.4582576131188</v>
      </c>
      <c r="U173" s="99">
        <v>1637.1024866365642</v>
      </c>
      <c r="W173" s="121">
        <v>73913.612072515883</v>
      </c>
      <c r="X173" s="59">
        <v>347697.30220890412</v>
      </c>
      <c r="Y173" s="59">
        <v>333317.21657212486</v>
      </c>
      <c r="Z173" s="59">
        <v>813847.52534782735</v>
      </c>
      <c r="AA173" s="59">
        <v>1383965.0271795392</v>
      </c>
      <c r="AB173" s="59">
        <v>2349406.2858255338</v>
      </c>
      <c r="AC173" s="59">
        <v>1432254.3166359602</v>
      </c>
      <c r="AD173" s="59">
        <v>6734401.2858424056</v>
      </c>
      <c r="AE173" s="59">
        <v>704621242.27970207</v>
      </c>
      <c r="AF173" s="68">
        <v>6734401.2858424056</v>
      </c>
    </row>
    <row r="174" spans="1:32" x14ac:dyDescent="0.2">
      <c r="A174" s="95">
        <v>137</v>
      </c>
      <c r="B174" s="95">
        <v>11</v>
      </c>
      <c r="C174" s="95">
        <v>5</v>
      </c>
      <c r="D174" s="95"/>
      <c r="E174" s="95">
        <v>0</v>
      </c>
      <c r="F174" s="95">
        <v>0</v>
      </c>
      <c r="G174" s="95">
        <v>0</v>
      </c>
      <c r="H174" s="95">
        <v>17.775564774760955</v>
      </c>
      <c r="I174" s="95">
        <v>3673.6819736218299</v>
      </c>
      <c r="J174" s="95"/>
      <c r="K174" s="95"/>
      <c r="L174" s="95">
        <v>154.89386549970334</v>
      </c>
      <c r="M174" s="95">
        <v>649.30196639377743</v>
      </c>
      <c r="N174" s="95">
        <v>260.67407828062994</v>
      </c>
      <c r="O174" s="95">
        <v>2459.9604415799504</v>
      </c>
      <c r="P174" s="95">
        <v>2783.7121098493449</v>
      </c>
      <c r="Q174" s="95">
        <v>9999.9999999999964</v>
      </c>
      <c r="S174" s="98">
        <v>2459.9604415799504</v>
      </c>
      <c r="T174" s="95">
        <v>2908.515722093518</v>
      </c>
      <c r="U174" s="99">
        <v>1646.0184193586438</v>
      </c>
      <c r="W174" s="121">
        <v>73174.475951790722</v>
      </c>
      <c r="X174" s="59">
        <v>345868.17971041251</v>
      </c>
      <c r="Y174" s="59">
        <v>332363.57099290704</v>
      </c>
      <c r="Z174" s="59">
        <v>812639.28400382865</v>
      </c>
      <c r="AA174" s="59">
        <v>1386666.1838439375</v>
      </c>
      <c r="AB174" s="59">
        <v>2360204.5121920756</v>
      </c>
      <c r="AC174" s="59">
        <v>1438425.7887720815</v>
      </c>
      <c r="AD174" s="59">
        <v>6749341.9954670332</v>
      </c>
      <c r="AE174" s="59">
        <v>711370584.27516913</v>
      </c>
      <c r="AF174" s="68">
        <v>6749341.9954670332</v>
      </c>
    </row>
    <row r="175" spans="1:32" x14ac:dyDescent="0.2">
      <c r="A175" s="95">
        <v>138</v>
      </c>
      <c r="B175" s="95">
        <v>11</v>
      </c>
      <c r="C175" s="95">
        <v>6</v>
      </c>
      <c r="D175" s="95"/>
      <c r="E175" s="95">
        <v>0</v>
      </c>
      <c r="F175" s="95">
        <v>0</v>
      </c>
      <c r="G175" s="95">
        <v>0</v>
      </c>
      <c r="H175" s="95">
        <v>17.507450006074976</v>
      </c>
      <c r="I175" s="95">
        <v>3637.7292646740379</v>
      </c>
      <c r="J175" s="95"/>
      <c r="K175" s="95"/>
      <c r="L175" s="95">
        <v>153.56454830468465</v>
      </c>
      <c r="M175" s="95">
        <v>645.2482042198269</v>
      </c>
      <c r="N175" s="95">
        <v>258.82951308774597</v>
      </c>
      <c r="O175" s="95">
        <v>2477.6454695118568</v>
      </c>
      <c r="P175" s="95">
        <v>2809.4755501957698</v>
      </c>
      <c r="Q175" s="95">
        <v>9999.9999999999964</v>
      </c>
      <c r="S175" s="98">
        <v>2477.6454695118568</v>
      </c>
      <c r="T175" s="95">
        <v>2920.455188507789</v>
      </c>
      <c r="U175" s="99">
        <v>1654.8614913752656</v>
      </c>
      <c r="W175" s="121">
        <v>72442.731192272811</v>
      </c>
      <c r="X175" s="59">
        <v>344045.2641997328</v>
      </c>
      <c r="Y175" s="59">
        <v>331406.7439965118</v>
      </c>
      <c r="Z175" s="59">
        <v>811423.39050691912</v>
      </c>
      <c r="AA175" s="59">
        <v>1389341.1366419184</v>
      </c>
      <c r="AB175" s="59">
        <v>2370927.7755045881</v>
      </c>
      <c r="AC175" s="59">
        <v>1444553.0694553105</v>
      </c>
      <c r="AD175" s="59">
        <v>6764140.1114972532</v>
      </c>
      <c r="AE175" s="59">
        <v>718134724.38666642</v>
      </c>
      <c r="AF175" s="68">
        <v>6764140.1114972532</v>
      </c>
    </row>
    <row r="176" spans="1:32" x14ac:dyDescent="0.2">
      <c r="A176" s="95">
        <v>139</v>
      </c>
      <c r="B176" s="95">
        <v>11</v>
      </c>
      <c r="C176" s="95">
        <v>7</v>
      </c>
      <c r="D176" s="95"/>
      <c r="E176" s="95">
        <v>0</v>
      </c>
      <c r="F176" s="95">
        <v>0</v>
      </c>
      <c r="G176" s="95">
        <v>0</v>
      </c>
      <c r="H176" s="95">
        <v>17.243379301816677</v>
      </c>
      <c r="I176" s="95">
        <v>3602.1274989214685</v>
      </c>
      <c r="J176" s="95"/>
      <c r="K176" s="95"/>
      <c r="L176" s="95">
        <v>152.24331470367287</v>
      </c>
      <c r="M176" s="95">
        <v>641.18717103520987</v>
      </c>
      <c r="N176" s="95">
        <v>256.98812612424035</v>
      </c>
      <c r="O176" s="95">
        <v>2495.2068652412354</v>
      </c>
      <c r="P176" s="95">
        <v>2835.0036446723534</v>
      </c>
      <c r="Q176" s="95">
        <v>9999.9999999999964</v>
      </c>
      <c r="S176" s="98">
        <v>2495.2068652412354</v>
      </c>
      <c r="T176" s="95">
        <v>2932.2778086179796</v>
      </c>
      <c r="U176" s="99">
        <v>1663.6321144483575</v>
      </c>
      <c r="W176" s="121">
        <v>71718.303880350082</v>
      </c>
      <c r="X176" s="59">
        <v>342228.58222472609</v>
      </c>
      <c r="Y176" s="59">
        <v>330446.81215862901</v>
      </c>
      <c r="Z176" s="59">
        <v>810199.85524118308</v>
      </c>
      <c r="AA176" s="59">
        <v>1391989.9217350327</v>
      </c>
      <c r="AB176" s="59">
        <v>2381576.3444813951</v>
      </c>
      <c r="AC176" s="59">
        <v>1450636.3360205428</v>
      </c>
      <c r="AD176" s="59">
        <v>6778796.1557418592</v>
      </c>
      <c r="AE176" s="59">
        <v>724913520.54240823</v>
      </c>
      <c r="AF176" s="68">
        <v>6778796.1557418592</v>
      </c>
    </row>
    <row r="177" spans="1:32" x14ac:dyDescent="0.2">
      <c r="A177" s="95">
        <v>140</v>
      </c>
      <c r="B177" s="95">
        <v>11</v>
      </c>
      <c r="C177" s="95">
        <v>8</v>
      </c>
      <c r="D177" s="95"/>
      <c r="E177" s="95">
        <v>0</v>
      </c>
      <c r="F177" s="95">
        <v>0</v>
      </c>
      <c r="G177" s="95">
        <v>0</v>
      </c>
      <c r="H177" s="95">
        <v>16.983291664014274</v>
      </c>
      <c r="I177" s="95">
        <v>3566.873264515325</v>
      </c>
      <c r="J177" s="95"/>
      <c r="K177" s="95"/>
      <c r="L177" s="95">
        <v>150.93021464470664</v>
      </c>
      <c r="M177" s="95">
        <v>637.11989371273057</v>
      </c>
      <c r="N177" s="95">
        <v>255.15020112107521</v>
      </c>
      <c r="O177" s="95">
        <v>2512.6447965984908</v>
      </c>
      <c r="P177" s="95">
        <v>2860.2983377436549</v>
      </c>
      <c r="Q177" s="95">
        <v>9999.9999999999982</v>
      </c>
      <c r="S177" s="98">
        <v>2512.6447965984908</v>
      </c>
      <c r="T177" s="95">
        <v>2943.9847229894744</v>
      </c>
      <c r="U177" s="99">
        <v>1672.3307026162861</v>
      </c>
      <c r="W177" s="121">
        <v>71001.120841546595</v>
      </c>
      <c r="X177" s="59">
        <v>340418.15941791149</v>
      </c>
      <c r="Y177" s="59">
        <v>329483.8514580949</v>
      </c>
      <c r="Z177" s="59">
        <v>808968.69006428763</v>
      </c>
      <c r="AA177" s="59">
        <v>1394612.5752329479</v>
      </c>
      <c r="AB177" s="59">
        <v>2392150.4848501389</v>
      </c>
      <c r="AC177" s="59">
        <v>1456675.7631108838</v>
      </c>
      <c r="AD177" s="59">
        <v>6793310.6449758112</v>
      </c>
      <c r="AE177" s="59">
        <v>731706831.18738401</v>
      </c>
      <c r="AF177" s="68">
        <v>6793310.6449758112</v>
      </c>
    </row>
    <row r="178" spans="1:32" x14ac:dyDescent="0.2">
      <c r="A178" s="95">
        <v>141</v>
      </c>
      <c r="B178" s="95">
        <v>11</v>
      </c>
      <c r="C178" s="95">
        <v>9</v>
      </c>
      <c r="D178" s="95"/>
      <c r="E178" s="95">
        <v>0</v>
      </c>
      <c r="F178" s="95">
        <v>0</v>
      </c>
      <c r="G178" s="95">
        <v>0</v>
      </c>
      <c r="H178" s="95">
        <v>16.727127014748724</v>
      </c>
      <c r="I178" s="95">
        <v>3531.9631825670099</v>
      </c>
      <c r="J178" s="95"/>
      <c r="K178" s="95"/>
      <c r="L178" s="95">
        <v>149.62529420956423</v>
      </c>
      <c r="M178" s="95">
        <v>633.04736962648929</v>
      </c>
      <c r="N178" s="95">
        <v>253.31601229773781</v>
      </c>
      <c r="O178" s="95">
        <v>2529.9594518518124</v>
      </c>
      <c r="P178" s="95">
        <v>2885.3615624326349</v>
      </c>
      <c r="Q178" s="95">
        <v>9999.9999999999964</v>
      </c>
      <c r="S178" s="98">
        <v>2529.9594518518124</v>
      </c>
      <c r="T178" s="95">
        <v>2955.5770610991494</v>
      </c>
      <c r="U178" s="99">
        <v>1680.9576720389127</v>
      </c>
      <c r="W178" s="121">
        <v>70291.109633131127</v>
      </c>
      <c r="X178" s="59">
        <v>338614.02051038528</v>
      </c>
      <c r="Y178" s="59">
        <v>328517.9372765263</v>
      </c>
      <c r="Z178" s="59">
        <v>807729.90828058147</v>
      </c>
      <c r="AA178" s="59">
        <v>1397209.1332102749</v>
      </c>
      <c r="AB178" s="59">
        <v>2402650.4593941169</v>
      </c>
      <c r="AC178" s="59">
        <v>1462671.522741704</v>
      </c>
      <c r="AD178" s="59">
        <v>6807684.0910467198</v>
      </c>
      <c r="AE178" s="59">
        <v>738514515.2784307</v>
      </c>
      <c r="AF178" s="68">
        <v>6807684.0910467198</v>
      </c>
    </row>
    <row r="179" spans="1:32" x14ac:dyDescent="0.2">
      <c r="A179" s="95">
        <v>142</v>
      </c>
      <c r="B179" s="95">
        <v>11</v>
      </c>
      <c r="C179" s="95">
        <v>10</v>
      </c>
      <c r="D179" s="95"/>
      <c r="E179" s="95">
        <v>0</v>
      </c>
      <c r="F179" s="95">
        <v>0</v>
      </c>
      <c r="G179" s="95">
        <v>0</v>
      </c>
      <c r="H179" s="95">
        <v>16.474826182276264</v>
      </c>
      <c r="I179" s="95">
        <v>3497.39390683291</v>
      </c>
      <c r="J179" s="95"/>
      <c r="K179" s="95"/>
      <c r="L179" s="95">
        <v>148.32859574003734</v>
      </c>
      <c r="M179" s="95">
        <v>628.97056733648378</v>
      </c>
      <c r="N179" s="95">
        <v>251.48582460159639</v>
      </c>
      <c r="O179" s="95">
        <v>2547.1510390347657</v>
      </c>
      <c r="P179" s="95">
        <v>2910.1952402719276</v>
      </c>
      <c r="Q179" s="95">
        <v>9999.9999999999964</v>
      </c>
      <c r="S179" s="98">
        <v>2547.1510390347657</v>
      </c>
      <c r="T179" s="95">
        <v>2967.0559414424924</v>
      </c>
      <c r="U179" s="99">
        <v>1689.5134408469785</v>
      </c>
      <c r="W179" s="121">
        <v>69588.198536799813</v>
      </c>
      <c r="X179" s="59">
        <v>336816.18934556545</v>
      </c>
      <c r="Y179" s="59">
        <v>327549.14439805713</v>
      </c>
      <c r="Z179" s="59">
        <v>806483.52461445297</v>
      </c>
      <c r="AA179" s="59">
        <v>1399779.6317230132</v>
      </c>
      <c r="AB179" s="59">
        <v>2413076.5279984344</v>
      </c>
      <c r="AC179" s="59">
        <v>1468623.7843632824</v>
      </c>
      <c r="AD179" s="59">
        <v>6821917.0009796051</v>
      </c>
      <c r="AE179" s="59">
        <v>745336432.27941036</v>
      </c>
      <c r="AF179" s="68">
        <v>6821917.0009796051</v>
      </c>
    </row>
    <row r="180" spans="1:32" x14ac:dyDescent="0.2">
      <c r="A180" s="95">
        <v>143</v>
      </c>
      <c r="B180" s="95">
        <v>11</v>
      </c>
      <c r="C180" s="95">
        <v>11</v>
      </c>
      <c r="D180" s="95"/>
      <c r="E180" s="95">
        <v>0</v>
      </c>
      <c r="F180" s="95">
        <v>0</v>
      </c>
      <c r="G180" s="95">
        <v>0</v>
      </c>
      <c r="H180" s="95">
        <v>16.226330887360263</v>
      </c>
      <c r="I180" s="95">
        <v>3463.1621234021486</v>
      </c>
      <c r="J180" s="95"/>
      <c r="K180" s="95"/>
      <c r="L180" s="95">
        <v>147.04015796065138</v>
      </c>
      <c r="M180" s="95">
        <v>624.89042725844752</v>
      </c>
      <c r="N180" s="95">
        <v>249.65989394166962</v>
      </c>
      <c r="O180" s="95">
        <v>2564.2197852907038</v>
      </c>
      <c r="P180" s="95">
        <v>2934.8012812590159</v>
      </c>
      <c r="Q180" s="95">
        <v>9999.9999999999964</v>
      </c>
      <c r="S180" s="98">
        <v>2564.2197852907038</v>
      </c>
      <c r="T180" s="95">
        <v>2978.4224716396993</v>
      </c>
      <c r="U180" s="99">
        <v>1697.9984289957172</v>
      </c>
      <c r="W180" s="121">
        <v>68892.316551431824</v>
      </c>
      <c r="X180" s="59">
        <v>335024.68889276509</v>
      </c>
      <c r="Y180" s="59">
        <v>326577.54700917477</v>
      </c>
      <c r="Z180" s="59">
        <v>805229.55518394709</v>
      </c>
      <c r="AA180" s="59">
        <v>1402324.1068246216</v>
      </c>
      <c r="AB180" s="59">
        <v>2423428.9476959542</v>
      </c>
      <c r="AC180" s="59">
        <v>1474532.7149220777</v>
      </c>
      <c r="AD180" s="59">
        <v>6836009.8770799721</v>
      </c>
      <c r="AE180" s="59">
        <v>752172442.15649033</v>
      </c>
      <c r="AF180" s="68">
        <v>6836009.8770799721</v>
      </c>
    </row>
    <row r="181" spans="1:32" x14ac:dyDescent="0.2">
      <c r="A181" s="95">
        <v>144</v>
      </c>
      <c r="B181" s="95">
        <v>12</v>
      </c>
      <c r="C181" s="95">
        <v>0</v>
      </c>
      <c r="D181" s="95"/>
      <c r="E181" s="95">
        <v>0</v>
      </c>
      <c r="F181" s="95">
        <v>0</v>
      </c>
      <c r="G181" s="95">
        <v>0</v>
      </c>
      <c r="H181" s="95">
        <v>15.981583729809245</v>
      </c>
      <c r="I181" s="95">
        <v>3429.2645503872718</v>
      </c>
      <c r="J181" s="95"/>
      <c r="K181" s="95"/>
      <c r="L181" s="95">
        <v>145.76001609792843</v>
      </c>
      <c r="M181" s="95">
        <v>620.80786231923378</v>
      </c>
      <c r="N181" s="95">
        <v>247.83846741693856</v>
      </c>
      <c r="O181" s="95">
        <v>2581.1659362336104</v>
      </c>
      <c r="P181" s="95">
        <v>2959.1815838152047</v>
      </c>
      <c r="Q181" s="95">
        <v>9999.9999999999964</v>
      </c>
      <c r="S181" s="98">
        <v>2581.1659362336104</v>
      </c>
      <c r="T181" s="95">
        <v>2989.6777485407565</v>
      </c>
      <c r="U181" s="99">
        <v>1706.4130581225945</v>
      </c>
      <c r="W181" s="121">
        <v>68203.393385917501</v>
      </c>
      <c r="X181" s="59">
        <v>333239.54126059462</v>
      </c>
      <c r="Y181" s="59">
        <v>325603.2186986545</v>
      </c>
      <c r="Z181" s="59">
        <v>803968.01747464028</v>
      </c>
      <c r="AA181" s="59">
        <v>1404842.5945817125</v>
      </c>
      <c r="AB181" s="59">
        <v>2433707.9727130439</v>
      </c>
      <c r="AC181" s="59">
        <v>1480398.4789206665</v>
      </c>
      <c r="AD181" s="59">
        <v>6849963.2170352302</v>
      </c>
      <c r="AE181" s="59">
        <v>759022405.3735255</v>
      </c>
      <c r="AF181" s="68">
        <v>6849963.2170352302</v>
      </c>
    </row>
    <row r="182" spans="1:32" x14ac:dyDescent="0.2">
      <c r="A182" s="95">
        <v>145</v>
      </c>
      <c r="B182" s="95">
        <v>12</v>
      </c>
      <c r="C182" s="95">
        <v>1</v>
      </c>
      <c r="D182" s="95"/>
      <c r="E182" s="95">
        <v>0</v>
      </c>
      <c r="F182" s="95">
        <v>0</v>
      </c>
      <c r="G182" s="95">
        <v>0</v>
      </c>
      <c r="H182" s="95">
        <v>15.740528175217955</v>
      </c>
      <c r="I182" s="95">
        <v>3395.6979376178519</v>
      </c>
      <c r="J182" s="95"/>
      <c r="K182" s="95"/>
      <c r="L182" s="95">
        <v>144.48820199628506</v>
      </c>
      <c r="M182" s="95">
        <v>616.72375859804754</v>
      </c>
      <c r="N182" s="95">
        <v>246.02178353932649</v>
      </c>
      <c r="O182" s="95">
        <v>2597.9897553249943</v>
      </c>
      <c r="P182" s="95">
        <v>2983.3380347482735</v>
      </c>
      <c r="Q182" s="95">
        <v>9999.9999999999964</v>
      </c>
      <c r="S182" s="98">
        <v>2597.9897553249943</v>
      </c>
      <c r="T182" s="95">
        <v>3000.8228583295149</v>
      </c>
      <c r="U182" s="99">
        <v>1714.7577514090769</v>
      </c>
      <c r="W182" s="121">
        <v>67521.359452058328</v>
      </c>
      <c r="X182" s="59">
        <v>331460.76771019626</v>
      </c>
      <c r="Y182" s="59">
        <v>324626.23245758913</v>
      </c>
      <c r="Z182" s="59">
        <v>802698.93031377334</v>
      </c>
      <c r="AA182" s="59">
        <v>1407335.1310893849</v>
      </c>
      <c r="AB182" s="59">
        <v>2443913.8545151129</v>
      </c>
      <c r="AC182" s="59">
        <v>1486221.2384763858</v>
      </c>
      <c r="AD182" s="59">
        <v>6863777.5140145011</v>
      </c>
      <c r="AE182" s="59">
        <v>765886182.88753998</v>
      </c>
      <c r="AF182" s="68">
        <v>6863777.5140145011</v>
      </c>
    </row>
    <row r="183" spans="1:32" x14ac:dyDescent="0.2">
      <c r="A183" s="95">
        <v>146</v>
      </c>
      <c r="B183" s="95">
        <v>12</v>
      </c>
      <c r="C183" s="95">
        <v>2</v>
      </c>
      <c r="D183" s="95"/>
      <c r="E183" s="95">
        <v>0</v>
      </c>
      <c r="F183" s="95">
        <v>0</v>
      </c>
      <c r="G183" s="95">
        <v>0</v>
      </c>
      <c r="H183" s="95">
        <v>15.503108541908418</v>
      </c>
      <c r="I183" s="95">
        <v>3362.45906633697</v>
      </c>
      <c r="J183" s="95"/>
      <c r="K183" s="95"/>
      <c r="L183" s="95">
        <v>143.22474423065631</v>
      </c>
      <c r="M183" s="95">
        <v>612.63897595382173</v>
      </c>
      <c r="N183" s="95">
        <v>244.21007245146947</v>
      </c>
      <c r="O183" s="95">
        <v>2614.691523266461</v>
      </c>
      <c r="P183" s="95">
        <v>3007.2725092187102</v>
      </c>
      <c r="Q183" s="95">
        <v>9999.9999999999964</v>
      </c>
      <c r="S183" s="98">
        <v>2614.691523266461</v>
      </c>
      <c r="T183" s="95">
        <v>3011.8588766267731</v>
      </c>
      <c r="U183" s="99">
        <v>1723.0329334463324</v>
      </c>
      <c r="W183" s="121">
        <v>66846.145857537747</v>
      </c>
      <c r="X183" s="59">
        <v>329688.3886683124</v>
      </c>
      <c r="Y183" s="59">
        <v>323646.66067951277</v>
      </c>
      <c r="Z183" s="59">
        <v>801422.31384464155</v>
      </c>
      <c r="AA183" s="59">
        <v>1409801.7524861898</v>
      </c>
      <c r="AB183" s="59">
        <v>2454046.8418519185</v>
      </c>
      <c r="AC183" s="59">
        <v>1492001.1533787122</v>
      </c>
      <c r="AD183" s="59">
        <v>6877453.256766825</v>
      </c>
      <c r="AE183" s="59">
        <v>772763636.14430678</v>
      </c>
      <c r="AF183" s="68">
        <v>6877453.256766825</v>
      </c>
    </row>
    <row r="184" spans="1:32" x14ac:dyDescent="0.2">
      <c r="A184" s="95">
        <v>147</v>
      </c>
      <c r="B184" s="95">
        <v>12</v>
      </c>
      <c r="C184" s="95">
        <v>3</v>
      </c>
      <c r="D184" s="95"/>
      <c r="E184" s="95">
        <v>0</v>
      </c>
      <c r="F184" s="95">
        <v>0</v>
      </c>
      <c r="G184" s="95">
        <v>0</v>
      </c>
      <c r="H184" s="95">
        <v>15.269269988067967</v>
      </c>
      <c r="I184" s="95">
        <v>3329.5447489005614</v>
      </c>
      <c r="J184" s="95"/>
      <c r="K184" s="95"/>
      <c r="L184" s="95">
        <v>141.96966821593364</v>
      </c>
      <c r="M184" s="95">
        <v>608.55434863902758</v>
      </c>
      <c r="N184" s="95">
        <v>242.40355613939772</v>
      </c>
      <c r="O184" s="95">
        <v>2631.2715374075929</v>
      </c>
      <c r="P184" s="95">
        <v>3030.9868707094156</v>
      </c>
      <c r="Q184" s="95">
        <v>9999.9999999999964</v>
      </c>
      <c r="S184" s="98">
        <v>2631.2715374075929</v>
      </c>
      <c r="T184" s="95">
        <v>3022.7868685923681</v>
      </c>
      <c r="U184" s="99">
        <v>1731.239030104771</v>
      </c>
      <c r="W184" s="121">
        <v>66177.684398962374</v>
      </c>
      <c r="X184" s="59">
        <v>327922.42374018912</v>
      </c>
      <c r="Y184" s="59">
        <v>322664.57516061497</v>
      </c>
      <c r="Z184" s="59">
        <v>800138.18950124073</v>
      </c>
      <c r="AA184" s="59">
        <v>1412242.4949687391</v>
      </c>
      <c r="AB184" s="59">
        <v>2464107.1808026498</v>
      </c>
      <c r="AC184" s="59">
        <v>1497738.381145417</v>
      </c>
      <c r="AD184" s="59">
        <v>6890990.9297178127</v>
      </c>
      <c r="AE184" s="59">
        <v>779654627.07402456</v>
      </c>
      <c r="AF184" s="68">
        <v>6890990.9297178127</v>
      </c>
    </row>
    <row r="185" spans="1:32" x14ac:dyDescent="0.2">
      <c r="A185" s="95">
        <v>148</v>
      </c>
      <c r="B185" s="95">
        <v>12</v>
      </c>
      <c r="C185" s="95">
        <v>4</v>
      </c>
      <c r="D185" s="95"/>
      <c r="E185" s="95">
        <v>0</v>
      </c>
      <c r="F185" s="95">
        <v>0</v>
      </c>
      <c r="G185" s="95">
        <v>0</v>
      </c>
      <c r="H185" s="95">
        <v>15.038958499081275</v>
      </c>
      <c r="I185" s="95">
        <v>3296.9518284795904</v>
      </c>
      <c r="J185" s="95"/>
      <c r="K185" s="95"/>
      <c r="L185" s="95">
        <v>140.72299631330253</v>
      </c>
      <c r="M185" s="95">
        <v>604.47068590020376</v>
      </c>
      <c r="N185" s="95">
        <v>240.60244864024452</v>
      </c>
      <c r="O185" s="95">
        <v>2647.7301111687925</v>
      </c>
      <c r="P185" s="95">
        <v>3054.4829709987816</v>
      </c>
      <c r="Q185" s="95">
        <v>9999.9999999999964</v>
      </c>
      <c r="S185" s="98">
        <v>2647.7301111687925</v>
      </c>
      <c r="T185" s="95">
        <v>3033.6078890262947</v>
      </c>
      <c r="U185" s="99">
        <v>1739.376468407333</v>
      </c>
      <c r="W185" s="121">
        <v>65515.907554972742</v>
      </c>
      <c r="X185" s="59">
        <v>326162.89172231761</v>
      </c>
      <c r="Y185" s="59">
        <v>321680.04710004502</v>
      </c>
      <c r="Z185" s="59">
        <v>798846.57998317003</v>
      </c>
      <c r="AA185" s="59">
        <v>1414657.3948059618</v>
      </c>
      <c r="AB185" s="59">
        <v>2474095.1148207677</v>
      </c>
      <c r="AC185" s="59">
        <v>1503433.0770775238</v>
      </c>
      <c r="AD185" s="59">
        <v>6904391.0130647589</v>
      </c>
      <c r="AE185" s="59">
        <v>786559018.0870893</v>
      </c>
      <c r="AF185" s="68">
        <v>6904391.0130647589</v>
      </c>
    </row>
    <row r="186" spans="1:32" x14ac:dyDescent="0.2">
      <c r="A186" s="95">
        <v>149</v>
      </c>
      <c r="B186" s="95">
        <v>12</v>
      </c>
      <c r="C186" s="95">
        <v>5</v>
      </c>
      <c r="D186" s="95"/>
      <c r="E186" s="95">
        <v>0</v>
      </c>
      <c r="F186" s="95">
        <v>0</v>
      </c>
      <c r="G186" s="95">
        <v>0</v>
      </c>
      <c r="H186" s="95">
        <v>14.812120875053466</v>
      </c>
      <c r="I186" s="95">
        <v>3264.6771787650323</v>
      </c>
      <c r="J186" s="95"/>
      <c r="K186" s="95"/>
      <c r="L186" s="95">
        <v>139.4847479335636</v>
      </c>
      <c r="M186" s="95">
        <v>600.3887725654813</v>
      </c>
      <c r="N186" s="95">
        <v>238.80695624509721</v>
      </c>
      <c r="O186" s="95">
        <v>2664.0675734787283</v>
      </c>
      <c r="P186" s="95">
        <v>3077.7626501370405</v>
      </c>
      <c r="Q186" s="95">
        <v>9999.9999999999964</v>
      </c>
      <c r="S186" s="98">
        <v>2664.0675734787283</v>
      </c>
      <c r="T186" s="95">
        <v>3044.3229824688533</v>
      </c>
      <c r="U186" s="99">
        <v>1747.4456764064357</v>
      </c>
      <c r="W186" s="121">
        <v>64860.748479423019</v>
      </c>
      <c r="X186" s="59">
        <v>324409.81061501493</v>
      </c>
      <c r="Y186" s="59">
        <v>320693.14710030262</v>
      </c>
      <c r="Z186" s="59">
        <v>797547.5092307888</v>
      </c>
      <c r="AA186" s="59">
        <v>1417046.4883530114</v>
      </c>
      <c r="AB186" s="59">
        <v>2484010.8847786016</v>
      </c>
      <c r="AC186" s="59">
        <v>1509085.3943131072</v>
      </c>
      <c r="AD186" s="59">
        <v>6917653.98287025</v>
      </c>
      <c r="AE186" s="59">
        <v>793476672.06995952</v>
      </c>
      <c r="AF186" s="68">
        <v>6917653.98287025</v>
      </c>
    </row>
    <row r="187" spans="1:32" x14ac:dyDescent="0.2">
      <c r="A187" s="95">
        <v>150</v>
      </c>
      <c r="B187" s="95">
        <v>12</v>
      </c>
      <c r="C187" s="95">
        <v>6</v>
      </c>
      <c r="D187" s="95"/>
      <c r="E187" s="95">
        <v>0</v>
      </c>
      <c r="F187" s="95">
        <v>0</v>
      </c>
      <c r="G187" s="95">
        <v>0</v>
      </c>
      <c r="H187" s="95">
        <v>14.588704718521409</v>
      </c>
      <c r="I187" s="95">
        <v>3232.7177036756352</v>
      </c>
      <c r="J187" s="95"/>
      <c r="K187" s="95"/>
      <c r="L187" s="95">
        <v>138.25493963751831</v>
      </c>
      <c r="M187" s="95">
        <v>596.30936961937834</v>
      </c>
      <c r="N187" s="95">
        <v>237.01727769710203</v>
      </c>
      <c r="O187" s="95">
        <v>2680.284268226053</v>
      </c>
      <c r="P187" s="95">
        <v>3100.8277364257883</v>
      </c>
      <c r="Q187" s="95">
        <v>9999.9999999999964</v>
      </c>
      <c r="S187" s="98">
        <v>2680.284268226053</v>
      </c>
      <c r="T187" s="95">
        <v>3054.9331832998396</v>
      </c>
      <c r="U187" s="99">
        <v>1755.4470830644896</v>
      </c>
      <c r="W187" s="121">
        <v>64212.140994628782</v>
      </c>
      <c r="X187" s="59">
        <v>322663.19763484586</v>
      </c>
      <c r="Y187" s="59">
        <v>319703.94516771421</v>
      </c>
      <c r="Z187" s="59">
        <v>796241.00240062887</v>
      </c>
      <c r="AA187" s="59">
        <v>1419409.8120648258</v>
      </c>
      <c r="AB187" s="59">
        <v>2493854.7290116935</v>
      </c>
      <c r="AC187" s="59">
        <v>1514695.4838799599</v>
      </c>
      <c r="AD187" s="59">
        <v>6930780.3111542966</v>
      </c>
      <c r="AE187" s="59">
        <v>800407452.38111377</v>
      </c>
      <c r="AF187" s="68">
        <v>6930780.3111542966</v>
      </c>
    </row>
    <row r="188" spans="1:32" x14ac:dyDescent="0.2">
      <c r="A188" s="95">
        <v>151</v>
      </c>
      <c r="B188" s="95">
        <v>12</v>
      </c>
      <c r="C188" s="95">
        <v>7</v>
      </c>
      <c r="D188" s="95"/>
      <c r="E188" s="95">
        <v>0</v>
      </c>
      <c r="F188" s="95">
        <v>0</v>
      </c>
      <c r="G188" s="95">
        <v>0</v>
      </c>
      <c r="H188" s="95">
        <v>14.368658422350379</v>
      </c>
      <c r="I188" s="95">
        <v>3201.0703370684373</v>
      </c>
      <c r="J188" s="95"/>
      <c r="K188" s="95"/>
      <c r="L188" s="95">
        <v>137.03358523349868</v>
      </c>
      <c r="M188" s="95">
        <v>592.2332147651299</v>
      </c>
      <c r="N188" s="95">
        <v>235.23360438493151</v>
      </c>
      <c r="O188" s="95">
        <v>2696.3805537250582</v>
      </c>
      <c r="P188" s="95">
        <v>3123.680046400591</v>
      </c>
      <c r="Q188" s="95">
        <v>9999.9999999999964</v>
      </c>
      <c r="S188" s="98">
        <v>2696.3805537250582</v>
      </c>
      <c r="T188" s="95">
        <v>3065.4395158367852</v>
      </c>
      <c r="U188" s="99">
        <v>1763.3811181379003</v>
      </c>
      <c r="W188" s="121">
        <v>63570.019584682494</v>
      </c>
      <c r="X188" s="59">
        <v>320923.06922688795</v>
      </c>
      <c r="Y188" s="59">
        <v>318712.51071299193</v>
      </c>
      <c r="Z188" s="59">
        <v>794927.08584105992</v>
      </c>
      <c r="AA188" s="59">
        <v>1421747.4025093513</v>
      </c>
      <c r="AB188" s="59">
        <v>2503626.8833628795</v>
      </c>
      <c r="AC188" s="59">
        <v>1520263.4947471549</v>
      </c>
      <c r="AD188" s="59">
        <v>6943770.4659850076</v>
      </c>
      <c r="AE188" s="59">
        <v>807351222.84709883</v>
      </c>
      <c r="AF188" s="68">
        <v>6943770.4659850076</v>
      </c>
    </row>
    <row r="189" spans="1:32" x14ac:dyDescent="0.2">
      <c r="A189" s="95">
        <v>152</v>
      </c>
      <c r="B189" s="95">
        <v>12</v>
      </c>
      <c r="C189" s="95">
        <v>8</v>
      </c>
      <c r="D189" s="95"/>
      <c r="E189" s="95">
        <v>0</v>
      </c>
      <c r="F189" s="95">
        <v>0</v>
      </c>
      <c r="G189" s="95">
        <v>0</v>
      </c>
      <c r="H189" s="95">
        <v>14.15193115781326</v>
      </c>
      <c r="I189" s="95">
        <v>3169.732042452014</v>
      </c>
      <c r="J189" s="95"/>
      <c r="K189" s="95"/>
      <c r="L189" s="95">
        <v>135.82069587211785</v>
      </c>
      <c r="M189" s="95">
        <v>588.16102297481575</v>
      </c>
      <c r="N189" s="95">
        <v>233.45612053172138</v>
      </c>
      <c r="O189" s="95">
        <v>2712.3568021949382</v>
      </c>
      <c r="P189" s="95">
        <v>3146.3213848165769</v>
      </c>
      <c r="Q189" s="95">
        <v>9999.9999999999982</v>
      </c>
      <c r="S189" s="98">
        <v>2712.3568021949382</v>
      </c>
      <c r="T189" s="95">
        <v>3075.8429944322575</v>
      </c>
      <c r="U189" s="99">
        <v>1771.2482120644725</v>
      </c>
      <c r="W189" s="121">
        <v>62934.319388835669</v>
      </c>
      <c r="X189" s="59">
        <v>319189.44107684144</v>
      </c>
      <c r="Y189" s="59">
        <v>317718.91255187424</v>
      </c>
      <c r="Z189" s="59">
        <v>793605.7870682074</v>
      </c>
      <c r="AA189" s="59">
        <v>1424059.2963804284</v>
      </c>
      <c r="AB189" s="59">
        <v>2513327.5812261053</v>
      </c>
      <c r="AC189" s="59">
        <v>1525789.5738755385</v>
      </c>
      <c r="AD189" s="59">
        <v>6956624.9115678314</v>
      </c>
      <c r="AE189" s="59">
        <v>814307847.75866663</v>
      </c>
      <c r="AF189" s="68">
        <v>6956624.9115678314</v>
      </c>
    </row>
    <row r="190" spans="1:32" x14ac:dyDescent="0.2">
      <c r="A190" s="95">
        <v>153</v>
      </c>
      <c r="B190" s="95">
        <v>12</v>
      </c>
      <c r="C190" s="95">
        <v>9</v>
      </c>
      <c r="D190" s="95"/>
      <c r="E190" s="95">
        <v>0</v>
      </c>
      <c r="F190" s="95">
        <v>0</v>
      </c>
      <c r="G190" s="95">
        <v>0</v>
      </c>
      <c r="H190" s="95">
        <v>13.938472862849578</v>
      </c>
      <c r="I190" s="95">
        <v>3138.6998127024281</v>
      </c>
      <c r="J190" s="95"/>
      <c r="K190" s="95"/>
      <c r="L190" s="95">
        <v>134.61628013831657</v>
      </c>
      <c r="M190" s="95">
        <v>584.0934870275405</v>
      </c>
      <c r="N190" s="95">
        <v>231.68500337958079</v>
      </c>
      <c r="O190" s="95">
        <v>2728.2133992523504</v>
      </c>
      <c r="P190" s="95">
        <v>3168.7535446369311</v>
      </c>
      <c r="Q190" s="95">
        <v>9999.9999999999964</v>
      </c>
      <c r="S190" s="98">
        <v>2728.2133992523504</v>
      </c>
      <c r="T190" s="95">
        <v>3086.1446235702265</v>
      </c>
      <c r="U190" s="99">
        <v>1779.0487958541323</v>
      </c>
      <c r="W190" s="121">
        <v>62304.97619494731</v>
      </c>
      <c r="X190" s="59">
        <v>317462.32812298572</v>
      </c>
      <c r="Y190" s="59">
        <v>316723.21890584513</v>
      </c>
      <c r="Z190" s="59">
        <v>792277.13474212354</v>
      </c>
      <c r="AA190" s="59">
        <v>1426345.5305103469</v>
      </c>
      <c r="AB190" s="59">
        <v>2522957.0535899722</v>
      </c>
      <c r="AC190" s="59">
        <v>1531273.8662671768</v>
      </c>
      <c r="AD190" s="59">
        <v>6969344.1083333977</v>
      </c>
      <c r="AE190" s="59">
        <v>821277191.86699998</v>
      </c>
      <c r="AF190" s="68">
        <v>6969344.1083333977</v>
      </c>
    </row>
    <row r="191" spans="1:32" x14ac:dyDescent="0.2">
      <c r="A191" s="95">
        <v>154</v>
      </c>
      <c r="B191" s="95">
        <v>12</v>
      </c>
      <c r="C191" s="95">
        <v>10</v>
      </c>
      <c r="D191" s="95"/>
      <c r="E191" s="95">
        <v>0</v>
      </c>
      <c r="F191" s="95">
        <v>0</v>
      </c>
      <c r="G191" s="95">
        <v>0</v>
      </c>
      <c r="H191" s="95">
        <v>13.728234230501597</v>
      </c>
      <c r="I191" s="95">
        <v>3107.9706697818619</v>
      </c>
      <c r="J191" s="95"/>
      <c r="K191" s="95"/>
      <c r="L191" s="95">
        <v>133.42034414077884</v>
      </c>
      <c r="M191" s="95">
        <v>580.03127803591804</v>
      </c>
      <c r="N191" s="95">
        <v>229.92042336977732</v>
      </c>
      <c r="O191" s="95">
        <v>2743.9507434169618</v>
      </c>
      <c r="P191" s="95">
        <v>3190.9783070241974</v>
      </c>
      <c r="Q191" s="95">
        <v>9999.9999999999964</v>
      </c>
      <c r="S191" s="98">
        <v>2743.9507434169618</v>
      </c>
      <c r="T191" s="95">
        <v>3096.3453979615092</v>
      </c>
      <c r="U191" s="99">
        <v>1786.7833009828917</v>
      </c>
      <c r="W191" s="121">
        <v>61681.926432997832</v>
      </c>
      <c r="X191" s="59">
        <v>315741.7445679846</v>
      </c>
      <c r="Y191" s="59">
        <v>315725.49740293139</v>
      </c>
      <c r="Z191" s="59">
        <v>790941.15864320809</v>
      </c>
      <c r="AA191" s="59">
        <v>1428606.1418820745</v>
      </c>
      <c r="AB191" s="59">
        <v>2532515.5290809958</v>
      </c>
      <c r="AC191" s="59">
        <v>1536716.5150137825</v>
      </c>
      <c r="AD191" s="59">
        <v>6981928.5130239744</v>
      </c>
      <c r="AE191" s="59">
        <v>828259120.38002396</v>
      </c>
      <c r="AF191" s="68">
        <v>6981928.5130239744</v>
      </c>
    </row>
    <row r="192" spans="1:32" x14ac:dyDescent="0.2">
      <c r="A192" s="95">
        <v>155</v>
      </c>
      <c r="B192" s="95">
        <v>12</v>
      </c>
      <c r="C192" s="95">
        <v>11</v>
      </c>
      <c r="D192" s="95"/>
      <c r="E192" s="95">
        <v>0</v>
      </c>
      <c r="F192" s="95">
        <v>0</v>
      </c>
      <c r="G192" s="95">
        <v>0</v>
      </c>
      <c r="H192" s="95">
        <v>13.521166697524864</v>
      </c>
      <c r="I192" s="95">
        <v>3077.5416644599018</v>
      </c>
      <c r="J192" s="95"/>
      <c r="K192" s="95"/>
      <c r="L192" s="95">
        <v>132.23289159878769</v>
      </c>
      <c r="M192" s="95">
        <v>575.9750459611048</v>
      </c>
      <c r="N192" s="95">
        <v>228.16254431869658</v>
      </c>
      <c r="O192" s="95">
        <v>2759.5692456296733</v>
      </c>
      <c r="P192" s="95">
        <v>3212.997441334308</v>
      </c>
      <c r="Q192" s="95">
        <v>9999.9999999999964</v>
      </c>
      <c r="S192" s="98">
        <v>2759.5692456296733</v>
      </c>
      <c r="T192" s="95">
        <v>3106.4463026383</v>
      </c>
      <c r="U192" s="99">
        <v>1794.4521592899719</v>
      </c>
      <c r="W192" s="121">
        <v>61065.107168667855</v>
      </c>
      <c r="X192" s="59">
        <v>314027.7038905411</v>
      </c>
      <c r="Y192" s="59">
        <v>314725.81507857458</v>
      </c>
      <c r="Z192" s="59">
        <v>789597.88964888011</v>
      </c>
      <c r="AA192" s="59">
        <v>1430841.167641164</v>
      </c>
      <c r="AB192" s="59">
        <v>2542003.2340065851</v>
      </c>
      <c r="AC192" s="59">
        <v>1542117.6613441501</v>
      </c>
      <c r="AD192" s="59">
        <v>6994378.5787785631</v>
      </c>
      <c r="AE192" s="59">
        <v>835253498.95880246</v>
      </c>
      <c r="AF192" s="68">
        <v>6994378.5787785631</v>
      </c>
    </row>
    <row r="193" spans="1:32" x14ac:dyDescent="0.2">
      <c r="A193" s="95">
        <v>156</v>
      </c>
      <c r="B193" s="95">
        <v>13</v>
      </c>
      <c r="C193" s="95">
        <v>0</v>
      </c>
      <c r="D193" s="95"/>
      <c r="E193" s="95">
        <v>0</v>
      </c>
      <c r="F193" s="95">
        <v>0</v>
      </c>
      <c r="G193" s="95">
        <v>0</v>
      </c>
      <c r="H193" s="95">
        <v>13.31722243317053</v>
      </c>
      <c r="I193" s="95">
        <v>3047.4098760374554</v>
      </c>
      <c r="J193" s="95"/>
      <c r="K193" s="95"/>
      <c r="L193" s="95">
        <v>131.05392392659016</v>
      </c>
      <c r="M193" s="95">
        <v>571.92542011662294</v>
      </c>
      <c r="N193" s="95">
        <v>226.41152358967261</v>
      </c>
      <c r="O193" s="95">
        <v>2775.0693287832323</v>
      </c>
      <c r="P193" s="95">
        <v>3234.8127051132533</v>
      </c>
      <c r="Q193" s="95">
        <v>9999.9999999999982</v>
      </c>
      <c r="S193" s="98">
        <v>2775.0693287832323</v>
      </c>
      <c r="T193" s="95">
        <v>3116.4483130477947</v>
      </c>
      <c r="U193" s="99">
        <v>1802.0558028780144</v>
      </c>
      <c r="W193" s="121">
        <v>60454.456096981179</v>
      </c>
      <c r="X193" s="59">
        <v>312320.218856905</v>
      </c>
      <c r="Y193" s="59">
        <v>313724.23837657715</v>
      </c>
      <c r="Z193" s="59">
        <v>788247.35971049941</v>
      </c>
      <c r="AA193" s="59">
        <v>1433050.6451073391</v>
      </c>
      <c r="AB193" s="59">
        <v>2551420.3923977264</v>
      </c>
      <c r="AC193" s="59">
        <v>1547477.4446706227</v>
      </c>
      <c r="AD193" s="59">
        <v>7006694.7552166507</v>
      </c>
      <c r="AE193" s="59">
        <v>842260193.71401906</v>
      </c>
      <c r="AF193" s="68">
        <v>7006694.7552166507</v>
      </c>
    </row>
    <row r="194" spans="1:32" x14ac:dyDescent="0.2">
      <c r="A194" s="95">
        <v>157</v>
      </c>
      <c r="B194" s="95">
        <v>13</v>
      </c>
      <c r="C194" s="95">
        <v>1</v>
      </c>
      <c r="D194" s="95"/>
      <c r="E194" s="95">
        <v>0</v>
      </c>
      <c r="F194" s="95">
        <v>0</v>
      </c>
      <c r="G194" s="95">
        <v>0</v>
      </c>
      <c r="H194" s="95">
        <v>13.116354328136874</v>
      </c>
      <c r="I194" s="95">
        <v>3017.5724120732743</v>
      </c>
      <c r="J194" s="95"/>
      <c r="K194" s="95"/>
      <c r="L194" s="95">
        <v>129.88344031533921</v>
      </c>
      <c r="M194" s="95">
        <v>567.88300966120823</v>
      </c>
      <c r="N194" s="95">
        <v>224.6675122607846</v>
      </c>
      <c r="O194" s="95">
        <v>2790.4514272649399</v>
      </c>
      <c r="P194" s="95">
        <v>3256.4258440963135</v>
      </c>
      <c r="Q194" s="95">
        <v>9999.9999999999964</v>
      </c>
      <c r="S194" s="98">
        <v>2790.4514272649399</v>
      </c>
      <c r="T194" s="95">
        <v>3126.3523951449165</v>
      </c>
      <c r="U194" s="99">
        <v>1809.5946640163031</v>
      </c>
      <c r="W194" s="121">
        <v>59849.911536011365</v>
      </c>
      <c r="X194" s="59">
        <v>310619.30153223325</v>
      </c>
      <c r="Y194" s="59">
        <v>312720.83315012034</v>
      </c>
      <c r="Z194" s="59">
        <v>786889.6018305351</v>
      </c>
      <c r="AA194" s="59">
        <v>1435234.6117857704</v>
      </c>
      <c r="AB194" s="59">
        <v>2560767.2260513739</v>
      </c>
      <c r="AC194" s="59">
        <v>1552796.0026346152</v>
      </c>
      <c r="AD194" s="59">
        <v>7018877.4885206595</v>
      </c>
      <c r="AE194" s="59">
        <v>849279071.20253968</v>
      </c>
      <c r="AF194" s="68">
        <v>7018877.4885206595</v>
      </c>
    </row>
    <row r="195" spans="1:32" x14ac:dyDescent="0.2">
      <c r="A195" s="95">
        <v>158</v>
      </c>
      <c r="B195" s="95">
        <v>13</v>
      </c>
      <c r="C195" s="95">
        <v>2</v>
      </c>
      <c r="D195" s="95"/>
      <c r="E195" s="95">
        <v>0</v>
      </c>
      <c r="F195" s="95">
        <v>0</v>
      </c>
      <c r="G195" s="95">
        <v>0</v>
      </c>
      <c r="H195" s="95">
        <v>12.918515983687476</v>
      </c>
      <c r="I195" s="95">
        <v>2988.026408113059</v>
      </c>
      <c r="J195" s="95"/>
      <c r="K195" s="95"/>
      <c r="L195" s="95">
        <v>128.72143781267795</v>
      </c>
      <c r="M195" s="95">
        <v>563.84840408091361</v>
      </c>
      <c r="N195" s="95">
        <v>222.9306552887117</v>
      </c>
      <c r="O195" s="95">
        <v>2805.7159865111735</v>
      </c>
      <c r="P195" s="95">
        <v>3277.8385922097732</v>
      </c>
      <c r="Q195" s="95">
        <v>9999.9999999999964</v>
      </c>
      <c r="S195" s="98">
        <v>2805.7159865111735</v>
      </c>
      <c r="T195" s="95">
        <v>3136.1595054841546</v>
      </c>
      <c r="U195" s="99">
        <v>1817.0691750469223</v>
      </c>
      <c r="W195" s="121">
        <v>59251.412420651257</v>
      </c>
      <c r="X195" s="59">
        <v>308924.96329180634</v>
      </c>
      <c r="Y195" s="59">
        <v>311715.6646628516</v>
      </c>
      <c r="Z195" s="59">
        <v>785524.65003998275</v>
      </c>
      <c r="AA195" s="59">
        <v>1437393.1053780392</v>
      </c>
      <c r="AB195" s="59">
        <v>2570043.9545725309</v>
      </c>
      <c r="AC195" s="59">
        <v>1558073.4711512167</v>
      </c>
      <c r="AD195" s="59">
        <v>7030927.2215170786</v>
      </c>
      <c r="AE195" s="59">
        <v>856309998.42405677</v>
      </c>
      <c r="AF195" s="68">
        <v>7030927.2215170786</v>
      </c>
    </row>
    <row r="196" spans="1:32" x14ac:dyDescent="0.2">
      <c r="A196" s="95">
        <v>159</v>
      </c>
      <c r="B196" s="95">
        <v>13</v>
      </c>
      <c r="C196" s="95">
        <v>3</v>
      </c>
      <c r="D196" s="95"/>
      <c r="E196" s="95">
        <v>0</v>
      </c>
      <c r="F196" s="95">
        <v>0</v>
      </c>
      <c r="G196" s="95">
        <v>0</v>
      </c>
      <c r="H196" s="95">
        <v>12.723661700933523</v>
      </c>
      <c r="I196" s="95">
        <v>2958.7690274211227</v>
      </c>
      <c r="J196" s="95"/>
      <c r="K196" s="95"/>
      <c r="L196" s="95">
        <v>127.5679114000299</v>
      </c>
      <c r="M196" s="95">
        <v>559.82217366069426</v>
      </c>
      <c r="N196" s="95">
        <v>221.20109166873678</v>
      </c>
      <c r="O196" s="95">
        <v>2820.8634625734444</v>
      </c>
      <c r="P196" s="95">
        <v>3299.0526715750348</v>
      </c>
      <c r="Q196" s="95">
        <v>9999.9999999999964</v>
      </c>
      <c r="S196" s="98">
        <v>2820.8634625734444</v>
      </c>
      <c r="T196" s="95">
        <v>3145.8705913105218</v>
      </c>
      <c r="U196" s="99">
        <v>1824.4797682937844</v>
      </c>
      <c r="W196" s="121">
        <v>58658.89829644475</v>
      </c>
      <c r="X196" s="59">
        <v>307237.21483210108</v>
      </c>
      <c r="Y196" s="59">
        <v>310708.79759004101</v>
      </c>
      <c r="Z196" s="59">
        <v>784152.5393760273</v>
      </c>
      <c r="AA196" s="59">
        <v>1439526.1637927964</v>
      </c>
      <c r="AB196" s="59">
        <v>2579250.7954160301</v>
      </c>
      <c r="AC196" s="59">
        <v>1563309.9844528944</v>
      </c>
      <c r="AD196" s="59">
        <v>7042844.3937563347</v>
      </c>
      <c r="AE196" s="59">
        <v>863352842.81781316</v>
      </c>
      <c r="AF196" s="68">
        <v>7042844.3937563347</v>
      </c>
    </row>
    <row r="197" spans="1:32" x14ac:dyDescent="0.2">
      <c r="A197" s="95">
        <v>160</v>
      </c>
      <c r="B197" s="95">
        <v>13</v>
      </c>
      <c r="C197" s="95">
        <v>4</v>
      </c>
      <c r="D197" s="95"/>
      <c r="E197" s="95">
        <v>0</v>
      </c>
      <c r="F197" s="95">
        <v>0</v>
      </c>
      <c r="G197" s="95">
        <v>0</v>
      </c>
      <c r="H197" s="95">
        <v>12.531746470277776</v>
      </c>
      <c r="I197" s="95">
        <v>2929.7974607145907</v>
      </c>
      <c r="J197" s="95"/>
      <c r="K197" s="95"/>
      <c r="L197" s="95">
        <v>126.42285406765788</v>
      </c>
      <c r="M197" s="95">
        <v>555.80486994569492</v>
      </c>
      <c r="N197" s="95">
        <v>219.47895459098731</v>
      </c>
      <c r="O197" s="95">
        <v>2835.8943216957241</v>
      </c>
      <c r="P197" s="95">
        <v>3320.0697925150635</v>
      </c>
      <c r="Q197" s="95">
        <v>9999.9999999999964</v>
      </c>
      <c r="S197" s="98">
        <v>2835.8943216957241</v>
      </c>
      <c r="T197" s="95">
        <v>3155.4865906496407</v>
      </c>
      <c r="U197" s="99">
        <v>1831.8268759744533</v>
      </c>
      <c r="W197" s="121">
        <v>58072.309313480306</v>
      </c>
      <c r="X197" s="59">
        <v>305556.06618172268</v>
      </c>
      <c r="Y197" s="59">
        <v>309700.29601980379</v>
      </c>
      <c r="Z197" s="59">
        <v>782773.30585995119</v>
      </c>
      <c r="AA197" s="59">
        <v>1441633.8251561217</v>
      </c>
      <c r="AB197" s="59">
        <v>2588387.9639279968</v>
      </c>
      <c r="AC197" s="59">
        <v>1568505.6751323221</v>
      </c>
      <c r="AD197" s="59">
        <v>7054629.4415913988</v>
      </c>
      <c r="AE197" s="59">
        <v>870407472.25940454</v>
      </c>
      <c r="AF197" s="68">
        <v>7054629.4415913988</v>
      </c>
    </row>
    <row r="198" spans="1:32" x14ac:dyDescent="0.2">
      <c r="A198" s="95">
        <v>161</v>
      </c>
      <c r="B198" s="95">
        <v>13</v>
      </c>
      <c r="C198" s="95">
        <v>5</v>
      </c>
      <c r="D198" s="95"/>
      <c r="E198" s="95">
        <v>0</v>
      </c>
      <c r="F198" s="95">
        <v>0</v>
      </c>
      <c r="G198" s="95">
        <v>0</v>
      </c>
      <c r="H198" s="95">
        <v>12.342725961017752</v>
      </c>
      <c r="I198" s="95">
        <v>2901.1089259001101</v>
      </c>
      <c r="J198" s="95"/>
      <c r="K198" s="95"/>
      <c r="L198" s="95">
        <v>125.28625688755159</v>
      </c>
      <c r="M198" s="95">
        <v>551.79702619245631</v>
      </c>
      <c r="N198" s="95">
        <v>217.76437159299951</v>
      </c>
      <c r="O198" s="95">
        <v>2850.8090399027728</v>
      </c>
      <c r="P198" s="95">
        <v>3340.8916535630883</v>
      </c>
      <c r="Q198" s="95">
        <v>9999.9999999999964</v>
      </c>
      <c r="S198" s="98">
        <v>2850.8090399027728</v>
      </c>
      <c r="T198" s="95">
        <v>3165.0084323969631</v>
      </c>
      <c r="U198" s="99">
        <v>1839.110930114696</v>
      </c>
      <c r="W198" s="121">
        <v>57491.586220345504</v>
      </c>
      <c r="X198" s="59">
        <v>303881.52671219653</v>
      </c>
      <c r="Y198" s="59">
        <v>308690.22345438797</v>
      </c>
      <c r="Z198" s="59">
        <v>781386.98647528689</v>
      </c>
      <c r="AA198" s="59">
        <v>1443716.1278215835</v>
      </c>
      <c r="AB198" s="59">
        <v>2597455.6733869957</v>
      </c>
      <c r="AC198" s="59">
        <v>1573660.6741843515</v>
      </c>
      <c r="AD198" s="59">
        <v>7066282.7982551474</v>
      </c>
      <c r="AE198" s="59">
        <v>877473755.05765975</v>
      </c>
      <c r="AF198" s="68">
        <v>7066282.7982551474</v>
      </c>
    </row>
    <row r="199" spans="1:32" x14ac:dyDescent="0.2">
      <c r="A199" s="95">
        <v>162</v>
      </c>
      <c r="B199" s="95">
        <v>13</v>
      </c>
      <c r="C199" s="95">
        <v>6</v>
      </c>
      <c r="D199" s="95"/>
      <c r="E199" s="95">
        <v>0</v>
      </c>
      <c r="F199" s="95">
        <v>0</v>
      </c>
      <c r="G199" s="95">
        <v>0</v>
      </c>
      <c r="H199" s="95">
        <v>12.156556511105734</v>
      </c>
      <c r="I199" s="95">
        <v>2872.7006678130488</v>
      </c>
      <c r="J199" s="95"/>
      <c r="K199" s="95"/>
      <c r="L199" s="95">
        <v>124.15810908420306</v>
      </c>
      <c r="M199" s="95">
        <v>547.79915781025261</v>
      </c>
      <c r="N199" s="95">
        <v>216.05746470869005</v>
      </c>
      <c r="O199" s="95">
        <v>2865.6081025992144</v>
      </c>
      <c r="P199" s="95">
        <v>3361.5199414734811</v>
      </c>
      <c r="Q199" s="95">
        <v>9999.9999999999964</v>
      </c>
      <c r="S199" s="98">
        <v>2865.6081025992144</v>
      </c>
      <c r="T199" s="95">
        <v>3174.4370364061383</v>
      </c>
      <c r="U199" s="99">
        <v>1846.3323624656996</v>
      </c>
      <c r="W199" s="121">
        <v>56916.670358142052</v>
      </c>
      <c r="X199" s="59">
        <v>302213.60514862213</v>
      </c>
      <c r="Y199" s="59">
        <v>307678.64281152521</v>
      </c>
      <c r="Z199" s="59">
        <v>779993.61914621305</v>
      </c>
      <c r="AA199" s="59">
        <v>1445773.1103800084</v>
      </c>
      <c r="AB199" s="59">
        <v>2606454.1350448555</v>
      </c>
      <c r="AC199" s="59">
        <v>1578775.1110471501</v>
      </c>
      <c r="AD199" s="59">
        <v>7077804.8939365167</v>
      </c>
      <c r="AE199" s="59">
        <v>884551559.95159626</v>
      </c>
      <c r="AF199" s="68">
        <v>7077804.8939365167</v>
      </c>
    </row>
    <row r="200" spans="1:32" x14ac:dyDescent="0.2">
      <c r="A200" s="95">
        <v>163</v>
      </c>
      <c r="B200" s="95">
        <v>13</v>
      </c>
      <c r="C200" s="95">
        <v>7</v>
      </c>
      <c r="D200" s="95"/>
      <c r="E200" s="95">
        <v>0</v>
      </c>
      <c r="F200" s="95">
        <v>0</v>
      </c>
      <c r="G200" s="95">
        <v>0</v>
      </c>
      <c r="H200" s="95">
        <v>11.973195117063222</v>
      </c>
      <c r="I200" s="95">
        <v>2844.569957959161</v>
      </c>
      <c r="J200" s="95"/>
      <c r="K200" s="95"/>
      <c r="L200" s="95">
        <v>123.03839810332727</v>
      </c>
      <c r="M200" s="95">
        <v>543.81176279276781</v>
      </c>
      <c r="N200" s="95">
        <v>214.35835061381755</v>
      </c>
      <c r="O200" s="95">
        <v>2880.2920041791049</v>
      </c>
      <c r="P200" s="95">
        <v>3381.9563312347541</v>
      </c>
      <c r="Q200" s="95">
        <v>9999.9999999999964</v>
      </c>
      <c r="S200" s="98">
        <v>2880.2920041791049</v>
      </c>
      <c r="T200" s="95">
        <v>3183.7733135765307</v>
      </c>
      <c r="U200" s="99">
        <v>1853.4916044238835</v>
      </c>
      <c r="W200" s="121">
        <v>56347.503654560627</v>
      </c>
      <c r="X200" s="59">
        <v>300552.30958019075</v>
      </c>
      <c r="Y200" s="59">
        <v>306665.61642584315</v>
      </c>
      <c r="Z200" s="59">
        <v>778593.24271619157</v>
      </c>
      <c r="AA200" s="59">
        <v>1447804.8116689592</v>
      </c>
      <c r="AB200" s="59">
        <v>2615383.5581671661</v>
      </c>
      <c r="AC200" s="59">
        <v>1583849.1136425221</v>
      </c>
      <c r="AD200" s="59">
        <v>7089196.1558554331</v>
      </c>
      <c r="AE200" s="59">
        <v>891640756.10745168</v>
      </c>
      <c r="AF200" s="68">
        <v>7089196.1558554331</v>
      </c>
    </row>
    <row r="201" spans="1:32" x14ac:dyDescent="0.2">
      <c r="A201" s="95">
        <v>164</v>
      </c>
      <c r="B201" s="95">
        <v>13</v>
      </c>
      <c r="C201" s="95">
        <v>8</v>
      </c>
      <c r="D201" s="95"/>
      <c r="E201" s="95">
        <v>0</v>
      </c>
      <c r="F201" s="95">
        <v>0</v>
      </c>
      <c r="G201" s="95">
        <v>0</v>
      </c>
      <c r="H201" s="95">
        <v>11.792599424047518</v>
      </c>
      <c r="I201" s="95">
        <v>2816.7140942586943</v>
      </c>
      <c r="J201" s="95"/>
      <c r="K201" s="95"/>
      <c r="L201" s="95">
        <v>121.92710967858361</v>
      </c>
      <c r="M201" s="95">
        <v>539.83532214031402</v>
      </c>
      <c r="N201" s="95">
        <v>212.66714076801458</v>
      </c>
      <c r="O201" s="95">
        <v>2894.8612476457461</v>
      </c>
      <c r="P201" s="95">
        <v>3402.2024860845954</v>
      </c>
      <c r="Q201" s="95">
        <v>9999.9999999999964</v>
      </c>
      <c r="S201" s="98">
        <v>2894.8612476457461</v>
      </c>
      <c r="T201" s="95">
        <v>3193.0181659398977</v>
      </c>
      <c r="U201" s="99">
        <v>1860.589086953247</v>
      </c>
      <c r="W201" s="121">
        <v>55784.028618015021</v>
      </c>
      <c r="X201" s="59">
        <v>298897.64747056802</v>
      </c>
      <c r="Y201" s="59">
        <v>305651.20605033793</v>
      </c>
      <c r="Z201" s="59">
        <v>777185.89692684682</v>
      </c>
      <c r="AA201" s="59">
        <v>1449811.2707819312</v>
      </c>
      <c r="AB201" s="59">
        <v>2624244.1500734463</v>
      </c>
      <c r="AC201" s="59">
        <v>1588882.8084154334</v>
      </c>
      <c r="AD201" s="59">
        <v>7100457.0083365785</v>
      </c>
      <c r="AE201" s="59">
        <v>898741213.11578822</v>
      </c>
      <c r="AF201" s="68">
        <v>7100457.0083365785</v>
      </c>
    </row>
    <row r="202" spans="1:32" x14ac:dyDescent="0.2">
      <c r="A202" s="95">
        <v>165</v>
      </c>
      <c r="B202" s="95">
        <v>13</v>
      </c>
      <c r="C202" s="95">
        <v>9</v>
      </c>
      <c r="D202" s="95"/>
      <c r="E202" s="95">
        <v>0</v>
      </c>
      <c r="F202" s="95">
        <v>0</v>
      </c>
      <c r="G202" s="95">
        <v>0</v>
      </c>
      <c r="H202" s="95">
        <v>11.614727716068135</v>
      </c>
      <c r="I202" s="95">
        <v>2789.1304007929161</v>
      </c>
      <c r="J202" s="95"/>
      <c r="K202" s="95"/>
      <c r="L202" s="95">
        <v>120.82422789635275</v>
      </c>
      <c r="M202" s="95">
        <v>535.87030027279138</v>
      </c>
      <c r="N202" s="95">
        <v>210.98394155346821</v>
      </c>
      <c r="O202" s="95">
        <v>2909.3163442415093</v>
      </c>
      <c r="P202" s="95">
        <v>3422.2600575268893</v>
      </c>
      <c r="Q202" s="95">
        <v>9999.9999999999945</v>
      </c>
      <c r="S202" s="98">
        <v>2909.3163442415093</v>
      </c>
      <c r="T202" s="95">
        <v>3202.1724867462385</v>
      </c>
      <c r="U202" s="99">
        <v>1867.6252405101893</v>
      </c>
      <c r="W202" s="121">
        <v>55226.188331834877</v>
      </c>
      <c r="X202" s="59">
        <v>297249.62566814281</v>
      </c>
      <c r="Y202" s="59">
        <v>304635.4728579052</v>
      </c>
      <c r="Z202" s="59">
        <v>775771.62239708414</v>
      </c>
      <c r="AA202" s="59">
        <v>1451792.527077266</v>
      </c>
      <c r="AB202" s="59">
        <v>2633036.1161769768</v>
      </c>
      <c r="AC202" s="59">
        <v>1593876.3203727566</v>
      </c>
      <c r="AD202" s="59">
        <v>7111587.8728819666</v>
      </c>
      <c r="AE202" s="59">
        <v>905852800.98867023</v>
      </c>
      <c r="AF202" s="68">
        <v>7111587.8728819666</v>
      </c>
    </row>
    <row r="203" spans="1:32" x14ac:dyDescent="0.2">
      <c r="A203" s="95">
        <v>166</v>
      </c>
      <c r="B203" s="95">
        <v>13</v>
      </c>
      <c r="C203" s="95">
        <v>10</v>
      </c>
      <c r="D203" s="95"/>
      <c r="E203" s="95">
        <v>0</v>
      </c>
      <c r="F203" s="95">
        <v>0</v>
      </c>
      <c r="G203" s="95">
        <v>0</v>
      </c>
      <c r="H203" s="95">
        <v>11.439538906350775</v>
      </c>
      <c r="I203" s="95">
        <v>2761.8162275530412</v>
      </c>
      <c r="J203" s="95"/>
      <c r="K203" s="95"/>
      <c r="L203" s="95">
        <v>119.72973525862169</v>
      </c>
      <c r="M203" s="95">
        <v>531.91714543358398</v>
      </c>
      <c r="N203" s="95">
        <v>209.30885441032623</v>
      </c>
      <c r="O203" s="95">
        <v>2923.6578130874277</v>
      </c>
      <c r="P203" s="95">
        <v>3442.1306853506439</v>
      </c>
      <c r="Q203" s="95">
        <v>9999.9999999999964</v>
      </c>
      <c r="S203" s="98">
        <v>2923.6578130874277</v>
      </c>
      <c r="T203" s="95">
        <v>3211.2371605488156</v>
      </c>
      <c r="U203" s="99">
        <v>1874.6004949707396</v>
      </c>
      <c r="W203" s="121">
        <v>54673.926448516519</v>
      </c>
      <c r="X203" s="59">
        <v>295608.25041614514</v>
      </c>
      <c r="Y203" s="59">
        <v>303618.47744292766</v>
      </c>
      <c r="Z203" s="59">
        <v>774350.46060244646</v>
      </c>
      <c r="AA203" s="59">
        <v>1453748.620186789</v>
      </c>
      <c r="AB203" s="59">
        <v>2641759.6600242918</v>
      </c>
      <c r="AC203" s="59">
        <v>1598829.7731212585</v>
      </c>
      <c r="AD203" s="59">
        <v>7122589.1682423754</v>
      </c>
      <c r="AE203" s="59">
        <v>912975390.15691257</v>
      </c>
      <c r="AF203" s="68">
        <v>7122589.1682423754</v>
      </c>
    </row>
    <row r="204" spans="1:32" x14ac:dyDescent="0.2">
      <c r="A204" s="95">
        <v>167</v>
      </c>
      <c r="B204" s="95">
        <v>13</v>
      </c>
      <c r="C204" s="95">
        <v>11</v>
      </c>
      <c r="D204" s="95"/>
      <c r="E204" s="95">
        <v>0</v>
      </c>
      <c r="F204" s="95">
        <v>0</v>
      </c>
      <c r="G204" s="95">
        <v>0</v>
      </c>
      <c r="H204" s="95">
        <v>11.26699252784665</v>
      </c>
      <c r="I204" s="95">
        <v>2734.7689501915311</v>
      </c>
      <c r="J204" s="95"/>
      <c r="K204" s="95"/>
      <c r="L204" s="95">
        <v>118.64361274402839</v>
      </c>
      <c r="M204" s="95">
        <v>527.97629008458352</v>
      </c>
      <c r="N204" s="95">
        <v>207.64197596890389</v>
      </c>
      <c r="O204" s="95">
        <v>2937.8861808323309</v>
      </c>
      <c r="P204" s="95">
        <v>3461.8159976507714</v>
      </c>
      <c r="Q204" s="95">
        <v>9999.9999999999964</v>
      </c>
      <c r="S204" s="98">
        <v>2937.8861808323309</v>
      </c>
      <c r="T204" s="95">
        <v>3220.2130632883632</v>
      </c>
      <c r="U204" s="99">
        <v>1881.5152795601407</v>
      </c>
      <c r="W204" s="121">
        <v>54127.187184031354</v>
      </c>
      <c r="X204" s="59">
        <v>293973.52736263315</v>
      </c>
      <c r="Y204" s="59">
        <v>302600.2798229187</v>
      </c>
      <c r="Z204" s="59">
        <v>772922.45385470893</v>
      </c>
      <c r="AA204" s="59">
        <v>1455679.5900241737</v>
      </c>
      <c r="AB204" s="59">
        <v>2650414.9833343332</v>
      </c>
      <c r="AC204" s="59">
        <v>1603743.2889048401</v>
      </c>
      <c r="AD204" s="59">
        <v>7133461.3104876392</v>
      </c>
      <c r="AE204" s="59">
        <v>920108851.46740019</v>
      </c>
      <c r="AF204" s="68">
        <v>7133461.3104876392</v>
      </c>
    </row>
    <row r="205" spans="1:32" x14ac:dyDescent="0.2">
      <c r="A205" s="95">
        <v>168</v>
      </c>
      <c r="B205" s="95">
        <v>14</v>
      </c>
      <c r="C205" s="95">
        <v>0</v>
      </c>
      <c r="D205" s="95"/>
      <c r="E205" s="95">
        <v>0</v>
      </c>
      <c r="F205" s="95">
        <v>0</v>
      </c>
      <c r="G205" s="95">
        <v>0</v>
      </c>
      <c r="H205" s="95">
        <v>11.097048723884964</v>
      </c>
      <c r="I205" s="95">
        <v>2707.9859697757502</v>
      </c>
      <c r="J205" s="95"/>
      <c r="K205" s="95"/>
      <c r="L205" s="95">
        <v>117.56583986711627</v>
      </c>
      <c r="M205" s="95">
        <v>524.04815129252711</v>
      </c>
      <c r="N205" s="95">
        <v>205.98339817876442</v>
      </c>
      <c r="O205" s="95">
        <v>2952.0019813112981</v>
      </c>
      <c r="P205" s="95">
        <v>3481.3176108506545</v>
      </c>
      <c r="Q205" s="95">
        <v>9999.9999999999964</v>
      </c>
      <c r="S205" s="98">
        <v>2952.0019813112981</v>
      </c>
      <c r="T205" s="95">
        <v>3229.1010623764855</v>
      </c>
      <c r="U205" s="99">
        <v>1888.3700227847262</v>
      </c>
      <c r="W205" s="121">
        <v>53585.915312191035</v>
      </c>
      <c r="X205" s="59">
        <v>292345.46157035144</v>
      </c>
      <c r="Y205" s="59">
        <v>301580.93944021908</v>
      </c>
      <c r="Z205" s="59">
        <v>771487.64528170985</v>
      </c>
      <c r="AA205" s="59">
        <v>1457585.4767930401</v>
      </c>
      <c r="AB205" s="59">
        <v>2659002.2860372537</v>
      </c>
      <c r="AC205" s="59">
        <v>1608616.9886410532</v>
      </c>
      <c r="AD205" s="59">
        <v>7144204.7130758185</v>
      </c>
      <c r="AE205" s="59">
        <v>927253056.18047607</v>
      </c>
      <c r="AF205" s="68">
        <v>7144204.7130758185</v>
      </c>
    </row>
    <row r="206" spans="1:32" x14ac:dyDescent="0.2">
      <c r="A206" s="95">
        <v>169</v>
      </c>
      <c r="B206" s="95">
        <v>14</v>
      </c>
      <c r="C206" s="95">
        <v>1</v>
      </c>
      <c r="D206" s="95"/>
      <c r="E206" s="95">
        <v>0</v>
      </c>
      <c r="F206" s="95">
        <v>0</v>
      </c>
      <c r="G206" s="95">
        <v>0</v>
      </c>
      <c r="H206" s="95">
        <v>10.929668238966366</v>
      </c>
      <c r="I206" s="95">
        <v>2681.4647125439528</v>
      </c>
      <c r="J206" s="95"/>
      <c r="K206" s="95"/>
      <c r="L206" s="95">
        <v>116.49639473584726</v>
      </c>
      <c r="M206" s="95">
        <v>520.13313110683305</v>
      </c>
      <c r="N206" s="95">
        <v>204.33320843474476</v>
      </c>
      <c r="O206" s="95">
        <v>2966.0057552132075</v>
      </c>
      <c r="P206" s="95">
        <v>3500.6371297264436</v>
      </c>
      <c r="Q206" s="95">
        <v>9999.9999999999945</v>
      </c>
      <c r="S206" s="98">
        <v>2966.0057552132075</v>
      </c>
      <c r="T206" s="95">
        <v>3237.9020167782569</v>
      </c>
      <c r="U206" s="99">
        <v>1895.165152366036</v>
      </c>
      <c r="W206" s="121">
        <v>53050.056159069121</v>
      </c>
      <c r="X206" s="59">
        <v>290724.05752646277</v>
      </c>
      <c r="Y206" s="59">
        <v>300560.51516374684</v>
      </c>
      <c r="Z206" s="59">
        <v>770046.07880741579</v>
      </c>
      <c r="AA206" s="59">
        <v>1459466.3209947837</v>
      </c>
      <c r="AB206" s="59">
        <v>2667521.7663128767</v>
      </c>
      <c r="AC206" s="59">
        <v>1613450.9919569027</v>
      </c>
      <c r="AD206" s="59">
        <v>7154819.7869212572</v>
      </c>
      <c r="AE206" s="59">
        <v>934407875.96739733</v>
      </c>
      <c r="AF206" s="68">
        <v>7154819.7869212572</v>
      </c>
    </row>
    <row r="207" spans="1:32" x14ac:dyDescent="0.2">
      <c r="A207" s="95">
        <v>170</v>
      </c>
      <c r="B207" s="95">
        <v>14</v>
      </c>
      <c r="C207" s="95">
        <v>2</v>
      </c>
      <c r="D207" s="95"/>
      <c r="E207" s="95">
        <v>0</v>
      </c>
      <c r="F207" s="95">
        <v>0</v>
      </c>
      <c r="G207" s="95">
        <v>0</v>
      </c>
      <c r="H207" s="95">
        <v>10.76481240969529</v>
      </c>
      <c r="I207" s="95">
        <v>2655.2026296635804</v>
      </c>
      <c r="J207" s="95"/>
      <c r="K207" s="95"/>
      <c r="L207" s="95">
        <v>115.43525410742099</v>
      </c>
      <c r="M207" s="95">
        <v>516.23161692911333</v>
      </c>
      <c r="N207" s="95">
        <v>202.69148969999668</v>
      </c>
      <c r="O207" s="95">
        <v>2979.8980497571679</v>
      </c>
      <c r="P207" s="95">
        <v>3519.7761474330205</v>
      </c>
      <c r="Q207" s="95">
        <v>9999.9999999999945</v>
      </c>
      <c r="S207" s="98">
        <v>2979.8980497571679</v>
      </c>
      <c r="T207" s="95">
        <v>3246.6167770940247</v>
      </c>
      <c r="U207" s="99">
        <v>1901.9010951771124</v>
      </c>
      <c r="W207" s="121">
        <v>52519.555597478437</v>
      </c>
      <c r="X207" s="59">
        <v>289109.31915215298</v>
      </c>
      <c r="Y207" s="59">
        <v>299539.0652907975</v>
      </c>
      <c r="Z207" s="59">
        <v>768597.79913222138</v>
      </c>
      <c r="AA207" s="59">
        <v>1461322.1634361476</v>
      </c>
      <c r="AB207" s="59">
        <v>2675973.6206287998</v>
      </c>
      <c r="AC207" s="59">
        <v>1618245.4172239562</v>
      </c>
      <c r="AD207" s="59">
        <v>7165306.9404615536</v>
      </c>
      <c r="AE207" s="59">
        <v>941573182.90785885</v>
      </c>
      <c r="AF207" s="68">
        <v>7165306.9404615536</v>
      </c>
    </row>
    <row r="208" spans="1:32" x14ac:dyDescent="0.2">
      <c r="A208" s="95">
        <v>171</v>
      </c>
      <c r="B208" s="95">
        <v>14</v>
      </c>
      <c r="C208" s="95">
        <v>3</v>
      </c>
      <c r="D208" s="95"/>
      <c r="E208" s="95">
        <v>0</v>
      </c>
      <c r="F208" s="95">
        <v>0</v>
      </c>
      <c r="G208" s="95">
        <v>0</v>
      </c>
      <c r="H208" s="95">
        <v>10.602443155849054</v>
      </c>
      <c r="I208" s="95">
        <v>2629.1971969918491</v>
      </c>
      <c r="J208" s="95"/>
      <c r="K208" s="95"/>
      <c r="L208" s="95">
        <v>114.38239344244612</v>
      </c>
      <c r="M208" s="95">
        <v>512.34398187453894</v>
      </c>
      <c r="N208" s="95">
        <v>201.05832062611137</v>
      </c>
      <c r="O208" s="95">
        <v>2993.6794183776269</v>
      </c>
      <c r="P208" s="95">
        <v>3538.7362455315738</v>
      </c>
      <c r="Q208" s="95">
        <v>9999.9999999999945</v>
      </c>
      <c r="S208" s="98">
        <v>2993.6794183776269</v>
      </c>
      <c r="T208" s="95">
        <v>3255.2461856404311</v>
      </c>
      <c r="U208" s="99">
        <v>1908.578277180927</v>
      </c>
      <c r="W208" s="121">
        <v>51994.360041503649</v>
      </c>
      <c r="X208" s="59">
        <v>287501.2498121126</v>
      </c>
      <c r="Y208" s="59">
        <v>298516.64754889463</v>
      </c>
      <c r="Z208" s="59">
        <v>767142.85171348054</v>
      </c>
      <c r="AA208" s="59">
        <v>1463153.0452365361</v>
      </c>
      <c r="AB208" s="59">
        <v>2684358.0437781452</v>
      </c>
      <c r="AC208" s="59">
        <v>1623000.3815927722</v>
      </c>
      <c r="AD208" s="59">
        <v>7175666.5797234448</v>
      </c>
      <c r="AE208" s="59">
        <v>948748849.48758233</v>
      </c>
      <c r="AF208" s="68">
        <v>7175666.5797234448</v>
      </c>
    </row>
    <row r="209" spans="1:32" x14ac:dyDescent="0.2">
      <c r="A209" s="95">
        <v>172</v>
      </c>
      <c r="B209" s="95">
        <v>14</v>
      </c>
      <c r="C209" s="95">
        <v>4</v>
      </c>
      <c r="D209" s="95"/>
      <c r="E209" s="95">
        <v>0</v>
      </c>
      <c r="F209" s="95">
        <v>0</v>
      </c>
      <c r="G209" s="95">
        <v>0</v>
      </c>
      <c r="H209" s="95">
        <v>10.442522971581663</v>
      </c>
      <c r="I209" s="95">
        <v>2603.4459148386022</v>
      </c>
      <c r="J209" s="95"/>
      <c r="K209" s="95"/>
      <c r="L209" s="95">
        <v>113.33778695750914</v>
      </c>
      <c r="M209" s="95">
        <v>508.47058512523006</v>
      </c>
      <c r="N209" s="95">
        <v>199.4337756703942</v>
      </c>
      <c r="O209" s="95">
        <v>3007.3504204179453</v>
      </c>
      <c r="P209" s="95">
        <v>3557.5189940187324</v>
      </c>
      <c r="Q209" s="95">
        <v>9999.9999999999945</v>
      </c>
      <c r="S209" s="98">
        <v>3007.3504204179453</v>
      </c>
      <c r="T209" s="95">
        <v>3263.7910765306547</v>
      </c>
      <c r="U209" s="99">
        <v>1915.1971233708805</v>
      </c>
      <c r="W209" s="121">
        <v>51474.416441088608</v>
      </c>
      <c r="X209" s="59">
        <v>285899.85232389509</v>
      </c>
      <c r="Y209" s="59">
        <v>297493.31909768755</v>
      </c>
      <c r="Z209" s="59">
        <v>765681.28274626972</v>
      </c>
      <c r="AA209" s="59">
        <v>1464959.0078350743</v>
      </c>
      <c r="AB209" s="59">
        <v>2692675.2289169529</v>
      </c>
      <c r="AC209" s="59">
        <v>1627716.0010266621</v>
      </c>
      <c r="AD209" s="59">
        <v>7185899.1083876304</v>
      </c>
      <c r="AE209" s="59">
        <v>955934748.59596992</v>
      </c>
      <c r="AF209" s="68">
        <v>7185899.1083876304</v>
      </c>
    </row>
    <row r="210" spans="1:32" x14ac:dyDescent="0.2">
      <c r="A210" s="95">
        <v>173</v>
      </c>
      <c r="B210" s="95">
        <v>14</v>
      </c>
      <c r="C210" s="95">
        <v>5</v>
      </c>
      <c r="D210" s="95"/>
      <c r="E210" s="95">
        <v>0</v>
      </c>
      <c r="F210" s="95">
        <v>0</v>
      </c>
      <c r="G210" s="95">
        <v>0</v>
      </c>
      <c r="H210" s="95">
        <v>10.285014916760307</v>
      </c>
      <c r="I210" s="95">
        <v>2577.9463077314144</v>
      </c>
      <c r="J210" s="95"/>
      <c r="K210" s="95"/>
      <c r="L210" s="95">
        <v>112.30140767618411</v>
      </c>
      <c r="M210" s="95">
        <v>504.61177227583914</v>
      </c>
      <c r="N210" s="95">
        <v>197.81792521035527</v>
      </c>
      <c r="O210" s="95">
        <v>3020.9116208322412</v>
      </c>
      <c r="P210" s="95">
        <v>3576.1259513572004</v>
      </c>
      <c r="Q210" s="95">
        <v>9999.9999999999945</v>
      </c>
      <c r="S210" s="98">
        <v>3020.9116208322412</v>
      </c>
      <c r="T210" s="95">
        <v>3272.25227575388</v>
      </c>
      <c r="U210" s="99">
        <v>1921.7580577133276</v>
      </c>
      <c r="W210" s="121">
        <v>50959.672276677724</v>
      </c>
      <c r="X210" s="59">
        <v>284305.12896715378</v>
      </c>
      <c r="Y210" s="59">
        <v>296469.13653089717</v>
      </c>
      <c r="Z210" s="59">
        <v>764213.13914438046</v>
      </c>
      <c r="AA210" s="59">
        <v>1466740.0929974192</v>
      </c>
      <c r="AB210" s="59">
        <v>2700925.367601213</v>
      </c>
      <c r="AC210" s="59">
        <v>1632392.3903348001</v>
      </c>
      <c r="AD210" s="59">
        <v>7196004.9278525412</v>
      </c>
      <c r="AE210" s="59">
        <v>963130753.52382243</v>
      </c>
      <c r="AF210" s="68">
        <v>7196004.9278525412</v>
      </c>
    </row>
    <row r="211" spans="1:32" x14ac:dyDescent="0.2">
      <c r="A211" s="95">
        <v>174</v>
      </c>
      <c r="B211" s="95">
        <v>14</v>
      </c>
      <c r="C211" s="95">
        <v>6</v>
      </c>
      <c r="D211" s="95"/>
      <c r="E211" s="95">
        <v>0</v>
      </c>
      <c r="F211" s="95">
        <v>0</v>
      </c>
      <c r="G211" s="95">
        <v>0</v>
      </c>
      <c r="H211" s="95">
        <v>10.129882608432506</v>
      </c>
      <c r="I211" s="95">
        <v>2552.6959241829177</v>
      </c>
      <c r="J211" s="95"/>
      <c r="K211" s="95"/>
      <c r="L211" s="95">
        <v>111.27322747852627</v>
      </c>
      <c r="M211" s="95">
        <v>500.76787567149256</v>
      </c>
      <c r="N211" s="95">
        <v>196.21083565547883</v>
      </c>
      <c r="O211" s="95">
        <v>3034.3635898953062</v>
      </c>
      <c r="P211" s="95">
        <v>3594.5586645078411</v>
      </c>
      <c r="Q211" s="95">
        <v>9999.9999999999945</v>
      </c>
      <c r="S211" s="98">
        <v>3034.3635898953062</v>
      </c>
      <c r="T211" s="95">
        <v>3280.6306012540072</v>
      </c>
      <c r="U211" s="99">
        <v>1928.2615030920758</v>
      </c>
      <c r="W211" s="121">
        <v>50450.075553910945</v>
      </c>
      <c r="X211" s="59">
        <v>282717.08149275894</v>
      </c>
      <c r="Y211" s="59">
        <v>295444.15587830613</v>
      </c>
      <c r="Z211" s="59">
        <v>762738.46852154064</v>
      </c>
      <c r="AA211" s="59">
        <v>1468496.3428223254</v>
      </c>
      <c r="AB211" s="59">
        <v>2709108.6498235357</v>
      </c>
      <c r="AC211" s="59">
        <v>1637029.6632046977</v>
      </c>
      <c r="AD211" s="59">
        <v>7205984.4372970751</v>
      </c>
      <c r="AE211" s="59">
        <v>970336737.96111953</v>
      </c>
      <c r="AF211" s="68">
        <v>7205984.4372970751</v>
      </c>
    </row>
    <row r="212" spans="1:32" x14ac:dyDescent="0.2">
      <c r="A212" s="95">
        <v>175</v>
      </c>
      <c r="B212" s="95">
        <v>14</v>
      </c>
      <c r="C212" s="95">
        <v>7</v>
      </c>
      <c r="D212" s="95"/>
      <c r="E212" s="95">
        <v>0</v>
      </c>
      <c r="F212" s="95">
        <v>0</v>
      </c>
      <c r="G212" s="95">
        <v>0</v>
      </c>
      <c r="H212" s="95">
        <v>9.9770902124219827</v>
      </c>
      <c r="I212" s="95">
        <v>2527.692336460334</v>
      </c>
      <c r="J212" s="95"/>
      <c r="K212" s="95"/>
      <c r="L212" s="95">
        <v>110.25321714909063</v>
      </c>
      <c r="M212" s="95">
        <v>496.93921473825174</v>
      </c>
      <c r="N212" s="95">
        <v>194.61256955633436</v>
      </c>
      <c r="O212" s="95">
        <v>3047.7069029204054</v>
      </c>
      <c r="P212" s="95">
        <v>3612.8186689631571</v>
      </c>
      <c r="Q212" s="95">
        <v>9999.9999999999945</v>
      </c>
      <c r="S212" s="98">
        <v>3047.7069029204054</v>
      </c>
      <c r="T212" s="95">
        <v>3288.9268630076017</v>
      </c>
      <c r="U212" s="99">
        <v>1934.7078812548059</v>
      </c>
      <c r="W212" s="121">
        <v>49945.574798371832</v>
      </c>
      <c r="X212" s="59">
        <v>281135.71113179595</v>
      </c>
      <c r="Y212" s="59">
        <v>294418.43260779389</v>
      </c>
      <c r="Z212" s="59">
        <v>761257.31917286327</v>
      </c>
      <c r="AA212" s="59">
        <v>1470227.7997479672</v>
      </c>
      <c r="AB212" s="59">
        <v>2717225.2640494569</v>
      </c>
      <c r="AC212" s="59">
        <v>1641627.9322340481</v>
      </c>
      <c r="AD212" s="59">
        <v>7215838.0337422974</v>
      </c>
      <c r="AE212" s="59">
        <v>977552575.99486184</v>
      </c>
      <c r="AF212" s="68">
        <v>7215838.0337422974</v>
      </c>
    </row>
    <row r="213" spans="1:32" x14ac:dyDescent="0.2">
      <c r="A213" s="95">
        <v>176</v>
      </c>
      <c r="B213" s="95">
        <v>14</v>
      </c>
      <c r="C213" s="95">
        <v>8</v>
      </c>
      <c r="D213" s="95"/>
      <c r="E213" s="95">
        <v>0</v>
      </c>
      <c r="F213" s="95">
        <v>0</v>
      </c>
      <c r="G213" s="95">
        <v>0</v>
      </c>
      <c r="H213" s="95">
        <v>9.8266024350512851</v>
      </c>
      <c r="I213" s="95">
        <v>2502.9331403571941</v>
      </c>
      <c r="J213" s="95"/>
      <c r="K213" s="95"/>
      <c r="L213" s="95">
        <v>109.2413464235165</v>
      </c>
      <c r="M213" s="95">
        <v>493.12609630625235</v>
      </c>
      <c r="N213" s="95">
        <v>193.02318571108998</v>
      </c>
      <c r="O213" s="95">
        <v>3060.9421399847697</v>
      </c>
      <c r="P213" s="95">
        <v>3630.9074887821207</v>
      </c>
      <c r="Q213" s="95">
        <v>9999.9999999999945</v>
      </c>
      <c r="S213" s="98">
        <v>3060.9421399847697</v>
      </c>
      <c r="T213" s="95">
        <v>3297.1418631010979</v>
      </c>
      <c r="U213" s="99">
        <v>1941.0976127613712</v>
      </c>
      <c r="W213" s="121">
        <v>49446.119050388108</v>
      </c>
      <c r="X213" s="59">
        <v>279561.01860444696</v>
      </c>
      <c r="Y213" s="59">
        <v>293392.02162741427</v>
      </c>
      <c r="Z213" s="59">
        <v>759769.74005652033</v>
      </c>
      <c r="AA213" s="59">
        <v>1471934.5065580246</v>
      </c>
      <c r="AB213" s="59">
        <v>2725275.3972533736</v>
      </c>
      <c r="AC213" s="59">
        <v>1646187.3089619647</v>
      </c>
      <c r="AD213" s="59">
        <v>7225566.1121121328</v>
      </c>
      <c r="AE213" s="59">
        <v>984778142.10697401</v>
      </c>
      <c r="AF213" s="68">
        <v>7225566.1121121328</v>
      </c>
    </row>
    <row r="214" spans="1:32" x14ac:dyDescent="0.2">
      <c r="A214" s="95">
        <v>177</v>
      </c>
      <c r="B214" s="95">
        <v>14</v>
      </c>
      <c r="C214" s="95">
        <v>9</v>
      </c>
      <c r="D214" s="95"/>
      <c r="E214" s="95">
        <v>0</v>
      </c>
      <c r="F214" s="95">
        <v>0</v>
      </c>
      <c r="G214" s="95">
        <v>0</v>
      </c>
      <c r="H214" s="95">
        <v>9.6783845149892613</v>
      </c>
      <c r="I214" s="95">
        <v>2478.4159549672204</v>
      </c>
      <c r="J214" s="95"/>
      <c r="K214" s="95"/>
      <c r="L214" s="95">
        <v>108.23758403371666</v>
      </c>
      <c r="M214" s="95">
        <v>489.32881492567645</v>
      </c>
      <c r="N214" s="95">
        <v>191.44273926948736</v>
      </c>
      <c r="O214" s="95">
        <v>3074.0698856626045</v>
      </c>
      <c r="P214" s="95">
        <v>3648.8266366262997</v>
      </c>
      <c r="Q214" s="95">
        <v>9999.9999999999945</v>
      </c>
      <c r="S214" s="98">
        <v>3074.0698856626045</v>
      </c>
      <c r="T214" s="95">
        <v>3305.2763958072587</v>
      </c>
      <c r="U214" s="99">
        <v>1947.4311169339232</v>
      </c>
      <c r="W214" s="121">
        <v>48951.657859884224</v>
      </c>
      <c r="X214" s="59">
        <v>277993.00412875559</v>
      </c>
      <c r="Y214" s="59">
        <v>292364.97728751478</v>
      </c>
      <c r="Z214" s="59">
        <v>758275.78077564191</v>
      </c>
      <c r="AA214" s="59">
        <v>1473616.5063875327</v>
      </c>
      <c r="AB214" s="59">
        <v>2733259.2349541173</v>
      </c>
      <c r="AC214" s="59">
        <v>1650707.9038996145</v>
      </c>
      <c r="AD214" s="59">
        <v>7235169.0652930606</v>
      </c>
      <c r="AE214" s="59">
        <v>992013311.17226708</v>
      </c>
      <c r="AF214" s="68">
        <v>7235169.0652930606</v>
      </c>
    </row>
    <row r="215" spans="1:32" x14ac:dyDescent="0.2">
      <c r="A215" s="95">
        <v>178</v>
      </c>
      <c r="B215" s="95">
        <v>14</v>
      </c>
      <c r="C215" s="95">
        <v>10</v>
      </c>
      <c r="D215" s="95"/>
      <c r="E215" s="95">
        <v>0</v>
      </c>
      <c r="F215" s="95">
        <v>0</v>
      </c>
      <c r="G215" s="95">
        <v>0</v>
      </c>
      <c r="H215" s="95">
        <v>9.5324022152215058</v>
      </c>
      <c r="I215" s="95">
        <v>2454.1384224603544</v>
      </c>
      <c r="J215" s="95"/>
      <c r="K215" s="95"/>
      <c r="L215" s="95">
        <v>107.24189775170983</v>
      </c>
      <c r="M215" s="95">
        <v>485.54765317570912</v>
      </c>
      <c r="N215" s="95">
        <v>189.87128183433668</v>
      </c>
      <c r="O215" s="95">
        <v>3087.0907287654281</v>
      </c>
      <c r="P215" s="95">
        <v>3666.5776137972348</v>
      </c>
      <c r="Q215" s="95">
        <v>9999.9999999999945</v>
      </c>
      <c r="S215" s="98">
        <v>3087.0907287654281</v>
      </c>
      <c r="T215" s="95">
        <v>3313.3312476609021</v>
      </c>
      <c r="U215" s="99">
        <v>1953.7088118088216</v>
      </c>
      <c r="W215" s="121">
        <v>48462.141281285389</v>
      </c>
      <c r="X215" s="59">
        <v>276431.6674292786</v>
      </c>
      <c r="Y215" s="59">
        <v>291337.3533828964</v>
      </c>
      <c r="Z215" s="59">
        <v>756775.49156043818</v>
      </c>
      <c r="AA215" s="59">
        <v>1475273.8427285017</v>
      </c>
      <c r="AB215" s="59">
        <v>2741176.9612501473</v>
      </c>
      <c r="AC215" s="59">
        <v>1655189.8265602686</v>
      </c>
      <c r="AD215" s="59">
        <v>7244647.2841928164</v>
      </c>
      <c r="AE215" s="59">
        <v>999257958.45645988</v>
      </c>
      <c r="AF215" s="68">
        <v>7244647.2841928164</v>
      </c>
    </row>
    <row r="216" spans="1:32" x14ac:dyDescent="0.2">
      <c r="A216" s="95">
        <v>179</v>
      </c>
      <c r="B216" s="95">
        <v>14</v>
      </c>
      <c r="C216" s="95">
        <v>11</v>
      </c>
      <c r="D216" s="95"/>
      <c r="E216" s="95">
        <v>0</v>
      </c>
      <c r="F216" s="95">
        <v>0</v>
      </c>
      <c r="G216" s="95">
        <v>0</v>
      </c>
      <c r="H216" s="95">
        <v>9.3886218151419154</v>
      </c>
      <c r="I216" s="95">
        <v>2430.0982078609081</v>
      </c>
      <c r="J216" s="95"/>
      <c r="K216" s="95"/>
      <c r="L216" s="95">
        <v>106.25425443213365</v>
      </c>
      <c r="M216" s="95">
        <v>481.78288196662834</v>
      </c>
      <c r="N216" s="95">
        <v>188.30886156058801</v>
      </c>
      <c r="O216" s="95">
        <v>3100.005262089574</v>
      </c>
      <c r="P216" s="95">
        <v>3684.1619102750201</v>
      </c>
      <c r="Q216" s="95">
        <v>9999.9999999999945</v>
      </c>
      <c r="S216" s="98">
        <v>3100.005262089574</v>
      </c>
      <c r="T216" s="95">
        <v>3321.3071975338985</v>
      </c>
      <c r="U216" s="99">
        <v>1959.9311140902807</v>
      </c>
      <c r="W216" s="121">
        <v>47977.519868472533</v>
      </c>
      <c r="X216" s="59">
        <v>274877.00774562306</v>
      </c>
      <c r="Y216" s="59">
        <v>290309.20315501245</v>
      </c>
      <c r="Z216" s="59">
        <v>755268.92325054307</v>
      </c>
      <c r="AA216" s="59">
        <v>1476906.5594353073</v>
      </c>
      <c r="AB216" s="59">
        <v>2749028.7588543799</v>
      </c>
      <c r="AC216" s="59">
        <v>1659633.1854887728</v>
      </c>
      <c r="AD216" s="59">
        <v>7254001.1577981114</v>
      </c>
      <c r="AE216" s="59">
        <v>1006511959.6142581</v>
      </c>
      <c r="AF216" s="68">
        <v>7254001.1577981114</v>
      </c>
    </row>
    <row r="217" spans="1:32" x14ac:dyDescent="0.2">
      <c r="A217" s="95">
        <v>180</v>
      </c>
      <c r="B217" s="95">
        <v>15</v>
      </c>
      <c r="C217" s="95">
        <v>0</v>
      </c>
      <c r="D217" s="95"/>
      <c r="E217" s="95">
        <v>0</v>
      </c>
      <c r="F217" s="95">
        <v>0</v>
      </c>
      <c r="G217" s="95">
        <v>0</v>
      </c>
      <c r="H217" s="95">
        <v>9.2470101027635252</v>
      </c>
      <c r="I217" s="95">
        <v>2406.2929988278224</v>
      </c>
      <c r="J217" s="95"/>
      <c r="K217" s="95"/>
      <c r="L217" s="95">
        <v>105.27462005347419</v>
      </c>
      <c r="M217" s="95">
        <v>478.03476083517359</v>
      </c>
      <c r="N217" s="95">
        <v>186.75552325203461</v>
      </c>
      <c r="O217" s="95">
        <v>3112.8140821706806</v>
      </c>
      <c r="P217" s="95">
        <v>3701.5810047580453</v>
      </c>
      <c r="Q217" s="95">
        <v>9999.9999999999945</v>
      </c>
      <c r="S217" s="98">
        <v>3112.8140821706806</v>
      </c>
      <c r="T217" s="95">
        <v>3329.2050167094462</v>
      </c>
      <c r="U217" s="99">
        <v>1966.0984391057113</v>
      </c>
      <c r="W217" s="121">
        <v>47497.744669787804</v>
      </c>
      <c r="X217" s="59">
        <v>273329.0238408728</v>
      </c>
      <c r="Y217" s="59">
        <v>289280.57929420506</v>
      </c>
      <c r="Z217" s="59">
        <v>753756.12727757834</v>
      </c>
      <c r="AA217" s="59">
        <v>1478514.7007298598</v>
      </c>
      <c r="AB217" s="59">
        <v>2756814.8091286388</v>
      </c>
      <c r="AC217" s="59">
        <v>1664038.0882904558</v>
      </c>
      <c r="AD217" s="59">
        <v>7263231.0732313981</v>
      </c>
      <c r="AE217" s="59">
        <v>1013775190.6874894</v>
      </c>
      <c r="AF217" s="68">
        <v>7263231.0732313981</v>
      </c>
    </row>
    <row r="218" spans="1:32" x14ac:dyDescent="0.2">
      <c r="A218" s="95">
        <v>181</v>
      </c>
      <c r="B218" s="95">
        <v>15</v>
      </c>
      <c r="C218" s="95">
        <v>1</v>
      </c>
      <c r="D218" s="95"/>
      <c r="E218" s="95">
        <v>232.96128987177559</v>
      </c>
      <c r="F218" s="95">
        <v>1346.4344099822915</v>
      </c>
      <c r="G218" s="95">
        <v>1427.9645596197115</v>
      </c>
      <c r="H218" s="95">
        <v>1809.9825581401687</v>
      </c>
      <c r="I218" s="95">
        <v>3058.6974322447372</v>
      </c>
      <c r="J218" s="95"/>
      <c r="K218" s="95"/>
      <c r="L218" s="95">
        <v>116.83020306880768</v>
      </c>
      <c r="M218" s="95">
        <v>397.01037858831887</v>
      </c>
      <c r="N218" s="95">
        <v>168.63287982253041</v>
      </c>
      <c r="O218" s="95">
        <v>1257.5394640316069</v>
      </c>
      <c r="P218" s="95">
        <v>183.94682463005333</v>
      </c>
      <c r="Q218" s="95">
        <v>10000.000000000002</v>
      </c>
      <c r="S218" s="98">
        <v>1257.5394640316069</v>
      </c>
      <c r="T218" s="95">
        <v>1434.3118961769969</v>
      </c>
      <c r="U218" s="99">
        <v>825.06537692564916</v>
      </c>
      <c r="W218" s="121">
        <v>47018.809077700782</v>
      </c>
      <c r="X218" s="59">
        <v>271764.93659125007</v>
      </c>
      <c r="Y218" s="59">
        <v>288227.42722703778</v>
      </c>
      <c r="Z218" s="59">
        <v>752174.34263733029</v>
      </c>
      <c r="AA218" s="59">
        <v>1479975.1016481577</v>
      </c>
      <c r="AB218" s="59">
        <v>2764305.5575503036</v>
      </c>
      <c r="AC218" s="59">
        <v>1668265.9718187929</v>
      </c>
      <c r="AD218" s="59">
        <v>7271732.1465505734</v>
      </c>
      <c r="AE218" s="59">
        <v>1021046922.8340399</v>
      </c>
      <c r="AF218" s="68">
        <v>7271732.1465505734</v>
      </c>
    </row>
    <row r="219" spans="1:32" x14ac:dyDescent="0.2">
      <c r="A219" s="95">
        <v>182</v>
      </c>
      <c r="B219" s="95">
        <v>15</v>
      </c>
      <c r="C219" s="95">
        <v>2</v>
      </c>
      <c r="D219" s="95"/>
      <c r="E219" s="95">
        <v>230.63167697305784</v>
      </c>
      <c r="F219" s="95">
        <v>1338.8319302186712</v>
      </c>
      <c r="G219" s="95">
        <v>1422.8651666209839</v>
      </c>
      <c r="H219" s="95">
        <v>1806.3132100348091</v>
      </c>
      <c r="I219" s="95">
        <v>3061.9200089562833</v>
      </c>
      <c r="J219" s="95"/>
      <c r="K219" s="95"/>
      <c r="L219" s="95">
        <v>116.98248265417122</v>
      </c>
      <c r="M219" s="95">
        <v>398.28128726957817</v>
      </c>
      <c r="N219" s="95">
        <v>169.07044526256564</v>
      </c>
      <c r="O219" s="95">
        <v>1269.0173389519932</v>
      </c>
      <c r="P219" s="95">
        <v>186.08645305788789</v>
      </c>
      <c r="Q219" s="95">
        <v>10000.000000000002</v>
      </c>
      <c r="S219" s="98">
        <v>1269.0173389519932</v>
      </c>
      <c r="T219" s="95">
        <v>1444.2526628317923</v>
      </c>
      <c r="U219" s="99">
        <v>831.54562055932502</v>
      </c>
      <c r="W219" s="121">
        <v>46544.70275283396</v>
      </c>
      <c r="X219" s="59">
        <v>270207.78003337252</v>
      </c>
      <c r="Y219" s="59">
        <v>287174.07877987978</v>
      </c>
      <c r="Z219" s="59">
        <v>750586.69330092543</v>
      </c>
      <c r="AA219" s="59">
        <v>1481410.763052583</v>
      </c>
      <c r="AB219" s="59">
        <v>2771729.6498456751</v>
      </c>
      <c r="AC219" s="59">
        <v>1672454.8955222152</v>
      </c>
      <c r="AD219" s="59">
        <v>7280108.5632874854</v>
      </c>
      <c r="AE219" s="59">
        <v>1028327031.3973274</v>
      </c>
      <c r="AF219" s="68">
        <v>7280108.5632874854</v>
      </c>
    </row>
    <row r="220" spans="1:32" x14ac:dyDescent="0.2">
      <c r="A220" s="95">
        <v>183</v>
      </c>
      <c r="B220" s="95">
        <v>15</v>
      </c>
      <c r="C220" s="95">
        <v>3</v>
      </c>
      <c r="D220" s="95"/>
      <c r="E220" s="95">
        <v>228.32536020332725</v>
      </c>
      <c r="F220" s="95">
        <v>1331.262488247555</v>
      </c>
      <c r="G220" s="95">
        <v>1417.7641915021677</v>
      </c>
      <c r="H220" s="95">
        <v>1802.6292557015072</v>
      </c>
      <c r="I220" s="95">
        <v>3065.0920766114905</v>
      </c>
      <c r="J220" s="95"/>
      <c r="K220" s="95"/>
      <c r="L220" s="95">
        <v>117.13209849399249</v>
      </c>
      <c r="M220" s="95">
        <v>399.54274115204498</v>
      </c>
      <c r="N220" s="95">
        <v>169.50415568067396</v>
      </c>
      <c r="O220" s="95">
        <v>1280.5249552973571</v>
      </c>
      <c r="P220" s="95">
        <v>188.22267710988544</v>
      </c>
      <c r="Q220" s="95">
        <v>10000.000000000002</v>
      </c>
      <c r="S220" s="98">
        <v>1280.5249552973571</v>
      </c>
      <c r="T220" s="95">
        <v>1454.2039028609004</v>
      </c>
      <c r="U220" s="99">
        <v>838.03768859934189</v>
      </c>
      <c r="W220" s="121">
        <v>46075.377000076223</v>
      </c>
      <c r="X220" s="59">
        <v>268657.5498499652</v>
      </c>
      <c r="Y220" s="59">
        <v>286120.58507439075</v>
      </c>
      <c r="Z220" s="59">
        <v>748993.23387220781</v>
      </c>
      <c r="AA220" s="59">
        <v>1482821.7364500675</v>
      </c>
      <c r="AB220" s="59">
        <v>2779087.2991586211</v>
      </c>
      <c r="AC220" s="59">
        <v>1676604.9740063762</v>
      </c>
      <c r="AD220" s="59">
        <v>7288360.755411705</v>
      </c>
      <c r="AE220" s="59">
        <v>1035615392.1527392</v>
      </c>
      <c r="AF220" s="68">
        <v>7288360.755411705</v>
      </c>
    </row>
    <row r="221" spans="1:32" x14ac:dyDescent="0.2">
      <c r="A221" s="95">
        <v>184</v>
      </c>
      <c r="B221" s="95">
        <v>15</v>
      </c>
      <c r="C221" s="95">
        <v>4</v>
      </c>
      <c r="D221" s="95"/>
      <c r="E221" s="95">
        <v>226.04210660129397</v>
      </c>
      <c r="F221" s="95">
        <v>1323.7260689290554</v>
      </c>
      <c r="G221" s="95">
        <v>1412.6618844976906</v>
      </c>
      <c r="H221" s="95">
        <v>1798.9308241641556</v>
      </c>
      <c r="I221" s="95">
        <v>3068.2137297257514</v>
      </c>
      <c r="J221" s="95"/>
      <c r="K221" s="95"/>
      <c r="L221" s="95">
        <v>117.27906627626849</v>
      </c>
      <c r="M221" s="95">
        <v>400.79476073960598</v>
      </c>
      <c r="N221" s="95">
        <v>169.93402161615742</v>
      </c>
      <c r="O221" s="95">
        <v>1292.062047248239</v>
      </c>
      <c r="P221" s="95">
        <v>190.35549020178362</v>
      </c>
      <c r="Q221" s="95">
        <v>10000.000000000002</v>
      </c>
      <c r="S221" s="98">
        <v>1292.062047248239</v>
      </c>
      <c r="T221" s="95">
        <v>1464.1654521098876</v>
      </c>
      <c r="U221" s="99">
        <v>844.54145344671622</v>
      </c>
      <c r="W221" s="121">
        <v>45610.783615325454</v>
      </c>
      <c r="X221" s="59">
        <v>267114.24128099531</v>
      </c>
      <c r="Y221" s="59">
        <v>285066.99667339266</v>
      </c>
      <c r="Z221" s="59">
        <v>747394.019461488</v>
      </c>
      <c r="AA221" s="59">
        <v>1484208.0737174391</v>
      </c>
      <c r="AB221" s="59">
        <v>2786378.7167037115</v>
      </c>
      <c r="AC221" s="59">
        <v>1680716.3212103241</v>
      </c>
      <c r="AD221" s="59">
        <v>7296489.1526626758</v>
      </c>
      <c r="AE221" s="59">
        <v>1042911881.3054018</v>
      </c>
      <c r="AF221" s="68">
        <v>7296489.1526626758</v>
      </c>
    </row>
    <row r="222" spans="1:32" x14ac:dyDescent="0.2">
      <c r="A222" s="95">
        <v>185</v>
      </c>
      <c r="B222" s="95">
        <v>15</v>
      </c>
      <c r="C222" s="95">
        <v>5</v>
      </c>
      <c r="D222" s="95"/>
      <c r="E222" s="95">
        <v>223.78168553528101</v>
      </c>
      <c r="F222" s="95">
        <v>1316.2226549629383</v>
      </c>
      <c r="G222" s="95">
        <v>1407.5584931698368</v>
      </c>
      <c r="H222" s="95">
        <v>1795.2180456695046</v>
      </c>
      <c r="I222" s="95">
        <v>3071.2850636206181</v>
      </c>
      <c r="J222" s="95"/>
      <c r="K222" s="95"/>
      <c r="L222" s="95">
        <v>117.42340148856164</v>
      </c>
      <c r="M222" s="95">
        <v>402.03736640031786</v>
      </c>
      <c r="N222" s="95">
        <v>170.36005354601511</v>
      </c>
      <c r="O222" s="95">
        <v>1303.628349789507</v>
      </c>
      <c r="P222" s="95">
        <v>192.48488581742114</v>
      </c>
      <c r="Q222" s="95">
        <v>10000.000000000002</v>
      </c>
      <c r="S222" s="98">
        <v>1303.628349789507</v>
      </c>
      <c r="T222" s="95">
        <v>1474.1371467314964</v>
      </c>
      <c r="U222" s="99">
        <v>851.05678781781955</v>
      </c>
      <c r="W222" s="121">
        <v>45150.874880537587</v>
      </c>
      <c r="X222" s="59">
        <v>265577.84913174406</v>
      </c>
      <c r="Y222" s="59">
        <v>284013.36358350795</v>
      </c>
      <c r="Z222" s="59">
        <v>745789.10566897236</v>
      </c>
      <c r="AA222" s="59">
        <v>1485569.8271053634</v>
      </c>
      <c r="AB222" s="59">
        <v>2793604.1118158405</v>
      </c>
      <c r="AC222" s="59">
        <v>1684789.0504191623</v>
      </c>
      <c r="AD222" s="59">
        <v>7304494.1826051278</v>
      </c>
      <c r="AE222" s="59">
        <v>1050216375.4880069</v>
      </c>
      <c r="AF222" s="68">
        <v>7304494.1826051278</v>
      </c>
    </row>
    <row r="223" spans="1:32" x14ac:dyDescent="0.2">
      <c r="A223" s="95">
        <v>186</v>
      </c>
      <c r="B223" s="95">
        <v>15</v>
      </c>
      <c r="C223" s="95">
        <v>6</v>
      </c>
      <c r="D223" s="95"/>
      <c r="E223" s="95">
        <v>221.54386867992821</v>
      </c>
      <c r="F223" s="95">
        <v>1308.7522269271792</v>
      </c>
      <c r="G223" s="95">
        <v>1402.4542624208334</v>
      </c>
      <c r="H223" s="95">
        <v>1791.4910516483137</v>
      </c>
      <c r="I223" s="95">
        <v>3074.3061744318602</v>
      </c>
      <c r="J223" s="95"/>
      <c r="K223" s="95"/>
      <c r="L223" s="95">
        <v>117.56511942314276</v>
      </c>
      <c r="M223" s="95">
        <v>403.27057837018174</v>
      </c>
      <c r="N223" s="95">
        <v>170.78226188621062</v>
      </c>
      <c r="O223" s="95">
        <v>1315.2235987038321</v>
      </c>
      <c r="P223" s="95">
        <v>194.61085750851942</v>
      </c>
      <c r="Q223" s="95">
        <v>10000.000000000002</v>
      </c>
      <c r="S223" s="98">
        <v>1315.2235987038321</v>
      </c>
      <c r="T223" s="95">
        <v>1484.1188231882634</v>
      </c>
      <c r="U223" s="99">
        <v>857.58356474341394</v>
      </c>
      <c r="W223" s="121">
        <v>44695.603558825504</v>
      </c>
      <c r="X223" s="59">
        <v>264048.36778076884</v>
      </c>
      <c r="Y223" s="59">
        <v>282959.73525782826</v>
      </c>
      <c r="Z223" s="59">
        <v>744178.54856841371</v>
      </c>
      <c r="AA223" s="59">
        <v>1486907.0492420825</v>
      </c>
      <c r="AB223" s="59">
        <v>2800763.691999061</v>
      </c>
      <c r="AC223" s="59">
        <v>1688823.2742768675</v>
      </c>
      <c r="AD223" s="59">
        <v>7312376.2706838474</v>
      </c>
      <c r="AE223" s="59">
        <v>1057528751.7586908</v>
      </c>
      <c r="AF223" s="68">
        <v>7312376.2706838474</v>
      </c>
    </row>
    <row r="224" spans="1:32" x14ac:dyDescent="0.2">
      <c r="A224" s="95">
        <v>187</v>
      </c>
      <c r="B224" s="95">
        <v>15</v>
      </c>
      <c r="C224" s="95">
        <v>7</v>
      </c>
      <c r="D224" s="95"/>
      <c r="E224" s="95">
        <v>219.32842999312894</v>
      </c>
      <c r="F224" s="95">
        <v>1301.3147633160092</v>
      </c>
      <c r="G224" s="95">
        <v>1397.3494345050874</v>
      </c>
      <c r="H224" s="95">
        <v>1787.7499746770095</v>
      </c>
      <c r="I224" s="95">
        <v>3077.2771591171118</v>
      </c>
      <c r="J224" s="95"/>
      <c r="K224" s="95"/>
      <c r="L224" s="95">
        <v>117.70423518201837</v>
      </c>
      <c r="M224" s="95">
        <v>404.49441675689314</v>
      </c>
      <c r="N224" s="95">
        <v>171.20065699295409</v>
      </c>
      <c r="O224" s="95">
        <v>1326.8475305653224</v>
      </c>
      <c r="P224" s="95">
        <v>196.73339889446632</v>
      </c>
      <c r="Q224" s="95">
        <v>10000.000000000002</v>
      </c>
      <c r="S224" s="98">
        <v>1326.8475305653224</v>
      </c>
      <c r="T224" s="95">
        <v>1494.1103182551669</v>
      </c>
      <c r="U224" s="99">
        <v>864.12165756774664</v>
      </c>
      <c r="W224" s="121">
        <v>44244.92288960734</v>
      </c>
      <c r="X224" s="59">
        <v>262525.79118776001</v>
      </c>
      <c r="Y224" s="59">
        <v>281906.16059861117</v>
      </c>
      <c r="Z224" s="59">
        <v>742562.40469097893</v>
      </c>
      <c r="AA224" s="59">
        <v>1488219.7931369515</v>
      </c>
      <c r="AB224" s="59">
        <v>2807857.6629746407</v>
      </c>
      <c r="AC224" s="59">
        <v>1692819.1047992466</v>
      </c>
      <c r="AD224" s="59">
        <v>7320135.8402777966</v>
      </c>
      <c r="AE224" s="59">
        <v>1064848887.5989686</v>
      </c>
      <c r="AF224" s="68">
        <v>7320135.8402777966</v>
      </c>
    </row>
    <row r="225" spans="1:32" x14ac:dyDescent="0.2">
      <c r="A225" s="95">
        <v>188</v>
      </c>
      <c r="B225" s="95">
        <v>15</v>
      </c>
      <c r="C225" s="95">
        <v>8</v>
      </c>
      <c r="D225" s="95"/>
      <c r="E225" s="95">
        <v>217.13514569319764</v>
      </c>
      <c r="F225" s="95">
        <v>1293.9102405774581</v>
      </c>
      <c r="G225" s="95">
        <v>1392.2442490415654</v>
      </c>
      <c r="H225" s="95">
        <v>1783.9949484398467</v>
      </c>
      <c r="I225" s="95">
        <v>3080.1981154631098</v>
      </c>
      <c r="J225" s="95"/>
      <c r="K225" s="95"/>
      <c r="L225" s="95">
        <v>117.84076368184424</v>
      </c>
      <c r="M225" s="95">
        <v>405.70890154356772</v>
      </c>
      <c r="N225" s="95">
        <v>171.61524916399705</v>
      </c>
      <c r="O225" s="95">
        <v>1338.4998827333134</v>
      </c>
      <c r="P225" s="95">
        <v>198.85250366210136</v>
      </c>
      <c r="Q225" s="95">
        <v>10000.000000000002</v>
      </c>
      <c r="S225" s="98">
        <v>1338.4998827333134</v>
      </c>
      <c r="T225" s="95">
        <v>1504.1114690222976</v>
      </c>
      <c r="U225" s="99">
        <v>870.6709399477038</v>
      </c>
      <c r="W225" s="121">
        <v>43798.786583803798</v>
      </c>
      <c r="X225" s="59">
        <v>261010.11290129114</v>
      </c>
      <c r="Y225" s="59">
        <v>280852.68796000548</v>
      </c>
      <c r="Z225" s="59">
        <v>740940.73100933468</v>
      </c>
      <c r="AA225" s="59">
        <v>1489508.1121837753</v>
      </c>
      <c r="AB225" s="59">
        <v>2814886.2287283484</v>
      </c>
      <c r="AC225" s="59">
        <v>1696776.653387011</v>
      </c>
      <c r="AD225" s="59">
        <v>7327773.3127535693</v>
      </c>
      <c r="AE225" s="59">
        <v>1072176660.9117222</v>
      </c>
      <c r="AF225" s="68">
        <v>7327773.3127535693</v>
      </c>
    </row>
    <row r="226" spans="1:32" x14ac:dyDescent="0.2">
      <c r="A226" s="95">
        <v>189</v>
      </c>
      <c r="B226" s="95">
        <v>15</v>
      </c>
      <c r="C226" s="95">
        <v>9</v>
      </c>
      <c r="D226" s="95"/>
      <c r="E226" s="95">
        <v>214.96379423626567</v>
      </c>
      <c r="F226" s="95">
        <v>1286.5386331503987</v>
      </c>
      <c r="G226" s="95">
        <v>1387.138943026313</v>
      </c>
      <c r="H226" s="95">
        <v>1780.2261076915672</v>
      </c>
      <c r="I226" s="95">
        <v>3083.0691420925336</v>
      </c>
      <c r="J226" s="95"/>
      <c r="K226" s="95"/>
      <c r="L226" s="95">
        <v>117.97471965872764</v>
      </c>
      <c r="M226" s="95">
        <v>406.91405259244112</v>
      </c>
      <c r="N226" s="95">
        <v>172.02604863993813</v>
      </c>
      <c r="O226" s="95">
        <v>1350.1803933463136</v>
      </c>
      <c r="P226" s="95">
        <v>200.96816556550252</v>
      </c>
      <c r="Q226" s="95">
        <v>10000.000000000002</v>
      </c>
      <c r="S226" s="98">
        <v>1350.1803933463136</v>
      </c>
      <c r="T226" s="95">
        <v>1514.1221128975526</v>
      </c>
      <c r="U226" s="99">
        <v>877.23128585202141</v>
      </c>
      <c r="W226" s="121">
        <v>43357.148819083777</v>
      </c>
      <c r="X226" s="59">
        <v>259501.32606646535</v>
      </c>
      <c r="Y226" s="59">
        <v>279799.36515080289</v>
      </c>
      <c r="Z226" s="59">
        <v>739313.58492194733</v>
      </c>
      <c r="AA226" s="59">
        <v>1490772.0601639526</v>
      </c>
      <c r="AB226" s="59">
        <v>2821849.5915569779</v>
      </c>
      <c r="AC226" s="59">
        <v>1700696.0308389538</v>
      </c>
      <c r="AD226" s="59">
        <v>7335289.107518184</v>
      </c>
      <c r="AE226" s="59">
        <v>1079511950.0192404</v>
      </c>
      <c r="AF226" s="68">
        <v>7335289.107518184</v>
      </c>
    </row>
    <row r="227" spans="1:32" x14ac:dyDescent="0.2">
      <c r="A227" s="95">
        <v>190</v>
      </c>
      <c r="B227" s="95">
        <v>15</v>
      </c>
      <c r="C227" s="95">
        <v>10</v>
      </c>
      <c r="D227" s="95"/>
      <c r="E227" s="95">
        <v>212.81415629390301</v>
      </c>
      <c r="F227" s="95">
        <v>1279.1999135010994</v>
      </c>
      <c r="G227" s="95">
        <v>1382.0337508451087</v>
      </c>
      <c r="H227" s="95">
        <v>1776.4435882205557</v>
      </c>
      <c r="I227" s="95">
        <v>3085.8903384704536</v>
      </c>
      <c r="J227" s="95"/>
      <c r="K227" s="95"/>
      <c r="L227" s="95">
        <v>118.10611767292048</v>
      </c>
      <c r="M227" s="95">
        <v>408.10988964854278</v>
      </c>
      <c r="N227" s="95">
        <v>172.43306560553825</v>
      </c>
      <c r="O227" s="95">
        <v>1361.8888013161049</v>
      </c>
      <c r="P227" s="95">
        <v>203.08037842577457</v>
      </c>
      <c r="Q227" s="95">
        <v>10000.000000000002</v>
      </c>
      <c r="S227" s="98">
        <v>1361.8888013161049</v>
      </c>
      <c r="T227" s="95">
        <v>1524.1420876093534</v>
      </c>
      <c r="U227" s="99">
        <v>883.80256956055268</v>
      </c>
      <c r="W227" s="121">
        <v>42919.964235158019</v>
      </c>
      <c r="X227" s="59">
        <v>257999.42343245845</v>
      </c>
      <c r="Y227" s="59">
        <v>278746.23943721538</v>
      </c>
      <c r="Z227" s="59">
        <v>737681.02423759736</v>
      </c>
      <c r="AA227" s="59">
        <v>1492011.6912494262</v>
      </c>
      <c r="AB227" s="59">
        <v>2828747.9521141164</v>
      </c>
      <c r="AC227" s="59">
        <v>1704577.3473652168</v>
      </c>
      <c r="AD227" s="59">
        <v>7342683.6420711884</v>
      </c>
      <c r="AE227" s="59">
        <v>1086854633.6613116</v>
      </c>
      <c r="AF227" s="68">
        <v>7342683.6420711884</v>
      </c>
    </row>
    <row r="228" spans="1:32" x14ac:dyDescent="0.2">
      <c r="A228" s="95">
        <v>191</v>
      </c>
      <c r="B228" s="95">
        <v>15</v>
      </c>
      <c r="C228" s="95">
        <v>11</v>
      </c>
      <c r="D228" s="95"/>
      <c r="E228" s="95">
        <v>210.68601473096399</v>
      </c>
      <c r="F228" s="95">
        <v>1271.8940521592904</v>
      </c>
      <c r="G228" s="95">
        <v>1376.9289042862458</v>
      </c>
      <c r="H228" s="95">
        <v>1772.6475268124864</v>
      </c>
      <c r="I228" s="95">
        <v>3088.6618049103899</v>
      </c>
      <c r="J228" s="95"/>
      <c r="K228" s="95"/>
      <c r="L228" s="95">
        <v>118.23497211340543</v>
      </c>
      <c r="M228" s="95">
        <v>409.29643234334247</v>
      </c>
      <c r="N228" s="95">
        <v>172.83631019104362</v>
      </c>
      <c r="O228" s="95">
        <v>1373.6248463219945</v>
      </c>
      <c r="P228" s="95">
        <v>205.1891361308391</v>
      </c>
      <c r="Q228" s="95">
        <v>10000.000000000002</v>
      </c>
      <c r="S228" s="98">
        <v>1373.6248463219945</v>
      </c>
      <c r="T228" s="95">
        <v>1534.1712312093823</v>
      </c>
      <c r="U228" s="99">
        <v>890.38466566358989</v>
      </c>
      <c r="W228" s="121">
        <v>42487.187929120177</v>
      </c>
      <c r="X228" s="59">
        <v>256504.39735996051</v>
      </c>
      <c r="Y228" s="59">
        <v>277693.3575456774</v>
      </c>
      <c r="Z228" s="59">
        <v>736043.10716010514</v>
      </c>
      <c r="AA228" s="59">
        <v>1493227.0600054467</v>
      </c>
      <c r="AB228" s="59">
        <v>2835581.50945517</v>
      </c>
      <c r="AC228" s="59">
        <v>1708420.712600624</v>
      </c>
      <c r="AD228" s="59">
        <v>7349957.3320561042</v>
      </c>
      <c r="AE228" s="59">
        <v>1094204590.9933677</v>
      </c>
      <c r="AF228" s="68">
        <v>7349957.3320561042</v>
      </c>
    </row>
    <row r="229" spans="1:32" x14ac:dyDescent="0.2">
      <c r="A229" s="95">
        <v>192</v>
      </c>
      <c r="B229" s="95">
        <v>16</v>
      </c>
      <c r="C229" s="95">
        <v>0</v>
      </c>
      <c r="D229" s="95"/>
      <c r="E229" s="95">
        <v>208.57915458365434</v>
      </c>
      <c r="F229" s="95">
        <v>1264.6210177537491</v>
      </c>
      <c r="G229" s="95">
        <v>1371.8246325534401</v>
      </c>
      <c r="H229" s="95">
        <v>1768.8380612144583</v>
      </c>
      <c r="I229" s="95">
        <v>3091.3836425799955</v>
      </c>
      <c r="J229" s="95"/>
      <c r="K229" s="95"/>
      <c r="L229" s="95">
        <v>118.37121570297653</v>
      </c>
      <c r="M229" s="95">
        <v>410.46378169776989</v>
      </c>
      <c r="N229" s="95">
        <v>173.23579247351492</v>
      </c>
      <c r="O229" s="95">
        <v>1385.388268805217</v>
      </c>
      <c r="P229" s="95">
        <v>207.29443263522589</v>
      </c>
      <c r="Q229" s="95">
        <v>10000.000000000002</v>
      </c>
      <c r="S229" s="98">
        <v>1385.388268805217</v>
      </c>
      <c r="T229" s="95">
        <v>1544.2093820753412</v>
      </c>
      <c r="U229" s="99">
        <v>896.97744906124024</v>
      </c>
      <c r="W229" s="121">
        <v>42058.775450834881</v>
      </c>
      <c r="X229" s="59">
        <v>255016.23982851638</v>
      </c>
      <c r="Y229" s="59">
        <v>276640.76566567185</v>
      </c>
      <c r="Z229" s="59">
        <v>734399.89227326808</v>
      </c>
      <c r="AA229" s="59">
        <v>1494418.2213931489</v>
      </c>
      <c r="AB229" s="59">
        <v>2842350.4610816496</v>
      </c>
      <c r="AC229" s="59">
        <v>1712226.2356180747</v>
      </c>
      <c r="AD229" s="59">
        <v>7357110.5913111642</v>
      </c>
      <c r="AE229" s="59">
        <v>1101561701.5846789</v>
      </c>
      <c r="AF229" s="68">
        <v>7357110.5913111642</v>
      </c>
    </row>
    <row r="230" spans="1:32" x14ac:dyDescent="0.2">
      <c r="A230" s="95">
        <v>193</v>
      </c>
      <c r="B230" s="95">
        <v>16</v>
      </c>
      <c r="C230" s="95">
        <v>1</v>
      </c>
      <c r="D230" s="95"/>
      <c r="E230" s="95">
        <v>206.4933630378178</v>
      </c>
      <c r="F230" s="95">
        <v>1257.3807770474123</v>
      </c>
      <c r="G230" s="95">
        <v>1366.7211622788564</v>
      </c>
      <c r="H230" s="95">
        <v>1765.015330099616</v>
      </c>
      <c r="I230" s="95">
        <v>3094.0559535063621</v>
      </c>
      <c r="J230" s="95"/>
      <c r="K230" s="95"/>
      <c r="L230" s="95">
        <v>118.50474651398775</v>
      </c>
      <c r="M230" s="95">
        <v>411.62201525651489</v>
      </c>
      <c r="N230" s="95">
        <v>173.63152247816151</v>
      </c>
      <c r="O230" s="95">
        <v>1397.1788678214073</v>
      </c>
      <c r="P230" s="95">
        <v>209.39626195986577</v>
      </c>
      <c r="Q230" s="95">
        <v>10000.000000000002</v>
      </c>
      <c r="S230" s="98">
        <v>1397.1788678214073</v>
      </c>
      <c r="T230" s="95">
        <v>1554.2563789137262</v>
      </c>
      <c r="U230" s="99">
        <v>903.5807949628545</v>
      </c>
      <c r="W230" s="121">
        <v>41634.682798372298</v>
      </c>
      <c r="X230" s="59">
        <v>253534.94244376716</v>
      </c>
      <c r="Y230" s="59">
        <v>275588.50945257855</v>
      </c>
      <c r="Z230" s="59">
        <v>732751.43852600513</v>
      </c>
      <c r="AA230" s="59">
        <v>1495585.23077195</v>
      </c>
      <c r="AB230" s="59">
        <v>2849054.6916671456</v>
      </c>
      <c r="AC230" s="59">
        <v>1715994.0249419755</v>
      </c>
      <c r="AD230" s="59">
        <v>7364143.5206017941</v>
      </c>
      <c r="AE230" s="59">
        <v>1108925845.1052806</v>
      </c>
      <c r="AF230" s="68">
        <v>7364143.5206017941</v>
      </c>
    </row>
    <row r="231" spans="1:32" x14ac:dyDescent="0.2">
      <c r="A231" s="95">
        <v>194</v>
      </c>
      <c r="B231" s="95">
        <v>16</v>
      </c>
      <c r="C231" s="95">
        <v>2</v>
      </c>
      <c r="D231" s="95"/>
      <c r="E231" s="95">
        <v>204.42842940743964</v>
      </c>
      <c r="F231" s="95">
        <v>1250.1732949720167</v>
      </c>
      <c r="G231" s="95">
        <v>1361.6187175362506</v>
      </c>
      <c r="H231" s="95">
        <v>1761.1794730322501</v>
      </c>
      <c r="I231" s="95">
        <v>3096.6788405809621</v>
      </c>
      <c r="J231" s="95"/>
      <c r="K231" s="95"/>
      <c r="L231" s="95">
        <v>118.63620059941469</v>
      </c>
      <c r="M231" s="95">
        <v>412.77053221498517</v>
      </c>
      <c r="N231" s="95">
        <v>174.02350985181766</v>
      </c>
      <c r="O231" s="95">
        <v>1408.9963836274449</v>
      </c>
      <c r="P231" s="95">
        <v>211.49461817742045</v>
      </c>
      <c r="Q231" s="95">
        <v>10000.000000000002</v>
      </c>
      <c r="S231" s="98">
        <v>1408.9963836274449</v>
      </c>
      <c r="T231" s="95">
        <v>1564.3120607626217</v>
      </c>
      <c r="U231" s="99">
        <v>910.19457855864482</v>
      </c>
      <c r="W231" s="121">
        <v>41214.866413488708</v>
      </c>
      <c r="X231" s="59">
        <v>252060.49644459336</v>
      </c>
      <c r="Y231" s="59">
        <v>274536.63403054525</v>
      </c>
      <c r="Z231" s="59">
        <v>731097.80521770986</v>
      </c>
      <c r="AA231" s="59">
        <v>1496728.1439017651</v>
      </c>
      <c r="AB231" s="59">
        <v>2855694.406759439</v>
      </c>
      <c r="AC231" s="59">
        <v>1719724.1853176728</v>
      </c>
      <c r="AD231" s="59">
        <v>7371056.5380852139</v>
      </c>
      <c r="AE231" s="59">
        <v>1116296901.6433659</v>
      </c>
      <c r="AF231" s="68">
        <v>7371056.5380852139</v>
      </c>
    </row>
    <row r="232" spans="1:32" x14ac:dyDescent="0.2">
      <c r="A232" s="95">
        <v>195</v>
      </c>
      <c r="B232" s="95">
        <v>16</v>
      </c>
      <c r="C232" s="95">
        <v>3</v>
      </c>
      <c r="D232" s="95"/>
      <c r="E232" s="95">
        <v>202.38414511336524</v>
      </c>
      <c r="F232" s="95">
        <v>1242.9985346622777</v>
      </c>
      <c r="G232" s="95">
        <v>1356.5175198542224</v>
      </c>
      <c r="H232" s="95">
        <v>1757.3306304333762</v>
      </c>
      <c r="I232" s="95">
        <v>3099.2524075642295</v>
      </c>
      <c r="J232" s="95"/>
      <c r="K232" s="95"/>
      <c r="L232" s="95">
        <v>118.76558396692154</v>
      </c>
      <c r="M232" s="95">
        <v>413.90935790045023</v>
      </c>
      <c r="N232" s="95">
        <v>174.41176421542025</v>
      </c>
      <c r="O232" s="95">
        <v>1420.8405608627697</v>
      </c>
      <c r="P232" s="95">
        <v>213.58949542696925</v>
      </c>
      <c r="Q232" s="95">
        <v>10000.000000000002</v>
      </c>
      <c r="S232" s="98">
        <v>1420.8405608627697</v>
      </c>
      <c r="T232" s="95">
        <v>1574.3762669945099</v>
      </c>
      <c r="U232" s="99">
        <v>916.8186753586042</v>
      </c>
      <c r="W232" s="121">
        <v>40799.283177152691</v>
      </c>
      <c r="X232" s="59">
        <v>250592.89271016078</v>
      </c>
      <c r="Y232" s="59">
        <v>273485.18399537879</v>
      </c>
      <c r="Z232" s="59">
        <v>729439.05198380875</v>
      </c>
      <c r="AA232" s="59">
        <v>1497847.016945051</v>
      </c>
      <c r="AB232" s="59">
        <v>2862269.7908101087</v>
      </c>
      <c r="AC232" s="59">
        <v>1723416.8212003494</v>
      </c>
      <c r="AD232" s="59">
        <v>7377850.0408220105</v>
      </c>
      <c r="AE232" s="59">
        <v>1123674751.6841879</v>
      </c>
      <c r="AF232" s="68">
        <v>7377850.0408220105</v>
      </c>
    </row>
    <row r="233" spans="1:32" x14ac:dyDescent="0.2">
      <c r="A233" s="95">
        <v>196</v>
      </c>
      <c r="B233" s="95">
        <v>16</v>
      </c>
      <c r="C233" s="95">
        <v>4</v>
      </c>
      <c r="D233" s="95"/>
      <c r="E233" s="95">
        <v>200.36030366223159</v>
      </c>
      <c r="F233" s="95">
        <v>1235.8564574896097</v>
      </c>
      <c r="G233" s="95">
        <v>1351.4177882295744</v>
      </c>
      <c r="H233" s="95">
        <v>1753.4689435467874</v>
      </c>
      <c r="I233" s="95">
        <v>3101.7767590897856</v>
      </c>
      <c r="J233" s="95"/>
      <c r="K233" s="95"/>
      <c r="L233" s="95">
        <v>118.89290260720914</v>
      </c>
      <c r="M233" s="95">
        <v>415.03851748146189</v>
      </c>
      <c r="N233" s="95">
        <v>174.79629514377439</v>
      </c>
      <c r="O233" s="95">
        <v>1432.7111448366709</v>
      </c>
      <c r="P233" s="95">
        <v>215.68088791289682</v>
      </c>
      <c r="Q233" s="95">
        <v>10000.000000000002</v>
      </c>
      <c r="S233" s="98">
        <v>1432.7111448366709</v>
      </c>
      <c r="T233" s="95">
        <v>1584.4488373190936</v>
      </c>
      <c r="U233" s="99">
        <v>923.45296117134421</v>
      </c>
      <c r="W233" s="121">
        <v>40387.890405116406</v>
      </c>
      <c r="X233" s="59">
        <v>249132.12176687102</v>
      </c>
      <c r="Y233" s="59">
        <v>272434.20341745683</v>
      </c>
      <c r="Z233" s="59">
        <v>727775.23878152249</v>
      </c>
      <c r="AA233" s="59">
        <v>1498941.906468675</v>
      </c>
      <c r="AB233" s="59">
        <v>2868781.0272651073</v>
      </c>
      <c r="AC233" s="59">
        <v>1727072.0365552215</v>
      </c>
      <c r="AD233" s="59">
        <v>7384524.4246599702</v>
      </c>
      <c r="AE233" s="59">
        <v>1131059276.1088479</v>
      </c>
      <c r="AF233" s="68">
        <v>7384524.4246599702</v>
      </c>
    </row>
    <row r="234" spans="1:32" x14ac:dyDescent="0.2">
      <c r="A234" s="95">
        <v>197</v>
      </c>
      <c r="B234" s="95">
        <v>16</v>
      </c>
      <c r="C234" s="95">
        <v>5</v>
      </c>
      <c r="D234" s="95"/>
      <c r="E234" s="95">
        <v>198.35670062560928</v>
      </c>
      <c r="F234" s="95">
        <v>1228.7470230953927</v>
      </c>
      <c r="G234" s="95">
        <v>1346.3197391407728</v>
      </c>
      <c r="H234" s="95">
        <v>1749.5945544055776</v>
      </c>
      <c r="I234" s="95">
        <v>3104.2520006683189</v>
      </c>
      <c r="J234" s="95"/>
      <c r="K234" s="95"/>
      <c r="L234" s="95">
        <v>119.01816249527393</v>
      </c>
      <c r="M234" s="95">
        <v>416.15803597221128</v>
      </c>
      <c r="N234" s="95">
        <v>175.17711216722969</v>
      </c>
      <c r="O234" s="95">
        <v>1444.6078815249066</v>
      </c>
      <c r="P234" s="95">
        <v>217.76878990470945</v>
      </c>
      <c r="Q234" s="95">
        <v>10000.000000000002</v>
      </c>
      <c r="S234" s="98">
        <v>1444.6078815249066</v>
      </c>
      <c r="T234" s="95">
        <v>1594.5296117861353</v>
      </c>
      <c r="U234" s="99">
        <v>930.09731210411815</v>
      </c>
      <c r="W234" s="121">
        <v>39980.645843531485</v>
      </c>
      <c r="X234" s="59">
        <v>247678.1737952166</v>
      </c>
      <c r="Y234" s="59">
        <v>271383.73584465845</v>
      </c>
      <c r="Z234" s="59">
        <v>726106.4258758314</v>
      </c>
      <c r="AA234" s="59">
        <v>1500012.8694456161</v>
      </c>
      <c r="AB234" s="59">
        <v>2875228.2985954299</v>
      </c>
      <c r="AC234" s="59">
        <v>1730689.9348743025</v>
      </c>
      <c r="AD234" s="59">
        <v>7391080.0842745863</v>
      </c>
      <c r="AE234" s="59">
        <v>1138450356.1931224</v>
      </c>
      <c r="AF234" s="68">
        <v>7391080.0842745863</v>
      </c>
    </row>
    <row r="235" spans="1:32" x14ac:dyDescent="0.2">
      <c r="A235" s="95">
        <v>198</v>
      </c>
      <c r="B235" s="95">
        <v>16</v>
      </c>
      <c r="C235" s="95">
        <v>6</v>
      </c>
      <c r="D235" s="95"/>
      <c r="E235" s="95">
        <v>196.37313361935318</v>
      </c>
      <c r="F235" s="95">
        <v>1221.6701894237929</v>
      </c>
      <c r="G235" s="95">
        <v>1341.2235865615055</v>
      </c>
      <c r="H235" s="95">
        <v>1745.7076057991301</v>
      </c>
      <c r="I235" s="95">
        <v>3106.6782386911209</v>
      </c>
      <c r="J235" s="95"/>
      <c r="K235" s="95"/>
      <c r="L235" s="95">
        <v>119.14136959163231</v>
      </c>
      <c r="M235" s="95">
        <v>417.26793823684</v>
      </c>
      <c r="N235" s="95">
        <v>175.55422477333275</v>
      </c>
      <c r="O235" s="95">
        <v>1456.5305175664428</v>
      </c>
      <c r="P235" s="95">
        <v>219.85319573685203</v>
      </c>
      <c r="Q235" s="95">
        <v>10000.000000000002</v>
      </c>
      <c r="S235" s="98">
        <v>1456.5305175664428</v>
      </c>
      <c r="T235" s="95">
        <v>1604.6184307883073</v>
      </c>
      <c r="U235" s="99">
        <v>936.75160456288029</v>
      </c>
      <c r="W235" s="121">
        <v>39577.507664609206</v>
      </c>
      <c r="X235" s="59">
        <v>246231.03863654318</v>
      </c>
      <c r="Y235" s="59">
        <v>270333.82430531312</v>
      </c>
      <c r="Z235" s="59">
        <v>724432.67382563953</v>
      </c>
      <c r="AA235" s="59">
        <v>1501059.9632564995</v>
      </c>
      <c r="AB235" s="59">
        <v>2881611.7863273411</v>
      </c>
      <c r="AC235" s="59">
        <v>1734270.6191929274</v>
      </c>
      <c r="AD235" s="59">
        <v>7397517.413208873</v>
      </c>
      <c r="AE235" s="59">
        <v>1145847873.6063313</v>
      </c>
      <c r="AF235" s="68">
        <v>7397517.413208873</v>
      </c>
    </row>
    <row r="236" spans="1:32" x14ac:dyDescent="0.2">
      <c r="A236" s="95">
        <v>199</v>
      </c>
      <c r="B236" s="95">
        <v>16</v>
      </c>
      <c r="C236" s="95">
        <v>7</v>
      </c>
      <c r="D236" s="95"/>
      <c r="E236" s="95">
        <v>194.40940228315966</v>
      </c>
      <c r="F236" s="95">
        <v>1214.6259127541405</v>
      </c>
      <c r="G236" s="95">
        <v>1336.1295419743353</v>
      </c>
      <c r="H236" s="95">
        <v>1741.8082412405704</v>
      </c>
      <c r="I236" s="95">
        <v>3109.0555804332871</v>
      </c>
      <c r="J236" s="95"/>
      <c r="K236" s="95"/>
      <c r="L236" s="95">
        <v>119.26252984351126</v>
      </c>
      <c r="M236" s="95">
        <v>418.36824899370515</v>
      </c>
      <c r="N236" s="95">
        <v>175.92764240845597</v>
      </c>
      <c r="O236" s="95">
        <v>1468.4788002603109</v>
      </c>
      <c r="P236" s="95">
        <v>221.93409980852618</v>
      </c>
      <c r="Q236" s="95">
        <v>10000.000000000002</v>
      </c>
      <c r="S236" s="98">
        <v>1468.4788002603109</v>
      </c>
      <c r="T236" s="95">
        <v>1614.7151350640534</v>
      </c>
      <c r="U236" s="99">
        <v>943.41571525238123</v>
      </c>
      <c r="W236" s="121">
        <v>39178.434462324403</v>
      </c>
      <c r="X236" s="59">
        <v>244790.70579971877</v>
      </c>
      <c r="Y236" s="59">
        <v>269284.51131116704</v>
      </c>
      <c r="Z236" s="59">
        <v>722754.04347013962</v>
      </c>
      <c r="AA236" s="59">
        <v>1502083.2456909688</v>
      </c>
      <c r="AB236" s="59">
        <v>2887931.671072145</v>
      </c>
      <c r="AC236" s="59">
        <v>1737814.1921060346</v>
      </c>
      <c r="AD236" s="59">
        <v>7403836.8039124981</v>
      </c>
      <c r="AE236" s="59">
        <v>1153251710.4102437</v>
      </c>
      <c r="AF236" s="68">
        <v>7403836.8039124981</v>
      </c>
    </row>
    <row r="237" spans="1:32" x14ac:dyDescent="0.2">
      <c r="A237" s="95">
        <v>200</v>
      </c>
      <c r="B237" s="95">
        <v>16</v>
      </c>
      <c r="C237" s="95">
        <v>8</v>
      </c>
      <c r="D237" s="95"/>
      <c r="E237" s="95">
        <v>192.46530826032807</v>
      </c>
      <c r="F237" s="95">
        <v>1207.6141477328708</v>
      </c>
      <c r="G237" s="95">
        <v>1331.0378143844403</v>
      </c>
      <c r="H237" s="95">
        <v>1737.8966049346782</v>
      </c>
      <c r="I237" s="95">
        <v>3111.3841340565905</v>
      </c>
      <c r="J237" s="95"/>
      <c r="K237" s="95"/>
      <c r="L237" s="95">
        <v>119.38164918600552</v>
      </c>
      <c r="M237" s="95">
        <v>419.45899281959771</v>
      </c>
      <c r="N237" s="95">
        <v>176.29737447940269</v>
      </c>
      <c r="O237" s="95">
        <v>1480.4524775625796</v>
      </c>
      <c r="P237" s="95">
        <v>224.01149658350897</v>
      </c>
      <c r="Q237" s="95">
        <v>10000.000000000002</v>
      </c>
      <c r="S237" s="98">
        <v>1480.4524775625796</v>
      </c>
      <c r="T237" s="95">
        <v>1624.8195657004615</v>
      </c>
      <c r="U237" s="99">
        <v>950.08952117629758</v>
      </c>
      <c r="W237" s="121">
        <v>38783.385248162631</v>
      </c>
      <c r="X237" s="59">
        <v>243357.16446771187</v>
      </c>
      <c r="Y237" s="59">
        <v>268235.83886036638</v>
      </c>
      <c r="Z237" s="59">
        <v>721070.595915374</v>
      </c>
      <c r="AA237" s="59">
        <v>1503082.7749488971</v>
      </c>
      <c r="AB237" s="59">
        <v>2894188.1325555192</v>
      </c>
      <c r="AC237" s="59">
        <v>1741320.7557842056</v>
      </c>
      <c r="AD237" s="59">
        <v>7410038.6477802368</v>
      </c>
      <c r="AE237" s="59">
        <v>1160661749.0580239</v>
      </c>
      <c r="AF237" s="68">
        <v>7410038.6477802368</v>
      </c>
    </row>
    <row r="238" spans="1:32" x14ac:dyDescent="0.2">
      <c r="A238" s="95">
        <v>201</v>
      </c>
      <c r="B238" s="95">
        <v>16</v>
      </c>
      <c r="C238" s="95">
        <v>9</v>
      </c>
      <c r="D238" s="95"/>
      <c r="E238" s="95">
        <v>190.5406551777248</v>
      </c>
      <c r="F238" s="95">
        <v>1200.6348474050346</v>
      </c>
      <c r="G238" s="95">
        <v>1325.9486103334409</v>
      </c>
      <c r="H238" s="95">
        <v>1733.9728417462536</v>
      </c>
      <c r="I238" s="95">
        <v>3113.6640086120283</v>
      </c>
      <c r="J238" s="95"/>
      <c r="K238" s="95"/>
      <c r="L238" s="95">
        <v>119.49873354320225</v>
      </c>
      <c r="M238" s="95">
        <v>420.5401941539144</v>
      </c>
      <c r="N238" s="95">
        <v>176.66343035498855</v>
      </c>
      <c r="O238" s="95">
        <v>1492.4512980834422</v>
      </c>
      <c r="P238" s="95">
        <v>226.08538058997243</v>
      </c>
      <c r="Q238" s="95">
        <v>10000.000000000002</v>
      </c>
      <c r="S238" s="98">
        <v>1492.4512980834422</v>
      </c>
      <c r="T238" s="95">
        <v>1634.9315641361454</v>
      </c>
      <c r="U238" s="99">
        <v>956.77289963739531</v>
      </c>
      <c r="W238" s="121">
        <v>38392.319446910325</v>
      </c>
      <c r="X238" s="59">
        <v>241930.40350407927</v>
      </c>
      <c r="Y238" s="59">
        <v>267187.84844045556</v>
      </c>
      <c r="Z238" s="59">
        <v>719382.39252099255</v>
      </c>
      <c r="AA238" s="59">
        <v>1504058.6096414421</v>
      </c>
      <c r="AB238" s="59">
        <v>2900381.3496463988</v>
      </c>
      <c r="AC238" s="59">
        <v>1744790.411989463</v>
      </c>
      <c r="AD238" s="59">
        <v>7416123.335189742</v>
      </c>
      <c r="AE238" s="59">
        <v>1168077872.3932137</v>
      </c>
      <c r="AF238" s="68">
        <v>7416123.335189742</v>
      </c>
    </row>
    <row r="239" spans="1:32" x14ac:dyDescent="0.2">
      <c r="A239" s="95">
        <v>202</v>
      </c>
      <c r="B239" s="95">
        <v>16</v>
      </c>
      <c r="C239" s="95">
        <v>10</v>
      </c>
      <c r="D239" s="95"/>
      <c r="E239" s="95">
        <v>188.63524862594755</v>
      </c>
      <c r="F239" s="95">
        <v>1193.6879632453806</v>
      </c>
      <c r="G239" s="95">
        <v>1320.8621339133088</v>
      </c>
      <c r="H239" s="95">
        <v>1730.0370971689376</v>
      </c>
      <c r="I239" s="95">
        <v>3115.8953140420526</v>
      </c>
      <c r="J239" s="95"/>
      <c r="K239" s="95"/>
      <c r="L239" s="95">
        <v>119.61378882927369</v>
      </c>
      <c r="M239" s="95">
        <v>421.61187730278237</v>
      </c>
      <c r="N239" s="95">
        <v>177.02581936759915</v>
      </c>
      <c r="O239" s="95">
        <v>1504.4750110844157</v>
      </c>
      <c r="P239" s="95">
        <v>228.15574642030407</v>
      </c>
      <c r="Q239" s="95">
        <v>10000.000000000002</v>
      </c>
      <c r="S239" s="98">
        <v>1504.4750110844157</v>
      </c>
      <c r="T239" s="95">
        <v>1645.0509721641345</v>
      </c>
      <c r="U239" s="99">
        <v>963.46572823772635</v>
      </c>
      <c r="W239" s="121">
        <v>38005.196892487314</v>
      </c>
      <c r="X239" s="59">
        <v>240510.4114593647</v>
      </c>
      <c r="Y239" s="59">
        <v>266140.5810313914</v>
      </c>
      <c r="Z239" s="59">
        <v>717689.49488720368</v>
      </c>
      <c r="AA239" s="59">
        <v>1505010.8087919471</v>
      </c>
      <c r="AB239" s="59">
        <v>2906511.5003854232</v>
      </c>
      <c r="AC239" s="59">
        <v>1748223.2620908283</v>
      </c>
      <c r="AD239" s="59">
        <v>7422091.2555386452</v>
      </c>
      <c r="AE239" s="59">
        <v>1175499963.6487525</v>
      </c>
      <c r="AF239" s="68">
        <v>7422091.2555386452</v>
      </c>
    </row>
    <row r="240" spans="1:32" x14ac:dyDescent="0.2">
      <c r="A240" s="95">
        <v>203</v>
      </c>
      <c r="B240" s="95">
        <v>16</v>
      </c>
      <c r="C240" s="95">
        <v>11</v>
      </c>
      <c r="D240" s="95"/>
      <c r="E240" s="95">
        <v>186.74889613968807</v>
      </c>
      <c r="F240" s="95">
        <v>1186.7734451890174</v>
      </c>
      <c r="G240" s="95">
        <v>1315.778586780352</v>
      </c>
      <c r="H240" s="95">
        <v>1726.0895172944788</v>
      </c>
      <c r="I240" s="95">
        <v>3118.0781611824896</v>
      </c>
      <c r="J240" s="95"/>
      <c r="K240" s="95"/>
      <c r="L240" s="95">
        <v>119.72682094953819</v>
      </c>
      <c r="M240" s="95">
        <v>422.67406644313661</v>
      </c>
      <c r="N240" s="95">
        <v>177.38455081472424</v>
      </c>
      <c r="O240" s="95">
        <v>1516.5233664756493</v>
      </c>
      <c r="P240" s="95">
        <v>230.2225887309279</v>
      </c>
      <c r="Q240" s="95">
        <v>10000.000000000002</v>
      </c>
      <c r="S240" s="98">
        <v>1516.5233664756493</v>
      </c>
      <c r="T240" s="95">
        <v>1655.1776319347712</v>
      </c>
      <c r="U240" s="99">
        <v>970.16788487885708</v>
      </c>
      <c r="W240" s="121">
        <v>37621.977823821398</v>
      </c>
      <c r="X240" s="59">
        <v>239097.17657740953</v>
      </c>
      <c r="Y240" s="59">
        <v>265094.07710857084</v>
      </c>
      <c r="Z240" s="59">
        <v>715991.96484191914</v>
      </c>
      <c r="AA240" s="59">
        <v>1505939.4318366898</v>
      </c>
      <c r="AB240" s="59">
        <v>2912578.7620129413</v>
      </c>
      <c r="AC240" s="59">
        <v>1751619.4070796375</v>
      </c>
      <c r="AD240" s="59">
        <v>7427942.7972809896</v>
      </c>
      <c r="AE240" s="59">
        <v>1182927906.4460335</v>
      </c>
      <c r="AF240" s="68">
        <v>7427942.7972809896</v>
      </c>
    </row>
    <row r="241" spans="1:32" x14ac:dyDescent="0.2">
      <c r="A241" s="95">
        <v>204</v>
      </c>
      <c r="B241" s="95">
        <v>17</v>
      </c>
      <c r="C241" s="95">
        <v>0</v>
      </c>
      <c r="D241" s="95"/>
      <c r="E241" s="95">
        <v>184.8814071782912</v>
      </c>
      <c r="F241" s="95">
        <v>1179.8912416616599</v>
      </c>
      <c r="G241" s="95">
        <v>1310.6981681692757</v>
      </c>
      <c r="H241" s="95">
        <v>1722.1302487824455</v>
      </c>
      <c r="I241" s="95">
        <v>3120.2126617641511</v>
      </c>
      <c r="J241" s="95"/>
      <c r="K241" s="95"/>
      <c r="L241" s="95">
        <v>119.83783580149066</v>
      </c>
      <c r="M241" s="95">
        <v>423.72678562674997</v>
      </c>
      <c r="N241" s="95">
        <v>177.73963396046801</v>
      </c>
      <c r="O241" s="95">
        <v>1528.5961148133438</v>
      </c>
      <c r="P241" s="95">
        <v>232.28590224212624</v>
      </c>
      <c r="Q241" s="95">
        <v>10000.000000000002</v>
      </c>
      <c r="S241" s="98">
        <v>1528.5961148133438</v>
      </c>
      <c r="T241" s="95">
        <v>1665.3113859586142</v>
      </c>
      <c r="U241" s="99">
        <v>976.87924776212844</v>
      </c>
      <c r="W241" s="121">
        <v>37242.622880764531</v>
      </c>
      <c r="X241" s="59">
        <v>237690.686801576</v>
      </c>
      <c r="Y241" s="59">
        <v>264048.37664587225</v>
      </c>
      <c r="Z241" s="59">
        <v>714289.86442808819</v>
      </c>
      <c r="AA241" s="59">
        <v>1506844.5386254839</v>
      </c>
      <c r="AB241" s="59">
        <v>2918583.3109965827</v>
      </c>
      <c r="AC241" s="59">
        <v>1754978.9475846174</v>
      </c>
      <c r="AD241" s="59">
        <v>7433678.3479629848</v>
      </c>
      <c r="AE241" s="59">
        <v>1190361584.7939966</v>
      </c>
      <c r="AF241" s="68">
        <v>7433678.3479629848</v>
      </c>
    </row>
    <row r="242" spans="1:32" x14ac:dyDescent="0.2">
      <c r="A242" s="95">
        <v>205</v>
      </c>
      <c r="B242" s="95">
        <v>17</v>
      </c>
      <c r="C242" s="95">
        <v>1</v>
      </c>
      <c r="D242" s="95"/>
      <c r="E242" s="95">
        <v>183.03259310650827</v>
      </c>
      <c r="F242" s="95">
        <v>1173.0412996094628</v>
      </c>
      <c r="G242" s="95">
        <v>1305.6210749073107</v>
      </c>
      <c r="H242" s="95">
        <v>1718.159438830379</v>
      </c>
      <c r="I242" s="95">
        <v>3122.2989284141486</v>
      </c>
      <c r="J242" s="95"/>
      <c r="K242" s="95"/>
      <c r="L242" s="95">
        <v>119.94683927580246</v>
      </c>
      <c r="M242" s="95">
        <v>424.77005878421562</v>
      </c>
      <c r="N242" s="95">
        <v>178.09107803703611</v>
      </c>
      <c r="O242" s="95">
        <v>1540.6930072972759</v>
      </c>
      <c r="P242" s="95">
        <v>234.34568173786238</v>
      </c>
      <c r="Q242" s="95">
        <v>10000.000000000002</v>
      </c>
      <c r="S242" s="98">
        <v>1540.6930072972759</v>
      </c>
      <c r="T242" s="95">
        <v>1675.4520771093478</v>
      </c>
      <c r="U242" s="99">
        <v>983.59969538894666</v>
      </c>
      <c r="W242" s="121">
        <v>36867.093100050159</v>
      </c>
      <c r="X242" s="59">
        <v>236290.92978088511</v>
      </c>
      <c r="Y242" s="59">
        <v>263003.51911870943</v>
      </c>
      <c r="Z242" s="59">
        <v>712583.25589122227</v>
      </c>
      <c r="AA242" s="59">
        <v>1507726.1894221357</v>
      </c>
      <c r="AB242" s="59">
        <v>2924525.3230583947</v>
      </c>
      <c r="AC242" s="59">
        <v>1758301.9838867211</v>
      </c>
      <c r="AD242" s="59">
        <v>7439298.2942581186</v>
      </c>
      <c r="AE242" s="59">
        <v>1197800883.0882547</v>
      </c>
      <c r="AF242" s="68">
        <v>7439298.2942581186</v>
      </c>
    </row>
    <row r="243" spans="1:32" x14ac:dyDescent="0.2">
      <c r="A243" s="95">
        <v>206</v>
      </c>
      <c r="B243" s="95">
        <v>17</v>
      </c>
      <c r="C243" s="95">
        <v>2</v>
      </c>
      <c r="D243" s="95"/>
      <c r="E243" s="95">
        <v>181.20226717544318</v>
      </c>
      <c r="F243" s="95">
        <v>1166.2235645284486</v>
      </c>
      <c r="G243" s="95">
        <v>1300.5475014284111</v>
      </c>
      <c r="H243" s="95">
        <v>1714.1772351443842</v>
      </c>
      <c r="I243" s="95">
        <v>3124.3370746569094</v>
      </c>
      <c r="J243" s="95"/>
      <c r="K243" s="95"/>
      <c r="L243" s="95">
        <v>120.05383725729186</v>
      </c>
      <c r="M243" s="95">
        <v>425.80390972888142</v>
      </c>
      <c r="N243" s="95">
        <v>178.43889224619892</v>
      </c>
      <c r="O243" s="95">
        <v>1552.8137957684294</v>
      </c>
      <c r="P243" s="95">
        <v>236.4019220656036</v>
      </c>
      <c r="Q243" s="95">
        <v>10000.000000000002</v>
      </c>
      <c r="S243" s="98">
        <v>1552.8137957684294</v>
      </c>
      <c r="T243" s="95">
        <v>1685.5995486266938</v>
      </c>
      <c r="U243" s="99">
        <v>990.32910656110323</v>
      </c>
      <c r="W243" s="121">
        <v>36495.34991129132</v>
      </c>
      <c r="X243" s="59">
        <v>234897.892876069</v>
      </c>
      <c r="Y243" s="59">
        <v>261959.54350709738</v>
      </c>
      <c r="Z243" s="59">
        <v>710872.20166710706</v>
      </c>
      <c r="AA243" s="59">
        <v>1508584.444904756</v>
      </c>
      <c r="AB243" s="59">
        <v>2930404.9732015431</v>
      </c>
      <c r="AC243" s="59">
        <v>1761588.6159337254</v>
      </c>
      <c r="AD243" s="59">
        <v>7444803.0220015896</v>
      </c>
      <c r="AE243" s="59">
        <v>1205245686.1102562</v>
      </c>
      <c r="AF243" s="68">
        <v>7444803.0220015896</v>
      </c>
    </row>
    <row r="244" spans="1:32" x14ac:dyDescent="0.2">
      <c r="A244" s="95">
        <v>207</v>
      </c>
      <c r="B244" s="95">
        <v>17</v>
      </c>
      <c r="C244" s="95">
        <v>3</v>
      </c>
      <c r="D244" s="95"/>
      <c r="E244" s="95">
        <v>179.39024450368876</v>
      </c>
      <c r="F244" s="95">
        <v>1159.4379804935338</v>
      </c>
      <c r="G244" s="95">
        <v>1295.477639787513</v>
      </c>
      <c r="H244" s="95">
        <v>1710.1837859101531</v>
      </c>
      <c r="I244" s="95">
        <v>3126.3272149149061</v>
      </c>
      <c r="J244" s="95"/>
      <c r="K244" s="95"/>
      <c r="L244" s="95">
        <v>120.15883562586514</v>
      </c>
      <c r="M244" s="95">
        <v>426.82836216073639</v>
      </c>
      <c r="N244" s="95">
        <v>178.7830857607315</v>
      </c>
      <c r="O244" s="95">
        <v>1564.9582327067285</v>
      </c>
      <c r="P244" s="95">
        <v>238.45461813614511</v>
      </c>
      <c r="Q244" s="95">
        <v>10000.000000000002</v>
      </c>
      <c r="S244" s="98">
        <v>1564.9582327067285</v>
      </c>
      <c r="T244" s="95">
        <v>1695.7536441193288</v>
      </c>
      <c r="U244" s="99">
        <v>997.06736038112456</v>
      </c>
      <c r="W244" s="121">
        <v>36127.355133019133</v>
      </c>
      <c r="X244" s="59">
        <v>233511.56316553993</v>
      </c>
      <c r="Y244" s="59">
        <v>260916.4882987295</v>
      </c>
      <c r="Z244" s="59">
        <v>709156.76436969975</v>
      </c>
      <c r="AA244" s="59">
        <v>1509419.3661659358</v>
      </c>
      <c r="AB244" s="59">
        <v>2936222.4357365905</v>
      </c>
      <c r="AC244" s="59">
        <v>1764838.9433545882</v>
      </c>
      <c r="AD244" s="59">
        <v>7450192.9162241025</v>
      </c>
      <c r="AE244" s="59">
        <v>1212695879.0264802</v>
      </c>
      <c r="AF244" s="68">
        <v>7450192.9162241025</v>
      </c>
    </row>
    <row r="245" spans="1:32" x14ac:dyDescent="0.2">
      <c r="A245" s="95">
        <v>208</v>
      </c>
      <c r="B245" s="95">
        <v>17</v>
      </c>
      <c r="C245" s="95">
        <v>4</v>
      </c>
      <c r="D245" s="95"/>
      <c r="E245" s="95">
        <v>177.59634205865189</v>
      </c>
      <c r="F245" s="95">
        <v>1152.6844901871589</v>
      </c>
      <c r="G245" s="95">
        <v>1290.4116796748535</v>
      </c>
      <c r="H245" s="95">
        <v>1706.1792397644192</v>
      </c>
      <c r="I245" s="95">
        <v>3128.2694645091015</v>
      </c>
      <c r="J245" s="95"/>
      <c r="K245" s="95"/>
      <c r="L245" s="95">
        <v>120.2618402574292</v>
      </c>
      <c r="M245" s="95">
        <v>427.84343967024921</v>
      </c>
      <c r="N245" s="95">
        <v>179.12366772583007</v>
      </c>
      <c r="O245" s="95">
        <v>1577.1260712288738</v>
      </c>
      <c r="P245" s="95">
        <v>240.5037649234344</v>
      </c>
      <c r="Q245" s="95">
        <v>10000.000000000002</v>
      </c>
      <c r="S245" s="98">
        <v>1577.1260712288738</v>
      </c>
      <c r="T245" s="95">
        <v>1705.9142075678021</v>
      </c>
      <c r="U245" s="99">
        <v>1003.8143362526494</v>
      </c>
      <c r="W245" s="121">
        <v>35763.070968761189</v>
      </c>
      <c r="X245" s="59">
        <v>232131.92745127578</v>
      </c>
      <c r="Y245" s="59">
        <v>259874.39149206522</v>
      </c>
      <c r="Z245" s="59">
        <v>707437.00677921192</v>
      </c>
      <c r="AA245" s="59">
        <v>1510231.0147127798</v>
      </c>
      <c r="AB245" s="59">
        <v>2941977.8843073421</v>
      </c>
      <c r="AC245" s="59">
        <v>1768053.0654735698</v>
      </c>
      <c r="AD245" s="59">
        <v>7455468.3611850059</v>
      </c>
      <c r="AE245" s="59">
        <v>1220151347.3876653</v>
      </c>
      <c r="AF245" s="68">
        <v>7455468.3611850059</v>
      </c>
    </row>
    <row r="246" spans="1:32" x14ac:dyDescent="0.2">
      <c r="A246" s="95">
        <v>209</v>
      </c>
      <c r="B246" s="95">
        <v>17</v>
      </c>
      <c r="C246" s="95">
        <v>5</v>
      </c>
      <c r="D246" s="95"/>
      <c r="E246" s="95">
        <v>175.82037863806536</v>
      </c>
      <c r="F246" s="95">
        <v>1145.9630349275249</v>
      </c>
      <c r="G246" s="95">
        <v>1285.3498084303453</v>
      </c>
      <c r="H246" s="95">
        <v>1702.1637457668373</v>
      </c>
      <c r="I246" s="95">
        <v>3130.1639396591149</v>
      </c>
      <c r="J246" s="95"/>
      <c r="K246" s="95"/>
      <c r="L246" s="95">
        <v>120.36285702477608</v>
      </c>
      <c r="M246" s="95">
        <v>428.84916574215816</v>
      </c>
      <c r="N246" s="95">
        <v>179.46064726050528</v>
      </c>
      <c r="O246" s="95">
        <v>1589.3170650862778</v>
      </c>
      <c r="P246" s="95">
        <v>242.54935746439634</v>
      </c>
      <c r="Q246" s="95">
        <v>10000.000000000002</v>
      </c>
      <c r="S246" s="98">
        <v>1589.3170650862778</v>
      </c>
      <c r="T246" s="95">
        <v>1716.0810833274568</v>
      </c>
      <c r="U246" s="99">
        <v>1010.5699138808335</v>
      </c>
      <c r="W246" s="121">
        <v>35402.460003159511</v>
      </c>
      <c r="X246" s="59">
        <v>230758.97226462426</v>
      </c>
      <c r="Y246" s="59">
        <v>258833.29059942704</v>
      </c>
      <c r="Z246" s="59">
        <v>705712.99183037411</v>
      </c>
      <c r="AA246" s="59">
        <v>1511019.4524668118</v>
      </c>
      <c r="AB246" s="59">
        <v>2947671.4919162686</v>
      </c>
      <c r="AC246" s="59">
        <v>1771231.0813241159</v>
      </c>
      <c r="AD246" s="59">
        <v>7460629.740404781</v>
      </c>
      <c r="AE246" s="59">
        <v>1227611977.1280701</v>
      </c>
      <c r="AF246" s="68">
        <v>7460629.740404781</v>
      </c>
    </row>
    <row r="247" spans="1:32" x14ac:dyDescent="0.2">
      <c r="A247" s="95">
        <v>210</v>
      </c>
      <c r="B247" s="95">
        <v>17</v>
      </c>
      <c r="C247" s="95">
        <v>6</v>
      </c>
      <c r="D247" s="95"/>
      <c r="E247" s="95">
        <v>174.06217485168472</v>
      </c>
      <c r="F247" s="95">
        <v>1139.2735546964441</v>
      </c>
      <c r="G247" s="95">
        <v>1280.2922110580043</v>
      </c>
      <c r="H247" s="95">
        <v>1698.1374533722862</v>
      </c>
      <c r="I247" s="95">
        <v>3132.0107574831186</v>
      </c>
      <c r="J247" s="95"/>
      <c r="K247" s="95"/>
      <c r="L247" s="95">
        <v>120.46189179843999</v>
      </c>
      <c r="M247" s="95">
        <v>429.84556375921278</v>
      </c>
      <c r="N247" s="95">
        <v>179.7940334589521</v>
      </c>
      <c r="O247" s="95">
        <v>1601.5309686631001</v>
      </c>
      <c r="P247" s="95">
        <v>244.59139085875867</v>
      </c>
      <c r="Q247" s="95">
        <v>10000.000000000002</v>
      </c>
      <c r="S247" s="98">
        <v>1601.5309686631001</v>
      </c>
      <c r="T247" s="95">
        <v>1726.2541161313488</v>
      </c>
      <c r="U247" s="99">
        <v>1017.3339732727818</v>
      </c>
      <c r="W247" s="121">
        <v>35045.485198127659</v>
      </c>
      <c r="X247" s="59">
        <v>229392.68387202578</v>
      </c>
      <c r="Y247" s="59">
        <v>257793.22265010737</v>
      </c>
      <c r="Z247" s="59">
        <v>703984.78260088211</v>
      </c>
      <c r="AA247" s="59">
        <v>1511784.7417637424</v>
      </c>
      <c r="AB247" s="59">
        <v>2953303.4309495096</v>
      </c>
      <c r="AC247" s="59">
        <v>1774373.0896625053</v>
      </c>
      <c r="AD247" s="59">
        <v>7465677.4366969001</v>
      </c>
      <c r="AE247" s="59">
        <v>1235077654.5647671</v>
      </c>
      <c r="AF247" s="68">
        <v>7465677.4366969001</v>
      </c>
    </row>
    <row r="248" spans="1:32" x14ac:dyDescent="0.2">
      <c r="A248" s="95">
        <v>211</v>
      </c>
      <c r="B248" s="95">
        <v>17</v>
      </c>
      <c r="C248" s="95">
        <v>7</v>
      </c>
      <c r="D248" s="95"/>
      <c r="E248" s="95">
        <v>172.32155310316787</v>
      </c>
      <c r="F248" s="95">
        <v>1132.6159881668075</v>
      </c>
      <c r="G248" s="95">
        <v>1275.2390702404264</v>
      </c>
      <c r="H248" s="95">
        <v>1694.1005124035912</v>
      </c>
      <c r="I248" s="95">
        <v>3133.8100359974628</v>
      </c>
      <c r="J248" s="95"/>
      <c r="K248" s="95"/>
      <c r="L248" s="95">
        <v>120.55895044752732</v>
      </c>
      <c r="M248" s="95">
        <v>430.83265700586713</v>
      </c>
      <c r="N248" s="95">
        <v>180.12383539189665</v>
      </c>
      <c r="O248" s="95">
        <v>1613.7675369743768</v>
      </c>
      <c r="P248" s="95">
        <v>246.62986026887822</v>
      </c>
      <c r="Q248" s="95">
        <v>10000.000000000002</v>
      </c>
      <c r="S248" s="98">
        <v>1613.7675369743768</v>
      </c>
      <c r="T248" s="95">
        <v>1736.433151093169</v>
      </c>
      <c r="U248" s="99">
        <v>1024.1063947380055</v>
      </c>
      <c r="W248" s="121">
        <v>34692.109889046536</v>
      </c>
      <c r="X248" s="59">
        <v>228033.04828065666</v>
      </c>
      <c r="Y248" s="59">
        <v>256754.22419348315</v>
      </c>
      <c r="Z248" s="59">
        <v>702252.44230002246</v>
      </c>
      <c r="AA248" s="59">
        <v>1512526.9453531131</v>
      </c>
      <c r="AB248" s="59">
        <v>2958873.873201455</v>
      </c>
      <c r="AC248" s="59">
        <v>1777479.1889812623</v>
      </c>
      <c r="AD248" s="59">
        <v>7470611.8321990389</v>
      </c>
      <c r="AE248" s="59">
        <v>1242548266.3969662</v>
      </c>
      <c r="AF248" s="68">
        <v>7470611.8321990389</v>
      </c>
    </row>
    <row r="249" spans="1:32" x14ac:dyDescent="0.2">
      <c r="A249" s="95">
        <v>212</v>
      </c>
      <c r="B249" s="95">
        <v>17</v>
      </c>
      <c r="C249" s="95">
        <v>8</v>
      </c>
      <c r="D249" s="95"/>
      <c r="E249" s="95">
        <v>170.59833757213619</v>
      </c>
      <c r="F249" s="95">
        <v>1125.9902727296735</v>
      </c>
      <c r="G249" s="95">
        <v>1270.1905663533103</v>
      </c>
      <c r="H249" s="95">
        <v>1690.0530730246599</v>
      </c>
      <c r="I249" s="95">
        <v>3135.5618941160428</v>
      </c>
      <c r="J249" s="95"/>
      <c r="K249" s="95"/>
      <c r="L249" s="95">
        <v>120.65403884052013</v>
      </c>
      <c r="M249" s="95">
        <v>431.81046867192458</v>
      </c>
      <c r="N249" s="95">
        <v>180.45006210791996</v>
      </c>
      <c r="O249" s="95">
        <v>1626.0265256642474</v>
      </c>
      <c r="P249" s="95">
        <v>248.66476091956741</v>
      </c>
      <c r="Q249" s="95">
        <v>10000.000000000002</v>
      </c>
      <c r="S249" s="98">
        <v>1626.0265256642474</v>
      </c>
      <c r="T249" s="95">
        <v>1746.6180337101607</v>
      </c>
      <c r="U249" s="99">
        <v>1030.8870588889051</v>
      </c>
      <c r="W249" s="121">
        <v>34342.297780998648</v>
      </c>
      <c r="X249" s="59">
        <v>226680.05124399331</v>
      </c>
      <c r="Y249" s="59">
        <v>255716.33130213848</v>
      </c>
      <c r="Z249" s="59">
        <v>700516.03425747633</v>
      </c>
      <c r="AA249" s="59">
        <v>1513246.1263978102</v>
      </c>
      <c r="AB249" s="59">
        <v>2964382.9898989117</v>
      </c>
      <c r="AC249" s="59">
        <v>1780549.4775223345</v>
      </c>
      <c r="AD249" s="59">
        <v>7475433.3084036633</v>
      </c>
      <c r="AE249" s="59">
        <v>1250023699.7053699</v>
      </c>
      <c r="AF249" s="68">
        <v>7475433.3084036633</v>
      </c>
    </row>
    <row r="250" spans="1:32" x14ac:dyDescent="0.2">
      <c r="A250" s="95">
        <v>213</v>
      </c>
      <c r="B250" s="95">
        <v>17</v>
      </c>
      <c r="C250" s="95">
        <v>9</v>
      </c>
      <c r="D250" s="95"/>
      <c r="E250" s="95">
        <v>168.89235419641483</v>
      </c>
      <c r="F250" s="95">
        <v>1119.3963445209843</v>
      </c>
      <c r="G250" s="95">
        <v>1265.1468774800239</v>
      </c>
      <c r="H250" s="95">
        <v>1685.9952857140318</v>
      </c>
      <c r="I250" s="95">
        <v>3137.2664516494065</v>
      </c>
      <c r="J250" s="95"/>
      <c r="K250" s="95"/>
      <c r="L250" s="95">
        <v>120.74716284605375</v>
      </c>
      <c r="M250" s="95">
        <v>432.77902185613362</v>
      </c>
      <c r="N250" s="95">
        <v>180.77272263475874</v>
      </c>
      <c r="O250" s="95">
        <v>1638.3076910042735</v>
      </c>
      <c r="P250" s="95">
        <v>250.69608809792146</v>
      </c>
      <c r="Q250" s="95">
        <v>10000.000000000002</v>
      </c>
      <c r="S250" s="98">
        <v>1638.3076910042735</v>
      </c>
      <c r="T250" s="95">
        <v>1756.8086098660378</v>
      </c>
      <c r="U250" s="99">
        <v>1037.6758466412778</v>
      </c>
      <c r="W250" s="121">
        <v>33996.012945040246</v>
      </c>
      <c r="X250" s="59">
        <v>225333.67826729844</v>
      </c>
      <c r="Y250" s="59">
        <v>254679.57957499466</v>
      </c>
      <c r="Z250" s="59">
        <v>698775.62191229849</v>
      </c>
      <c r="AA250" s="59">
        <v>1513942.3484734567</v>
      </c>
      <c r="AB250" s="59">
        <v>2969830.9517248524</v>
      </c>
      <c r="AC250" s="59">
        <v>1783584.0532900393</v>
      </c>
      <c r="AD250" s="59">
        <v>7480142.2461879803</v>
      </c>
      <c r="AE250" s="59">
        <v>1257503841.9515579</v>
      </c>
      <c r="AF250" s="68">
        <v>7480142.2461879803</v>
      </c>
    </row>
    <row r="251" spans="1:32" x14ac:dyDescent="0.2">
      <c r="A251" s="95">
        <v>214</v>
      </c>
      <c r="B251" s="95">
        <v>17</v>
      </c>
      <c r="C251" s="95">
        <v>10</v>
      </c>
      <c r="D251" s="95"/>
      <c r="E251" s="95">
        <v>167.20343065445067</v>
      </c>
      <c r="F251" s="95">
        <v>1112.834138447912</v>
      </c>
      <c r="G251" s="95">
        <v>1260.1081794262107</v>
      </c>
      <c r="H251" s="95">
        <v>1681.9273012388346</v>
      </c>
      <c r="I251" s="95">
        <v>3138.9238293036115</v>
      </c>
      <c r="J251" s="95"/>
      <c r="K251" s="95"/>
      <c r="L251" s="95">
        <v>120.83832833366884</v>
      </c>
      <c r="M251" s="95">
        <v>433.73833956973544</v>
      </c>
      <c r="N251" s="95">
        <v>181.09182598058325</v>
      </c>
      <c r="O251" s="95">
        <v>1650.6107898918494</v>
      </c>
      <c r="P251" s="95">
        <v>252.72383715314589</v>
      </c>
      <c r="Q251" s="95">
        <v>10000.000000000002</v>
      </c>
      <c r="S251" s="98">
        <v>1650.6107898918494</v>
      </c>
      <c r="T251" s="95">
        <v>1767.0047258338984</v>
      </c>
      <c r="U251" s="99">
        <v>1044.4726392148477</v>
      </c>
      <c r="W251" s="121">
        <v>33653.219814511089</v>
      </c>
      <c r="X251" s="59">
        <v>223993.91461303012</v>
      </c>
      <c r="Y251" s="59">
        <v>253644.00414044643</v>
      </c>
      <c r="Z251" s="59">
        <v>697031.26880207239</v>
      </c>
      <c r="AA251" s="59">
        <v>1514615.6755676826</v>
      </c>
      <c r="AB251" s="59">
        <v>2975217.9288417613</v>
      </c>
      <c r="AC251" s="59">
        <v>1786583.0140637744</v>
      </c>
      <c r="AD251" s="59">
        <v>7484739.0258432785</v>
      </c>
      <c r="AE251" s="59">
        <v>1264988580.9774013</v>
      </c>
      <c r="AF251" s="68">
        <v>7484739.0258432785</v>
      </c>
    </row>
    <row r="252" spans="1:32" x14ac:dyDescent="0.2">
      <c r="A252" s="95">
        <v>215</v>
      </c>
      <c r="B252" s="95">
        <v>17</v>
      </c>
      <c r="C252" s="95">
        <v>11</v>
      </c>
      <c r="D252" s="95"/>
      <c r="E252" s="95">
        <v>165.53139634790617</v>
      </c>
      <c r="F252" s="95">
        <v>1106.3035882148415</v>
      </c>
      <c r="G252" s="95">
        <v>1255.0746457344314</v>
      </c>
      <c r="H252" s="95">
        <v>1677.8492706291449</v>
      </c>
      <c r="I252" s="95">
        <v>3140.5341486788366</v>
      </c>
      <c r="J252" s="95"/>
      <c r="K252" s="95"/>
      <c r="L252" s="95">
        <v>120.92754117453845</v>
      </c>
      <c r="M252" s="95">
        <v>434.68844473996256</v>
      </c>
      <c r="N252" s="95">
        <v>181.40738113525254</v>
      </c>
      <c r="O252" s="95">
        <v>1662.9355798487034</v>
      </c>
      <c r="P252" s="95">
        <v>254.74800349638463</v>
      </c>
      <c r="Q252" s="95">
        <v>10000.000000000002</v>
      </c>
      <c r="S252" s="98">
        <v>1662.9355798487034</v>
      </c>
      <c r="T252" s="95">
        <v>1777.2062282791351</v>
      </c>
      <c r="U252" s="99">
        <v>1051.2773181338212</v>
      </c>
      <c r="W252" s="121">
        <v>33313.883181381432</v>
      </c>
      <c r="X252" s="59">
        <v>222660.74530617497</v>
      </c>
      <c r="Y252" s="59">
        <v>252609.63965950409</v>
      </c>
      <c r="Z252" s="59">
        <v>695283.03855223733</v>
      </c>
      <c r="AA252" s="59">
        <v>1515266.1720792775</v>
      </c>
      <c r="AB252" s="59">
        <v>2980544.0909145628</v>
      </c>
      <c r="AC252" s="59">
        <v>1789546.4574105029</v>
      </c>
      <c r="AD252" s="59">
        <v>7489224.0271036411</v>
      </c>
      <c r="AE252" s="59">
        <v>1272477805.0045049</v>
      </c>
      <c r="AF252" s="68">
        <v>7489224.0271036411</v>
      </c>
    </row>
    <row r="253" spans="1:32" x14ac:dyDescent="0.2">
      <c r="A253" s="95">
        <v>216</v>
      </c>
      <c r="B253" s="95">
        <v>18</v>
      </c>
      <c r="C253" s="95">
        <v>0</v>
      </c>
      <c r="D253" s="95"/>
      <c r="E253" s="95">
        <v>163.87608238442709</v>
      </c>
      <c r="F253" s="95">
        <v>1099.8046263489914</v>
      </c>
      <c r="G253" s="95">
        <v>1250.046447698842</v>
      </c>
      <c r="H253" s="95">
        <v>1673.7613451527502</v>
      </c>
      <c r="I253" s="95">
        <v>3142.0975322677505</v>
      </c>
      <c r="J253" s="95"/>
      <c r="K253" s="95"/>
      <c r="L253" s="95">
        <v>121.0148072421707</v>
      </c>
      <c r="M253" s="95">
        <v>435.62936021348889</v>
      </c>
      <c r="N253" s="95">
        <v>181.71939707154681</v>
      </c>
      <c r="O253" s="95">
        <v>1675.2818190194862</v>
      </c>
      <c r="P253" s="95">
        <v>256.76858260054831</v>
      </c>
      <c r="Q253" s="95">
        <v>10000.000000000002</v>
      </c>
      <c r="S253" s="98">
        <v>1675.2818190194862</v>
      </c>
      <c r="T253" s="95">
        <v>1787.4129642623413</v>
      </c>
      <c r="U253" s="99">
        <v>1058.0897652274621</v>
      </c>
      <c r="W253" s="121">
        <v>32977.968192635839</v>
      </c>
      <c r="X253" s="59">
        <v>221334.15513950598</v>
      </c>
      <c r="Y253" s="59">
        <v>251576.52032894129</v>
      </c>
      <c r="Z253" s="59">
        <v>693530.99486558721</v>
      </c>
      <c r="AA253" s="59">
        <v>1515893.9028172258</v>
      </c>
      <c r="AB253" s="59">
        <v>2985809.6071331478</v>
      </c>
      <c r="AC253" s="59">
        <v>1792474.4806970053</v>
      </c>
      <c r="AD253" s="59">
        <v>7493597.629174049</v>
      </c>
      <c r="AE253" s="59">
        <v>1279971402.6336789</v>
      </c>
      <c r="AF253" s="68">
        <v>7493597.629174049</v>
      </c>
    </row>
    <row r="254" spans="1:32" x14ac:dyDescent="0.2">
      <c r="A254" s="95">
        <v>217</v>
      </c>
      <c r="B254" s="95">
        <v>18</v>
      </c>
      <c r="C254" s="95">
        <v>1</v>
      </c>
      <c r="D254" s="95"/>
      <c r="E254" s="95">
        <v>162.23732156058281</v>
      </c>
      <c r="F254" s="95">
        <v>1093.3371842256804</v>
      </c>
      <c r="G254" s="95">
        <v>1245.023754379901</v>
      </c>
      <c r="H254" s="95">
        <v>1669.6636762903072</v>
      </c>
      <c r="I254" s="95">
        <v>3143.614103453644</v>
      </c>
      <c r="J254" s="95"/>
      <c r="K254" s="95"/>
      <c r="L254" s="95">
        <v>121.10013241308721</v>
      </c>
      <c r="M254" s="95">
        <v>436.56110875983109</v>
      </c>
      <c r="N254" s="95">
        <v>182.02788274637749</v>
      </c>
      <c r="O254" s="95">
        <v>1687.6492661704476</v>
      </c>
      <c r="P254" s="95">
        <v>258.78557000014331</v>
      </c>
      <c r="Q254" s="95">
        <v>10000.000000000002</v>
      </c>
      <c r="S254" s="98">
        <v>1687.6492661704476</v>
      </c>
      <c r="T254" s="95">
        <v>1797.6247812422116</v>
      </c>
      <c r="U254" s="99">
        <v>1064.9098626306898</v>
      </c>
      <c r="W254" s="121">
        <v>32645.440346693424</v>
      </c>
      <c r="X254" s="59">
        <v>220014.12867876617</v>
      </c>
      <c r="Y254" s="59">
        <v>250544.67988444708</v>
      </c>
      <c r="Z254" s="59">
        <v>691775.20151193882</v>
      </c>
      <c r="AA254" s="59">
        <v>1516498.9329996288</v>
      </c>
      <c r="AB254" s="59">
        <v>2991014.6462345007</v>
      </c>
      <c r="AC254" s="59">
        <v>1795367.1811019029</v>
      </c>
      <c r="AD254" s="59">
        <v>7497860.2107578777</v>
      </c>
      <c r="AE254" s="59">
        <v>1287469262.8444369</v>
      </c>
      <c r="AF254" s="68">
        <v>7497860.2107578777</v>
      </c>
    </row>
    <row r="255" spans="1:32" x14ac:dyDescent="0.2">
      <c r="A255" s="95">
        <v>218</v>
      </c>
      <c r="B255" s="95">
        <v>18</v>
      </c>
      <c r="C255" s="95">
        <v>2</v>
      </c>
      <c r="D255" s="95"/>
      <c r="E255" s="95">
        <v>160.61494834497699</v>
      </c>
      <c r="F255" s="95">
        <v>1086.9011920932412</v>
      </c>
      <c r="G255" s="95">
        <v>1240.0067326191056</v>
      </c>
      <c r="H255" s="95">
        <v>1665.556415710894</v>
      </c>
      <c r="I255" s="95">
        <v>3145.0839865083335</v>
      </c>
      <c r="J255" s="95"/>
      <c r="K255" s="95"/>
      <c r="L255" s="95">
        <v>121.18352256747818</v>
      </c>
      <c r="M255" s="95">
        <v>437.48371307470109</v>
      </c>
      <c r="N255" s="95">
        <v>182.33284710197475</v>
      </c>
      <c r="O255" s="95">
        <v>1700.0376806881964</v>
      </c>
      <c r="P255" s="95">
        <v>260.79896129110068</v>
      </c>
      <c r="Q255" s="95">
        <v>10000.000000000002</v>
      </c>
      <c r="S255" s="98">
        <v>1700.0376806881964</v>
      </c>
      <c r="T255" s="95">
        <v>1807.841527078436</v>
      </c>
      <c r="U255" s="99">
        <v>1071.7374927846988</v>
      </c>
      <c r="W255" s="121">
        <v>32316.265489864269</v>
      </c>
      <c r="X255" s="59">
        <v>218700.65026777892</v>
      </c>
      <c r="Y255" s="59">
        <v>249514.15160378237</v>
      </c>
      <c r="Z255" s="59">
        <v>690015.72231796978</v>
      </c>
      <c r="AA255" s="59">
        <v>1517081.328252516</v>
      </c>
      <c r="AB255" s="59">
        <v>2996159.3765244205</v>
      </c>
      <c r="AC255" s="59">
        <v>1798224.6556274567</v>
      </c>
      <c r="AD255" s="59">
        <v>7502012.1500837887</v>
      </c>
      <c r="AE255" s="59">
        <v>1294971274.9945207</v>
      </c>
      <c r="AF255" s="68">
        <v>7502012.1500837887</v>
      </c>
    </row>
    <row r="256" spans="1:32" x14ac:dyDescent="0.2">
      <c r="A256" s="95">
        <v>219</v>
      </c>
      <c r="B256" s="95">
        <v>18</v>
      </c>
      <c r="C256" s="95">
        <v>3</v>
      </c>
      <c r="D256" s="95"/>
      <c r="E256" s="95">
        <v>159.00879886152723</v>
      </c>
      <c r="F256" s="95">
        <v>1080.4965790975875</v>
      </c>
      <c r="G256" s="95">
        <v>1234.9955470537536</v>
      </c>
      <c r="H256" s="95">
        <v>1661.4397152479521</v>
      </c>
      <c r="I256" s="95">
        <v>3146.5073065898332</v>
      </c>
      <c r="J256" s="95"/>
      <c r="K256" s="95"/>
      <c r="L256" s="95">
        <v>121.26498358983429</v>
      </c>
      <c r="M256" s="95">
        <v>438.39719578331022</v>
      </c>
      <c r="N256" s="95">
        <v>182.63429906705272</v>
      </c>
      <c r="O256" s="95">
        <v>1712.4468225785456</v>
      </c>
      <c r="P256" s="95">
        <v>262.80875213060585</v>
      </c>
      <c r="Q256" s="95">
        <v>10000.000000000002</v>
      </c>
      <c r="S256" s="98">
        <v>1712.4468225785456</v>
      </c>
      <c r="T256" s="95">
        <v>1818.0630500345881</v>
      </c>
      <c r="U256" s="99">
        <v>1078.5725384375976</v>
      </c>
      <c r="W256" s="121">
        <v>31990.40981284147</v>
      </c>
      <c r="X256" s="59">
        <v>217393.70403348573</v>
      </c>
      <c r="Y256" s="59">
        <v>248484.96830994004</v>
      </c>
      <c r="Z256" s="59">
        <v>688252.62115722103</v>
      </c>
      <c r="AA256" s="59">
        <v>1517641.1546085475</v>
      </c>
      <c r="AB256" s="59">
        <v>3001243.9658988477</v>
      </c>
      <c r="AC256" s="59">
        <v>1801047.0011111388</v>
      </c>
      <c r="AD256" s="59">
        <v>7506053.824932022</v>
      </c>
      <c r="AE256" s="59">
        <v>1302477328.8194528</v>
      </c>
      <c r="AF256" s="68">
        <v>7506053.824932022</v>
      </c>
    </row>
    <row r="257" spans="1:32" x14ac:dyDescent="0.2">
      <c r="A257" s="95">
        <v>220</v>
      </c>
      <c r="B257" s="95">
        <v>18</v>
      </c>
      <c r="C257" s="95">
        <v>4</v>
      </c>
      <c r="D257" s="95"/>
      <c r="E257" s="95">
        <v>157.41871087291196</v>
      </c>
      <c r="F257" s="95">
        <v>1074.1232733064385</v>
      </c>
      <c r="G257" s="95">
        <v>1229.9903601317271</v>
      </c>
      <c r="H257" s="95">
        <v>1657.3137268756141</v>
      </c>
      <c r="I257" s="95">
        <v>3147.8841897398111</v>
      </c>
      <c r="J257" s="95"/>
      <c r="K257" s="95"/>
      <c r="L257" s="95">
        <v>121.34452136955591</v>
      </c>
      <c r="M257" s="95">
        <v>439.30157944362441</v>
      </c>
      <c r="N257" s="95">
        <v>182.93224755795262</v>
      </c>
      <c r="O257" s="95">
        <v>1724.8764524654382</v>
      </c>
      <c r="P257" s="95">
        <v>264.81493823692858</v>
      </c>
      <c r="Q257" s="95">
        <v>10000.000000000002</v>
      </c>
      <c r="S257" s="98">
        <v>1724.8764524654382</v>
      </c>
      <c r="T257" s="95">
        <v>1828.2891987810051</v>
      </c>
      <c r="U257" s="99">
        <v>1085.4148826450669</v>
      </c>
      <c r="W257" s="121">
        <v>31667.839847228654</v>
      </c>
      <c r="X257" s="59">
        <v>216093.27389091259</v>
      </c>
      <c r="Y257" s="59">
        <v>247457.16237430787</v>
      </c>
      <c r="Z257" s="59">
        <v>686485.96194026514</v>
      </c>
      <c r="AA257" s="59">
        <v>1518178.4785056098</v>
      </c>
      <c r="AB257" s="59">
        <v>3006268.5818647989</v>
      </c>
      <c r="AC257" s="59">
        <v>1803834.314236979</v>
      </c>
      <c r="AD257" s="59">
        <v>7509985.6126601016</v>
      </c>
      <c r="AE257" s="59">
        <v>1309987314.4321129</v>
      </c>
      <c r="AF257" s="68">
        <v>7509985.6126601016</v>
      </c>
    </row>
    <row r="258" spans="1:32" x14ac:dyDescent="0.2">
      <c r="A258" s="95">
        <v>221</v>
      </c>
      <c r="B258" s="95">
        <v>18</v>
      </c>
      <c r="C258" s="95">
        <v>5</v>
      </c>
      <c r="D258" s="95"/>
      <c r="E258" s="95">
        <v>155.84452376418284</v>
      </c>
      <c r="F258" s="95">
        <v>1067.7812017332021</v>
      </c>
      <c r="G258" s="95">
        <v>1224.9913321262975</v>
      </c>
      <c r="H258" s="95">
        <v>1653.1786026854147</v>
      </c>
      <c r="I258" s="95">
        <v>3149.2147628808229</v>
      </c>
      <c r="J258" s="95"/>
      <c r="K258" s="95"/>
      <c r="L258" s="95">
        <v>121.42214180154019</v>
      </c>
      <c r="M258" s="95">
        <v>440.1968865495711</v>
      </c>
      <c r="N258" s="95">
        <v>183.22670147976379</v>
      </c>
      <c r="O258" s="95">
        <v>1737.3263315899542</v>
      </c>
      <c r="P258" s="95">
        <v>266.817515389253</v>
      </c>
      <c r="Q258" s="95">
        <v>10000.000000000002</v>
      </c>
      <c r="S258" s="98">
        <v>1737.3263315899542</v>
      </c>
      <c r="T258" s="95">
        <v>1838.5198223976595</v>
      </c>
      <c r="U258" s="99">
        <v>1092.264408771038</v>
      </c>
      <c r="W258" s="121">
        <v>31348.522462102432</v>
      </c>
      <c r="X258" s="59">
        <v>214799.34354806549</v>
      </c>
      <c r="Y258" s="59">
        <v>246430.76571983402</v>
      </c>
      <c r="Z258" s="59">
        <v>684715.80860503949</v>
      </c>
      <c r="AA258" s="59">
        <v>1518693.3667853072</v>
      </c>
      <c r="AB258" s="59">
        <v>3011233.3915609061</v>
      </c>
      <c r="AC258" s="59">
        <v>1806586.6915466893</v>
      </c>
      <c r="AD258" s="59">
        <v>7513807.8902279437</v>
      </c>
      <c r="AE258" s="59">
        <v>1317501122.322341</v>
      </c>
      <c r="AF258" s="68">
        <v>7513807.8902279437</v>
      </c>
    </row>
    <row r="259" spans="1:32" x14ac:dyDescent="0.2">
      <c r="A259" s="95">
        <v>222</v>
      </c>
      <c r="B259" s="95">
        <v>18</v>
      </c>
      <c r="C259" s="95">
        <v>6</v>
      </c>
      <c r="D259" s="95"/>
      <c r="E259" s="95">
        <v>154.28607852654102</v>
      </c>
      <c r="F259" s="95">
        <v>1061.4702903605262</v>
      </c>
      <c r="G259" s="95">
        <v>1219.9986211509465</v>
      </c>
      <c r="H259" s="95">
        <v>1649.0344948633806</v>
      </c>
      <c r="I259" s="95">
        <v>3150.4991538133381</v>
      </c>
      <c r="J259" s="95"/>
      <c r="K259" s="95"/>
      <c r="L259" s="95">
        <v>121.49785078674633</v>
      </c>
      <c r="M259" s="95">
        <v>441.08313953419758</v>
      </c>
      <c r="N259" s="95">
        <v>183.51766972742286</v>
      </c>
      <c r="O259" s="95">
        <v>1749.7962218093951</v>
      </c>
      <c r="P259" s="95">
        <v>268.81647942750817</v>
      </c>
      <c r="Q259" s="95">
        <v>10000.000000000002</v>
      </c>
      <c r="S259" s="98">
        <v>1749.7962218093951</v>
      </c>
      <c r="T259" s="95">
        <v>1848.7547703770222</v>
      </c>
      <c r="U259" s="99">
        <v>1099.1210004883885</v>
      </c>
      <c r="W259" s="121">
        <v>31032.424860609564</v>
      </c>
      <c r="X259" s="59">
        <v>213511.8965107562</v>
      </c>
      <c r="Y259" s="59">
        <v>245405.80982419453</v>
      </c>
      <c r="Z259" s="59">
        <v>682942.22510733863</v>
      </c>
      <c r="AA259" s="59">
        <v>1519185.8866913533</v>
      </c>
      <c r="AB259" s="59">
        <v>3016138.5617775694</v>
      </c>
      <c r="AC259" s="59">
        <v>1809304.2294505679</v>
      </c>
      <c r="AD259" s="59">
        <v>7517521.0342223896</v>
      </c>
      <c r="AE259" s="59">
        <v>1325018643.3565633</v>
      </c>
      <c r="AF259" s="68">
        <v>7517521.0342223896</v>
      </c>
    </row>
    <row r="260" spans="1:32" x14ac:dyDescent="0.2">
      <c r="A260" s="95">
        <v>223</v>
      </c>
      <c r="B260" s="95">
        <v>18</v>
      </c>
      <c r="C260" s="95">
        <v>7</v>
      </c>
      <c r="D260" s="95"/>
      <c r="E260" s="95">
        <v>152.7432177412756</v>
      </c>
      <c r="F260" s="95">
        <v>1055.190464163516</v>
      </c>
      <c r="G260" s="95">
        <v>1215.012383174203</v>
      </c>
      <c r="H260" s="95">
        <v>1644.8815556674949</v>
      </c>
      <c r="I260" s="95">
        <v>3151.7374912125551</v>
      </c>
      <c r="J260" s="95"/>
      <c r="K260" s="95"/>
      <c r="L260" s="95">
        <v>121.57165423273948</v>
      </c>
      <c r="M260" s="95">
        <v>441.96036077278069</v>
      </c>
      <c r="N260" s="95">
        <v>183.80516118679111</v>
      </c>
      <c r="O260" s="95">
        <v>1762.2858855964473</v>
      </c>
      <c r="P260" s="95">
        <v>270.81182625219895</v>
      </c>
      <c r="Q260" s="95">
        <v>10000.000000000002</v>
      </c>
      <c r="S260" s="98">
        <v>1762.2858855964473</v>
      </c>
      <c r="T260" s="95">
        <v>1858.9938926269156</v>
      </c>
      <c r="U260" s="99">
        <v>1105.9845417796562</v>
      </c>
      <c r="W260" s="121">
        <v>30719.514576598416</v>
      </c>
      <c r="X260" s="59">
        <v>212230.91608735902</v>
      </c>
      <c r="Y260" s="59">
        <v>244382.32572296239</v>
      </c>
      <c r="Z260" s="59">
        <v>681165.27541146928</v>
      </c>
      <c r="AA260" s="59">
        <v>1519656.1058678606</v>
      </c>
      <c r="AB260" s="59">
        <v>3020984.2589767263</v>
      </c>
      <c r="AC260" s="59">
        <v>1811987.0242381813</v>
      </c>
      <c r="AD260" s="59">
        <v>7521125.4208811577</v>
      </c>
      <c r="AE260" s="59">
        <v>1332539768.7774446</v>
      </c>
      <c r="AF260" s="68">
        <v>7521125.4208811577</v>
      </c>
    </row>
    <row r="261" spans="1:32" x14ac:dyDescent="0.2">
      <c r="A261" s="95">
        <v>224</v>
      </c>
      <c r="B261" s="95">
        <v>18</v>
      </c>
      <c r="C261" s="95">
        <v>8</v>
      </c>
      <c r="D261" s="95"/>
      <c r="E261" s="95">
        <v>151.21578556386285</v>
      </c>
      <c r="F261" s="95">
        <v>1048.9416471326276</v>
      </c>
      <c r="G261" s="95">
        <v>1210.0327720344924</v>
      </c>
      <c r="H261" s="95">
        <v>1640.7199374055342</v>
      </c>
      <c r="I261" s="95">
        <v>3152.9299046250158</v>
      </c>
      <c r="J261" s="95"/>
      <c r="K261" s="95"/>
      <c r="L261" s="95">
        <v>121.64355805421386</v>
      </c>
      <c r="M261" s="95">
        <v>442.82857258588865</v>
      </c>
      <c r="N261" s="95">
        <v>184.08918473571035</v>
      </c>
      <c r="O261" s="95">
        <v>1774.7950860384199</v>
      </c>
      <c r="P261" s="95">
        <v>272.80355182423682</v>
      </c>
      <c r="Q261" s="95">
        <v>10000.000000000002</v>
      </c>
      <c r="S261" s="98">
        <v>1774.7950860384199</v>
      </c>
      <c r="T261" s="95">
        <v>1869.2370394733564</v>
      </c>
      <c r="U261" s="99">
        <v>1112.8549169377688</v>
      </c>
      <c r="W261" s="121">
        <v>30409.759471284382</v>
      </c>
      <c r="X261" s="59">
        <v>210956.38539349963</v>
      </c>
      <c r="Y261" s="59">
        <v>243360.34401277726</v>
      </c>
      <c r="Z261" s="59">
        <v>679385.02348106261</v>
      </c>
      <c r="AA261" s="59">
        <v>1520104.0923575358</v>
      </c>
      <c r="AB261" s="59">
        <v>3025770.6493112352</v>
      </c>
      <c r="AC261" s="59">
        <v>1814635.1720888286</v>
      </c>
      <c r="AD261" s="59">
        <v>7524621.4261162234</v>
      </c>
      <c r="AE261" s="59">
        <v>1340064390.2035608</v>
      </c>
      <c r="AF261" s="68">
        <v>7524621.4261162234</v>
      </c>
    </row>
    <row r="262" spans="1:32" x14ac:dyDescent="0.2">
      <c r="A262" s="95">
        <v>225</v>
      </c>
      <c r="B262" s="95">
        <v>18</v>
      </c>
      <c r="C262" s="95">
        <v>9</v>
      </c>
      <c r="D262" s="95"/>
      <c r="E262" s="95">
        <v>149.70362770822422</v>
      </c>
      <c r="F262" s="95">
        <v>1042.7237622962359</v>
      </c>
      <c r="G262" s="95">
        <v>1205.0599394549949</v>
      </c>
      <c r="H262" s="95">
        <v>1636.5497924132742</v>
      </c>
      <c r="I262" s="95">
        <v>3154.0765244650192</v>
      </c>
      <c r="J262" s="95"/>
      <c r="K262" s="95"/>
      <c r="L262" s="95">
        <v>121.71356817349526</v>
      </c>
      <c r="M262" s="95">
        <v>443.68779724239408</v>
      </c>
      <c r="N262" s="95">
        <v>184.36974924503716</v>
      </c>
      <c r="O262" s="95">
        <v>1787.3235868365562</v>
      </c>
      <c r="P262" s="95">
        <v>274.79165216477116</v>
      </c>
      <c r="Q262" s="95">
        <v>10000.000000000002</v>
      </c>
      <c r="S262" s="98">
        <v>1787.3235868365562</v>
      </c>
      <c r="T262" s="95">
        <v>1879.4840616633876</v>
      </c>
      <c r="U262" s="99">
        <v>1119.732010566792</v>
      </c>
      <c r="W262" s="121">
        <v>30103.12772994893</v>
      </c>
      <c r="X262" s="59">
        <v>209688.28735667616</v>
      </c>
      <c r="Y262" s="59">
        <v>242339.89485451582</v>
      </c>
      <c r="Z262" s="59">
        <v>677601.53327004449</v>
      </c>
      <c r="AA262" s="59">
        <v>1520529.9145997781</v>
      </c>
      <c r="AB262" s="59">
        <v>3030497.8986438834</v>
      </c>
      <c r="AC262" s="59">
        <v>1817248.76908179</v>
      </c>
      <c r="AD262" s="59">
        <v>7528009.4255366372</v>
      </c>
      <c r="AE262" s="59">
        <v>1347592399.6290975</v>
      </c>
      <c r="AF262" s="68">
        <v>7528009.4255366372</v>
      </c>
    </row>
    <row r="263" spans="1:32" x14ac:dyDescent="0.2">
      <c r="A263" s="95">
        <v>226</v>
      </c>
      <c r="B263" s="95">
        <v>18</v>
      </c>
      <c r="C263" s="95">
        <v>10</v>
      </c>
      <c r="D263" s="95"/>
      <c r="E263" s="95">
        <v>148.20659143114199</v>
      </c>
      <c r="F263" s="95">
        <v>1036.5367317428854</v>
      </c>
      <c r="G263" s="95">
        <v>1200.0940350585129</v>
      </c>
      <c r="H263" s="95">
        <v>1632.3712730330592</v>
      </c>
      <c r="I263" s="95">
        <v>3155.177482010844</v>
      </c>
      <c r="J263" s="95"/>
      <c r="K263" s="95"/>
      <c r="L263" s="95">
        <v>121.78169052102355</v>
      </c>
      <c r="M263" s="95">
        <v>444.53805696243944</v>
      </c>
      <c r="N263" s="95">
        <v>184.6468635796559</v>
      </c>
      <c r="O263" s="95">
        <v>1799.8711523054192</v>
      </c>
      <c r="P263" s="95">
        <v>276.77612335502084</v>
      </c>
      <c r="Q263" s="95">
        <v>10000.000000000002</v>
      </c>
      <c r="S263" s="98">
        <v>1799.8711523054192</v>
      </c>
      <c r="T263" s="95">
        <v>1889.7348103678989</v>
      </c>
      <c r="U263" s="99">
        <v>1126.6157075826914</v>
      </c>
      <c r="W263" s="121">
        <v>29799.587858671941</v>
      </c>
      <c r="X263" s="59">
        <v>208426.60472081447</v>
      </c>
      <c r="Y263" s="59">
        <v>241321.00797646228</v>
      </c>
      <c r="Z263" s="59">
        <v>675814.86871376052</v>
      </c>
      <c r="AA263" s="59">
        <v>1520933.6414286853</v>
      </c>
      <c r="AB263" s="59">
        <v>3035166.1725660139</v>
      </c>
      <c r="AC263" s="59">
        <v>1819827.9112063583</v>
      </c>
      <c r="AD263" s="59">
        <v>7531289.7944707666</v>
      </c>
      <c r="AE263" s="59">
        <v>1355123689.4235682</v>
      </c>
      <c r="AF263" s="68">
        <v>7531289.7944707666</v>
      </c>
    </row>
    <row r="264" spans="1:32" x14ac:dyDescent="0.2">
      <c r="A264" s="95">
        <v>227</v>
      </c>
      <c r="B264" s="95">
        <v>18</v>
      </c>
      <c r="C264" s="95">
        <v>11</v>
      </c>
      <c r="D264" s="95"/>
      <c r="E264" s="95">
        <v>146.72452551683057</v>
      </c>
      <c r="F264" s="95">
        <v>1030.3804766432245</v>
      </c>
      <c r="G264" s="95">
        <v>1195.1352063823419</v>
      </c>
      <c r="H264" s="95">
        <v>1628.1845315927333</v>
      </c>
      <c r="I264" s="95">
        <v>3156.2329094007796</v>
      </c>
      <c r="J264" s="95"/>
      <c r="K264" s="95"/>
      <c r="L264" s="95">
        <v>121.84793103581538</v>
      </c>
      <c r="M264" s="95">
        <v>445.37937392035406</v>
      </c>
      <c r="N264" s="95">
        <v>184.92053659947049</v>
      </c>
      <c r="O264" s="95">
        <v>1812.4375473723469</v>
      </c>
      <c r="P264" s="95">
        <v>278.75696153610573</v>
      </c>
      <c r="Q264" s="95">
        <v>10000.000000000002</v>
      </c>
      <c r="S264" s="98">
        <v>1812.4375473723469</v>
      </c>
      <c r="T264" s="95">
        <v>1899.9891371844342</v>
      </c>
      <c r="U264" s="99">
        <v>1133.5058932141103</v>
      </c>
      <c r="W264" s="121">
        <v>29499.108681096997</v>
      </c>
      <c r="X264" s="59">
        <v>207171.32005075717</v>
      </c>
      <c r="Y264" s="59">
        <v>240303.71267747792</v>
      </c>
      <c r="Z264" s="59">
        <v>674025.09372025589</v>
      </c>
      <c r="AA264" s="59">
        <v>1521315.3420709702</v>
      </c>
      <c r="AB264" s="59">
        <v>3039775.6364157861</v>
      </c>
      <c r="AC264" s="59">
        <v>1822372.6943716572</v>
      </c>
      <c r="AD264" s="59">
        <v>7534462.9079880016</v>
      </c>
      <c r="AE264" s="59">
        <v>1362658152.3315563</v>
      </c>
      <c r="AF264" s="68">
        <v>7534462.9079880016</v>
      </c>
    </row>
    <row r="265" spans="1:32" x14ac:dyDescent="0.2">
      <c r="A265" s="95">
        <v>228</v>
      </c>
      <c r="B265" s="95">
        <v>19</v>
      </c>
      <c r="C265" s="95">
        <v>0</v>
      </c>
      <c r="D265" s="95"/>
      <c r="E265" s="95">
        <v>145.25728026166226</v>
      </c>
      <c r="F265" s="95">
        <v>1024.2549172716299</v>
      </c>
      <c r="G265" s="95">
        <v>1190.1835988931457</v>
      </c>
      <c r="H265" s="95">
        <v>1623.9897203849287</v>
      </c>
      <c r="I265" s="95">
        <v>3157.2429396289722</v>
      </c>
      <c r="J265" s="95"/>
      <c r="K265" s="95"/>
      <c r="L265" s="95">
        <v>121.91229566590775</v>
      </c>
      <c r="M265" s="95">
        <v>446.2117702475237</v>
      </c>
      <c r="N265" s="95">
        <v>185.19077716037535</v>
      </c>
      <c r="O265" s="95">
        <v>1825.0225375769778</v>
      </c>
      <c r="P265" s="95">
        <v>280.7341629088786</v>
      </c>
      <c r="Q265" s="95">
        <v>10000.000000000002</v>
      </c>
      <c r="S265" s="98">
        <v>1825.0225375769778</v>
      </c>
      <c r="T265" s="95">
        <v>1910.2468941399868</v>
      </c>
      <c r="U265" s="99">
        <v>1140.4024530031629</v>
      </c>
      <c r="W265" s="121">
        <v>29201.659335229269</v>
      </c>
      <c r="X265" s="59">
        <v>205922.4157366881</v>
      </c>
      <c r="Y265" s="59">
        <v>239288.03783017019</v>
      </c>
      <c r="Z265" s="59">
        <v>672232.27216170728</v>
      </c>
      <c r="AA265" s="59">
        <v>1521675.0861437893</v>
      </c>
      <c r="AB265" s="59">
        <v>3044326.4552960577</v>
      </c>
      <c r="AC265" s="59">
        <v>1824883.2144162483</v>
      </c>
      <c r="AD265" s="59">
        <v>7537529.1409198903</v>
      </c>
      <c r="AE265" s="59">
        <v>1370195681.4724762</v>
      </c>
      <c r="AF265" s="68">
        <v>7537529.1409198903</v>
      </c>
    </row>
    <row r="266" spans="1:32" x14ac:dyDescent="0.2">
      <c r="A266" s="95">
        <v>229</v>
      </c>
      <c r="B266" s="95">
        <v>19</v>
      </c>
      <c r="C266" s="95">
        <v>1</v>
      </c>
      <c r="D266" s="95"/>
      <c r="E266" s="95">
        <v>143.80470745904563</v>
      </c>
      <c r="F266" s="95">
        <v>1018.1599730275225</v>
      </c>
      <c r="G266" s="95">
        <v>1185.2393560018318</v>
      </c>
      <c r="H266" s="95">
        <v>1619.7869916467096</v>
      </c>
      <c r="I266" s="95">
        <v>3158.2077065410913</v>
      </c>
      <c r="J266" s="95"/>
      <c r="K266" s="95"/>
      <c r="L266" s="95">
        <v>121.97479036878265</v>
      </c>
      <c r="M266" s="95">
        <v>447.03526803521197</v>
      </c>
      <c r="N266" s="95">
        <v>185.45759411520515</v>
      </c>
      <c r="O266" s="95">
        <v>1837.6258890708443</v>
      </c>
      <c r="P266" s="95">
        <v>282.70772373375718</v>
      </c>
      <c r="Q266" s="95">
        <v>10000.000000000002</v>
      </c>
      <c r="S266" s="98">
        <v>1837.6258890708443</v>
      </c>
      <c r="T266" s="95">
        <v>1920.5079336937811</v>
      </c>
      <c r="U266" s="99">
        <v>1147.3052728062396</v>
      </c>
      <c r="W266" s="121">
        <v>28907.20927026571</v>
      </c>
      <c r="X266" s="59">
        <v>204679.87399849281</v>
      </c>
      <c r="Y266" s="59">
        <v>238274.01188405996</v>
      </c>
      <c r="Z266" s="59">
        <v>670436.46786600549</v>
      </c>
      <c r="AA266" s="59">
        <v>1522012.9436524836</v>
      </c>
      <c r="AB266" s="59">
        <v>3048818.7940919083</v>
      </c>
      <c r="AC266" s="59">
        <v>1827359.5671175262</v>
      </c>
      <c r="AD266" s="59">
        <v>7540488.8678807421</v>
      </c>
      <c r="AE266" s="59">
        <v>1377736170.3403571</v>
      </c>
      <c r="AF266" s="68">
        <v>7540488.8678807421</v>
      </c>
    </row>
    <row r="267" spans="1:32" x14ac:dyDescent="0.2">
      <c r="A267" s="95">
        <v>230</v>
      </c>
      <c r="B267" s="95">
        <v>19</v>
      </c>
      <c r="C267" s="95">
        <v>2</v>
      </c>
      <c r="D267" s="95"/>
      <c r="E267" s="95">
        <v>142.36666038445517</v>
      </c>
      <c r="F267" s="95">
        <v>1012.0955624563796</v>
      </c>
      <c r="G267" s="95">
        <v>1180.3026190784246</v>
      </c>
      <c r="H267" s="95">
        <v>1615.5764975395646</v>
      </c>
      <c r="I267" s="95">
        <v>3159.1273448298175</v>
      </c>
      <c r="J267" s="95"/>
      <c r="K267" s="95"/>
      <c r="L267" s="95">
        <v>122.03542111177312</v>
      </c>
      <c r="M267" s="95">
        <v>447.84988933733456</v>
      </c>
      <c r="N267" s="95">
        <v>185.72099631466421</v>
      </c>
      <c r="O267" s="95">
        <v>1850.2473686170322</v>
      </c>
      <c r="P267" s="95">
        <v>284.67764033055602</v>
      </c>
      <c r="Q267" s="95">
        <v>10000.000000000002</v>
      </c>
      <c r="S267" s="98">
        <v>1850.2473686170322</v>
      </c>
      <c r="T267" s="95">
        <v>1930.7721087400396</v>
      </c>
      <c r="U267" s="99">
        <v>1154.2142387948268</v>
      </c>
      <c r="W267" s="121">
        <v>28615.728243457193</v>
      </c>
      <c r="X267" s="59">
        <v>203443.67689005574</v>
      </c>
      <c r="Y267" s="59">
        <v>237261.66286874731</v>
      </c>
      <c r="Z267" s="59">
        <v>668637.74460848782</v>
      </c>
      <c r="AA267" s="59">
        <v>1522328.9849882359</v>
      </c>
      <c r="AB267" s="59">
        <v>3053252.8174877916</v>
      </c>
      <c r="AC267" s="59">
        <v>1829801.8482009063</v>
      </c>
      <c r="AD267" s="59">
        <v>7543342.4632876823</v>
      </c>
      <c r="AE267" s="59">
        <v>1385279512.8036447</v>
      </c>
      <c r="AF267" s="68">
        <v>7543342.4632876823</v>
      </c>
    </row>
    <row r="268" spans="1:32" x14ac:dyDescent="0.2">
      <c r="A268" s="95">
        <v>231</v>
      </c>
      <c r="B268" s="95">
        <v>19</v>
      </c>
      <c r="C268" s="95">
        <v>3</v>
      </c>
      <c r="D268" s="95"/>
      <c r="E268" s="95">
        <v>140.94299378061064</v>
      </c>
      <c r="F268" s="95">
        <v>1006.0616032704479</v>
      </c>
      <c r="G268" s="95">
        <v>1175.3735274669368</v>
      </c>
      <c r="H268" s="95">
        <v>1611.3583901297482</v>
      </c>
      <c r="I268" s="95">
        <v>3160.0019900301609</v>
      </c>
      <c r="J268" s="95"/>
      <c r="K268" s="95"/>
      <c r="L268" s="95">
        <v>122.09419387245119</v>
      </c>
      <c r="M268" s="95">
        <v>448.65565617318583</v>
      </c>
      <c r="N268" s="95">
        <v>185.98099260823514</v>
      </c>
      <c r="O268" s="95">
        <v>1862.886743589906</v>
      </c>
      <c r="P268" s="95">
        <v>286.64390907831915</v>
      </c>
      <c r="Q268" s="95">
        <v>10000.000000000002</v>
      </c>
      <c r="S268" s="98">
        <v>1862.886743589906</v>
      </c>
      <c r="T268" s="95">
        <v>1941.0392726107366</v>
      </c>
      <c r="U268" s="99">
        <v>1161.1292374563398</v>
      </c>
      <c r="W268" s="121">
        <v>28327.186317002335</v>
      </c>
      <c r="X268" s="59">
        <v>202213.80630349487</v>
      </c>
      <c r="Y268" s="59">
        <v>236251.0183970748</v>
      </c>
      <c r="Z268" s="59">
        <v>666836.16610381834</v>
      </c>
      <c r="AA268" s="59">
        <v>1522623.2809256471</v>
      </c>
      <c r="AB268" s="59">
        <v>3057628.6899843323</v>
      </c>
      <c r="AC268" s="59">
        <v>1832210.1533488042</v>
      </c>
      <c r="AD268" s="59">
        <v>7546090.3013801742</v>
      </c>
      <c r="AE268" s="59">
        <v>1392825603.1050248</v>
      </c>
      <c r="AF268" s="68">
        <v>7546090.3013801742</v>
      </c>
    </row>
    <row r="269" spans="1:32" x14ac:dyDescent="0.2">
      <c r="A269" s="95">
        <v>232</v>
      </c>
      <c r="B269" s="95">
        <v>19</v>
      </c>
      <c r="C269" s="95">
        <v>4</v>
      </c>
      <c r="D269" s="95"/>
      <c r="E269" s="95">
        <v>139.53356384280454</v>
      </c>
      <c r="F269" s="95">
        <v>1000.0580123691589</v>
      </c>
      <c r="G269" s="95">
        <v>1170.4522185002331</v>
      </c>
      <c r="H269" s="95">
        <v>1607.1328213689642</v>
      </c>
      <c r="I269" s="95">
        <v>3160.8317785146078</v>
      </c>
      <c r="J269" s="95"/>
      <c r="K269" s="95"/>
      <c r="L269" s="95">
        <v>122.15111463899822</v>
      </c>
      <c r="M269" s="95">
        <v>449.45259053011819</v>
      </c>
      <c r="N269" s="95">
        <v>186.23759184506719</v>
      </c>
      <c r="O269" s="95">
        <v>1875.5437819748977</v>
      </c>
      <c r="P269" s="95">
        <v>288.60652641515213</v>
      </c>
      <c r="Q269" s="95">
        <v>10000.000000000002</v>
      </c>
      <c r="S269" s="98">
        <v>1875.5437819748977</v>
      </c>
      <c r="T269" s="95">
        <v>1951.3092790783346</v>
      </c>
      <c r="U269" s="99">
        <v>1168.0501555949668</v>
      </c>
      <c r="W269" s="121">
        <v>28041.553854972561</v>
      </c>
      <c r="X269" s="59">
        <v>200990.24397333473</v>
      </c>
      <c r="Y269" s="59">
        <v>235242.10566828813</v>
      </c>
      <c r="Z269" s="59">
        <v>665031.79599801404</v>
      </c>
      <c r="AA269" s="59">
        <v>1522895.9026202334</v>
      </c>
      <c r="AB269" s="59">
        <v>3061946.5759147634</v>
      </c>
      <c r="AC269" s="59">
        <v>1834584.5782094114</v>
      </c>
      <c r="AD269" s="59">
        <v>7548732.7562390175</v>
      </c>
      <c r="AE269" s="59">
        <v>1400374335.8612638</v>
      </c>
      <c r="AF269" s="68">
        <v>7548732.7562390175</v>
      </c>
    </row>
    <row r="270" spans="1:32" x14ac:dyDescent="0.2">
      <c r="A270" s="95">
        <v>233</v>
      </c>
      <c r="B270" s="95">
        <v>19</v>
      </c>
      <c r="C270" s="95">
        <v>5</v>
      </c>
      <c r="D270" s="95"/>
      <c r="E270" s="95">
        <v>138.1382282043765</v>
      </c>
      <c r="F270" s="95">
        <v>994.08470585925238</v>
      </c>
      <c r="G270" s="95">
        <v>1165.5388275148873</v>
      </c>
      <c r="H270" s="95">
        <v>1602.8999430753909</v>
      </c>
      <c r="I270" s="95">
        <v>3161.6168474881065</v>
      </c>
      <c r="J270" s="95"/>
      <c r="K270" s="95"/>
      <c r="L270" s="95">
        <v>122.20618941055766</v>
      </c>
      <c r="M270" s="95">
        <v>450.2407143661747</v>
      </c>
      <c r="N270" s="95">
        <v>186.49080287484432</v>
      </c>
      <c r="O270" s="95">
        <v>1888.2182523683573</v>
      </c>
      <c r="P270" s="95">
        <v>290.56548883805465</v>
      </c>
      <c r="Q270" s="95">
        <v>10000.000000000002</v>
      </c>
      <c r="S270" s="98">
        <v>1888.2182523683573</v>
      </c>
      <c r="T270" s="95">
        <v>1961.581982358507</v>
      </c>
      <c r="U270" s="99">
        <v>1174.9768803325255</v>
      </c>
      <c r="W270" s="121">
        <v>27758.801520268251</v>
      </c>
      <c r="X270" s="59">
        <v>199772.97148061849</v>
      </c>
      <c r="Y270" s="59">
        <v>234234.95147119358</v>
      </c>
      <c r="Z270" s="59">
        <v>663224.69786061638</v>
      </c>
      <c r="AA270" s="59">
        <v>1523146.921605841</v>
      </c>
      <c r="AB270" s="59">
        <v>3066206.6394610088</v>
      </c>
      <c r="AC270" s="59">
        <v>1836925.2184052649</v>
      </c>
      <c r="AD270" s="59">
        <v>7551270.2018048111</v>
      </c>
      <c r="AE270" s="59">
        <v>1407925606.0630686</v>
      </c>
      <c r="AF270" s="68">
        <v>7551270.2018048111</v>
      </c>
    </row>
    <row r="271" spans="1:32" x14ac:dyDescent="0.2">
      <c r="A271" s="95">
        <v>234</v>
      </c>
      <c r="B271" s="95">
        <v>19</v>
      </c>
      <c r="C271" s="95">
        <v>6</v>
      </c>
      <c r="D271" s="95"/>
      <c r="E271" s="95">
        <v>136.75684592233273</v>
      </c>
      <c r="F271" s="95">
        <v>988.14159907461055</v>
      </c>
      <c r="G271" s="95">
        <v>1160.6334878660293</v>
      </c>
      <c r="H271" s="95">
        <v>1598.659906915042</v>
      </c>
      <c r="I271" s="95">
        <v>3162.3573349828907</v>
      </c>
      <c r="J271" s="95"/>
      <c r="K271" s="95"/>
      <c r="L271" s="95">
        <v>122.25942419757082</v>
      </c>
      <c r="M271" s="95">
        <v>451.02004961267443</v>
      </c>
      <c r="N271" s="95">
        <v>186.74063454863335</v>
      </c>
      <c r="O271" s="95">
        <v>1900.909923977465</v>
      </c>
      <c r="P271" s="95">
        <v>292.52079290275304</v>
      </c>
      <c r="Q271" s="95">
        <v>10000.000000000002</v>
      </c>
      <c r="S271" s="98">
        <v>1900.909923977465</v>
      </c>
      <c r="T271" s="95">
        <v>1971.8572371128434</v>
      </c>
      <c r="U271" s="99">
        <v>1181.9092991093298</v>
      </c>
      <c r="W271" s="121">
        <v>27478.900271605544</v>
      </c>
      <c r="X271" s="59">
        <v>198561.97025695984</v>
      </c>
      <c r="Y271" s="59">
        <v>233229.58218731228</v>
      </c>
      <c r="Z271" s="59">
        <v>661414.93517700536</v>
      </c>
      <c r="AA271" s="59">
        <v>1523376.4097919923</v>
      </c>
      <c r="AB271" s="59">
        <v>3070409.0446694144</v>
      </c>
      <c r="AC271" s="59">
        <v>1839232.1695416176</v>
      </c>
      <c r="AD271" s="59">
        <v>7553703.0118959071</v>
      </c>
      <c r="AE271" s="59">
        <v>1415479309.0749645</v>
      </c>
      <c r="AF271" s="68">
        <v>7553703.0118959071</v>
      </c>
    </row>
    <row r="272" spans="1:32" x14ac:dyDescent="0.2">
      <c r="A272" s="95">
        <v>235</v>
      </c>
      <c r="B272" s="95">
        <v>19</v>
      </c>
      <c r="C272" s="95">
        <v>7</v>
      </c>
      <c r="D272" s="95"/>
      <c r="E272" s="95">
        <v>135.38927746310941</v>
      </c>
      <c r="F272" s="95">
        <v>982.22860659580613</v>
      </c>
      <c r="G272" s="95">
        <v>1155.736330942181</v>
      </c>
      <c r="H272" s="95">
        <v>1594.4128643834615</v>
      </c>
      <c r="I272" s="95">
        <v>3163.0533798531492</v>
      </c>
      <c r="J272" s="95"/>
      <c r="K272" s="95"/>
      <c r="L272" s="95">
        <v>122.31082502209608</v>
      </c>
      <c r="M272" s="95">
        <v>451.79061817675148</v>
      </c>
      <c r="N272" s="95">
        <v>186.98709571971207</v>
      </c>
      <c r="O272" s="95">
        <v>1913.618566620202</v>
      </c>
      <c r="P272" s="95">
        <v>294.47243522353301</v>
      </c>
      <c r="Q272" s="95">
        <v>10000.000000000002</v>
      </c>
      <c r="S272" s="98">
        <v>1913.618566620202</v>
      </c>
      <c r="T272" s="95">
        <v>1982.1348984515378</v>
      </c>
      <c r="U272" s="99">
        <v>1188.8472996850678</v>
      </c>
      <c r="W272" s="121">
        <v>27201.821360533526</v>
      </c>
      <c r="X272" s="59">
        <v>197357.22158853555</v>
      </c>
      <c r="Y272" s="59">
        <v>232226.02379403019</v>
      </c>
      <c r="Z272" s="59">
        <v>659602.57134085638</v>
      </c>
      <c r="AA272" s="59">
        <v>1523584.4394611509</v>
      </c>
      <c r="AB272" s="59">
        <v>3074553.9554661326</v>
      </c>
      <c r="AC272" s="59">
        <v>1841505.5272146072</v>
      </c>
      <c r="AD272" s="59">
        <v>7556031.5602258462</v>
      </c>
      <c r="AE272" s="59">
        <v>1423035340.6351905</v>
      </c>
      <c r="AF272" s="68">
        <v>7556031.5602258462</v>
      </c>
    </row>
    <row r="273" spans="1:32" x14ac:dyDescent="0.2">
      <c r="A273" s="95">
        <v>236</v>
      </c>
      <c r="B273" s="95">
        <v>19</v>
      </c>
      <c r="C273" s="95">
        <v>8</v>
      </c>
      <c r="D273" s="95"/>
      <c r="E273" s="95">
        <v>134.0353846884783</v>
      </c>
      <c r="F273" s="95">
        <v>976.34564226936891</v>
      </c>
      <c r="G273" s="95">
        <v>1150.8474861800773</v>
      </c>
      <c r="H273" s="95">
        <v>1590.1589667877474</v>
      </c>
      <c r="I273" s="95">
        <v>3163.7051217695412</v>
      </c>
      <c r="J273" s="95"/>
      <c r="K273" s="95"/>
      <c r="L273" s="95">
        <v>122.36039791811167</v>
      </c>
      <c r="M273" s="95">
        <v>452.55244194384727</v>
      </c>
      <c r="N273" s="95">
        <v>187.23019524437788</v>
      </c>
      <c r="O273" s="95">
        <v>1926.34395072538</v>
      </c>
      <c r="P273" s="95">
        <v>296.42041247307208</v>
      </c>
      <c r="Q273" s="95">
        <v>10000.000000000002</v>
      </c>
      <c r="S273" s="98">
        <v>1926.34395072538</v>
      </c>
      <c r="T273" s="95">
        <v>1992.4148219360604</v>
      </c>
      <c r="U273" s="99">
        <v>1195.79077013969</v>
      </c>
      <c r="W273" s="121">
        <v>26927.536328481478</v>
      </c>
      <c r="X273" s="59">
        <v>196158.7066200191</v>
      </c>
      <c r="Y273" s="59">
        <v>231224.30186774398</v>
      </c>
      <c r="Z273" s="59">
        <v>657787.6696467367</v>
      </c>
      <c r="AA273" s="59">
        <v>1523771.0832659204</v>
      </c>
      <c r="AB273" s="59">
        <v>3078641.5356721608</v>
      </c>
      <c r="AC273" s="59">
        <v>1843745.3870192266</v>
      </c>
      <c r="AD273" s="59">
        <v>7558256.2204202889</v>
      </c>
      <c r="AE273" s="59">
        <v>1430593596.8556108</v>
      </c>
      <c r="AF273" s="68">
        <v>7558256.2204202889</v>
      </c>
    </row>
    <row r="274" spans="1:32" x14ac:dyDescent="0.2">
      <c r="A274" s="95">
        <v>237</v>
      </c>
      <c r="B274" s="95">
        <v>19</v>
      </c>
      <c r="C274" s="95">
        <v>9</v>
      </c>
      <c r="D274" s="95"/>
      <c r="E274" s="95">
        <v>132.69503084159351</v>
      </c>
      <c r="F274" s="95">
        <v>970.49261922677283</v>
      </c>
      <c r="G274" s="95">
        <v>1145.967081079473</v>
      </c>
      <c r="H274" s="95">
        <v>1585.898365228903</v>
      </c>
      <c r="I274" s="95">
        <v>3164.3127012135647</v>
      </c>
      <c r="J274" s="95"/>
      <c r="K274" s="95"/>
      <c r="L274" s="95">
        <v>122.40814893180243</v>
      </c>
      <c r="M274" s="95">
        <v>453.305542780157</v>
      </c>
      <c r="N274" s="95">
        <v>187.46994198273657</v>
      </c>
      <c r="O274" s="95">
        <v>1939.0858473327264</v>
      </c>
      <c r="P274" s="95">
        <v>298.36472138227248</v>
      </c>
      <c r="Q274" s="95">
        <v>10000.000000000002</v>
      </c>
      <c r="S274" s="98">
        <v>1939.0858473327264</v>
      </c>
      <c r="T274" s="95">
        <v>2002.6968635818114</v>
      </c>
      <c r="U274" s="99">
        <v>1202.7395988743056</v>
      </c>
      <c r="W274" s="121">
        <v>26656.017003835954</v>
      </c>
      <c r="X274" s="59">
        <v>194966.40635845668</v>
      </c>
      <c r="Y274" s="59">
        <v>230224.44158700242</v>
      </c>
      <c r="Z274" s="59">
        <v>655970.29328284063</v>
      </c>
      <c r="AA274" s="59">
        <v>1523936.4142261695</v>
      </c>
      <c r="AB274" s="59">
        <v>3082671.9490180393</v>
      </c>
      <c r="AC274" s="59">
        <v>1845951.8445570988</v>
      </c>
      <c r="AD274" s="59">
        <v>7560377.3660334432</v>
      </c>
      <c r="AE274" s="59">
        <v>1438153974.2216444</v>
      </c>
      <c r="AF274" s="68">
        <v>7560377.3660334432</v>
      </c>
    </row>
    <row r="275" spans="1:32" x14ac:dyDescent="0.2">
      <c r="A275" s="95">
        <v>238</v>
      </c>
      <c r="B275" s="95">
        <v>19</v>
      </c>
      <c r="C275" s="95">
        <v>10</v>
      </c>
      <c r="D275" s="95"/>
      <c r="E275" s="95">
        <v>131.36808053317756</v>
      </c>
      <c r="F275" s="95">
        <v>964.66944990314869</v>
      </c>
      <c r="G275" s="95">
        <v>1141.0952412179313</v>
      </c>
      <c r="H275" s="95">
        <v>1581.6312105845111</v>
      </c>
      <c r="I275" s="95">
        <v>3164.8762594717809</v>
      </c>
      <c r="J275" s="95"/>
      <c r="K275" s="95"/>
      <c r="L275" s="95">
        <v>122.45408412183107</v>
      </c>
      <c r="M275" s="95">
        <v>454.04994253502957</v>
      </c>
      <c r="N275" s="95">
        <v>187.70634479947211</v>
      </c>
      <c r="O275" s="95">
        <v>1951.8440280930258</v>
      </c>
      <c r="P275" s="95">
        <v>300.30535874009377</v>
      </c>
      <c r="Q275" s="95">
        <v>10000.000000000002</v>
      </c>
      <c r="S275" s="98">
        <v>1951.8440280930258</v>
      </c>
      <c r="T275" s="95">
        <v>2012.9808798607555</v>
      </c>
      <c r="U275" s="99">
        <v>1209.6936746120891</v>
      </c>
      <c r="W275" s="121">
        <v>26387.23549904727</v>
      </c>
      <c r="X275" s="59">
        <v>193780.30167708552</v>
      </c>
      <c r="Y275" s="59">
        <v>229226.46773564245</v>
      </c>
      <c r="Z275" s="59">
        <v>654150.50532386231</v>
      </c>
      <c r="AA275" s="59">
        <v>1524080.5057260904</v>
      </c>
      <c r="AB275" s="59">
        <v>3086645.3591582095</v>
      </c>
      <c r="AC275" s="59">
        <v>1848124.9954440568</v>
      </c>
      <c r="AD275" s="59">
        <v>7562395.3705639942</v>
      </c>
      <c r="AE275" s="59">
        <v>1445716369.5922084</v>
      </c>
      <c r="AF275" s="68">
        <v>7562395.3705639942</v>
      </c>
    </row>
    <row r="276" spans="1:32" x14ac:dyDescent="0.2">
      <c r="A276" s="95">
        <v>239</v>
      </c>
      <c r="B276" s="95">
        <v>19</v>
      </c>
      <c r="C276" s="95">
        <v>11</v>
      </c>
      <c r="D276" s="95"/>
      <c r="E276" s="95">
        <v>130.05439972784578</v>
      </c>
      <c r="F276" s="95">
        <v>958.87604605572403</v>
      </c>
      <c r="G276" s="95">
        <v>1136.2320902655947</v>
      </c>
      <c r="H276" s="95">
        <v>1577.3576534917274</v>
      </c>
      <c r="I276" s="95">
        <v>3165.3959386298961</v>
      </c>
      <c r="J276" s="95"/>
      <c r="K276" s="95"/>
      <c r="L276" s="95">
        <v>122.49820955959395</v>
      </c>
      <c r="M276" s="95">
        <v>454.78566304332219</v>
      </c>
      <c r="N276" s="95">
        <v>187.93941256459698</v>
      </c>
      <c r="O276" s="95">
        <v>1964.6182652683151</v>
      </c>
      <c r="P276" s="95">
        <v>302.24232139338551</v>
      </c>
      <c r="Q276" s="95">
        <v>10000.000000000002</v>
      </c>
      <c r="S276" s="98">
        <v>1964.6182652683151</v>
      </c>
      <c r="T276" s="95">
        <v>2023.2667277040389</v>
      </c>
      <c r="U276" s="99">
        <v>1216.652886399195</v>
      </c>
      <c r="W276" s="121">
        <v>26121.164207765214</v>
      </c>
      <c r="X276" s="59">
        <v>192600.37331909619</v>
      </c>
      <c r="Y276" s="59">
        <v>228230.40470592014</v>
      </c>
      <c r="Z276" s="59">
        <v>652328.36872400448</v>
      </c>
      <c r="AA276" s="59">
        <v>1524203.4315111912</v>
      </c>
      <c r="AB276" s="59">
        <v>3090561.9296850371</v>
      </c>
      <c r="AC276" s="59">
        <v>1850264.9353175305</v>
      </c>
      <c r="AD276" s="59">
        <v>7564310.607470545</v>
      </c>
      <c r="AE276" s="59">
        <v>1453280680.1996789</v>
      </c>
      <c r="AF276" s="68">
        <v>7564310.607470545</v>
      </c>
    </row>
    <row r="277" spans="1:32" x14ac:dyDescent="0.2">
      <c r="A277" s="95">
        <v>240</v>
      </c>
      <c r="B277" s="95">
        <v>20</v>
      </c>
      <c r="C277" s="95">
        <v>0</v>
      </c>
      <c r="D277" s="95"/>
      <c r="E277" s="95">
        <v>128.75385573056732</v>
      </c>
      <c r="F277" s="95">
        <v>953.11231878199521</v>
      </c>
      <c r="G277" s="95">
        <v>1131.3777499999337</v>
      </c>
      <c r="H277" s="95">
        <v>1573.0778443305903</v>
      </c>
      <c r="I277" s="95">
        <v>3165.8718815667098</v>
      </c>
      <c r="J277" s="95"/>
      <c r="K277" s="95"/>
      <c r="L277" s="95">
        <v>122.54053132946191</v>
      </c>
      <c r="M277" s="95">
        <v>455.51272612770924</v>
      </c>
      <c r="N277" s="95">
        <v>188.16915415418364</v>
      </c>
      <c r="O277" s="95">
        <v>1977.4083317321301</v>
      </c>
      <c r="P277" s="95">
        <v>304.17560624672012</v>
      </c>
      <c r="Q277" s="95">
        <v>10000.000000000002</v>
      </c>
      <c r="S277" s="98">
        <v>1977.4083317321301</v>
      </c>
      <c r="T277" s="95">
        <v>2033.5542645045859</v>
      </c>
      <c r="U277" s="99">
        <v>1223.6171236056798</v>
      </c>
      <c r="W277" s="121">
        <v>25857.775802003584</v>
      </c>
      <c r="X277" s="59">
        <v>191426.60190133861</v>
      </c>
      <c r="Y277" s="59">
        <v>227236.2765016359</v>
      </c>
      <c r="Z277" s="59">
        <v>650503.94631012168</v>
      </c>
      <c r="AA277" s="59">
        <v>1524305.2656852235</v>
      </c>
      <c r="AB277" s="59">
        <v>3094421.8241425049</v>
      </c>
      <c r="AC277" s="59">
        <v>1852371.7598437427</v>
      </c>
      <c r="AD277" s="59">
        <v>7566123.4501865711</v>
      </c>
      <c r="AE277" s="59">
        <v>1460846803.6498654</v>
      </c>
      <c r="AF277" s="68">
        <v>7566123.4501865711</v>
      </c>
    </row>
    <row r="278" spans="1:32" x14ac:dyDescent="0.2">
      <c r="A278" s="95">
        <v>241</v>
      </c>
      <c r="B278" s="95">
        <v>20</v>
      </c>
      <c r="C278" s="95">
        <v>1</v>
      </c>
      <c r="D278" s="95"/>
      <c r="E278" s="95">
        <v>127.4555876852841</v>
      </c>
      <c r="F278" s="95">
        <v>947.29875251106841</v>
      </c>
      <c r="G278" s="95">
        <v>1126.4380588413069</v>
      </c>
      <c r="H278" s="95">
        <v>1568.6608433872836</v>
      </c>
      <c r="I278" s="95">
        <v>3166.0404092911303</v>
      </c>
      <c r="J278" s="95"/>
      <c r="K278" s="95"/>
      <c r="L278" s="95">
        <v>122.57084381806253</v>
      </c>
      <c r="M278" s="95">
        <v>456.19319420710195</v>
      </c>
      <c r="N278" s="95">
        <v>188.37989768823101</v>
      </c>
      <c r="O278" s="95">
        <v>1990.2140009698053</v>
      </c>
      <c r="P278" s="95">
        <v>306.7484116007272</v>
      </c>
      <c r="Q278" s="95">
        <v>10000.000000000002</v>
      </c>
      <c r="S278" s="98">
        <v>1990.2140009698053</v>
      </c>
      <c r="T278" s="95">
        <v>2043.8433481196778</v>
      </c>
      <c r="U278" s="99">
        <v>1230.5862759264317</v>
      </c>
      <c r="W278" s="121">
        <v>25592.733600033047</v>
      </c>
      <c r="X278" s="59">
        <v>190227.06348432301</v>
      </c>
      <c r="Y278" s="59">
        <v>226206.23402850324</v>
      </c>
      <c r="Z278" s="59">
        <v>648568.88345061033</v>
      </c>
      <c r="AA278" s="59">
        <v>1524132.0318294328</v>
      </c>
      <c r="AB278" s="59">
        <v>3097709.4690688844</v>
      </c>
      <c r="AC278" s="59">
        <v>1854136.8360980751</v>
      </c>
      <c r="AD278" s="59">
        <v>7566573.2515598619</v>
      </c>
      <c r="AE278" s="59">
        <v>1468413376.9014254</v>
      </c>
      <c r="AF278" s="68">
        <v>7566573.2515598619</v>
      </c>
    </row>
    <row r="279" spans="1:32" x14ac:dyDescent="0.2">
      <c r="A279" s="95">
        <v>242</v>
      </c>
      <c r="B279" s="95">
        <v>20</v>
      </c>
      <c r="C279" s="95">
        <v>2</v>
      </c>
      <c r="D279" s="95"/>
      <c r="E279" s="95">
        <v>126.17041050945748</v>
      </c>
      <c r="F279" s="95">
        <v>941.51564540987613</v>
      </c>
      <c r="G279" s="95">
        <v>1121.5082317302335</v>
      </c>
      <c r="H279" s="95">
        <v>1564.2386155418239</v>
      </c>
      <c r="I279" s="95">
        <v>3166.1654388330744</v>
      </c>
      <c r="J279" s="95"/>
      <c r="K279" s="95"/>
      <c r="L279" s="95">
        <v>122.59872019455459</v>
      </c>
      <c r="M279" s="95">
        <v>456.86557065548152</v>
      </c>
      <c r="N279" s="95">
        <v>188.5872963892443</v>
      </c>
      <c r="O279" s="95">
        <v>2003.0339799397184</v>
      </c>
      <c r="P279" s="95">
        <v>309.31609079653703</v>
      </c>
      <c r="Q279" s="95">
        <v>10000.000000000002</v>
      </c>
      <c r="S279" s="98">
        <v>2003.0339799397184</v>
      </c>
      <c r="T279" s="95">
        <v>2054.1329794498738</v>
      </c>
      <c r="U279" s="99">
        <v>1237.559652619414</v>
      </c>
      <c r="W279" s="121">
        <v>25330.408080632707</v>
      </c>
      <c r="X279" s="59">
        <v>189034.03740550054</v>
      </c>
      <c r="Y279" s="59">
        <v>225178.51027088455</v>
      </c>
      <c r="Z279" s="59">
        <v>646632.28697337082</v>
      </c>
      <c r="AA279" s="59">
        <v>1523937.871035012</v>
      </c>
      <c r="AB279" s="59">
        <v>3100939.5830840431</v>
      </c>
      <c r="AC279" s="59">
        <v>1855868.3486382887</v>
      </c>
      <c r="AD279" s="59">
        <v>7566921.0454877326</v>
      </c>
      <c r="AE279" s="59">
        <v>1475980297.946913</v>
      </c>
      <c r="AF279" s="68">
        <v>7566921.0454877326</v>
      </c>
    </row>
    <row r="280" spans="1:32" x14ac:dyDescent="0.2">
      <c r="A280" s="95">
        <v>243</v>
      </c>
      <c r="B280" s="95">
        <v>20</v>
      </c>
      <c r="C280" s="95">
        <v>3</v>
      </c>
      <c r="D280" s="95"/>
      <c r="E280" s="95">
        <v>124.89819220348711</v>
      </c>
      <c r="F280" s="95">
        <v>935.76289920888678</v>
      </c>
      <c r="G280" s="95">
        <v>1116.5883824906743</v>
      </c>
      <c r="H280" s="95">
        <v>1559.811311703708</v>
      </c>
      <c r="I280" s="95">
        <v>3166.2471262821882</v>
      </c>
      <c r="J280" s="95"/>
      <c r="K280" s="95"/>
      <c r="L280" s="95">
        <v>122.62418021523341</v>
      </c>
      <c r="M280" s="95">
        <v>457.52986998350804</v>
      </c>
      <c r="N280" s="95">
        <v>188.79135998738607</v>
      </c>
      <c r="O280" s="95">
        <v>2015.8680371519708</v>
      </c>
      <c r="P280" s="95">
        <v>311.87864077295831</v>
      </c>
      <c r="Q280" s="95">
        <v>10000.000000000002</v>
      </c>
      <c r="S280" s="98">
        <v>2015.8680371519708</v>
      </c>
      <c r="T280" s="95">
        <v>2064.4230171260815</v>
      </c>
      <c r="U280" s="99">
        <v>1244.5371432795362</v>
      </c>
      <c r="W280" s="121">
        <v>25070.77139780622</v>
      </c>
      <c r="X280" s="59">
        <v>187847.50076729499</v>
      </c>
      <c r="Y280" s="59">
        <v>224153.12701132923</v>
      </c>
      <c r="Z280" s="59">
        <v>644694.22020844417</v>
      </c>
      <c r="AA280" s="59">
        <v>1523722.8689322402</v>
      </c>
      <c r="AB280" s="59">
        <v>3104112.3980233092</v>
      </c>
      <c r="AC280" s="59">
        <v>1857566.4098844714</v>
      </c>
      <c r="AD280" s="59">
        <v>7567167.2962248959</v>
      </c>
      <c r="AE280" s="59">
        <v>1483547465.2431378</v>
      </c>
      <c r="AF280" s="68">
        <v>7567167.2962248959</v>
      </c>
    </row>
    <row r="281" spans="1:32" x14ac:dyDescent="0.2">
      <c r="A281" s="95">
        <v>244</v>
      </c>
      <c r="B281" s="95">
        <v>20</v>
      </c>
      <c r="C281" s="95">
        <v>4</v>
      </c>
      <c r="D281" s="95"/>
      <c r="E281" s="95">
        <v>123.63880209876862</v>
      </c>
      <c r="F281" s="95">
        <v>930.04041508040484</v>
      </c>
      <c r="G281" s="95">
        <v>1111.6786230743337</v>
      </c>
      <c r="H281" s="95">
        <v>1555.3790824115777</v>
      </c>
      <c r="I281" s="95">
        <v>3166.2856284454838</v>
      </c>
      <c r="J281" s="95"/>
      <c r="K281" s="95"/>
      <c r="L281" s="95">
        <v>122.64724339646568</v>
      </c>
      <c r="M281" s="95">
        <v>458.18610680838998</v>
      </c>
      <c r="N281" s="95">
        <v>188.99209823962786</v>
      </c>
      <c r="O281" s="95">
        <v>2028.7159418979659</v>
      </c>
      <c r="P281" s="95">
        <v>314.4360585469833</v>
      </c>
      <c r="Q281" s="95">
        <v>10000.000000000002</v>
      </c>
      <c r="S281" s="98">
        <v>2028.7159418979659</v>
      </c>
      <c r="T281" s="95">
        <v>2074.7133202864984</v>
      </c>
      <c r="U281" s="99">
        <v>1251.5186378779915</v>
      </c>
      <c r="W281" s="121">
        <v>24813.795990978706</v>
      </c>
      <c r="X281" s="59">
        <v>186667.4305742716</v>
      </c>
      <c r="Y281" s="59">
        <v>223130.10564147859</v>
      </c>
      <c r="Z281" s="59">
        <v>642754.74629047979</v>
      </c>
      <c r="AA281" s="59">
        <v>1523487.1114431454</v>
      </c>
      <c r="AB281" s="59">
        <v>3107228.1441488303</v>
      </c>
      <c r="AC281" s="59">
        <v>1859231.1326585982</v>
      </c>
      <c r="AD281" s="59">
        <v>7567312.4667477831</v>
      </c>
      <c r="AE281" s="59">
        <v>1491114777.7098856</v>
      </c>
      <c r="AF281" s="68">
        <v>7567312.4667477831</v>
      </c>
    </row>
    <row r="282" spans="1:32" x14ac:dyDescent="0.2">
      <c r="A282" s="95">
        <v>245</v>
      </c>
      <c r="B282" s="95">
        <v>20</v>
      </c>
      <c r="C282" s="95">
        <v>5</v>
      </c>
      <c r="D282" s="95"/>
      <c r="E282" s="95">
        <v>122.39211084427271</v>
      </c>
      <c r="F282" s="95">
        <v>924.34809365568822</v>
      </c>
      <c r="G282" s="95">
        <v>1106.7790635760518</v>
      </c>
      <c r="H282" s="95">
        <v>1550.9420778182052</v>
      </c>
      <c r="I282" s="95">
        <v>3166.2811028403462</v>
      </c>
      <c r="J282" s="95"/>
      <c r="K282" s="95"/>
      <c r="L282" s="95">
        <v>122.66792902006614</v>
      </c>
      <c r="M282" s="95">
        <v>458.83429585428348</v>
      </c>
      <c r="N282" s="95">
        <v>189.18952092886849</v>
      </c>
      <c r="O282" s="95">
        <v>2041.5774642487174</v>
      </c>
      <c r="P282" s="95">
        <v>316.98834121350166</v>
      </c>
      <c r="Q282" s="95">
        <v>10000.000000000002</v>
      </c>
      <c r="S282" s="98">
        <v>2041.5774642487174</v>
      </c>
      <c r="T282" s="95">
        <v>2085.0037485789462</v>
      </c>
      <c r="U282" s="99">
        <v>1258.5040267623388</v>
      </c>
      <c r="W282" s="121">
        <v>24559.454582071176</v>
      </c>
      <c r="X282" s="59">
        <v>185493.80373666208</v>
      </c>
      <c r="Y282" s="59">
        <v>222109.46716547749</v>
      </c>
      <c r="Z282" s="59">
        <v>640813.92815267469</v>
      </c>
      <c r="AA282" s="59">
        <v>1523230.6847778717</v>
      </c>
      <c r="AB282" s="59">
        <v>3110287.0502004884</v>
      </c>
      <c r="AC282" s="59">
        <v>1860862.6301605939</v>
      </c>
      <c r="AD282" s="59">
        <v>7567357.0187758394</v>
      </c>
      <c r="AE282" s="59">
        <v>1498682134.7286615</v>
      </c>
      <c r="AF282" s="68">
        <v>7567357.0187758394</v>
      </c>
    </row>
    <row r="283" spans="1:32" x14ac:dyDescent="0.2">
      <c r="A283" s="95">
        <v>246</v>
      </c>
      <c r="B283" s="95">
        <v>20</v>
      </c>
      <c r="C283" s="95">
        <v>6</v>
      </c>
      <c r="D283" s="95"/>
      <c r="E283" s="95">
        <v>121.15799039325962</v>
      </c>
      <c r="F283" s="95">
        <v>918.68583504180685</v>
      </c>
      <c r="G283" s="95">
        <v>1101.8898122491605</v>
      </c>
      <c r="H283" s="95">
        <v>1546.5004476757838</v>
      </c>
      <c r="I283" s="95">
        <v>3166.2337076874305</v>
      </c>
      <c r="J283" s="95"/>
      <c r="K283" s="95"/>
      <c r="L283" s="95">
        <v>122.68625613854996</v>
      </c>
      <c r="M283" s="95">
        <v>459.47445195267369</v>
      </c>
      <c r="N283" s="95">
        <v>189.38363786310836</v>
      </c>
      <c r="O283" s="95">
        <v>2054.4523750532139</v>
      </c>
      <c r="P283" s="95">
        <v>319.53548594501427</v>
      </c>
      <c r="Q283" s="95">
        <v>10000.000000000002</v>
      </c>
      <c r="S283" s="98">
        <v>2054.4523750532139</v>
      </c>
      <c r="T283" s="95">
        <v>2095.2941621631771</v>
      </c>
      <c r="U283" s="99">
        <v>1265.4932006566071</v>
      </c>
      <c r="W283" s="121">
        <v>24307.720172604946</v>
      </c>
      <c r="X283" s="59">
        <v>184326.59707383424</v>
      </c>
      <c r="Y283" s="59">
        <v>221091.23220337468</v>
      </c>
      <c r="Z283" s="59">
        <v>638871.82852084306</v>
      </c>
      <c r="AA283" s="59">
        <v>1522953.6754309942</v>
      </c>
      <c r="AB283" s="59">
        <v>3113289.3434455562</v>
      </c>
      <c r="AC283" s="59">
        <v>1862461.0159457067</v>
      </c>
      <c r="AD283" s="59">
        <v>7567301.4127929145</v>
      </c>
      <c r="AE283" s="59">
        <v>1506249436.1414545</v>
      </c>
      <c r="AF283" s="68">
        <v>7567301.4127929145</v>
      </c>
    </row>
    <row r="284" spans="1:32" x14ac:dyDescent="0.2">
      <c r="A284" s="95">
        <v>247</v>
      </c>
      <c r="B284" s="95">
        <v>20</v>
      </c>
      <c r="C284" s="95">
        <v>7</v>
      </c>
      <c r="D284" s="95"/>
      <c r="E284" s="95">
        <v>119.93631399012759</v>
      </c>
      <c r="F284" s="95">
        <v>913.05353883824773</v>
      </c>
      <c r="G284" s="95">
        <v>1097.0109755207986</v>
      </c>
      <c r="H284" s="95">
        <v>1542.0543413215175</v>
      </c>
      <c r="I284" s="95">
        <v>3166.1436019034477</v>
      </c>
      <c r="J284" s="95"/>
      <c r="K284" s="95"/>
      <c r="L284" s="95">
        <v>122.70224358026343</v>
      </c>
      <c r="M284" s="95">
        <v>460.10659004273742</v>
      </c>
      <c r="N284" s="95">
        <v>189.57445887467733</v>
      </c>
      <c r="O284" s="95">
        <v>2067.3404459368357</v>
      </c>
      <c r="P284" s="95">
        <v>322.07748999134822</v>
      </c>
      <c r="Q284" s="95">
        <v>10000.000000000002</v>
      </c>
      <c r="S284" s="98">
        <v>2067.3404459368357</v>
      </c>
      <c r="T284" s="95">
        <v>2105.5844217131612</v>
      </c>
      <c r="U284" s="99">
        <v>1272.4860506614261</v>
      </c>
      <c r="W284" s="121">
        <v>24058.566040835743</v>
      </c>
      <c r="X284" s="59">
        <v>183165.78731770723</v>
      </c>
      <c r="Y284" s="59">
        <v>220075.42099451221</v>
      </c>
      <c r="Z284" s="59">
        <v>636928.50990761735</v>
      </c>
      <c r="AA284" s="59">
        <v>1522656.1701777871</v>
      </c>
      <c r="AB284" s="59">
        <v>3116235.2497271155</v>
      </c>
      <c r="AC284" s="59">
        <v>1864026.4039031267</v>
      </c>
      <c r="AD284" s="59">
        <v>7567146.1080687018</v>
      </c>
      <c r="AE284" s="59">
        <v>1513816582.2495232</v>
      </c>
      <c r="AF284" s="68">
        <v>7567146.1080687018</v>
      </c>
    </row>
    <row r="285" spans="1:32" x14ac:dyDescent="0.2">
      <c r="A285" s="95">
        <v>248</v>
      </c>
      <c r="B285" s="95">
        <v>20</v>
      </c>
      <c r="C285" s="95">
        <v>8</v>
      </c>
      <c r="D285" s="95"/>
      <c r="E285" s="95">
        <v>118.7269561573938</v>
      </c>
      <c r="F285" s="95">
        <v>907.45110415326781</v>
      </c>
      <c r="G285" s="95">
        <v>1092.1426580071879</v>
      </c>
      <c r="H285" s="95">
        <v>1537.6039076635104</v>
      </c>
      <c r="I285" s="95">
        <v>3166.0109450938476</v>
      </c>
      <c r="J285" s="95"/>
      <c r="K285" s="95"/>
      <c r="L285" s="95">
        <v>122.71590995439558</v>
      </c>
      <c r="M285" s="95">
        <v>460.73072517168725</v>
      </c>
      <c r="N285" s="95">
        <v>189.76199381951287</v>
      </c>
      <c r="O285" s="95">
        <v>2080.2414492998259</v>
      </c>
      <c r="P285" s="95">
        <v>324.61435067937214</v>
      </c>
      <c r="Q285" s="95">
        <v>10000.000000000002</v>
      </c>
      <c r="S285" s="98">
        <v>2080.2414492998259</v>
      </c>
      <c r="T285" s="95">
        <v>2115.8743884193473</v>
      </c>
      <c r="U285" s="99">
        <v>1279.4824682541771</v>
      </c>
      <c r="W285" s="121">
        <v>23811.965738917181</v>
      </c>
      <c r="X285" s="59">
        <v>182011.35111611278</v>
      </c>
      <c r="Y285" s="59">
        <v>219062.05340090362</v>
      </c>
      <c r="Z285" s="59">
        <v>634984.0346067769</v>
      </c>
      <c r="AA285" s="59">
        <v>1522338.2560704446</v>
      </c>
      <c r="AB285" s="59">
        <v>3119124.993511261</v>
      </c>
      <c r="AC285" s="59">
        <v>1865558.9082357902</v>
      </c>
      <c r="AD285" s="59">
        <v>7566891.5626802063</v>
      </c>
      <c r="AE285" s="59">
        <v>1521383473.8122034</v>
      </c>
      <c r="AF285" s="68">
        <v>7566891.5626802063</v>
      </c>
    </row>
    <row r="286" spans="1:32" x14ac:dyDescent="0.2">
      <c r="A286" s="95">
        <v>249</v>
      </c>
      <c r="B286" s="95">
        <v>20</v>
      </c>
      <c r="C286" s="95">
        <v>9</v>
      </c>
      <c r="D286" s="95"/>
      <c r="E286" s="95">
        <v>117.52979268280674</v>
      </c>
      <c r="F286" s="95">
        <v>901.878429619999</v>
      </c>
      <c r="G286" s="95">
        <v>1087.2849625288659</v>
      </c>
      <c r="H286" s="95">
        <v>1533.1492951669472</v>
      </c>
      <c r="I286" s="95">
        <v>3165.8358975453989</v>
      </c>
      <c r="J286" s="95"/>
      <c r="K286" s="95"/>
      <c r="L286" s="95">
        <v>122.72727365587322</v>
      </c>
      <c r="M286" s="95">
        <v>461.34687249509739</v>
      </c>
      <c r="N286" s="95">
        <v>189.94625257648599</v>
      </c>
      <c r="O286" s="95">
        <v>2093.1551583158143</v>
      </c>
      <c r="P286" s="95">
        <v>327.1460654127124</v>
      </c>
      <c r="Q286" s="95">
        <v>10000.000000000002</v>
      </c>
      <c r="S286" s="98">
        <v>2093.1551583158143</v>
      </c>
      <c r="T286" s="95">
        <v>2126.1639239909023</v>
      </c>
      <c r="U286" s="99">
        <v>1286.4823452891678</v>
      </c>
      <c r="W286" s="121">
        <v>23567.893090093279</v>
      </c>
      <c r="X286" s="59">
        <v>180863.26503610337</v>
      </c>
      <c r="Y286" s="59">
        <v>218051.14891059994</v>
      </c>
      <c r="Z286" s="59">
        <v>633038.46468770504</v>
      </c>
      <c r="AA286" s="59">
        <v>1522000.0204342559</v>
      </c>
      <c r="AB286" s="59">
        <v>3121958.797933117</v>
      </c>
      <c r="AC286" s="59">
        <v>1867058.6434413162</v>
      </c>
      <c r="AD286" s="59">
        <v>7566538.2335331906</v>
      </c>
      <c r="AE286" s="59">
        <v>1528950012.0457366</v>
      </c>
      <c r="AF286" s="68">
        <v>7566538.2335331906</v>
      </c>
    </row>
    <row r="287" spans="1:32" x14ac:dyDescent="0.2">
      <c r="A287" s="95">
        <v>250</v>
      </c>
      <c r="B287" s="95">
        <v>20</v>
      </c>
      <c r="C287" s="95">
        <v>10</v>
      </c>
      <c r="D287" s="95"/>
      <c r="E287" s="95">
        <v>116.34470060658845</v>
      </c>
      <c r="F287" s="95">
        <v>896.33541341230807</v>
      </c>
      <c r="G287" s="95">
        <v>1082.437990125876</v>
      </c>
      <c r="H287" s="95">
        <v>1528.6906518405665</v>
      </c>
      <c r="I287" s="95">
        <v>3165.6186202186723</v>
      </c>
      <c r="J287" s="95"/>
      <c r="K287" s="95"/>
      <c r="L287" s="95">
        <v>122.73635287014189</v>
      </c>
      <c r="M287" s="95">
        <v>461.95504727721044</v>
      </c>
      <c r="N287" s="95">
        <v>190.12724504677234</v>
      </c>
      <c r="O287" s="95">
        <v>2106.0813469303957</v>
      </c>
      <c r="P287" s="95">
        <v>329.67263167146956</v>
      </c>
      <c r="Q287" s="95">
        <v>10000.000000000002</v>
      </c>
      <c r="S287" s="98">
        <v>2106.0813469303957</v>
      </c>
      <c r="T287" s="95">
        <v>2136.4528906579249</v>
      </c>
      <c r="U287" s="99">
        <v>1293.4855739978264</v>
      </c>
      <c r="W287" s="121">
        <v>23326.32218591982</v>
      </c>
      <c r="X287" s="59">
        <v>179721.50556720799</v>
      </c>
      <c r="Y287" s="59">
        <v>217042.72664104434</v>
      </c>
      <c r="Z287" s="59">
        <v>631091.86198997078</v>
      </c>
      <c r="AA287" s="59">
        <v>1521641.550863737</v>
      </c>
      <c r="AB287" s="59">
        <v>3124736.8848416866</v>
      </c>
      <c r="AC287" s="59">
        <v>1868525.7242940182</v>
      </c>
      <c r="AD287" s="59">
        <v>7566086.5763835851</v>
      </c>
      <c r="AE287" s="59">
        <v>1536516098.6221201</v>
      </c>
      <c r="AF287" s="68">
        <v>7566086.5763835851</v>
      </c>
    </row>
    <row r="288" spans="1:32" x14ac:dyDescent="0.2">
      <c r="A288" s="95">
        <v>251</v>
      </c>
      <c r="B288" s="95">
        <v>20</v>
      </c>
      <c r="C288" s="95">
        <v>11</v>
      </c>
      <c r="D288" s="95"/>
      <c r="E288" s="95">
        <v>115.17155820880535</v>
      </c>
      <c r="F288" s="95">
        <v>890.82195326041438</v>
      </c>
      <c r="G288" s="95">
        <v>1077.6018400729124</v>
      </c>
      <c r="H288" s="95">
        <v>1524.2281252234195</v>
      </c>
      <c r="I288" s="95">
        <v>3165.3592747404259</v>
      </c>
      <c r="J288" s="95"/>
      <c r="K288" s="95"/>
      <c r="L288" s="95">
        <v>122.74316557783528</v>
      </c>
      <c r="M288" s="95">
        <v>462.55526489122582</v>
      </c>
      <c r="N288" s="95">
        <v>190.30498115326589</v>
      </c>
      <c r="O288" s="95">
        <v>2119.0197898597612</v>
      </c>
      <c r="P288" s="95">
        <v>332.1940470119356</v>
      </c>
      <c r="Q288" s="95">
        <v>10000.000000000002</v>
      </c>
      <c r="S288" s="98">
        <v>2119.0197898597612</v>
      </c>
      <c r="T288" s="95">
        <v>2146.7411511736354</v>
      </c>
      <c r="U288" s="99">
        <v>1300.4920469889164</v>
      </c>
      <c r="W288" s="121">
        <v>23087.227383514146</v>
      </c>
      <c r="X288" s="59">
        <v>178586.04912463605</v>
      </c>
      <c r="Y288" s="59">
        <v>216036.80534241442</v>
      </c>
      <c r="Z288" s="59">
        <v>629144.28811803542</v>
      </c>
      <c r="AA288" s="59">
        <v>1521262.9352187202</v>
      </c>
      <c r="AB288" s="59">
        <v>3127459.4748435663</v>
      </c>
      <c r="AC288" s="59">
        <v>1869960.2658279412</v>
      </c>
      <c r="AD288" s="59">
        <v>7565537.0458588274</v>
      </c>
      <c r="AE288" s="59">
        <v>1544081635.667979</v>
      </c>
      <c r="AF288" s="68">
        <v>7565537.0458588274</v>
      </c>
    </row>
    <row r="289" spans="1:32" x14ac:dyDescent="0.2">
      <c r="A289" s="95">
        <v>252</v>
      </c>
      <c r="B289" s="95">
        <v>21</v>
      </c>
      <c r="C289" s="95">
        <v>0</v>
      </c>
      <c r="D289" s="95"/>
      <c r="E289" s="95">
        <v>114.01024499686656</v>
      </c>
      <c r="F289" s="95">
        <v>885.33794646626882</v>
      </c>
      <c r="G289" s="95">
        <v>1072.7766098944203</v>
      </c>
      <c r="H289" s="95">
        <v>1519.7618623719145</v>
      </c>
      <c r="I289" s="95">
        <v>3165.0580233959017</v>
      </c>
      <c r="J289" s="95"/>
      <c r="K289" s="95"/>
      <c r="L289" s="95">
        <v>122.75801709613599</v>
      </c>
      <c r="M289" s="95">
        <v>463.13725328276854</v>
      </c>
      <c r="N289" s="95">
        <v>190.47947084003292</v>
      </c>
      <c r="O289" s="95">
        <v>2131.9702625893801</v>
      </c>
      <c r="P289" s="95">
        <v>334.71030906631171</v>
      </c>
      <c r="Q289" s="95">
        <v>10000.000000000002</v>
      </c>
      <c r="S289" s="98">
        <v>2131.9702625893801</v>
      </c>
      <c r="T289" s="95">
        <v>2157.0285688165418</v>
      </c>
      <c r="U289" s="99">
        <v>1307.5016572487716</v>
      </c>
      <c r="W289" s="121">
        <v>22850.583302833125</v>
      </c>
      <c r="X289" s="59">
        <v>177456.87205243018</v>
      </c>
      <c r="Y289" s="59">
        <v>215033.40340095191</v>
      </c>
      <c r="Z289" s="59">
        <v>627195.80443608121</v>
      </c>
      <c r="AA289" s="59">
        <v>1520864.2616204044</v>
      </c>
      <c r="AB289" s="59">
        <v>3130126.7873455351</v>
      </c>
      <c r="AC289" s="59">
        <v>1871362.3833208706</v>
      </c>
      <c r="AD289" s="59">
        <v>7564890.0954791065</v>
      </c>
      <c r="AE289" s="59">
        <v>1551646525.763458</v>
      </c>
      <c r="AF289" s="68">
        <v>7564890.0954791065</v>
      </c>
    </row>
    <row r="290" spans="1:32" x14ac:dyDescent="0.2">
      <c r="A290" s="95">
        <v>253</v>
      </c>
      <c r="B290" s="95">
        <v>21</v>
      </c>
      <c r="C290" s="95">
        <v>1</v>
      </c>
      <c r="D290" s="95"/>
      <c r="E290" s="95">
        <v>112.86064169314815</v>
      </c>
      <c r="F290" s="95">
        <v>879.88328991869673</v>
      </c>
      <c r="G290" s="95">
        <v>1067.9623953796474</v>
      </c>
      <c r="H290" s="95">
        <v>1515.2920098471395</v>
      </c>
      <c r="I290" s="95">
        <v>3164.7150291210332</v>
      </c>
      <c r="J290" s="95"/>
      <c r="K290" s="95"/>
      <c r="L290" s="95">
        <v>122.77042126677929</v>
      </c>
      <c r="M290" s="95">
        <v>463.71147177595793</v>
      </c>
      <c r="N290" s="95">
        <v>190.65072407180409</v>
      </c>
      <c r="O290" s="95">
        <v>2144.9326013833684</v>
      </c>
      <c r="P290" s="95">
        <v>337.22141554242648</v>
      </c>
      <c r="Q290" s="95">
        <v>10000.000000000002</v>
      </c>
      <c r="S290" s="98">
        <v>2144.9326013833684</v>
      </c>
      <c r="T290" s="95">
        <v>2167.3150073925785</v>
      </c>
      <c r="U290" s="99">
        <v>1314.5142981415472</v>
      </c>
      <c r="W290" s="121">
        <v>22616.364823979085</v>
      </c>
      <c r="X290" s="59">
        <v>176333.95062656852</v>
      </c>
      <c r="Y290" s="59">
        <v>214032.53884227996</v>
      </c>
      <c r="Z290" s="59">
        <v>625246.47206296143</v>
      </c>
      <c r="AA290" s="59">
        <v>1520445.6184473643</v>
      </c>
      <c r="AB290" s="59">
        <v>3132738.3980214465</v>
      </c>
      <c r="AC290" s="59">
        <v>1872732.1922792697</v>
      </c>
      <c r="AD290" s="59">
        <v>7564145.5351038696</v>
      </c>
      <c r="AE290" s="59">
        <v>1559210671.2985618</v>
      </c>
      <c r="AF290" s="68">
        <v>7564145.5351038696</v>
      </c>
    </row>
    <row r="291" spans="1:32" x14ac:dyDescent="0.2">
      <c r="A291" s="95">
        <v>254</v>
      </c>
      <c r="B291" s="95">
        <v>21</v>
      </c>
      <c r="C291" s="95">
        <v>2</v>
      </c>
      <c r="D291" s="95"/>
      <c r="E291" s="95">
        <v>111.72263022274224</v>
      </c>
      <c r="F291" s="95">
        <v>874.4578801083079</v>
      </c>
      <c r="G291" s="95">
        <v>1063.1592905976486</v>
      </c>
      <c r="H291" s="95">
        <v>1510.8187137024645</v>
      </c>
      <c r="I291" s="95">
        <v>3164.3304554945639</v>
      </c>
      <c r="J291" s="95"/>
      <c r="K291" s="95"/>
      <c r="L291" s="95">
        <v>122.78103955561613</v>
      </c>
      <c r="M291" s="95">
        <v>464.27729418105292</v>
      </c>
      <c r="N291" s="95">
        <v>190.81875049344185</v>
      </c>
      <c r="O291" s="95">
        <v>2157.9065814407118</v>
      </c>
      <c r="P291" s="95">
        <v>339.72736420345126</v>
      </c>
      <c r="Q291" s="95">
        <v>10000.000000000002</v>
      </c>
      <c r="S291" s="98">
        <v>2157.9065814407118</v>
      </c>
      <c r="T291" s="95">
        <v>2177.6003312372218</v>
      </c>
      <c r="U291" s="99">
        <v>1321.5298630694306</v>
      </c>
      <c r="W291" s="121">
        <v>22384.5470845333</v>
      </c>
      <c r="X291" s="59">
        <v>175217.2610580175</v>
      </c>
      <c r="Y291" s="59">
        <v>213034.22933470752</v>
      </c>
      <c r="Z291" s="59">
        <v>623296.35186727019</v>
      </c>
      <c r="AA291" s="59">
        <v>1520007.0943315257</v>
      </c>
      <c r="AB291" s="59">
        <v>3135294.5476270993</v>
      </c>
      <c r="AC291" s="59">
        <v>1874069.8017282595</v>
      </c>
      <c r="AD291" s="59">
        <v>7563303.8330314131</v>
      </c>
      <c r="AE291" s="59">
        <v>1566773975.1315932</v>
      </c>
      <c r="AF291" s="68">
        <v>7563303.8330314131</v>
      </c>
    </row>
    <row r="292" spans="1:32" x14ac:dyDescent="0.2">
      <c r="A292" s="95">
        <v>255</v>
      </c>
      <c r="B292" s="95">
        <v>21</v>
      </c>
      <c r="C292" s="95">
        <v>3</v>
      </c>
      <c r="D292" s="95"/>
      <c r="E292" s="95">
        <v>110.59609370132959</v>
      </c>
      <c r="F292" s="95">
        <v>869.06161314217638</v>
      </c>
      <c r="G292" s="95">
        <v>1058.36738791224</v>
      </c>
      <c r="H292" s="95">
        <v>1506.3421194714163</v>
      </c>
      <c r="I292" s="95">
        <v>3163.9044667300886</v>
      </c>
      <c r="J292" s="95"/>
      <c r="K292" s="95"/>
      <c r="L292" s="95">
        <v>122.78988009226212</v>
      </c>
      <c r="M292" s="95">
        <v>464.83474377672758</v>
      </c>
      <c r="N292" s="95">
        <v>190.98355979413719</v>
      </c>
      <c r="O292" s="95">
        <v>2170.8919824913869</v>
      </c>
      <c r="P292" s="95">
        <v>342.22815288823654</v>
      </c>
      <c r="Q292" s="95">
        <v>10000.000000000002</v>
      </c>
      <c r="S292" s="98">
        <v>2170.8919824913869</v>
      </c>
      <c r="T292" s="95">
        <v>2187.8844052175791</v>
      </c>
      <c r="U292" s="99">
        <v>1328.5482458253487</v>
      </c>
      <c r="W292" s="121">
        <v>22155.105476916833</v>
      </c>
      <c r="X292" s="59">
        <v>174106.77949573507</v>
      </c>
      <c r="Y292" s="59">
        <v>212038.49219252073</v>
      </c>
      <c r="Z292" s="59">
        <v>621345.50446253025</v>
      </c>
      <c r="AA292" s="59">
        <v>1519548.7781541019</v>
      </c>
      <c r="AB292" s="59">
        <v>3137795.4353486262</v>
      </c>
      <c r="AC292" s="59">
        <v>1875375.3213819019</v>
      </c>
      <c r="AD292" s="59">
        <v>7562365.4165123329</v>
      </c>
      <c r="AE292" s="59">
        <v>1574336340.5481055</v>
      </c>
      <c r="AF292" s="68">
        <v>7562365.4165123329</v>
      </c>
    </row>
    <row r="293" spans="1:32" x14ac:dyDescent="0.2">
      <c r="A293" s="95">
        <v>256</v>
      </c>
      <c r="B293" s="95">
        <v>21</v>
      </c>
      <c r="C293" s="95">
        <v>4</v>
      </c>
      <c r="D293" s="95"/>
      <c r="E293" s="95">
        <v>109.48091642317452</v>
      </c>
      <c r="F293" s="95">
        <v>863.69438475829315</v>
      </c>
      <c r="G293" s="95">
        <v>1053.5867779969039</v>
      </c>
      <c r="H293" s="95">
        <v>1501.8623721558245</v>
      </c>
      <c r="I293" s="95">
        <v>3163.437227668011</v>
      </c>
      <c r="J293" s="95"/>
      <c r="K293" s="95"/>
      <c r="L293" s="95">
        <v>122.79695098951088</v>
      </c>
      <c r="M293" s="95">
        <v>465.38384386315556</v>
      </c>
      <c r="N293" s="95">
        <v>191.14516168464047</v>
      </c>
      <c r="O293" s="95">
        <v>2183.8885849507105</v>
      </c>
      <c r="P293" s="95">
        <v>344.7237795097767</v>
      </c>
      <c r="Q293" s="95">
        <v>10000.000000000002</v>
      </c>
      <c r="S293" s="98">
        <v>2183.8885849507105</v>
      </c>
      <c r="T293" s="95">
        <v>2198.1670947344519</v>
      </c>
      <c r="U293" s="99">
        <v>1335.5693405717914</v>
      </c>
      <c r="W293" s="121">
        <v>21928.015645778436</v>
      </c>
      <c r="X293" s="59">
        <v>173002.48202962568</v>
      </c>
      <c r="Y293" s="59">
        <v>211045.3443792607</v>
      </c>
      <c r="Z293" s="59">
        <v>619393.99020249734</v>
      </c>
      <c r="AA293" s="59">
        <v>1519070.7590414975</v>
      </c>
      <c r="AB293" s="59">
        <v>3140241.2601691186</v>
      </c>
      <c r="AC293" s="59">
        <v>1876648.8611911177</v>
      </c>
      <c r="AD293" s="59">
        <v>7561330.7126588961</v>
      </c>
      <c r="AE293" s="59">
        <v>1581897671.2607644</v>
      </c>
      <c r="AF293" s="68">
        <v>7561330.7126588961</v>
      </c>
    </row>
    <row r="294" spans="1:32" x14ac:dyDescent="0.2">
      <c r="A294" s="95">
        <v>257</v>
      </c>
      <c r="B294" s="95">
        <v>21</v>
      </c>
      <c r="C294" s="95">
        <v>5</v>
      </c>
      <c r="D294" s="95"/>
      <c r="E294" s="95">
        <v>108.37698384924084</v>
      </c>
      <c r="F294" s="95">
        <v>858.35609033979506</v>
      </c>
      <c r="G294" s="95">
        <v>1048.8175498496405</v>
      </c>
      <c r="H294" s="95">
        <v>1497.3796162142353</v>
      </c>
      <c r="I294" s="95">
        <v>3162.9289037674275</v>
      </c>
      <c r="J294" s="95"/>
      <c r="K294" s="95"/>
      <c r="L294" s="95">
        <v>122.80226034398787</v>
      </c>
      <c r="M294" s="95">
        <v>465.92461776341992</v>
      </c>
      <c r="N294" s="95">
        <v>191.30356589724494</v>
      </c>
      <c r="O294" s="95">
        <v>2196.8961699200527</v>
      </c>
      <c r="P294" s="95">
        <v>347.21424205495651</v>
      </c>
      <c r="Q294" s="95">
        <v>10000.000000000002</v>
      </c>
      <c r="S294" s="98">
        <v>2196.8961699200527</v>
      </c>
      <c r="T294" s="95">
        <v>2208.448265724373</v>
      </c>
      <c r="U294" s="99">
        <v>1342.5930418415692</v>
      </c>
      <c r="W294" s="121">
        <v>21703.253485409208</v>
      </c>
      <c r="X294" s="59">
        <v>171904.34469344738</v>
      </c>
      <c r="Y294" s="59">
        <v>210054.80251098832</v>
      </c>
      <c r="Z294" s="59">
        <v>617441.86917658034</v>
      </c>
      <c r="AA294" s="59">
        <v>1518573.1263611799</v>
      </c>
      <c r="AB294" s="59">
        <v>3142632.2208823115</v>
      </c>
      <c r="AC294" s="59">
        <v>1877890.5313388731</v>
      </c>
      <c r="AD294" s="59">
        <v>7560200.1484487895</v>
      </c>
      <c r="AE294" s="59">
        <v>1589457871.4092131</v>
      </c>
      <c r="AF294" s="68">
        <v>7560200.1484487895</v>
      </c>
    </row>
    <row r="295" spans="1:32" x14ac:dyDescent="0.2">
      <c r="A295" s="95">
        <v>258</v>
      </c>
      <c r="B295" s="95">
        <v>21</v>
      </c>
      <c r="C295" s="95">
        <v>6</v>
      </c>
      <c r="D295" s="95"/>
      <c r="E295" s="95">
        <v>107.28418259542767</v>
      </c>
      <c r="F295" s="95">
        <v>853.04662492897171</v>
      </c>
      <c r="G295" s="95">
        <v>1044.0597908077677</v>
      </c>
      <c r="H295" s="95">
        <v>1492.8939955505894</v>
      </c>
      <c r="I295" s="95">
        <v>3162.3796610979366</v>
      </c>
      <c r="J295" s="95"/>
      <c r="K295" s="95"/>
      <c r="L295" s="95">
        <v>122.8058162367812</v>
      </c>
      <c r="M295" s="95">
        <v>466.4570888248839</v>
      </c>
      <c r="N295" s="95">
        <v>191.45878218577286</v>
      </c>
      <c r="O295" s="95">
        <v>2209.9145191875718</v>
      </c>
      <c r="P295" s="95">
        <v>349.69953858429818</v>
      </c>
      <c r="Q295" s="95">
        <v>10000.000000000002</v>
      </c>
      <c r="S295" s="98">
        <v>2209.9145191875718</v>
      </c>
      <c r="T295" s="95">
        <v>2218.7277846616171</v>
      </c>
      <c r="U295" s="99">
        <v>1349.6192445385732</v>
      </c>
      <c r="W295" s="121">
        <v>21480.795137183763</v>
      </c>
      <c r="X295" s="59">
        <v>170812.34346767145</v>
      </c>
      <c r="Y295" s="59">
        <v>209066.88285953482</v>
      </c>
      <c r="Z295" s="59">
        <v>615489.20120537409</v>
      </c>
      <c r="AA295" s="59">
        <v>1518055.9697175177</v>
      </c>
      <c r="AB295" s="59">
        <v>3144968.5161058693</v>
      </c>
      <c r="AC295" s="59">
        <v>1879100.4422355841</v>
      </c>
      <c r="AD295" s="59">
        <v>7558974.1507287351</v>
      </c>
      <c r="AE295" s="59">
        <v>1597016845.5599418</v>
      </c>
      <c r="AF295" s="68">
        <v>7558974.1507287351</v>
      </c>
    </row>
    <row r="296" spans="1:32" x14ac:dyDescent="0.2">
      <c r="A296" s="95">
        <v>259</v>
      </c>
      <c r="B296" s="95">
        <v>21</v>
      </c>
      <c r="C296" s="95">
        <v>7</v>
      </c>
      <c r="D296" s="95"/>
      <c r="E296" s="95">
        <v>106.20240042092377</v>
      </c>
      <c r="F296" s="95">
        <v>847.76588324105387</v>
      </c>
      <c r="G296" s="95">
        <v>1039.3135865626678</v>
      </c>
      <c r="H296" s="95">
        <v>1488.4056535031611</v>
      </c>
      <c r="I296" s="95">
        <v>3161.7896663313772</v>
      </c>
      <c r="J296" s="95"/>
      <c r="K296" s="95"/>
      <c r="L296" s="95">
        <v>122.80762673404945</v>
      </c>
      <c r="M296" s="95">
        <v>466.98128042052383</v>
      </c>
      <c r="N296" s="95">
        <v>191.61082032556422</v>
      </c>
      <c r="O296" s="95">
        <v>2222.9434152289723</v>
      </c>
      <c r="P296" s="95">
        <v>352.17966723170753</v>
      </c>
      <c r="Q296" s="95">
        <v>10000.000000000002</v>
      </c>
      <c r="S296" s="98">
        <v>2222.9434152289723</v>
      </c>
      <c r="T296" s="95">
        <v>2229.0055185601855</v>
      </c>
      <c r="U296" s="99">
        <v>1356.6478439385369</v>
      </c>
      <c r="W296" s="121">
        <v>21260.616987027632</v>
      </c>
      <c r="X296" s="59">
        <v>169726.45428229583</v>
      </c>
      <c r="Y296" s="59">
        <v>208081.60135573905</v>
      </c>
      <c r="Z296" s="59">
        <v>613536.04583630594</v>
      </c>
      <c r="AA296" s="59">
        <v>1517519.3789475919</v>
      </c>
      <c r="AB296" s="59">
        <v>3147250.3442942696</v>
      </c>
      <c r="AC296" s="59">
        <v>1880278.7045147247</v>
      </c>
      <c r="AD296" s="59">
        <v>7557653.1462179543</v>
      </c>
      <c r="AE296" s="59">
        <v>1604574498.7061598</v>
      </c>
      <c r="AF296" s="68">
        <v>7557653.1462179543</v>
      </c>
    </row>
    <row r="297" spans="1:32" x14ac:dyDescent="0.2">
      <c r="A297" s="95">
        <v>260</v>
      </c>
      <c r="B297" s="95">
        <v>21</v>
      </c>
      <c r="C297" s="95">
        <v>8</v>
      </c>
      <c r="D297" s="95"/>
      <c r="E297" s="95">
        <v>105.13152621667945</v>
      </c>
      <c r="F297" s="95">
        <v>842.51375967778677</v>
      </c>
      <c r="G297" s="95">
        <v>1034.5790211744777</v>
      </c>
      <c r="H297" s="95">
        <v>1483.9147328337563</v>
      </c>
      <c r="I297" s="95">
        <v>3161.1590867335003</v>
      </c>
      <c r="J297" s="95"/>
      <c r="K297" s="95"/>
      <c r="L297" s="95">
        <v>122.80769988760748</v>
      </c>
      <c r="M297" s="95">
        <v>467.49721595022402</v>
      </c>
      <c r="N297" s="95">
        <v>191.75969011346689</v>
      </c>
      <c r="O297" s="95">
        <v>2235.9826412082816</v>
      </c>
      <c r="P297" s="95">
        <v>354.65462620422068</v>
      </c>
      <c r="Q297" s="95">
        <v>10000.000000000002</v>
      </c>
      <c r="S297" s="98">
        <v>2235.9826412082816</v>
      </c>
      <c r="T297" s="95">
        <v>2239.2813349757625</v>
      </c>
      <c r="U297" s="99">
        <v>1363.6787356897994</v>
      </c>
      <c r="W297" s="121">
        <v>21042.695662910595</v>
      </c>
      <c r="X297" s="59">
        <v>168646.65301961196</v>
      </c>
      <c r="Y297" s="59">
        <v>207098.97359267005</v>
      </c>
      <c r="Z297" s="59">
        <v>611582.46233939228</v>
      </c>
      <c r="AA297" s="59">
        <v>1516963.4441169763</v>
      </c>
      <c r="AB297" s="59">
        <v>3149477.9037513011</v>
      </c>
      <c r="AC297" s="59">
        <v>1881425.4290286289</v>
      </c>
      <c r="AD297" s="59">
        <v>7556237.5615114914</v>
      </c>
      <c r="AE297" s="59">
        <v>1612130736.2676713</v>
      </c>
      <c r="AF297" s="68">
        <v>7556237.5615114914</v>
      </c>
    </row>
    <row r="298" spans="1:32" x14ac:dyDescent="0.2">
      <c r="A298" s="95">
        <v>261</v>
      </c>
      <c r="B298" s="95">
        <v>21</v>
      </c>
      <c r="C298" s="95">
        <v>9</v>
      </c>
      <c r="D298" s="95"/>
      <c r="E298" s="95">
        <v>104.07144999399459</v>
      </c>
      <c r="F298" s="95">
        <v>837.29014834078919</v>
      </c>
      <c r="G298" s="95">
        <v>1029.8561770867257</v>
      </c>
      <c r="H298" s="95">
        <v>1479.4213757171635</v>
      </c>
      <c r="I298" s="95">
        <v>3160.4880901555757</v>
      </c>
      <c r="J298" s="95"/>
      <c r="K298" s="95"/>
      <c r="L298" s="95">
        <v>122.80604373549029</v>
      </c>
      <c r="M298" s="95">
        <v>468.00491884203393</v>
      </c>
      <c r="N298" s="95">
        <v>191.90540136782832</v>
      </c>
      <c r="O298" s="95">
        <v>2249.0319809786502</v>
      </c>
      <c r="P298" s="95">
        <v>357.12441378174987</v>
      </c>
      <c r="Q298" s="95">
        <v>10000.000000000002</v>
      </c>
      <c r="S298" s="98">
        <v>2249.0319809786502</v>
      </c>
      <c r="T298" s="95">
        <v>2249.5551020076464</v>
      </c>
      <c r="U298" s="99">
        <v>1370.7118158140695</v>
      </c>
      <c r="W298" s="121">
        <v>20827.008032365764</v>
      </c>
      <c r="X298" s="59">
        <v>167572.91551692662</v>
      </c>
      <c r="Y298" s="59">
        <v>206119.01482883591</v>
      </c>
      <c r="Z298" s="59">
        <v>609628.50970310462</v>
      </c>
      <c r="AA298" s="59">
        <v>1516388.2555154925</v>
      </c>
      <c r="AB298" s="59">
        <v>3151651.392642173</v>
      </c>
      <c r="AC298" s="59">
        <v>1882540.726844474</v>
      </c>
      <c r="AD298" s="59">
        <v>7554727.8230833728</v>
      </c>
      <c r="AE298" s="59">
        <v>1619685464.0907547</v>
      </c>
      <c r="AF298" s="68">
        <v>7554727.8230833728</v>
      </c>
    </row>
    <row r="299" spans="1:32" x14ac:dyDescent="0.2">
      <c r="A299" s="95">
        <v>262</v>
      </c>
      <c r="B299" s="95">
        <v>21</v>
      </c>
      <c r="C299" s="95">
        <v>10</v>
      </c>
      <c r="D299" s="95"/>
      <c r="E299" s="95">
        <v>103.02206287322181</v>
      </c>
      <c r="F299" s="95">
        <v>832.09494304470309</v>
      </c>
      <c r="G299" s="95">
        <v>1025.14513514091</v>
      </c>
      <c r="H299" s="95">
        <v>1474.9257237308591</v>
      </c>
      <c r="I299" s="95">
        <v>3159.7768450259359</v>
      </c>
      <c r="J299" s="95"/>
      <c r="K299" s="95"/>
      <c r="L299" s="95">
        <v>122.80266630249589</v>
      </c>
      <c r="M299" s="95">
        <v>468.50441255338825</v>
      </c>
      <c r="N299" s="95">
        <v>192.04796392848797</v>
      </c>
      <c r="O299" s="95">
        <v>2262.0912190831691</v>
      </c>
      <c r="P299" s="95">
        <v>359.58902831682968</v>
      </c>
      <c r="Q299" s="95">
        <v>10000</v>
      </c>
      <c r="S299" s="98">
        <v>2262.0912190831691</v>
      </c>
      <c r="T299" s="95">
        <v>2259.8266883006522</v>
      </c>
      <c r="U299" s="99">
        <v>1377.7469807071902</v>
      </c>
      <c r="W299" s="121">
        <v>20613.531200034016</v>
      </c>
      <c r="X299" s="59">
        <v>166505.2175692388</v>
      </c>
      <c r="Y299" s="59">
        <v>205141.73999137804</v>
      </c>
      <c r="Z299" s="59">
        <v>607674.24663034407</v>
      </c>
      <c r="AA299" s="59">
        <v>1515793.9036529378</v>
      </c>
      <c r="AB299" s="59">
        <v>3153771.0090052485</v>
      </c>
      <c r="AC299" s="59">
        <v>1883624.7092404335</v>
      </c>
      <c r="AD299" s="59">
        <v>7553124.3572896151</v>
      </c>
      <c r="AE299" s="59">
        <v>1627238588.4480443</v>
      </c>
      <c r="AF299" s="68">
        <v>7553124.3572896151</v>
      </c>
    </row>
    <row r="300" spans="1:32" x14ac:dyDescent="0.2">
      <c r="A300" s="95">
        <v>263</v>
      </c>
      <c r="B300" s="95">
        <v>21</v>
      </c>
      <c r="C300" s="95">
        <v>11</v>
      </c>
      <c r="D300" s="95"/>
      <c r="E300" s="95">
        <v>101.9832570725835</v>
      </c>
      <c r="F300" s="95">
        <v>826.92803733013545</v>
      </c>
      <c r="G300" s="95">
        <v>1020.4459745910207</v>
      </c>
      <c r="H300" s="95">
        <v>1470.4279178449597</v>
      </c>
      <c r="I300" s="95">
        <v>3159.0255203414608</v>
      </c>
      <c r="J300" s="95"/>
      <c r="K300" s="95"/>
      <c r="L300" s="95">
        <v>122.79757560070718</v>
      </c>
      <c r="M300" s="95">
        <v>468.99572057228983</v>
      </c>
      <c r="N300" s="95">
        <v>192.18738765677006</v>
      </c>
      <c r="O300" s="95">
        <v>2275.1601407557105</v>
      </c>
      <c r="P300" s="95">
        <v>362.04846823436304</v>
      </c>
      <c r="Q300" s="95">
        <v>10000</v>
      </c>
      <c r="S300" s="98">
        <v>2275.1601407557105</v>
      </c>
      <c r="T300" s="95">
        <v>2270.0959630469865</v>
      </c>
      <c r="U300" s="99">
        <v>1384.7841271399038</v>
      </c>
      <c r="W300" s="121">
        <v>20402.242505233666</v>
      </c>
      <c r="X300" s="59">
        <v>165443.53493187239</v>
      </c>
      <c r="Y300" s="59">
        <v>204167.16367925066</v>
      </c>
      <c r="Z300" s="59">
        <v>605719.73153452284</v>
      </c>
      <c r="AA300" s="59">
        <v>1515180.4792547908</v>
      </c>
      <c r="AB300" s="59">
        <v>3155836.9507634086</v>
      </c>
      <c r="AC300" s="59">
        <v>1884677.4877019885</v>
      </c>
      <c r="AD300" s="59">
        <v>7551427.5903710676</v>
      </c>
      <c r="AE300" s="59">
        <v>1634790016.0384154</v>
      </c>
      <c r="AF300" s="68">
        <v>7551427.5903710676</v>
      </c>
    </row>
    <row r="301" spans="1:32" x14ac:dyDescent="0.2">
      <c r="A301" s="95">
        <v>264</v>
      </c>
      <c r="B301" s="95">
        <v>22</v>
      </c>
      <c r="C301" s="95">
        <v>0</v>
      </c>
      <c r="D301" s="95"/>
      <c r="E301" s="95">
        <v>100.95492589710162</v>
      </c>
      <c r="F301" s="95">
        <v>821.78932447639465</v>
      </c>
      <c r="G301" s="95">
        <v>1015.758773118002</v>
      </c>
      <c r="H301" s="95">
        <v>1465.9280984124202</v>
      </c>
      <c r="I301" s="95">
        <v>3158.2342856590067</v>
      </c>
      <c r="J301" s="95"/>
      <c r="K301" s="95"/>
      <c r="L301" s="95">
        <v>122.79077962999381</v>
      </c>
      <c r="M301" s="95">
        <v>469.47886641845622</v>
      </c>
      <c r="N301" s="95">
        <v>192.32368243547643</v>
      </c>
      <c r="O301" s="95">
        <v>2288.2385319217829</v>
      </c>
      <c r="P301" s="95">
        <v>364.50273203136635</v>
      </c>
      <c r="Q301" s="95">
        <v>10000</v>
      </c>
      <c r="S301" s="98">
        <v>2288.2385319217829</v>
      </c>
      <c r="T301" s="95">
        <v>2280.3627959880964</v>
      </c>
      <c r="U301" s="99">
        <v>1391.8231522586159</v>
      </c>
      <c r="W301" s="121">
        <v>20193.119519555021</v>
      </c>
      <c r="X301" s="59">
        <v>164387.84332306508</v>
      </c>
      <c r="Y301" s="59">
        <v>203195.30016638598</v>
      </c>
      <c r="Z301" s="59">
        <v>603765.02253574959</v>
      </c>
      <c r="AA301" s="59">
        <v>1514548.0732578922</v>
      </c>
      <c r="AB301" s="59">
        <v>3157849.4157350413</v>
      </c>
      <c r="AC301" s="59">
        <v>1885699.1739183895</v>
      </c>
      <c r="AD301" s="59">
        <v>7549637.9484560788</v>
      </c>
      <c r="AE301" s="59">
        <v>1642339653.9868715</v>
      </c>
      <c r="AF301" s="68">
        <v>7549637.9484560788</v>
      </c>
    </row>
    <row r="302" spans="1:32" x14ac:dyDescent="0.2">
      <c r="A302" s="95">
        <v>265</v>
      </c>
      <c r="B302" s="95">
        <v>22</v>
      </c>
      <c r="C302" s="95">
        <v>1</v>
      </c>
      <c r="D302" s="95"/>
      <c r="E302" s="95">
        <v>99.936963727639181</v>
      </c>
      <c r="F302" s="95">
        <v>816.67869751402475</v>
      </c>
      <c r="G302" s="95">
        <v>1011.0836068441571</v>
      </c>
      <c r="H302" s="95">
        <v>1461.426405159476</v>
      </c>
      <c r="I302" s="95">
        <v>3157.4033110867799</v>
      </c>
      <c r="J302" s="95"/>
      <c r="K302" s="95"/>
      <c r="L302" s="95">
        <v>122.78228637849402</v>
      </c>
      <c r="M302" s="95">
        <v>469.9538736444299</v>
      </c>
      <c r="N302" s="95">
        <v>192.45685816887897</v>
      </c>
      <c r="O302" s="95">
        <v>2301.3261791994059</v>
      </c>
      <c r="P302" s="95">
        <v>366.9518182767153</v>
      </c>
      <c r="Q302" s="95">
        <v>10000.000000000002</v>
      </c>
      <c r="S302" s="98">
        <v>2301.3261791994059</v>
      </c>
      <c r="T302" s="95">
        <v>2290.6270574164882</v>
      </c>
      <c r="U302" s="99">
        <v>1398.8639535861594</v>
      </c>
      <c r="W302" s="121">
        <v>19986.140044479584</v>
      </c>
      <c r="X302" s="59">
        <v>163338.11842651418</v>
      </c>
      <c r="Y302" s="59">
        <v>202226.16340484394</v>
      </c>
      <c r="Z302" s="59">
        <v>601810.1774571205</v>
      </c>
      <c r="AA302" s="59">
        <v>1513896.776806104</v>
      </c>
      <c r="AB302" s="59">
        <v>3159808.6016446794</v>
      </c>
      <c r="AC302" s="59">
        <v>1886689.879779255</v>
      </c>
      <c r="AD302" s="59">
        <v>7547755.8575629964</v>
      </c>
      <c r="AE302" s="59">
        <v>1649887409.8444345</v>
      </c>
      <c r="AF302" s="68">
        <v>7547755.8575629964</v>
      </c>
    </row>
    <row r="303" spans="1:32" x14ac:dyDescent="0.2">
      <c r="A303" s="95">
        <v>266</v>
      </c>
      <c r="B303" s="95">
        <v>22</v>
      </c>
      <c r="C303" s="95">
        <v>2</v>
      </c>
      <c r="D303" s="95"/>
      <c r="E303" s="95">
        <v>98.929266010052146</v>
      </c>
      <c r="F303" s="95">
        <v>811.59604923714016</v>
      </c>
      <c r="G303" s="95">
        <v>1006.4205503474918</v>
      </c>
      <c r="H303" s="95">
        <v>1456.9229771763228</v>
      </c>
      <c r="I303" s="95">
        <v>3156.5327672756594</v>
      </c>
      <c r="J303" s="95"/>
      <c r="K303" s="95"/>
      <c r="L303" s="95">
        <v>122.77210382307733</v>
      </c>
      <c r="M303" s="95">
        <v>470.42076583665261</v>
      </c>
      <c r="N303" s="95">
        <v>192.58692478271121</v>
      </c>
      <c r="O303" s="95">
        <v>2314.4228699000037</v>
      </c>
      <c r="P303" s="95">
        <v>369.39572561088994</v>
      </c>
      <c r="Q303" s="95">
        <v>10000.000000000002</v>
      </c>
      <c r="S303" s="98">
        <v>2314.4228699000037</v>
      </c>
      <c r="T303" s="95">
        <v>2300.8886181775201</v>
      </c>
      <c r="U303" s="99">
        <v>1405.9064290225572</v>
      </c>
      <c r="W303" s="121">
        <v>19781.282109023665</v>
      </c>
      <c r="X303" s="59">
        <v>162294.33589388011</v>
      </c>
      <c r="Y303" s="59">
        <v>201259.76702794756</v>
      </c>
      <c r="Z303" s="59">
        <v>599855.2538211121</v>
      </c>
      <c r="AA303" s="59">
        <v>1513226.6812459496</v>
      </c>
      <c r="AB303" s="59">
        <v>3161714.7061332809</v>
      </c>
      <c r="AC303" s="59">
        <v>1887649.7173713038</v>
      </c>
      <c r="AD303" s="59">
        <v>7545781.7436024975</v>
      </c>
      <c r="AE303" s="59">
        <v>1657433191.588037</v>
      </c>
      <c r="AF303" s="68">
        <v>7545781.7436024975</v>
      </c>
    </row>
    <row r="304" spans="1:32" x14ac:dyDescent="0.2">
      <c r="A304" s="95">
        <v>267</v>
      </c>
      <c r="B304" s="95">
        <v>22</v>
      </c>
      <c r="C304" s="95">
        <v>3</v>
      </c>
      <c r="D304" s="95"/>
      <c r="E304" s="95">
        <v>97.931729244450793</v>
      </c>
      <c r="F304" s="95">
        <v>806.54127221556269</v>
      </c>
      <c r="G304" s="95">
        <v>1001.7696766759975</v>
      </c>
      <c r="H304" s="95">
        <v>1452.4179529080345</v>
      </c>
      <c r="I304" s="95">
        <v>3155.6228254104713</v>
      </c>
      <c r="J304" s="95"/>
      <c r="K304" s="95"/>
      <c r="L304" s="95">
        <v>122.76023992978818</v>
      </c>
      <c r="M304" s="95">
        <v>470.87956661650384</v>
      </c>
      <c r="N304" s="95">
        <v>192.71389222415891</v>
      </c>
      <c r="O304" s="95">
        <v>2327.5283920293141</v>
      </c>
      <c r="P304" s="95">
        <v>371.8344527457196</v>
      </c>
      <c r="Q304" s="95">
        <v>10000.000000000002</v>
      </c>
      <c r="S304" s="98">
        <v>2327.5283920293141</v>
      </c>
      <c r="T304" s="95">
        <v>2311.147349671166</v>
      </c>
      <c r="U304" s="99">
        <v>1412.9504768457839</v>
      </c>
      <c r="W304" s="121">
        <v>19578.523967406174</v>
      </c>
      <c r="X304" s="59">
        <v>161256.47134724783</v>
      </c>
      <c r="Y304" s="59">
        <v>200296.12435340244</v>
      </c>
      <c r="Z304" s="59">
        <v>597900.30884607474</v>
      </c>
      <c r="AA304" s="59">
        <v>1512537.8781222343</v>
      </c>
      <c r="AB304" s="59">
        <v>3163567.9267681553</v>
      </c>
      <c r="AC304" s="59">
        <v>1888578.798975205</v>
      </c>
      <c r="AD304" s="59">
        <v>7543716.0323797259</v>
      </c>
      <c r="AE304" s="59">
        <v>1664976907.6204166</v>
      </c>
      <c r="AF304" s="68">
        <v>7543716.0323797259</v>
      </c>
    </row>
    <row r="305" spans="1:32" x14ac:dyDescent="0.2">
      <c r="A305" s="95">
        <v>268</v>
      </c>
      <c r="B305" s="95">
        <v>22</v>
      </c>
      <c r="C305" s="95">
        <v>4</v>
      </c>
      <c r="D305" s="95"/>
      <c r="E305" s="95">
        <v>96.944250974569243</v>
      </c>
      <c r="F305" s="95">
        <v>801.51425880676402</v>
      </c>
      <c r="G305" s="95">
        <v>997.13105736187242</v>
      </c>
      <c r="H305" s="95">
        <v>1447.9114701457142</v>
      </c>
      <c r="I305" s="95">
        <v>3154.673657201216</v>
      </c>
      <c r="J305" s="95"/>
      <c r="K305" s="95"/>
      <c r="L305" s="95">
        <v>122.74670265427127</v>
      </c>
      <c r="M305" s="95">
        <v>471.33029964130452</v>
      </c>
      <c r="N305" s="95">
        <v>192.83777046184909</v>
      </c>
      <c r="O305" s="95">
        <v>2340.6425342883131</v>
      </c>
      <c r="P305" s="95">
        <v>374.26799846412791</v>
      </c>
      <c r="Q305" s="95">
        <v>10000.000000000002</v>
      </c>
      <c r="S305" s="98">
        <v>2340.6425342883131</v>
      </c>
      <c r="T305" s="95">
        <v>2321.40312385375</v>
      </c>
      <c r="U305" s="99">
        <v>1419.9959957125252</v>
      </c>
      <c r="W305" s="121">
        <v>19377.84409674026</v>
      </c>
      <c r="X305" s="59">
        <v>160224.50038154674</v>
      </c>
      <c r="Y305" s="59">
        <v>199335.24838640139</v>
      </c>
      <c r="Z305" s="59">
        <v>595945.39944282745</v>
      </c>
      <c r="AA305" s="59">
        <v>1511830.4591736461</v>
      </c>
      <c r="AB305" s="59">
        <v>3165368.4610525551</v>
      </c>
      <c r="AC305" s="59">
        <v>1889477.237062542</v>
      </c>
      <c r="AD305" s="59">
        <v>7541559.149596259</v>
      </c>
      <c r="AE305" s="59">
        <v>1672518466.7700129</v>
      </c>
      <c r="AF305" s="68">
        <v>7541559.149596259</v>
      </c>
    </row>
    <row r="306" spans="1:32" x14ac:dyDescent="0.2">
      <c r="A306" s="95">
        <v>269</v>
      </c>
      <c r="B306" s="95">
        <v>22</v>
      </c>
      <c r="C306" s="95">
        <v>5</v>
      </c>
      <c r="D306" s="95"/>
      <c r="E306" s="95">
        <v>95.966729777242335</v>
      </c>
      <c r="F306" s="95">
        <v>796.5149011676159</v>
      </c>
      <c r="G306" s="95">
        <v>992.50476243568096</v>
      </c>
      <c r="H306" s="95">
        <v>1443.4036660178758</v>
      </c>
      <c r="I306" s="95">
        <v>3153.6854348742522</v>
      </c>
      <c r="J306" s="95"/>
      <c r="K306" s="95"/>
      <c r="L306" s="95">
        <v>122.73149994217871</v>
      </c>
      <c r="M306" s="95">
        <v>471.7729886052856</v>
      </c>
      <c r="N306" s="95">
        <v>192.95856948583736</v>
      </c>
      <c r="O306" s="95">
        <v>2353.765086074156</v>
      </c>
      <c r="P306" s="95">
        <v>376.69636161987711</v>
      </c>
      <c r="Q306" s="95">
        <v>10000.000000000002</v>
      </c>
      <c r="S306" s="98">
        <v>2353.765086074156</v>
      </c>
      <c r="T306" s="95">
        <v>2331.655813239654</v>
      </c>
      <c r="U306" s="99">
        <v>1427.0428846589348</v>
      </c>
      <c r="W306" s="121">
        <v>19179.221194748672</v>
      </c>
      <c r="X306" s="59">
        <v>159198.39856692991</v>
      </c>
      <c r="Y306" s="59">
        <v>198377.15182271347</v>
      </c>
      <c r="Z306" s="59">
        <v>593990.58221134928</v>
      </c>
      <c r="AA306" s="59">
        <v>1511104.516328343</v>
      </c>
      <c r="AB306" s="59">
        <v>3167116.5064349244</v>
      </c>
      <c r="AC306" s="59">
        <v>1890345.1442928815</v>
      </c>
      <c r="AD306" s="59">
        <v>7539311.5208518906</v>
      </c>
      <c r="AE306" s="59">
        <v>1680057778.2908647</v>
      </c>
      <c r="AF306" s="68">
        <v>7539311.5208518906</v>
      </c>
    </row>
    <row r="307" spans="1:32" x14ac:dyDescent="0.2">
      <c r="A307" s="95">
        <v>270</v>
      </c>
      <c r="B307" s="95">
        <v>22</v>
      </c>
      <c r="C307" s="95">
        <v>6</v>
      </c>
      <c r="D307" s="95"/>
      <c r="E307" s="95">
        <v>94.999065251988469</v>
      </c>
      <c r="F307" s="95">
        <v>791.54309126595092</v>
      </c>
      <c r="G307" s="95">
        <v>987.8908604404495</v>
      </c>
      <c r="H307" s="95">
        <v>1438.8946769820539</v>
      </c>
      <c r="I307" s="95">
        <v>3152.658331163439</v>
      </c>
      <c r="J307" s="95"/>
      <c r="K307" s="95"/>
      <c r="L307" s="95">
        <v>122.71463972955979</v>
      </c>
      <c r="M307" s="95">
        <v>472.207657240522</v>
      </c>
      <c r="N307" s="95">
        <v>193.0762993075933</v>
      </c>
      <c r="O307" s="95">
        <v>2366.8958374811327</v>
      </c>
      <c r="P307" s="95">
        <v>379.11954113731247</v>
      </c>
      <c r="Q307" s="95">
        <v>10000.000000000002</v>
      </c>
      <c r="S307" s="98">
        <v>2366.8958374811327</v>
      </c>
      <c r="T307" s="95">
        <v>2341.9052909029951</v>
      </c>
      <c r="U307" s="99">
        <v>1434.0910431013904</v>
      </c>
      <c r="W307" s="121">
        <v>18982.634177502499</v>
      </c>
      <c r="X307" s="59">
        <v>158178.14145111281</v>
      </c>
      <c r="Y307" s="59">
        <v>197421.84705175739</v>
      </c>
      <c r="Z307" s="59">
        <v>592035.91343757021</v>
      </c>
      <c r="AA307" s="59">
        <v>1510360.1416995213</v>
      </c>
      <c r="AB307" s="59">
        <v>3168812.2603178169</v>
      </c>
      <c r="AC307" s="59">
        <v>1891182.6335109374</v>
      </c>
      <c r="AD307" s="59">
        <v>7536973.5716462182</v>
      </c>
      <c r="AE307" s="59">
        <v>1687594751.8625109</v>
      </c>
      <c r="AF307" s="68">
        <v>7536973.5716462182</v>
      </c>
    </row>
    <row r="308" spans="1:32" x14ac:dyDescent="0.2">
      <c r="A308" s="95">
        <v>271</v>
      </c>
      <c r="B308" s="95">
        <v>22</v>
      </c>
      <c r="C308" s="95">
        <v>7</v>
      </c>
      <c r="D308" s="95"/>
      <c r="E308" s="95">
        <v>94.041158010697586</v>
      </c>
      <c r="F308" s="95">
        <v>786.59872089193539</v>
      </c>
      <c r="G308" s="95">
        <v>983.28941844569863</v>
      </c>
      <c r="H308" s="95">
        <v>1434.3846388166378</v>
      </c>
      <c r="I308" s="95">
        <v>3151.592519301239</v>
      </c>
      <c r="J308" s="95"/>
      <c r="K308" s="95"/>
      <c r="L308" s="95">
        <v>122.69612994323334</v>
      </c>
      <c r="M308" s="95">
        <v>472.63432931783262</v>
      </c>
      <c r="N308" s="95">
        <v>193.19096995998339</v>
      </c>
      <c r="O308" s="95">
        <v>2380.0345793016377</v>
      </c>
      <c r="P308" s="95">
        <v>381.53753601110634</v>
      </c>
      <c r="Q308" s="95">
        <v>10000.000000000002</v>
      </c>
      <c r="S308" s="98">
        <v>2380.0345793016377</v>
      </c>
      <c r="T308" s="95">
        <v>2352.1514304792763</v>
      </c>
      <c r="U308" s="99">
        <v>1441.1403708372447</v>
      </c>
      <c r="W308" s="121">
        <v>18788.062177183099</v>
      </c>
      <c r="X308" s="59">
        <v>157163.70456167252</v>
      </c>
      <c r="Y308" s="59">
        <v>196469.34615965933</v>
      </c>
      <c r="Z308" s="59">
        <v>590081.44909025577</v>
      </c>
      <c r="AA308" s="59">
        <v>1509597.4275809736</v>
      </c>
      <c r="AB308" s="59">
        <v>3170455.9200664866</v>
      </c>
      <c r="AC308" s="59">
        <v>1891989.8177438285</v>
      </c>
      <c r="AD308" s="59">
        <v>7534545.7273800597</v>
      </c>
      <c r="AE308" s="59">
        <v>1695129297.589891</v>
      </c>
      <c r="AF308" s="68">
        <v>7534545.7273800597</v>
      </c>
    </row>
    <row r="309" spans="1:32" x14ac:dyDescent="0.2">
      <c r="A309" s="95">
        <v>272</v>
      </c>
      <c r="B309" s="95">
        <v>22</v>
      </c>
      <c r="C309" s="95">
        <v>8</v>
      </c>
      <c r="D309" s="95"/>
      <c r="E309" s="95">
        <v>93.092909667423058</v>
      </c>
      <c r="F309" s="95">
        <v>781.68168166925784</v>
      </c>
      <c r="G309" s="95">
        <v>978.70050206141093</v>
      </c>
      <c r="H309" s="95">
        <v>1429.8736866129284</v>
      </c>
      <c r="I309" s="95">
        <v>3150.4881730097854</v>
      </c>
      <c r="J309" s="95"/>
      <c r="K309" s="95"/>
      <c r="L309" s="95">
        <v>122.67597850114352</v>
      </c>
      <c r="M309" s="95">
        <v>473.05302864764627</v>
      </c>
      <c r="N309" s="95">
        <v>193.30259149725148</v>
      </c>
      <c r="O309" s="95">
        <v>2393.1811030271524</v>
      </c>
      <c r="P309" s="95">
        <v>383.95034530600208</v>
      </c>
      <c r="Q309" s="95">
        <v>10000.000000000002</v>
      </c>
      <c r="S309" s="98">
        <v>2393.1811030271524</v>
      </c>
      <c r="T309" s="95">
        <v>2362.3941061670052</v>
      </c>
      <c r="U309" s="99">
        <v>1448.1907680455756</v>
      </c>
      <c r="W309" s="121">
        <v>18595.484539866971</v>
      </c>
      <c r="X309" s="59">
        <v>156155.06340830735</v>
      </c>
      <c r="Y309" s="59">
        <v>195519.66093229473</v>
      </c>
      <c r="Z309" s="59">
        <v>588127.24481798802</v>
      </c>
      <c r="AA309" s="59">
        <v>1508816.4664426283</v>
      </c>
      <c r="AB309" s="59">
        <v>3172047.6830171589</v>
      </c>
      <c r="AC309" s="59">
        <v>1892766.8101984123</v>
      </c>
      <c r="AD309" s="59">
        <v>7532028.4133566562</v>
      </c>
      <c r="AE309" s="59">
        <v>1702661326.0032475</v>
      </c>
      <c r="AF309" s="68">
        <v>7532028.4133566562</v>
      </c>
    </row>
    <row r="310" spans="1:32" x14ac:dyDescent="0.2">
      <c r="A310" s="95">
        <v>273</v>
      </c>
      <c r="B310" s="95">
        <v>22</v>
      </c>
      <c r="C310" s="95">
        <v>9</v>
      </c>
      <c r="D310" s="95"/>
      <c r="E310" s="95">
        <v>92.154222828276545</v>
      </c>
      <c r="F310" s="95">
        <v>776.79186506613485</v>
      </c>
      <c r="G310" s="95">
        <v>974.12417545193364</v>
      </c>
      <c r="H310" s="95">
        <v>1425.3619547674132</v>
      </c>
      <c r="I310" s="95">
        <v>3149.3454664919141</v>
      </c>
      <c r="J310" s="95"/>
      <c r="K310" s="95"/>
      <c r="L310" s="95">
        <v>122.65419331269908</v>
      </c>
      <c r="M310" s="95">
        <v>473.4637790808344</v>
      </c>
      <c r="N310" s="95">
        <v>193.41117399499643</v>
      </c>
      <c r="O310" s="95">
        <v>2406.3352008492416</v>
      </c>
      <c r="P310" s="95">
        <v>386.35796815655766</v>
      </c>
      <c r="Q310" s="95">
        <v>10000.000000000002</v>
      </c>
      <c r="S310" s="98">
        <v>2406.3352008492416</v>
      </c>
      <c r="T310" s="95">
        <v>2372.6331927292872</v>
      </c>
      <c r="U310" s="99">
        <v>1455.2421352879303</v>
      </c>
      <c r="W310" s="121">
        <v>18404.880823333337</v>
      </c>
      <c r="X310" s="59">
        <v>155152.19348505806</v>
      </c>
      <c r="Y310" s="59">
        <v>194572.80285831448</v>
      </c>
      <c r="Z310" s="59">
        <v>586173.35594623873</v>
      </c>
      <c r="AA310" s="59">
        <v>1508017.3509260821</v>
      </c>
      <c r="AB310" s="59">
        <v>3173587.7464849851</v>
      </c>
      <c r="AC310" s="59">
        <v>1893513.7242587013</v>
      </c>
      <c r="AD310" s="59">
        <v>7529422.0547827128</v>
      </c>
      <c r="AE310" s="59">
        <v>1710190748.0580301</v>
      </c>
      <c r="AF310" s="68">
        <v>7529422.0547827128</v>
      </c>
    </row>
    <row r="311" spans="1:32" x14ac:dyDescent="0.2">
      <c r="A311" s="95">
        <v>274</v>
      </c>
      <c r="B311" s="95">
        <v>22</v>
      </c>
      <c r="C311" s="95">
        <v>10</v>
      </c>
      <c r="D311" s="95"/>
      <c r="E311" s="95">
        <v>91.22500108142475</v>
      </c>
      <c r="F311" s="95">
        <v>771.9291624061367</v>
      </c>
      <c r="G311" s="95">
        <v>969.56050134981547</v>
      </c>
      <c r="H311" s="95">
        <v>1420.8495769742583</v>
      </c>
      <c r="I311" s="95">
        <v>3148.1645744221623</v>
      </c>
      <c r="J311" s="95"/>
      <c r="K311" s="95"/>
      <c r="L311" s="95">
        <v>122.63078227909681</v>
      </c>
      <c r="M311" s="95">
        <v>473.86660450951047</v>
      </c>
      <c r="N311" s="95">
        <v>193.51672755014673</v>
      </c>
      <c r="O311" s="95">
        <v>2419.4966656605607</v>
      </c>
      <c r="P311" s="95">
        <v>388.76040376688906</v>
      </c>
      <c r="Q311" s="95">
        <v>10000.000000000002</v>
      </c>
      <c r="S311" s="98">
        <v>2419.4966656605607</v>
      </c>
      <c r="T311" s="95">
        <v>2382.8685654953861</v>
      </c>
      <c r="U311" s="99">
        <v>1462.2943735090676</v>
      </c>
      <c r="W311" s="121">
        <v>18216.230794894167</v>
      </c>
      <c r="X311" s="59">
        <v>154155.07027249053</v>
      </c>
      <c r="Y311" s="59">
        <v>193628.7831321547</v>
      </c>
      <c r="Z311" s="59">
        <v>584219.83747453487</v>
      </c>
      <c r="AA311" s="59">
        <v>1507200.173840119</v>
      </c>
      <c r="AB311" s="59">
        <v>3175076.3077716879</v>
      </c>
      <c r="AC311" s="59">
        <v>1894230.6734833445</v>
      </c>
      <c r="AD311" s="59">
        <v>7526727.0767692253</v>
      </c>
      <c r="AE311" s="59">
        <v>1717717475.1347992</v>
      </c>
      <c r="AF311" s="68">
        <v>7526727.0767692253</v>
      </c>
    </row>
    <row r="312" spans="1:32" x14ac:dyDescent="0.2">
      <c r="A312" s="95">
        <v>275</v>
      </c>
      <c r="B312" s="95">
        <v>22</v>
      </c>
      <c r="C312" s="95">
        <v>11</v>
      </c>
      <c r="D312" s="95"/>
      <c r="E312" s="95">
        <v>90.305148987187053</v>
      </c>
      <c r="F312" s="95">
        <v>767.09346487883511</v>
      </c>
      <c r="G312" s="95">
        <v>965.00954106957749</v>
      </c>
      <c r="H312" s="95">
        <v>1416.3366862180139</v>
      </c>
      <c r="I312" s="95">
        <v>3146.9456719377417</v>
      </c>
      <c r="J312" s="95"/>
      <c r="K312" s="95"/>
      <c r="L312" s="95">
        <v>122.60575329362922</v>
      </c>
      <c r="M312" s="95">
        <v>474.2615288677967</v>
      </c>
      <c r="N312" s="95">
        <v>193.61926228093191</v>
      </c>
      <c r="O312" s="95">
        <v>2432.6652910558751</v>
      </c>
      <c r="P312" s="95">
        <v>391.15765141041322</v>
      </c>
      <c r="Q312" s="95">
        <v>10000.000000000002</v>
      </c>
      <c r="S312" s="98">
        <v>2432.6652910558751</v>
      </c>
      <c r="T312" s="95">
        <v>2393.1001003622582</v>
      </c>
      <c r="U312" s="99">
        <v>1469.3473840376955</v>
      </c>
      <c r="W312" s="121">
        <v>18029.514429246501</v>
      </c>
      <c r="X312" s="59">
        <v>153163.66923984102</v>
      </c>
      <c r="Y312" s="59">
        <v>192687.61265703055</v>
      </c>
      <c r="Z312" s="59">
        <v>582266.74407371553</v>
      </c>
      <c r="AA312" s="59">
        <v>1506365.0281562197</v>
      </c>
      <c r="AB312" s="59">
        <v>3176513.5641728975</v>
      </c>
      <c r="AC312" s="59">
        <v>1894917.7716031743</v>
      </c>
      <c r="AD312" s="59">
        <v>7523943.9043321256</v>
      </c>
      <c r="AE312" s="59">
        <v>1725241419.0391314</v>
      </c>
      <c r="AF312" s="68">
        <v>7523943.9043321256</v>
      </c>
    </row>
    <row r="313" spans="1:32" x14ac:dyDescent="0.2">
      <c r="A313" s="95">
        <v>276</v>
      </c>
      <c r="B313" s="95">
        <v>23</v>
      </c>
      <c r="C313" s="95">
        <v>0</v>
      </c>
      <c r="D313" s="95"/>
      <c r="E313" s="95">
        <v>89.394572068232918</v>
      </c>
      <c r="F313" s="95">
        <v>762.28466355027547</v>
      </c>
      <c r="G313" s="95">
        <v>960.47135452141697</v>
      </c>
      <c r="H313" s="95">
        <v>1411.8234147665296</v>
      </c>
      <c r="I313" s="95">
        <v>3145.6889346294784</v>
      </c>
      <c r="J313" s="95"/>
      <c r="K313" s="95"/>
      <c r="L313" s="95">
        <v>122.57911424197719</v>
      </c>
      <c r="M313" s="95">
        <v>474.64857613255833</v>
      </c>
      <c r="N313" s="95">
        <v>193.71878832685056</v>
      </c>
      <c r="O313" s="95">
        <v>2445.8408713330909</v>
      </c>
      <c r="P313" s="95">
        <v>393.54971042959113</v>
      </c>
      <c r="Q313" s="95">
        <v>10000.000000000002</v>
      </c>
      <c r="S313" s="98">
        <v>2445.8408713330909</v>
      </c>
      <c r="T313" s="95">
        <v>2403.3276737960559</v>
      </c>
      <c r="U313" s="99">
        <v>1476.4010685872042</v>
      </c>
      <c r="W313" s="121">
        <v>17844.711906346725</v>
      </c>
      <c r="X313" s="59">
        <v>152177.96584712405</v>
      </c>
      <c r="Y313" s="59">
        <v>191749.30204791395</v>
      </c>
      <c r="Z313" s="59">
        <v>580314.13008327747</v>
      </c>
      <c r="AA313" s="59">
        <v>1505512.0070040622</v>
      </c>
      <c r="AB313" s="59">
        <v>3177899.7129851934</v>
      </c>
      <c r="AC313" s="59">
        <v>1895575.1325188112</v>
      </c>
      <c r="AD313" s="59">
        <v>7521072.9623927288</v>
      </c>
      <c r="AE313" s="59">
        <v>1732762492.0015242</v>
      </c>
      <c r="AF313" s="68">
        <v>7521072.9623927288</v>
      </c>
    </row>
    <row r="314" spans="1:32" x14ac:dyDescent="0.2">
      <c r="A314" s="95">
        <v>277</v>
      </c>
      <c r="B314" s="95">
        <v>23</v>
      </c>
      <c r="C314" s="95">
        <v>1</v>
      </c>
      <c r="D314" s="95"/>
      <c r="E314" s="95">
        <v>88.493176799878242</v>
      </c>
      <c r="F314" s="95">
        <v>757.5026493732762</v>
      </c>
      <c r="G314" s="95">
        <v>955.94600022484349</v>
      </c>
      <c r="H314" s="95">
        <v>1407.3098941640785</v>
      </c>
      <c r="I314" s="95">
        <v>3144.3945385327315</v>
      </c>
      <c r="J314" s="95"/>
      <c r="K314" s="95"/>
      <c r="L314" s="95">
        <v>122.55087300248756</v>
      </c>
      <c r="M314" s="95">
        <v>475.02777032410603</v>
      </c>
      <c r="N314" s="95">
        <v>193.81531584863461</v>
      </c>
      <c r="O314" s="95">
        <v>2459.0232014942953</v>
      </c>
      <c r="P314" s="95">
        <v>395.93658023567025</v>
      </c>
      <c r="Q314" s="95">
        <v>10000.000000000002</v>
      </c>
      <c r="S314" s="98">
        <v>2459.0232014942953</v>
      </c>
      <c r="T314" s="95">
        <v>2413.5511628336017</v>
      </c>
      <c r="U314" s="99">
        <v>1483.4553292563944</v>
      </c>
      <c r="W314" s="121">
        <v>17661.803609306673</v>
      </c>
      <c r="X314" s="59">
        <v>151197.93554720358</v>
      </c>
      <c r="Y314" s="59">
        <v>190813.86163449462</v>
      </c>
      <c r="Z314" s="59">
        <v>578362.04950880946</v>
      </c>
      <c r="AA314" s="59">
        <v>1504641.2036670151</v>
      </c>
      <c r="AB314" s="59">
        <v>3179234.9515128462</v>
      </c>
      <c r="AC314" s="59">
        <v>1896202.8702983197</v>
      </c>
      <c r="AD314" s="59">
        <v>7518114.675777995</v>
      </c>
      <c r="AE314" s="59">
        <v>1740280606.6773021</v>
      </c>
      <c r="AF314" s="68">
        <v>7518114.675777995</v>
      </c>
    </row>
    <row r="315" spans="1:32" x14ac:dyDescent="0.2">
      <c r="A315" s="95">
        <v>278</v>
      </c>
      <c r="B315" s="95">
        <v>23</v>
      </c>
      <c r="C315" s="95">
        <v>2</v>
      </c>
      <c r="D315" s="95"/>
      <c r="E315" s="95">
        <v>87.600870600479467</v>
      </c>
      <c r="F315" s="95">
        <v>752.74731319755654</v>
      </c>
      <c r="G315" s="95">
        <v>951.43353532224751</v>
      </c>
      <c r="H315" s="95">
        <v>1402.7962552246861</v>
      </c>
      <c r="I315" s="95">
        <v>3143.0626601182871</v>
      </c>
      <c r="J315" s="95"/>
      <c r="K315" s="95"/>
      <c r="L315" s="95">
        <v>122.52103744643638</v>
      </c>
      <c r="M315" s="95">
        <v>475.39913550686629</v>
      </c>
      <c r="N315" s="95">
        <v>193.90885502821004</v>
      </c>
      <c r="O315" s="95">
        <v>2472.2120772468052</v>
      </c>
      <c r="P315" s="95">
        <v>398.31826030842694</v>
      </c>
      <c r="Q315" s="95">
        <v>10000.000000000002</v>
      </c>
      <c r="S315" s="98">
        <v>2472.2120772468052</v>
      </c>
      <c r="T315" s="95">
        <v>2423.7704450838332</v>
      </c>
      <c r="U315" s="99">
        <v>1490.5100685302</v>
      </c>
      <c r="W315" s="121">
        <v>17480.770122311278</v>
      </c>
      <c r="X315" s="59">
        <v>150223.55378782802</v>
      </c>
      <c r="Y315" s="59">
        <v>189881.30146412514</v>
      </c>
      <c r="Z315" s="59">
        <v>576410.5560195134</v>
      </c>
      <c r="AA315" s="59">
        <v>1503752.7115776241</v>
      </c>
      <c r="AB315" s="59">
        <v>3180519.4770742748</v>
      </c>
      <c r="AC315" s="59">
        <v>1896801.0991749144</v>
      </c>
      <c r="AD315" s="59">
        <v>7515069.4692205908</v>
      </c>
      <c r="AE315" s="59">
        <v>1747795676.1465228</v>
      </c>
      <c r="AF315" s="68">
        <v>7515069.4692205908</v>
      </c>
    </row>
    <row r="316" spans="1:32" x14ac:dyDescent="0.2">
      <c r="A316" s="95">
        <v>279</v>
      </c>
      <c r="B316" s="95">
        <v>23</v>
      </c>
      <c r="C316" s="95">
        <v>3</v>
      </c>
      <c r="D316" s="95"/>
      <c r="E316" s="95">
        <v>86.717561821924633</v>
      </c>
      <c r="F316" s="95">
        <v>748.01854577969596</v>
      </c>
      <c r="G316" s="95">
        <v>946.93401559240033</v>
      </c>
      <c r="H316" s="95">
        <v>1398.2826280256618</v>
      </c>
      <c r="I316" s="95">
        <v>3141.6934762832307</v>
      </c>
      <c r="J316" s="95"/>
      <c r="K316" s="95"/>
      <c r="L316" s="95">
        <v>122.48961543827807</v>
      </c>
      <c r="M316" s="95">
        <v>475.76269579002081</v>
      </c>
      <c r="N316" s="95">
        <v>193.99941606865355</v>
      </c>
      <c r="O316" s="95">
        <v>2485.4072950042273</v>
      </c>
      <c r="P316" s="95">
        <v>400.69475019590857</v>
      </c>
      <c r="Q316" s="95">
        <v>10000.000000000002</v>
      </c>
      <c r="S316" s="98">
        <v>2485.4072950042273</v>
      </c>
      <c r="T316" s="95">
        <v>2433.9853987292176</v>
      </c>
      <c r="U316" s="99">
        <v>1497.5651892804067</v>
      </c>
      <c r="W316" s="121">
        <v>17301.592228557587</v>
      </c>
      <c r="X316" s="59">
        <v>149254.79601362953</v>
      </c>
      <c r="Y316" s="59">
        <v>188951.63130474894</v>
      </c>
      <c r="Z316" s="59">
        <v>574459.70294581167</v>
      </c>
      <c r="AA316" s="59">
        <v>1502846.6243130919</v>
      </c>
      <c r="AB316" s="59">
        <v>3181753.4870082135</v>
      </c>
      <c r="AC316" s="59">
        <v>1897369.9335447052</v>
      </c>
      <c r="AD316" s="59">
        <v>7511937.7673587585</v>
      </c>
      <c r="AE316" s="59">
        <v>1755307613.9138815</v>
      </c>
      <c r="AF316" s="68">
        <v>7511937.7673587585</v>
      </c>
    </row>
    <row r="317" spans="1:32" x14ac:dyDescent="0.2">
      <c r="A317" s="95">
        <v>280</v>
      </c>
      <c r="B317" s="95">
        <v>23</v>
      </c>
      <c r="C317" s="95">
        <v>4</v>
      </c>
      <c r="D317" s="95"/>
      <c r="E317" s="95">
        <v>85.84315974022023</v>
      </c>
      <c r="F317" s="95">
        <v>743.31623779292693</v>
      </c>
      <c r="G317" s="95">
        <v>942.44749546388505</v>
      </c>
      <c r="H317" s="95">
        <v>1393.7691419013292</v>
      </c>
      <c r="I317" s="95">
        <v>3140.2871643418002</v>
      </c>
      <c r="J317" s="95"/>
      <c r="K317" s="95"/>
      <c r="L317" s="95">
        <v>122.45661483588066</v>
      </c>
      <c r="M317" s="95">
        <v>476.11847532811487</v>
      </c>
      <c r="N317" s="95">
        <v>194.0870091941452</v>
      </c>
      <c r="O317" s="95">
        <v>2498.6086518875245</v>
      </c>
      <c r="P317" s="95">
        <v>403.06604951417518</v>
      </c>
      <c r="Q317" s="95">
        <v>10000.000000000002</v>
      </c>
      <c r="S317" s="98">
        <v>2498.6086518875245</v>
      </c>
      <c r="T317" s="95">
        <v>2444.1959025271381</v>
      </c>
      <c r="U317" s="99">
        <v>1504.6205947663641</v>
      </c>
      <c r="W317" s="121">
        <v>17124.250908214872</v>
      </c>
      <c r="X317" s="59">
        <v>148291.63766808793</v>
      </c>
      <c r="Y317" s="59">
        <v>188024.86064781231</v>
      </c>
      <c r="Z317" s="59">
        <v>572509.54327703884</v>
      </c>
      <c r="AA317" s="59">
        <v>1501923.0355907544</v>
      </c>
      <c r="AB317" s="59">
        <v>3182937.1786796018</v>
      </c>
      <c r="AC317" s="59">
        <v>1897909.487964482</v>
      </c>
      <c r="AD317" s="59">
        <v>7508719.9947359925</v>
      </c>
      <c r="AE317" s="59">
        <v>1762816333.9086175</v>
      </c>
      <c r="AF317" s="68">
        <v>7508719.9947359925</v>
      </c>
    </row>
    <row r="318" spans="1:32" x14ac:dyDescent="0.2">
      <c r="A318" s="95">
        <v>281</v>
      </c>
      <c r="B318" s="95">
        <v>23</v>
      </c>
      <c r="C318" s="95">
        <v>5</v>
      </c>
      <c r="D318" s="95"/>
      <c r="E318" s="95">
        <v>84.977574546173003</v>
      </c>
      <c r="F318" s="95">
        <v>738.64027983676317</v>
      </c>
      <c r="G318" s="95">
        <v>937.97402802845818</v>
      </c>
      <c r="H318" s="95">
        <v>1389.2559254369548</v>
      </c>
      <c r="I318" s="95">
        <v>3138.8439020162227</v>
      </c>
      <c r="J318" s="95"/>
      <c r="K318" s="95"/>
      <c r="L318" s="95">
        <v>122.42204349074768</v>
      </c>
      <c r="M318" s="95">
        <v>476.46649832163479</v>
      </c>
      <c r="N318" s="95">
        <v>194.17164464991689</v>
      </c>
      <c r="O318" s="95">
        <v>2511.8159457260895</v>
      </c>
      <c r="P318" s="95">
        <v>405.43215794704128</v>
      </c>
      <c r="Q318" s="95">
        <v>10000.000000000002</v>
      </c>
      <c r="S318" s="98">
        <v>2511.8159457260895</v>
      </c>
      <c r="T318" s="95">
        <v>2454.4018358112489</v>
      </c>
      <c r="U318" s="99">
        <v>1511.6761886356921</v>
      </c>
      <c r="W318" s="121">
        <v>16948.727336405671</v>
      </c>
      <c r="X318" s="59">
        <v>147334.05419546005</v>
      </c>
      <c r="Y318" s="59">
        <v>187100.99871115922</v>
      </c>
      <c r="Z318" s="59">
        <v>570560.1296592165</v>
      </c>
      <c r="AA318" s="59">
        <v>1500982.0392635537</v>
      </c>
      <c r="AB318" s="59">
        <v>3184070.7494851998</v>
      </c>
      <c r="AC318" s="59">
        <v>1898419.8771495325</v>
      </c>
      <c r="AD318" s="59">
        <v>7505416.5758005278</v>
      </c>
      <c r="AE318" s="59">
        <v>1770321750.4844179</v>
      </c>
      <c r="AF318" s="68">
        <v>7505416.5758005278</v>
      </c>
    </row>
    <row r="319" spans="1:32" x14ac:dyDescent="0.2">
      <c r="A319" s="95">
        <v>282</v>
      </c>
      <c r="B319" s="95">
        <v>23</v>
      </c>
      <c r="C319" s="95">
        <v>6</v>
      </c>
      <c r="D319" s="95"/>
      <c r="E319" s="95">
        <v>84.120717336165754</v>
      </c>
      <c r="F319" s="95">
        <v>733.99056244646567</v>
      </c>
      <c r="G319" s="95">
        <v>933.51366505434123</v>
      </c>
      <c r="H319" s="95">
        <v>1384.7431064628699</v>
      </c>
      <c r="I319" s="95">
        <v>3137.3638674275362</v>
      </c>
      <c r="J319" s="95"/>
      <c r="K319" s="95"/>
      <c r="L319" s="95">
        <v>122.38590924822695</v>
      </c>
      <c r="M319" s="95">
        <v>476.80678901755567</v>
      </c>
      <c r="N319" s="95">
        <v>194.25333270219647</v>
      </c>
      <c r="O319" s="95">
        <v>2525.0289750588272</v>
      </c>
      <c r="P319" s="95">
        <v>407.79307524581691</v>
      </c>
      <c r="Q319" s="95">
        <v>10000.000000000002</v>
      </c>
      <c r="S319" s="98">
        <v>2525.0289750588272</v>
      </c>
      <c r="T319" s="95">
        <v>2464.6030784928016</v>
      </c>
      <c r="U319" s="99">
        <v>1518.7318749249812</v>
      </c>
      <c r="W319" s="121">
        <v>16775.002881207511</v>
      </c>
      <c r="X319" s="59">
        <v>146382.02104267443</v>
      </c>
      <c r="Y319" s="59">
        <v>186180.05444190989</v>
      </c>
      <c r="Z319" s="59">
        <v>568611.51439291087</v>
      </c>
      <c r="AA319" s="59">
        <v>1500023.7293155058</v>
      </c>
      <c r="AB319" s="59">
        <v>3185154.3968589334</v>
      </c>
      <c r="AC319" s="59">
        <v>1898901.2159714901</v>
      </c>
      <c r="AD319" s="59">
        <v>7502027.9349046322</v>
      </c>
      <c r="AE319" s="59">
        <v>1777823778.4193225</v>
      </c>
      <c r="AF319" s="68">
        <v>7502027.9349046322</v>
      </c>
    </row>
    <row r="320" spans="1:32" x14ac:dyDescent="0.2">
      <c r="A320" s="95">
        <v>283</v>
      </c>
      <c r="B320" s="95">
        <v>23</v>
      </c>
      <c r="C320" s="95">
        <v>7</v>
      </c>
      <c r="D320" s="95"/>
      <c r="E320" s="95">
        <v>83.272500103026076</v>
      </c>
      <c r="F320" s="95">
        <v>729.36697610234864</v>
      </c>
      <c r="G320" s="95">
        <v>929.06645699944215</v>
      </c>
      <c r="H320" s="95">
        <v>1380.2308120487846</v>
      </c>
      <c r="I320" s="95">
        <v>3135.8472390863967</v>
      </c>
      <c r="J320" s="95"/>
      <c r="K320" s="95"/>
      <c r="L320" s="95">
        <v>122.34821994770654</v>
      </c>
      <c r="M320" s="95">
        <v>477.13937170985889</v>
      </c>
      <c r="N320" s="95">
        <v>194.33208363814748</v>
      </c>
      <c r="O320" s="95">
        <v>2538.2475391352423</v>
      </c>
      <c r="P320" s="95">
        <v>410.14880122904867</v>
      </c>
      <c r="Q320" s="95">
        <v>10000.000000000002</v>
      </c>
      <c r="S320" s="98">
        <v>2538.2475391352423</v>
      </c>
      <c r="T320" s="95">
        <v>2474.7995110619413</v>
      </c>
      <c r="U320" s="99">
        <v>1525.7875580604862</v>
      </c>
      <c r="W320" s="121">
        <v>16603.059101675135</v>
      </c>
      <c r="X320" s="59">
        <v>145435.51366119258</v>
      </c>
      <c r="Y320" s="59">
        <v>185262.03651932211</v>
      </c>
      <c r="Z320" s="59">
        <v>566663.74943117122</v>
      </c>
      <c r="AA320" s="59">
        <v>1499048.1998571695</v>
      </c>
      <c r="AB320" s="59">
        <v>3186188.3182769706</v>
      </c>
      <c r="AC320" s="59">
        <v>1899353.6194562055</v>
      </c>
      <c r="AD320" s="59">
        <v>7498554.4963037064</v>
      </c>
      <c r="AE320" s="59">
        <v>1785322332.9156263</v>
      </c>
      <c r="AF320" s="68">
        <v>7498554.4963037064</v>
      </c>
    </row>
    <row r="321" spans="1:32" x14ac:dyDescent="0.2">
      <c r="A321" s="95">
        <v>284</v>
      </c>
      <c r="B321" s="95">
        <v>23</v>
      </c>
      <c r="C321" s="95">
        <v>8</v>
      </c>
      <c r="D321" s="95"/>
      <c r="E321" s="95">
        <v>82.432835726987236</v>
      </c>
      <c r="F321" s="95">
        <v>724.76941123892743</v>
      </c>
      <c r="G321" s="95">
        <v>924.63245302450628</v>
      </c>
      <c r="H321" s="95">
        <v>1375.7191684982913</v>
      </c>
      <c r="I321" s="95">
        <v>3134.2941958838746</v>
      </c>
      <c r="J321" s="95"/>
      <c r="K321" s="95"/>
      <c r="L321" s="95">
        <v>122.30898342279833</v>
      </c>
      <c r="M321" s="95">
        <v>477.46427074002025</v>
      </c>
      <c r="N321" s="95">
        <v>194.40790776580434</v>
      </c>
      <c r="O321" s="95">
        <v>2551.4714379165321</v>
      </c>
      <c r="P321" s="95">
        <v>412.49933578226057</v>
      </c>
      <c r="Q321" s="95">
        <v>10000.000000000002</v>
      </c>
      <c r="S321" s="98">
        <v>2551.4714379165321</v>
      </c>
      <c r="T321" s="95">
        <v>2484.9910145889721</v>
      </c>
      <c r="U321" s="99">
        <v>1532.8431428588131</v>
      </c>
      <c r="W321" s="121">
        <v>16432.877745882965</v>
      </c>
      <c r="X321" s="59">
        <v>144494.50750883654</v>
      </c>
      <c r="Y321" s="59">
        <v>184346.953357636</v>
      </c>
      <c r="Z321" s="59">
        <v>564716.88637754822</v>
      </c>
      <c r="AA321" s="59">
        <v>1498055.5451211126</v>
      </c>
      <c r="AB321" s="59">
        <v>3187172.7112625423</v>
      </c>
      <c r="AC321" s="59">
        <v>1899777.2027816405</v>
      </c>
      <c r="AD321" s="59">
        <v>7494996.6841551987</v>
      </c>
      <c r="AE321" s="59">
        <v>1792817329.5997815</v>
      </c>
      <c r="AF321" s="68">
        <v>7494996.6841551987</v>
      </c>
    </row>
    <row r="322" spans="1:32" x14ac:dyDescent="0.2">
      <c r="A322" s="95">
        <v>285</v>
      </c>
      <c r="B322" s="95">
        <v>23</v>
      </c>
      <c r="C322" s="95">
        <v>9</v>
      </c>
      <c r="D322" s="95"/>
      <c r="E322" s="95">
        <v>81.601637966740114</v>
      </c>
      <c r="F322" s="95">
        <v>720.19775825391014</v>
      </c>
      <c r="G322" s="95">
        <v>920.21170100619543</v>
      </c>
      <c r="H322" s="95">
        <v>1371.2083013435536</v>
      </c>
      <c r="I322" s="95">
        <v>3132.7049170822429</v>
      </c>
      <c r="J322" s="95"/>
      <c r="K322" s="95"/>
      <c r="L322" s="95">
        <v>122.26820750150948</v>
      </c>
      <c r="M322" s="95">
        <v>477.78151049746884</v>
      </c>
      <c r="N322" s="95">
        <v>194.48081541400302</v>
      </c>
      <c r="O322" s="95">
        <v>2564.7004720766845</v>
      </c>
      <c r="P322" s="95">
        <v>414.8446788576943</v>
      </c>
      <c r="Q322" s="95">
        <v>10000.000000000002</v>
      </c>
      <c r="S322" s="98">
        <v>2564.7004720766845</v>
      </c>
      <c r="T322" s="95">
        <v>2495.1774707255945</v>
      </c>
      <c r="U322" s="99">
        <v>1539.8985345276003</v>
      </c>
      <c r="W322" s="121">
        <v>16264.440748987665</v>
      </c>
      <c r="X322" s="59">
        <v>143558.97805158357</v>
      </c>
      <c r="Y322" s="59">
        <v>183434.81310890176</v>
      </c>
      <c r="Z322" s="59">
        <v>562770.97648419056</v>
      </c>
      <c r="AA322" s="59">
        <v>1497045.8594573783</v>
      </c>
      <c r="AB322" s="59">
        <v>3188107.7733905027</v>
      </c>
      <c r="AC322" s="59">
        <v>1900172.0812757809</v>
      </c>
      <c r="AD322" s="59">
        <v>7491354.9225173257</v>
      </c>
      <c r="AE322" s="59">
        <v>1800308684.5222988</v>
      </c>
      <c r="AF322" s="68">
        <v>7491354.9225173257</v>
      </c>
    </row>
    <row r="323" spans="1:32" x14ac:dyDescent="0.2">
      <c r="A323" s="95">
        <v>286</v>
      </c>
      <c r="B323" s="95">
        <v>23</v>
      </c>
      <c r="C323" s="95">
        <v>10</v>
      </c>
      <c r="D323" s="95"/>
      <c r="E323" s="95">
        <v>80.778821450575478</v>
      </c>
      <c r="F323" s="95">
        <v>715.65190751703597</v>
      </c>
      <c r="G323" s="95">
        <v>915.80424755009665</v>
      </c>
      <c r="H323" s="95">
        <v>1366.6983353401799</v>
      </c>
      <c r="I323" s="95">
        <v>3131.0795823057565</v>
      </c>
      <c r="J323" s="95"/>
      <c r="K323" s="95"/>
      <c r="L323" s="95">
        <v>122.22590000640184</v>
      </c>
      <c r="M323" s="95">
        <v>478.09111542001727</v>
      </c>
      <c r="N323" s="95">
        <v>194.5508169323069</v>
      </c>
      <c r="O323" s="95">
        <v>2577.9344430035821</v>
      </c>
      <c r="P323" s="95">
        <v>417.18483047404953</v>
      </c>
      <c r="Q323" s="95">
        <v>10000.000000000002</v>
      </c>
      <c r="S323" s="98">
        <v>2577.9344430035821</v>
      </c>
      <c r="T323" s="95">
        <v>2505.3587617061116</v>
      </c>
      <c r="U323" s="99">
        <v>1546.9536386661905</v>
      </c>
      <c r="W323" s="121">
        <v>16097.730231310541</v>
      </c>
      <c r="X323" s="59">
        <v>142628.90076532835</v>
      </c>
      <c r="Y323" s="59">
        <v>182525.62366579034</v>
      </c>
      <c r="Z323" s="59">
        <v>560826.07065001992</v>
      </c>
      <c r="AA323" s="59">
        <v>1496019.2373289526</v>
      </c>
      <c r="AB323" s="59">
        <v>3188993.7022916414</v>
      </c>
      <c r="AC323" s="59">
        <v>1900538.3704145628</v>
      </c>
      <c r="AD323" s="59">
        <v>7487629.6353476057</v>
      </c>
      <c r="AE323" s="59">
        <v>1807796314.1576464</v>
      </c>
      <c r="AF323" s="68">
        <v>7487629.6353476057</v>
      </c>
    </row>
    <row r="324" spans="1:32" x14ac:dyDescent="0.2">
      <c r="A324" s="95">
        <v>287</v>
      </c>
      <c r="B324" s="95">
        <v>23</v>
      </c>
      <c r="C324" s="95">
        <v>11</v>
      </c>
      <c r="D324" s="95"/>
      <c r="E324" s="95">
        <v>79.964301667615516</v>
      </c>
      <c r="F324" s="95">
        <v>711.13174937876101</v>
      </c>
      <c r="G324" s="95">
        <v>911.41013800365795</v>
      </c>
      <c r="H324" s="95">
        <v>1362.1893944622791</v>
      </c>
      <c r="I324" s="95">
        <v>3129.4183715314257</v>
      </c>
      <c r="J324" s="95"/>
      <c r="K324" s="95"/>
      <c r="L324" s="95">
        <v>122.18206875474019</v>
      </c>
      <c r="M324" s="95">
        <v>478.39310999426357</v>
      </c>
      <c r="N324" s="95">
        <v>194.61792269092797</v>
      </c>
      <c r="O324" s="95">
        <v>2591.1731528001073</v>
      </c>
      <c r="P324" s="95">
        <v>419.51979071622361</v>
      </c>
      <c r="Q324" s="95">
        <v>10000.000000000002</v>
      </c>
      <c r="S324" s="98">
        <v>2591.1731528001073</v>
      </c>
      <c r="T324" s="95">
        <v>2515.5347703486054</v>
      </c>
      <c r="U324" s="99">
        <v>1554.008361266297</v>
      </c>
      <c r="W324" s="121">
        <v>15932.728496439608</v>
      </c>
      <c r="X324" s="59">
        <v>141704.25113761323</v>
      </c>
      <c r="Y324" s="59">
        <v>181619.39266438727</v>
      </c>
      <c r="Z324" s="59">
        <v>558882.21941898158</v>
      </c>
      <c r="AA324" s="59">
        <v>1494975.7733072345</v>
      </c>
      <c r="AB324" s="59">
        <v>3189830.6956567466</v>
      </c>
      <c r="AC324" s="59">
        <v>1900876.185819811</v>
      </c>
      <c r="AD324" s="59">
        <v>7483821.2465012139</v>
      </c>
      <c r="AE324" s="59">
        <v>1815280135.4041476</v>
      </c>
      <c r="AF324" s="68">
        <v>7483821.2465012139</v>
      </c>
    </row>
    <row r="325" spans="1:32" x14ac:dyDescent="0.2">
      <c r="A325" s="95">
        <v>288</v>
      </c>
      <c r="B325" s="95">
        <v>24</v>
      </c>
      <c r="C325" s="95">
        <v>0</v>
      </c>
      <c r="D325" s="95"/>
      <c r="E325" s="95">
        <v>79.157994959133731</v>
      </c>
      <c r="F325" s="95">
        <v>706.63717417879445</v>
      </c>
      <c r="G325" s="95">
        <v>907.02941646905299</v>
      </c>
      <c r="H325" s="95">
        <v>1357.6816018976929</v>
      </c>
      <c r="I325" s="95">
        <v>3127.7214650797869</v>
      </c>
      <c r="J325" s="95"/>
      <c r="K325" s="95"/>
      <c r="L325" s="95">
        <v>122.13672155862895</v>
      </c>
      <c r="M325" s="95">
        <v>478.68751875596456</v>
      </c>
      <c r="N325" s="95">
        <v>194.68214308064316</v>
      </c>
      <c r="O325" s="95">
        <v>2604.4164042852531</v>
      </c>
      <c r="P325" s="95">
        <v>421.84955973505151</v>
      </c>
      <c r="Q325" s="95">
        <v>10000.000000000002</v>
      </c>
      <c r="S325" s="98">
        <v>2604.4164042852531</v>
      </c>
      <c r="T325" s="95">
        <v>2525.7053800560825</v>
      </c>
      <c r="U325" s="99">
        <v>1561.0626087126614</v>
      </c>
      <c r="W325" s="121">
        <v>15769.418029351102</v>
      </c>
      <c r="X325" s="59">
        <v>140785.00466932662</v>
      </c>
      <c r="Y325" s="59">
        <v>180716.12748696932</v>
      </c>
      <c r="Z325" s="59">
        <v>556939.47297837108</v>
      </c>
      <c r="AA325" s="59">
        <v>1493915.5620675059</v>
      </c>
      <c r="AB325" s="59">
        <v>3190618.9512404259</v>
      </c>
      <c r="AC325" s="59">
        <v>1901185.6432571856</v>
      </c>
      <c r="AD325" s="59">
        <v>7479930.1797291357</v>
      </c>
      <c r="AE325" s="59">
        <v>1822760065.5838768</v>
      </c>
      <c r="AF325" s="68">
        <v>7479930.1797291357</v>
      </c>
    </row>
    <row r="326" spans="1:32" x14ac:dyDescent="0.2">
      <c r="A326" s="95">
        <v>289</v>
      </c>
      <c r="B326" s="95">
        <v>24</v>
      </c>
      <c r="C326" s="95">
        <v>1</v>
      </c>
      <c r="D326" s="95"/>
      <c r="E326" s="95">
        <v>78.359818509962466</v>
      </c>
      <c r="F326" s="95">
        <v>702.16807225448656</v>
      </c>
      <c r="G326" s="95">
        <v>902.66212581597256</v>
      </c>
      <c r="H326" s="95">
        <v>1353.1750800434065</v>
      </c>
      <c r="I326" s="95">
        <v>3125.9890436056689</v>
      </c>
      <c r="J326" s="95"/>
      <c r="K326" s="95"/>
      <c r="L326" s="95">
        <v>122.0898662251381</v>
      </c>
      <c r="M326" s="95">
        <v>478.97436629038225</v>
      </c>
      <c r="N326" s="95">
        <v>194.74348851270585</v>
      </c>
      <c r="O326" s="95">
        <v>2617.6640009952343</v>
      </c>
      <c r="P326" s="95">
        <v>424.17413774704471</v>
      </c>
      <c r="Q326" s="95">
        <v>10000.000000000002</v>
      </c>
      <c r="S326" s="98">
        <v>2617.6640009952343</v>
      </c>
      <c r="T326" s="95">
        <v>2535.8704748175919</v>
      </c>
      <c r="U326" s="99">
        <v>1568.1162877837039</v>
      </c>
      <c r="W326" s="121">
        <v>15607.781494550252</v>
      </c>
      <c r="X326" s="59">
        <v>139871.13687637041</v>
      </c>
      <c r="Y326" s="59">
        <v>179815.83526476385</v>
      </c>
      <c r="Z326" s="59">
        <v>554997.88115723443</v>
      </c>
      <c r="AA326" s="59">
        <v>1492838.6983844093</v>
      </c>
      <c r="AB326" s="59">
        <v>3191358.6668646913</v>
      </c>
      <c r="AC326" s="59">
        <v>1901466.8586341359</v>
      </c>
      <c r="AD326" s="59">
        <v>7475956.8586761551</v>
      </c>
      <c r="AE326" s="59">
        <v>1830236022.442553</v>
      </c>
      <c r="AF326" s="68">
        <v>7475956.8586761551</v>
      </c>
    </row>
    <row r="327" spans="1:32" x14ac:dyDescent="0.2">
      <c r="A327" s="95">
        <v>290</v>
      </c>
      <c r="B327" s="95">
        <v>24</v>
      </c>
      <c r="C327" s="95">
        <v>2</v>
      </c>
      <c r="D327" s="95"/>
      <c r="E327" s="95">
        <v>77.569690339987005</v>
      </c>
      <c r="F327" s="95">
        <v>697.72433394907125</v>
      </c>
      <c r="G327" s="95">
        <v>898.30830769434351</v>
      </c>
      <c r="H327" s="95">
        <v>1348.6699505011322</v>
      </c>
      <c r="I327" s="95">
        <v>3124.2212880889615</v>
      </c>
      <c r="J327" s="95"/>
      <c r="K327" s="95"/>
      <c r="L327" s="95">
        <v>122.0415105564185</v>
      </c>
      <c r="M327" s="95">
        <v>479.25367723260234</v>
      </c>
      <c r="N327" s="95">
        <v>194.80196941875241</v>
      </c>
      <c r="O327" s="95">
        <v>2630.9157471846029</v>
      </c>
      <c r="P327" s="95">
        <v>426.49352503413058</v>
      </c>
      <c r="Q327" s="95">
        <v>10000.000000000002</v>
      </c>
      <c r="S327" s="98">
        <v>2630.9157471846029</v>
      </c>
      <c r="T327" s="95">
        <v>2546.0299392093102</v>
      </c>
      <c r="U327" s="99">
        <v>1575.1693056521651</v>
      </c>
      <c r="W327" s="121">
        <v>15447.801734231112</v>
      </c>
      <c r="X327" s="59">
        <v>138962.62329129645</v>
      </c>
      <c r="Y327" s="59">
        <v>178918.52288069148</v>
      </c>
      <c r="Z327" s="59">
        <v>553057.49342484167</v>
      </c>
      <c r="AA327" s="59">
        <v>1491745.2771274247</v>
      </c>
      <c r="AB327" s="59">
        <v>3192050.0404223073</v>
      </c>
      <c r="AC327" s="59">
        <v>1901719.9479978562</v>
      </c>
      <c r="AD327" s="59">
        <v>7471901.7068786491</v>
      </c>
      <c r="AE327" s="59">
        <v>1837707924.1494317</v>
      </c>
      <c r="AF327" s="68">
        <v>7471901.7068786491</v>
      </c>
    </row>
    <row r="328" spans="1:32" x14ac:dyDescent="0.2">
      <c r="A328" s="95">
        <v>291</v>
      </c>
      <c r="B328" s="95">
        <v>24</v>
      </c>
      <c r="C328" s="95">
        <v>3</v>
      </c>
      <c r="D328" s="95"/>
      <c r="E328" s="95">
        <v>76.787529295725463</v>
      </c>
      <c r="F328" s="95">
        <v>693.30584961976388</v>
      </c>
      <c r="G328" s="95">
        <v>893.9680025469745</v>
      </c>
      <c r="H328" s="95">
        <v>1344.1663340730643</v>
      </c>
      <c r="I328" s="95">
        <v>3122.418379825383</v>
      </c>
      <c r="J328" s="95"/>
      <c r="K328" s="95"/>
      <c r="L328" s="95">
        <v>121.99166234980666</v>
      </c>
      <c r="M328" s="95">
        <v>479.52547626782587</v>
      </c>
      <c r="N328" s="95">
        <v>194.85759625070378</v>
      </c>
      <c r="O328" s="95">
        <v>2644.1714478273634</v>
      </c>
      <c r="P328" s="95">
        <v>428.80772194339102</v>
      </c>
      <c r="Q328" s="95">
        <v>10000.000000000002</v>
      </c>
      <c r="S328" s="98">
        <v>2644.1714478273634</v>
      </c>
      <c r="T328" s="95">
        <v>2556.1836583955992</v>
      </c>
      <c r="U328" s="99">
        <v>1582.2215698857401</v>
      </c>
      <c r="W328" s="121">
        <v>15289.461766455244</v>
      </c>
      <c r="X328" s="59">
        <v>138059.43946491287</v>
      </c>
      <c r="Y328" s="59">
        <v>178024.1969720909</v>
      </c>
      <c r="Z328" s="59">
        <v>551118.35888923286</v>
      </c>
      <c r="AA328" s="59">
        <v>1490635.393256356</v>
      </c>
      <c r="AB328" s="59">
        <v>3192693.269879912</v>
      </c>
      <c r="AC328" s="59">
        <v>1901945.0275332427</v>
      </c>
      <c r="AD328" s="59">
        <v>7467765.1477622027</v>
      </c>
      <c r="AE328" s="59">
        <v>1845175689.297194</v>
      </c>
      <c r="AF328" s="68">
        <v>7467765.1477622027</v>
      </c>
    </row>
    <row r="329" spans="1:32" x14ac:dyDescent="0.2">
      <c r="A329" s="95">
        <v>292</v>
      </c>
      <c r="B329" s="95">
        <v>24</v>
      </c>
      <c r="C329" s="95">
        <v>4</v>
      </c>
      <c r="D329" s="95"/>
      <c r="E329" s="95">
        <v>76.01325504199356</v>
      </c>
      <c r="F329" s="95">
        <v>688.91250964571725</v>
      </c>
      <c r="G329" s="95">
        <v>889.64124962212907</v>
      </c>
      <c r="H329" s="95">
        <v>1339.6643507578033</v>
      </c>
      <c r="I329" s="95">
        <v>3120.5805004172521</v>
      </c>
      <c r="J329" s="95"/>
      <c r="K329" s="95"/>
      <c r="L329" s="95">
        <v>121.94032939791954</v>
      </c>
      <c r="M329" s="95">
        <v>479.78978813163457</v>
      </c>
      <c r="N329" s="95">
        <v>194.91037948066219</v>
      </c>
      <c r="O329" s="95">
        <v>2657.4309086180892</v>
      </c>
      <c r="P329" s="95">
        <v>431.11672888680079</v>
      </c>
      <c r="Q329" s="95">
        <v>10000.000000000002</v>
      </c>
      <c r="S329" s="98">
        <v>2657.4309086180892</v>
      </c>
      <c r="T329" s="95">
        <v>2566.3315181300318</v>
      </c>
      <c r="U329" s="99">
        <v>1589.272988447703</v>
      </c>
      <c r="W329" s="121">
        <v>15132.744783349081</v>
      </c>
      <c r="X329" s="59">
        <v>137161.56096786022</v>
      </c>
      <c r="Y329" s="59">
        <v>177132.86393342706</v>
      </c>
      <c r="Z329" s="59">
        <v>549180.52629583329</v>
      </c>
      <c r="AA329" s="59">
        <v>1489509.1418168205</v>
      </c>
      <c r="AB329" s="59">
        <v>3193288.5532809142</v>
      </c>
      <c r="AC329" s="59">
        <v>1902142.213560849</v>
      </c>
      <c r="AD329" s="59">
        <v>7463547.6046390533</v>
      </c>
      <c r="AE329" s="59">
        <v>1852639236.9018331</v>
      </c>
      <c r="AF329" s="68">
        <v>7463547.6046390533</v>
      </c>
    </row>
    <row r="330" spans="1:32" x14ac:dyDescent="0.2">
      <c r="A330" s="95">
        <v>293</v>
      </c>
      <c r="B330" s="95">
        <v>24</v>
      </c>
      <c r="C330" s="95">
        <v>5</v>
      </c>
      <c r="D330" s="95"/>
      <c r="E330" s="95">
        <v>75.246788053653461</v>
      </c>
      <c r="F330" s="95">
        <v>684.54420443583763</v>
      </c>
      <c r="G330" s="95">
        <v>885.32808698602423</v>
      </c>
      <c r="H330" s="95">
        <v>1335.1641197464464</v>
      </c>
      <c r="I330" s="95">
        <v>3118.7078317642622</v>
      </c>
      <c r="J330" s="95"/>
      <c r="K330" s="95"/>
      <c r="L330" s="95">
        <v>121.88751948873961</v>
      </c>
      <c r="M330" s="95">
        <v>480.04663761022954</v>
      </c>
      <c r="N330" s="95">
        <v>194.96032960080268</v>
      </c>
      <c r="O330" s="95">
        <v>2670.69393597304</v>
      </c>
      <c r="P330" s="95">
        <v>433.42054634096581</v>
      </c>
      <c r="Q330" s="95">
        <v>10000.000000000002</v>
      </c>
      <c r="S330" s="98">
        <v>2670.69393597304</v>
      </c>
      <c r="T330" s="95">
        <v>2576.4734047563879</v>
      </c>
      <c r="U330" s="99">
        <v>1596.3234696975239</v>
      </c>
      <c r="W330" s="121">
        <v>14977.634149319752</v>
      </c>
      <c r="X330" s="59">
        <v>136268.96339215824</v>
      </c>
      <c r="Y330" s="59">
        <v>176244.52991898175</v>
      </c>
      <c r="Z330" s="59">
        <v>547244.04402614129</v>
      </c>
      <c r="AA330" s="59">
        <v>1488366.617935746</v>
      </c>
      <c r="AB330" s="59">
        <v>3193836.0887481649</v>
      </c>
      <c r="AC330" s="59">
        <v>1902311.6225348378</v>
      </c>
      <c r="AD330" s="59">
        <v>7459249.5007053502</v>
      </c>
      <c r="AE330" s="59">
        <v>1860098486.4025383</v>
      </c>
      <c r="AF330" s="68">
        <v>7459249.5007053502</v>
      </c>
    </row>
    <row r="331" spans="1:32" x14ac:dyDescent="0.2">
      <c r="A331" s="95">
        <v>294</v>
      </c>
      <c r="B331" s="95">
        <v>24</v>
      </c>
      <c r="C331" s="95">
        <v>6</v>
      </c>
      <c r="D331" s="95"/>
      <c r="E331" s="95">
        <v>74.488049607445788</v>
      </c>
      <c r="F331" s="95">
        <v>680.20082443646163</v>
      </c>
      <c r="G331" s="95">
        <v>881.02855153525581</v>
      </c>
      <c r="H331" s="95">
        <v>1330.6657594188423</v>
      </c>
      <c r="I331" s="95">
        <v>3116.8005560542642</v>
      </c>
      <c r="J331" s="95"/>
      <c r="K331" s="95"/>
      <c r="L331" s="95">
        <v>121.83324040569016</v>
      </c>
      <c r="M331" s="95">
        <v>480.29604954064433</v>
      </c>
      <c r="N331" s="95">
        <v>195.00745712325966</v>
      </c>
      <c r="O331" s="95">
        <v>2683.9603370312766</v>
      </c>
      <c r="P331" s="95">
        <v>435.71917484686116</v>
      </c>
      <c r="Q331" s="95">
        <v>10000.000000000002</v>
      </c>
      <c r="S331" s="98">
        <v>2683.9603370312766</v>
      </c>
      <c r="T331" s="95">
        <v>2586.6092052096219</v>
      </c>
      <c r="U331" s="99">
        <v>1603.3729223914763</v>
      </c>
      <c r="W331" s="121">
        <v>14824.113399289223</v>
      </c>
      <c r="X331" s="59">
        <v>135381.62235272359</v>
      </c>
      <c r="Y331" s="59">
        <v>175359.20084552691</v>
      </c>
      <c r="Z331" s="59">
        <v>545308.96009648207</v>
      </c>
      <c r="AA331" s="59">
        <v>1487207.9168168751</v>
      </c>
      <c r="AB331" s="59">
        <v>3194336.0744864186</v>
      </c>
      <c r="AC331" s="59">
        <v>1902453.3710409289</v>
      </c>
      <c r="AD331" s="59">
        <v>7454871.2590382444</v>
      </c>
      <c r="AE331" s="59">
        <v>1867553357.6615765</v>
      </c>
      <c r="AF331" s="68">
        <v>7454871.2590382444</v>
      </c>
    </row>
    <row r="332" spans="1:32" x14ac:dyDescent="0.2">
      <c r="A332" s="95">
        <v>295</v>
      </c>
      <c r="B332" s="95">
        <v>24</v>
      </c>
      <c r="C332" s="95">
        <v>7</v>
      </c>
      <c r="D332" s="95"/>
      <c r="E332" s="95">
        <v>73.736961773904042</v>
      </c>
      <c r="F332" s="95">
        <v>675.8822601388971</v>
      </c>
      <c r="G332" s="95">
        <v>876.74267900914981</v>
      </c>
      <c r="H332" s="95">
        <v>1326.1693873400063</v>
      </c>
      <c r="I332" s="95">
        <v>3114.8588557540552</v>
      </c>
      <c r="J332" s="95"/>
      <c r="K332" s="95"/>
      <c r="L332" s="95">
        <v>121.77749992770136</v>
      </c>
      <c r="M332" s="95">
        <v>480.53804881093254</v>
      </c>
      <c r="N332" s="95">
        <v>195.05177258000845</v>
      </c>
      <c r="O332" s="95">
        <v>2697.2299196557783</v>
      </c>
      <c r="P332" s="95">
        <v>438.01261500956844</v>
      </c>
      <c r="Q332" s="95">
        <v>10000.000000000002</v>
      </c>
      <c r="S332" s="98">
        <v>2697.2299196557783</v>
      </c>
      <c r="T332" s="95">
        <v>2596.7388070167981</v>
      </c>
      <c r="U332" s="99">
        <v>1610.4212556832356</v>
      </c>
      <c r="W332" s="121">
        <v>14672.166236946508</v>
      </c>
      <c r="X332" s="59">
        <v>134499.5134888585</v>
      </c>
      <c r="Y332" s="59">
        <v>174476.88239498067</v>
      </c>
      <c r="Z332" s="59">
        <v>543375.32215683069</v>
      </c>
      <c r="AA332" s="59">
        <v>1486033.1337362782</v>
      </c>
      <c r="AB332" s="59">
        <v>3194788.7087845774</v>
      </c>
      <c r="AC332" s="59">
        <v>1902567.5757943352</v>
      </c>
      <c r="AD332" s="59">
        <v>7450413.3025928074</v>
      </c>
      <c r="AE332" s="59">
        <v>1875003770.9641693</v>
      </c>
      <c r="AF332" s="68">
        <v>7450413.3025928074</v>
      </c>
    </row>
    <row r="333" spans="1:32" x14ac:dyDescent="0.2">
      <c r="A333" s="95">
        <v>296</v>
      </c>
      <c r="B333" s="95">
        <v>24</v>
      </c>
      <c r="C333" s="95">
        <v>8</v>
      </c>
      <c r="D333" s="95"/>
      <c r="E333" s="95">
        <v>72.993447409350509</v>
      </c>
      <c r="F333" s="95">
        <v>671.58840208682921</v>
      </c>
      <c r="G333" s="95">
        <v>872.47050400203909</v>
      </c>
      <c r="H333" s="95">
        <v>1321.6751202566977</v>
      </c>
      <c r="I333" s="95">
        <v>3112.8829136001768</v>
      </c>
      <c r="J333" s="95"/>
      <c r="K333" s="95"/>
      <c r="L333" s="95">
        <v>121.72030582926739</v>
      </c>
      <c r="M333" s="95">
        <v>480.77266036032989</v>
      </c>
      <c r="N333" s="95">
        <v>195.09328652274181</v>
      </c>
      <c r="O333" s="95">
        <v>2710.5024924345557</v>
      </c>
      <c r="P333" s="95">
        <v>440.30086749801336</v>
      </c>
      <c r="Q333" s="95">
        <v>10000.000000000002</v>
      </c>
      <c r="S333" s="98">
        <v>2710.5024924345557</v>
      </c>
      <c r="T333" s="95">
        <v>2606.8620982979987</v>
      </c>
      <c r="U333" s="99">
        <v>1617.4683791244677</v>
      </c>
      <c r="W333" s="121">
        <v>14521.776533017806</v>
      </c>
      <c r="X333" s="59">
        <v>133622.61246571154</v>
      </c>
      <c r="Y333" s="59">
        <v>173597.58001704613</v>
      </c>
      <c r="Z333" s="59">
        <v>541443.17748970143</v>
      </c>
      <c r="AA333" s="59">
        <v>1484842.3640378732</v>
      </c>
      <c r="AB333" s="59">
        <v>3195194.1900177286</v>
      </c>
      <c r="AC333" s="59">
        <v>1902654.3536376941</v>
      </c>
      <c r="AD333" s="59">
        <v>7445876.0541987726</v>
      </c>
      <c r="AE333" s="59">
        <v>1882449647.018368</v>
      </c>
      <c r="AF333" s="68">
        <v>7445876.0541987726</v>
      </c>
    </row>
    <row r="334" spans="1:32" x14ac:dyDescent="0.2">
      <c r="A334" s="95">
        <v>297</v>
      </c>
      <c r="B334" s="95">
        <v>24</v>
      </c>
      <c r="C334" s="95">
        <v>9</v>
      </c>
      <c r="D334" s="95"/>
      <c r="E334" s="95">
        <v>72.257430147972897</v>
      </c>
      <c r="F334" s="95">
        <v>667.31914088359304</v>
      </c>
      <c r="G334" s="95">
        <v>868.21205997546645</v>
      </c>
      <c r="H334" s="95">
        <v>1317.1830740941512</v>
      </c>
      <c r="I334" s="95">
        <v>3110.8729125897239</v>
      </c>
      <c r="J334" s="95"/>
      <c r="K334" s="95"/>
      <c r="L334" s="95">
        <v>121.66166588049468</v>
      </c>
      <c r="M334" s="95">
        <v>480.99990917939198</v>
      </c>
      <c r="N334" s="95">
        <v>195.13200952274124</v>
      </c>
      <c r="O334" s="95">
        <v>2723.7778646817637</v>
      </c>
      <c r="P334" s="95">
        <v>442.58393304470246</v>
      </c>
      <c r="Q334" s="95">
        <v>10000.000000000002</v>
      </c>
      <c r="S334" s="98">
        <v>2723.7778646817637</v>
      </c>
      <c r="T334" s="95">
        <v>2616.9789677671993</v>
      </c>
      <c r="U334" s="99">
        <v>1624.5142026654089</v>
      </c>
      <c r="W334" s="121">
        <v>14372.928323554373</v>
      </c>
      <c r="X334" s="59">
        <v>132750.89497571017</v>
      </c>
      <c r="Y334" s="59">
        <v>172721.2989318326</v>
      </c>
      <c r="Z334" s="59">
        <v>539512.57300910319</v>
      </c>
      <c r="AA334" s="59">
        <v>1483635.7031289579</v>
      </c>
      <c r="AB334" s="59">
        <v>3195552.7166489786</v>
      </c>
      <c r="AC334" s="59">
        <v>1902713.8215389864</v>
      </c>
      <c r="AD334" s="59">
        <v>7441259.9365571234</v>
      </c>
      <c r="AE334" s="59">
        <v>1889890906.9549251</v>
      </c>
      <c r="AF334" s="68">
        <v>7441259.9365571234</v>
      </c>
    </row>
    <row r="335" spans="1:32" x14ac:dyDescent="0.2">
      <c r="A335" s="95">
        <v>298</v>
      </c>
      <c r="B335" s="95">
        <v>24</v>
      </c>
      <c r="C335" s="95">
        <v>10</v>
      </c>
      <c r="D335" s="95"/>
      <c r="E335" s="95">
        <v>71.528834393980844</v>
      </c>
      <c r="F335" s="95">
        <v>663.07436719931582</v>
      </c>
      <c r="G335" s="95">
        <v>863.96737927031211</v>
      </c>
      <c r="H335" s="95">
        <v>1312.6933639529643</v>
      </c>
      <c r="I335" s="95">
        <v>3108.8290359711664</v>
      </c>
      <c r="J335" s="95"/>
      <c r="K335" s="95"/>
      <c r="L335" s="95">
        <v>121.60158784714157</v>
      </c>
      <c r="M335" s="95">
        <v>481.2198203101072</v>
      </c>
      <c r="N335" s="95">
        <v>195.16795217074349</v>
      </c>
      <c r="O335" s="95">
        <v>2737.0558464388096</v>
      </c>
      <c r="P335" s="95">
        <v>444.86181244546026</v>
      </c>
      <c r="Q335" s="95">
        <v>10000.000000000002</v>
      </c>
      <c r="S335" s="98">
        <v>2737.0558464388096</v>
      </c>
      <c r="T335" s="95">
        <v>2627.089304733116</v>
      </c>
      <c r="U335" s="99">
        <v>1631.5586366554362</v>
      </c>
      <c r="W335" s="121">
        <v>14225.605808237942</v>
      </c>
      <c r="X335" s="59">
        <v>131884.33673996569</v>
      </c>
      <c r="Y335" s="59">
        <v>171848.04413245962</v>
      </c>
      <c r="Z335" s="59">
        <v>537583.55525955826</v>
      </c>
      <c r="AA335" s="59">
        <v>1482413.2464757503</v>
      </c>
      <c r="AB335" s="59">
        <v>3195864.4872310851</v>
      </c>
      <c r="AC335" s="59">
        <v>1902746.0965894407</v>
      </c>
      <c r="AD335" s="59">
        <v>7436565.3722364977</v>
      </c>
      <c r="AE335" s="59">
        <v>1897327472.3271616</v>
      </c>
      <c r="AF335" s="68">
        <v>7436565.3722364977</v>
      </c>
    </row>
    <row r="336" spans="1:32" x14ac:dyDescent="0.2">
      <c r="A336" s="95">
        <v>299</v>
      </c>
      <c r="B336" s="95">
        <v>24</v>
      </c>
      <c r="C336" s="95">
        <v>11</v>
      </c>
      <c r="D336" s="95"/>
      <c r="E336" s="95">
        <v>70.807585313841543</v>
      </c>
      <c r="F336" s="95">
        <v>658.8539717779289</v>
      </c>
      <c r="G336" s="95">
        <v>859.73649311884742</v>
      </c>
      <c r="H336" s="95">
        <v>1308.2061041061379</v>
      </c>
      <c r="I336" s="95">
        <v>3106.7514672351822</v>
      </c>
      <c r="J336" s="95"/>
      <c r="K336" s="95"/>
      <c r="L336" s="95">
        <v>121.54007949064973</v>
      </c>
      <c r="M336" s="95">
        <v>481.43241884598586</v>
      </c>
      <c r="N336" s="95">
        <v>195.20112507680173</v>
      </c>
      <c r="O336" s="95">
        <v>2750.3362484754612</v>
      </c>
      <c r="P336" s="95">
        <v>447.13450655916552</v>
      </c>
      <c r="Q336" s="95">
        <v>10000.000000000002</v>
      </c>
      <c r="S336" s="98">
        <v>2750.3362484754612</v>
      </c>
      <c r="T336" s="95">
        <v>2637.1929991000225</v>
      </c>
      <c r="U336" s="99">
        <v>1638.6015918436269</v>
      </c>
      <c r="W336" s="121">
        <v>14079.793348703502</v>
      </c>
      <c r="X336" s="59">
        <v>131022.91350965125</v>
      </c>
      <c r="Y336" s="59">
        <v>170977.82038764356</v>
      </c>
      <c r="Z336" s="59">
        <v>535656.17041518562</v>
      </c>
      <c r="AA336" s="59">
        <v>1481175.0895989398</v>
      </c>
      <c r="AB336" s="59">
        <v>3196129.7004078911</v>
      </c>
      <c r="AC336" s="59">
        <v>1902751.2960014278</v>
      </c>
      <c r="AD336" s="59">
        <v>7431792.7836694429</v>
      </c>
      <c r="AE336" s="59">
        <v>1904759265.110831</v>
      </c>
      <c r="AF336" s="68">
        <v>7431792.7836694429</v>
      </c>
    </row>
    <row r="337" spans="1:32" x14ac:dyDescent="0.2">
      <c r="A337" s="95">
        <v>300</v>
      </c>
      <c r="B337" s="95">
        <v>25</v>
      </c>
      <c r="C337" s="95">
        <v>0</v>
      </c>
      <c r="D337" s="95"/>
      <c r="E337" s="95">
        <v>70.093608828593645</v>
      </c>
      <c r="F337" s="95">
        <v>654.65784544405255</v>
      </c>
      <c r="G337" s="95">
        <v>855.51943165671298</v>
      </c>
      <c r="H337" s="95">
        <v>1303.721407996265</v>
      </c>
      <c r="I337" s="95">
        <v>3104.6403901055078</v>
      </c>
      <c r="J337" s="95"/>
      <c r="K337" s="95"/>
      <c r="L337" s="95">
        <v>121.47714856816739</v>
      </c>
      <c r="M337" s="95">
        <v>481.63772993212535</v>
      </c>
      <c r="N337" s="95">
        <v>195.23153887014192</v>
      </c>
      <c r="O337" s="95">
        <v>2763.618882290948</v>
      </c>
      <c r="P337" s="95">
        <v>449.40201630748732</v>
      </c>
      <c r="Q337" s="95">
        <v>10000.000000000002</v>
      </c>
      <c r="S337" s="98">
        <v>2763.618882290948</v>
      </c>
      <c r="T337" s="95">
        <v>2647.2899413685368</v>
      </c>
      <c r="U337" s="99">
        <v>1645.6429793793088</v>
      </c>
      <c r="W337" s="121">
        <v>13935.47546687929</v>
      </c>
      <c r="X337" s="59">
        <v>130166.60106735292</v>
      </c>
      <c r="Y337" s="59">
        <v>170110.63224426666</v>
      </c>
      <c r="Z337" s="59">
        <v>533730.46427884744</v>
      </c>
      <c r="AA337" s="59">
        <v>1479921.328069251</v>
      </c>
      <c r="AB337" s="59">
        <v>3196348.5549155716</v>
      </c>
      <c r="AC337" s="59">
        <v>1902729.5371063363</v>
      </c>
      <c r="AD337" s="59">
        <v>7426942.5931485053</v>
      </c>
      <c r="AE337" s="59">
        <v>1912186207.7039795</v>
      </c>
      <c r="AF337" s="68">
        <v>7426942.5931485053</v>
      </c>
    </row>
    <row r="338" spans="1:32" x14ac:dyDescent="0.2">
      <c r="A338" s="95">
        <v>301</v>
      </c>
      <c r="B338" s="95">
        <v>25</v>
      </c>
      <c r="C338" s="95">
        <v>1</v>
      </c>
      <c r="D338" s="95"/>
      <c r="E338" s="95">
        <v>69.375149338100556</v>
      </c>
      <c r="F338" s="95">
        <v>650.37676946884733</v>
      </c>
      <c r="G338" s="95">
        <v>851.1736373628795</v>
      </c>
      <c r="H338" s="95">
        <v>1299.0221013315368</v>
      </c>
      <c r="I338" s="95">
        <v>3101.9785484647864</v>
      </c>
      <c r="J338" s="95"/>
      <c r="K338" s="95"/>
      <c r="L338" s="95">
        <v>121.39255664113678</v>
      </c>
      <c r="M338" s="95">
        <v>481.75550581026334</v>
      </c>
      <c r="N338" s="95">
        <v>195.22666560920237</v>
      </c>
      <c r="O338" s="95">
        <v>2776.9035601150608</v>
      </c>
      <c r="P338" s="95">
        <v>452.79550585818811</v>
      </c>
      <c r="Q338" s="95">
        <v>10000.000000000002</v>
      </c>
      <c r="S338" s="98">
        <v>2776.9035601150608</v>
      </c>
      <c r="T338" s="95">
        <v>2657.3800226363796</v>
      </c>
      <c r="U338" s="99">
        <v>1652.6827108126001</v>
      </c>
      <c r="W338" s="121">
        <v>13789.15297447706</v>
      </c>
      <c r="X338" s="59">
        <v>129282.83357812739</v>
      </c>
      <c r="Y338" s="59">
        <v>169203.95637186788</v>
      </c>
      <c r="Z338" s="59">
        <v>531673.04966528551</v>
      </c>
      <c r="AA338" s="59">
        <v>1478282.077171003</v>
      </c>
      <c r="AB338" s="59">
        <v>3195722.1624449589</v>
      </c>
      <c r="AC338" s="59">
        <v>1902205.2549681584</v>
      </c>
      <c r="AD338" s="59">
        <v>7420158.4871738786</v>
      </c>
      <c r="AE338" s="59">
        <v>1919606366.1911533</v>
      </c>
      <c r="AF338" s="68">
        <v>7420158.4871738786</v>
      </c>
    </row>
    <row r="339" spans="1:32" x14ac:dyDescent="0.2">
      <c r="A339" s="95">
        <v>302</v>
      </c>
      <c r="B339" s="95">
        <v>25</v>
      </c>
      <c r="C339" s="95">
        <v>2</v>
      </c>
      <c r="D339" s="95"/>
      <c r="E339" s="95">
        <v>68.66405405738503</v>
      </c>
      <c r="F339" s="95">
        <v>646.1211533397551</v>
      </c>
      <c r="G339" s="95">
        <v>846.84314962097358</v>
      </c>
      <c r="H339" s="95">
        <v>1294.3271130082949</v>
      </c>
      <c r="I339" s="95">
        <v>3099.2843675810395</v>
      </c>
      <c r="J339" s="95"/>
      <c r="K339" s="95"/>
      <c r="L339" s="95">
        <v>121.30531861241447</v>
      </c>
      <c r="M339" s="95">
        <v>481.86725590642618</v>
      </c>
      <c r="N339" s="95">
        <v>195.21905075223717</v>
      </c>
      <c r="O339" s="95">
        <v>2790.1878807962748</v>
      </c>
      <c r="P339" s="95">
        <v>456.18065632520148</v>
      </c>
      <c r="Q339" s="95">
        <v>10000.000000000002</v>
      </c>
      <c r="S339" s="98">
        <v>2790.1878807962748</v>
      </c>
      <c r="T339" s="95">
        <v>2667.4614529188902</v>
      </c>
      <c r="U339" s="99">
        <v>1659.719524806367</v>
      </c>
      <c r="W339" s="121">
        <v>13644.36686824505</v>
      </c>
      <c r="X339" s="59">
        <v>128404.56228993322</v>
      </c>
      <c r="Y339" s="59">
        <v>168300.76724538204</v>
      </c>
      <c r="Z339" s="59">
        <v>529618.39959775179</v>
      </c>
      <c r="AA339" s="59">
        <v>1476628.1400241142</v>
      </c>
      <c r="AB339" s="59">
        <v>3195049.9224830489</v>
      </c>
      <c r="AC339" s="59">
        <v>1901654.392754636</v>
      </c>
      <c r="AD339" s="59">
        <v>7413300.5512631107</v>
      </c>
      <c r="AE339" s="59">
        <v>1927019666.7424164</v>
      </c>
      <c r="AF339" s="68">
        <v>7413300.5512631107</v>
      </c>
    </row>
    <row r="340" spans="1:32" x14ac:dyDescent="0.2">
      <c r="A340" s="95">
        <v>303</v>
      </c>
      <c r="B340" s="95">
        <v>25</v>
      </c>
      <c r="C340" s="95">
        <v>3</v>
      </c>
      <c r="D340" s="95"/>
      <c r="E340" s="95">
        <v>67.960247503296827</v>
      </c>
      <c r="F340" s="95">
        <v>641.89087578732142</v>
      </c>
      <c r="G340" s="95">
        <v>842.52798805277666</v>
      </c>
      <c r="H340" s="95">
        <v>1289.6365521889202</v>
      </c>
      <c r="I340" s="95">
        <v>3096.558048199513</v>
      </c>
      <c r="J340" s="95"/>
      <c r="K340" s="95"/>
      <c r="L340" s="95">
        <v>121.21547149701632</v>
      </c>
      <c r="M340" s="95">
        <v>481.97298795284826</v>
      </c>
      <c r="N340" s="95">
        <v>195.20870635537858</v>
      </c>
      <c r="O340" s="95">
        <v>2803.4716504062903</v>
      </c>
      <c r="P340" s="95">
        <v>459.55747205664073</v>
      </c>
      <c r="Q340" s="95">
        <v>10000.000000000002</v>
      </c>
      <c r="S340" s="98">
        <v>2803.4716504062903</v>
      </c>
      <c r="T340" s="95">
        <v>2677.5341271135285</v>
      </c>
      <c r="U340" s="99">
        <v>1666.7533344908184</v>
      </c>
      <c r="W340" s="121">
        <v>13501.101016128476</v>
      </c>
      <c r="X340" s="59">
        <v>127531.7591289608</v>
      </c>
      <c r="Y340" s="59">
        <v>167401.06631371455</v>
      </c>
      <c r="Z340" s="59">
        <v>527566.55706483696</v>
      </c>
      <c r="AA340" s="59">
        <v>1474959.6236218433</v>
      </c>
      <c r="AB340" s="59">
        <v>3194332.1270736684</v>
      </c>
      <c r="AC340" s="59">
        <v>1901077.0881449385</v>
      </c>
      <c r="AD340" s="59">
        <v>7406369.3223640909</v>
      </c>
      <c r="AE340" s="59">
        <v>1934426036.0647805</v>
      </c>
      <c r="AF340" s="68">
        <v>7406369.3223640909</v>
      </c>
    </row>
    <row r="341" spans="1:32" x14ac:dyDescent="0.2">
      <c r="A341" s="95">
        <v>304</v>
      </c>
      <c r="B341" s="95">
        <v>25</v>
      </c>
      <c r="C341" s="95">
        <v>4</v>
      </c>
      <c r="D341" s="95"/>
      <c r="E341" s="95">
        <v>67.263654966388032</v>
      </c>
      <c r="F341" s="95">
        <v>637.68581572575806</v>
      </c>
      <c r="G341" s="95">
        <v>838.22817121504931</v>
      </c>
      <c r="H341" s="95">
        <v>1284.950527122194</v>
      </c>
      <c r="I341" s="95">
        <v>3093.7997911336915</v>
      </c>
      <c r="J341" s="95"/>
      <c r="K341" s="95"/>
      <c r="L341" s="95">
        <v>121.12305173317507</v>
      </c>
      <c r="M341" s="95">
        <v>482.07271000146574</v>
      </c>
      <c r="N341" s="95">
        <v>195.19564452750402</v>
      </c>
      <c r="O341" s="95">
        <v>2816.7546760793671</v>
      </c>
      <c r="P341" s="95">
        <v>462.92595749540925</v>
      </c>
      <c r="Q341" s="95">
        <v>10000.000000000002</v>
      </c>
      <c r="S341" s="98">
        <v>2816.7546760793671</v>
      </c>
      <c r="T341" s="95">
        <v>2687.597940770177</v>
      </c>
      <c r="U341" s="99">
        <v>1673.7840534839338</v>
      </c>
      <c r="W341" s="121">
        <v>13359.339455459127</v>
      </c>
      <c r="X341" s="59">
        <v>126664.39608402453</v>
      </c>
      <c r="Y341" s="59">
        <v>166504.85481133891</v>
      </c>
      <c r="Z341" s="59">
        <v>525517.56463716459</v>
      </c>
      <c r="AA341" s="59">
        <v>1473276.6348884769</v>
      </c>
      <c r="AB341" s="59">
        <v>3193569.0658540768</v>
      </c>
      <c r="AC341" s="59">
        <v>1900473.4794112432</v>
      </c>
      <c r="AD341" s="59">
        <v>7399365.3351417845</v>
      </c>
      <c r="AE341" s="59">
        <v>1941825401.3999224</v>
      </c>
      <c r="AF341" s="68">
        <v>7399365.3351417845</v>
      </c>
    </row>
    <row r="342" spans="1:32" x14ac:dyDescent="0.2">
      <c r="A342" s="95">
        <v>305</v>
      </c>
      <c r="B342" s="95">
        <v>25</v>
      </c>
      <c r="C342" s="95">
        <v>5</v>
      </c>
      <c r="D342" s="95"/>
      <c r="E342" s="95">
        <v>66.574202502982558</v>
      </c>
      <c r="F342" s="95">
        <v>633.50585225909333</v>
      </c>
      <c r="G342" s="95">
        <v>833.94371661201546</v>
      </c>
      <c r="H342" s="95">
        <v>1280.2691451419355</v>
      </c>
      <c r="I342" s="95">
        <v>3091.0097972561321</v>
      </c>
      <c r="J342" s="95"/>
      <c r="K342" s="95"/>
      <c r="L342" s="95">
        <v>121.02809519412355</v>
      </c>
      <c r="M342" s="95">
        <v>482.16643041970462</v>
      </c>
      <c r="N342" s="95">
        <v>195.17987742695553</v>
      </c>
      <c r="O342" s="95">
        <v>2830.0367660084376</v>
      </c>
      <c r="P342" s="95">
        <v>466.28611717862185</v>
      </c>
      <c r="Q342" s="95">
        <v>10000.000000000002</v>
      </c>
      <c r="S342" s="98">
        <v>2830.0367660084376</v>
      </c>
      <c r="T342" s="95">
        <v>2697.6527900913616</v>
      </c>
      <c r="U342" s="99">
        <v>1680.811595890086</v>
      </c>
      <c r="W342" s="121">
        <v>13219.066391176806</v>
      </c>
      <c r="X342" s="59">
        <v>125802.44520772374</v>
      </c>
      <c r="Y342" s="59">
        <v>165612.13376104552</v>
      </c>
      <c r="Z342" s="59">
        <v>523471.46446732961</v>
      </c>
      <c r="AA342" s="59">
        <v>1471579.2806749812</v>
      </c>
      <c r="AB342" s="59">
        <v>3192761.0261188298</v>
      </c>
      <c r="AC342" s="59">
        <v>1899843.7053704667</v>
      </c>
      <c r="AD342" s="59">
        <v>7392289.1219915533</v>
      </c>
      <c r="AE342" s="59">
        <v>1949217690.521914</v>
      </c>
      <c r="AF342" s="68">
        <v>7392289.1219915533</v>
      </c>
    </row>
    <row r="343" spans="1:32" x14ac:dyDescent="0.2">
      <c r="A343" s="95">
        <v>306</v>
      </c>
      <c r="B343" s="95">
        <v>25</v>
      </c>
      <c r="C343" s="95">
        <v>6</v>
      </c>
      <c r="D343" s="95"/>
      <c r="E343" s="95">
        <v>65.891816927326985</v>
      </c>
      <c r="F343" s="95">
        <v>629.35086468719931</v>
      </c>
      <c r="G343" s="95">
        <v>829.67464070775793</v>
      </c>
      <c r="H343" s="95">
        <v>1275.5925126657794</v>
      </c>
      <c r="I343" s="95">
        <v>3088.1882674893282</v>
      </c>
      <c r="J343" s="95"/>
      <c r="K343" s="95"/>
      <c r="L343" s="95">
        <v>120.9306371996189</v>
      </c>
      <c r="M343" s="95">
        <v>482.25415788631165</v>
      </c>
      <c r="N343" s="95">
        <v>195.16141725841007</v>
      </c>
      <c r="O343" s="95">
        <v>2843.3177294412417</v>
      </c>
      <c r="P343" s="95">
        <v>469.63795573702834</v>
      </c>
      <c r="Q343" s="95">
        <v>10000.000000000002</v>
      </c>
      <c r="S343" s="98">
        <v>2843.3177294412417</v>
      </c>
      <c r="T343" s="95">
        <v>2707.6985719324439</v>
      </c>
      <c r="U343" s="99">
        <v>1687.8358762986966</v>
      </c>
      <c r="W343" s="121">
        <v>13080.266194069449</v>
      </c>
      <c r="X343" s="59">
        <v>124945.8786175772</v>
      </c>
      <c r="Y343" s="59">
        <v>164722.90397666901</v>
      </c>
      <c r="Z343" s="59">
        <v>521428.29828989482</v>
      </c>
      <c r="AA343" s="59">
        <v>1469867.6677546776</v>
      </c>
      <c r="AB343" s="59">
        <v>3191908.2928818897</v>
      </c>
      <c r="AC343" s="59">
        <v>1899187.9053383111</v>
      </c>
      <c r="AD343" s="59">
        <v>7385141.2130530886</v>
      </c>
      <c r="AE343" s="59">
        <v>1956602831.734967</v>
      </c>
      <c r="AF343" s="68">
        <v>7385141.2130530886</v>
      </c>
    </row>
    <row r="344" spans="1:32" x14ac:dyDescent="0.2">
      <c r="A344" s="95">
        <v>307</v>
      </c>
      <c r="B344" s="95">
        <v>25</v>
      </c>
      <c r="C344" s="95">
        <v>7</v>
      </c>
      <c r="D344" s="95"/>
      <c r="E344" s="95">
        <v>65.216425803821878</v>
      </c>
      <c r="F344" s="95">
        <v>625.22073251169616</v>
      </c>
      <c r="G344" s="95">
        <v>825.42095893852752</v>
      </c>
      <c r="H344" s="95">
        <v>1270.9207351940881</v>
      </c>
      <c r="I344" s="95">
        <v>3085.3354027966084</v>
      </c>
      <c r="J344" s="95"/>
      <c r="K344" s="95"/>
      <c r="L344" s="95">
        <v>120.83071252721379</v>
      </c>
      <c r="M344" s="95">
        <v>482.33590138722735</v>
      </c>
      <c r="N344" s="95">
        <v>195.1402762698936</v>
      </c>
      <c r="O344" s="95">
        <v>2856.5973766764864</v>
      </c>
      <c r="P344" s="95">
        <v>472.98147789443919</v>
      </c>
      <c r="Q344" s="95">
        <v>10000.000000000002</v>
      </c>
      <c r="S344" s="98">
        <v>2856.5973766764864</v>
      </c>
      <c r="T344" s="95">
        <v>2717.7351838017844</v>
      </c>
      <c r="U344" s="99">
        <v>1694.8568097829211</v>
      </c>
      <c r="W344" s="121">
        <v>12942.923399031719</v>
      </c>
      <c r="X344" s="59">
        <v>124094.66849713169</v>
      </c>
      <c r="Y344" s="59">
        <v>163837.16606579433</v>
      </c>
      <c r="Z344" s="59">
        <v>519388.10742144374</v>
      </c>
      <c r="AA344" s="59">
        <v>1468141.9028189362</v>
      </c>
      <c r="AB344" s="59">
        <v>3191011.148937034</v>
      </c>
      <c r="AC344" s="59">
        <v>1898506.219085526</v>
      </c>
      <c r="AD344" s="59">
        <v>7377922.1362248976</v>
      </c>
      <c r="AE344" s="59">
        <v>1963980753.871192</v>
      </c>
      <c r="AF344" s="68">
        <v>7377922.1362248976</v>
      </c>
    </row>
    <row r="345" spans="1:32" x14ac:dyDescent="0.2">
      <c r="A345" s="95">
        <v>308</v>
      </c>
      <c r="B345" s="95">
        <v>25</v>
      </c>
      <c r="C345" s="95">
        <v>8</v>
      </c>
      <c r="D345" s="95"/>
      <c r="E345" s="95">
        <v>64.547957439332706</v>
      </c>
      <c r="F345" s="95">
        <v>621.11533544173642</v>
      </c>
      <c r="G345" s="95">
        <v>821.18268572496413</v>
      </c>
      <c r="H345" s="95">
        <v>1266.2539173090001</v>
      </c>
      <c r="I345" s="95">
        <v>3082.4514041730681</v>
      </c>
      <c r="J345" s="95"/>
      <c r="K345" s="95"/>
      <c r="L345" s="95">
        <v>120.72835542327984</v>
      </c>
      <c r="M345" s="95">
        <v>482.41167021150102</v>
      </c>
      <c r="N345" s="95">
        <v>195.11646674993281</v>
      </c>
      <c r="O345" s="95">
        <v>2869.8755190600336</v>
      </c>
      <c r="P345" s="95">
        <v>476.31668846715371</v>
      </c>
      <c r="Q345" s="95">
        <v>10000.000000000002</v>
      </c>
      <c r="S345" s="98">
        <v>2869.8755190600336</v>
      </c>
      <c r="T345" s="95">
        <v>2727.7625238608734</v>
      </c>
      <c r="U345" s="99">
        <v>1701.8743118983657</v>
      </c>
      <c r="W345" s="121">
        <v>12807.022703341885</v>
      </c>
      <c r="X345" s="59">
        <v>123248.7870970447</v>
      </c>
      <c r="Y345" s="59">
        <v>162954.92043244172</v>
      </c>
      <c r="Z345" s="59">
        <v>517350.93276068766</v>
      </c>
      <c r="AA345" s="59">
        <v>1466402.0924728983</v>
      </c>
      <c r="AB345" s="59">
        <v>3190069.8749165898</v>
      </c>
      <c r="AC345" s="59">
        <v>1897798.7867962841</v>
      </c>
      <c r="AD345" s="59">
        <v>7370632.4171792883</v>
      </c>
      <c r="AE345" s="59">
        <v>1971351386.2883713</v>
      </c>
      <c r="AF345" s="68">
        <v>7370632.4171792883</v>
      </c>
    </row>
    <row r="346" spans="1:32" x14ac:dyDescent="0.2">
      <c r="A346" s="95">
        <v>309</v>
      </c>
      <c r="B346" s="95">
        <v>25</v>
      </c>
      <c r="C346" s="95">
        <v>9</v>
      </c>
      <c r="D346" s="95"/>
      <c r="E346" s="95">
        <v>63.886340875579542</v>
      </c>
      <c r="F346" s="95">
        <v>617.03455339967013</v>
      </c>
      <c r="G346" s="95">
        <v>816.95983448423101</v>
      </c>
      <c r="H346" s="95">
        <v>1261.5921626736083</v>
      </c>
      <c r="I346" s="95">
        <v>3079.5364726365374</v>
      </c>
      <c r="J346" s="95"/>
      <c r="K346" s="95"/>
      <c r="L346" s="95">
        <v>120.62359961378871</v>
      </c>
      <c r="M346" s="95">
        <v>482.4814739472464</v>
      </c>
      <c r="N346" s="95">
        <v>195.09000102483841</v>
      </c>
      <c r="O346" s="95">
        <v>2883.1519689811125</v>
      </c>
      <c r="P346" s="95">
        <v>479.6435923633901</v>
      </c>
      <c r="Q346" s="95">
        <v>10000.000000000002</v>
      </c>
      <c r="S346" s="98">
        <v>2883.1519689811125</v>
      </c>
      <c r="T346" s="95">
        <v>2737.780490924436</v>
      </c>
      <c r="U346" s="99">
        <v>1708.8882986818314</v>
      </c>
      <c r="W346" s="121">
        <v>12672.548964956795</v>
      </c>
      <c r="X346" s="59">
        <v>122408.20673614211</v>
      </c>
      <c r="Y346" s="59">
        <v>162076.16727973038</v>
      </c>
      <c r="Z346" s="59">
        <v>515316.81478862785</v>
      </c>
      <c r="AA346" s="59">
        <v>1464648.3432312163</v>
      </c>
      <c r="AB346" s="59">
        <v>3189084.7493485454</v>
      </c>
      <c r="AC346" s="59">
        <v>1897065.749028581</v>
      </c>
      <c r="AD346" s="59">
        <v>7363272.5793778002</v>
      </c>
      <c r="AE346" s="59">
        <v>1978714658.8677492</v>
      </c>
      <c r="AF346" s="68">
        <v>7363272.5793778002</v>
      </c>
    </row>
    <row r="347" spans="1:32" x14ac:dyDescent="0.2">
      <c r="A347" s="95">
        <v>310</v>
      </c>
      <c r="B347" s="95">
        <v>25</v>
      </c>
      <c r="C347" s="95">
        <v>10</v>
      </c>
      <c r="D347" s="95"/>
      <c r="E347" s="95">
        <v>63.231505881604853</v>
      </c>
      <c r="F347" s="95">
        <v>612.97826652659285</v>
      </c>
      <c r="G347" s="95">
        <v>812.75241764206089</v>
      </c>
      <c r="H347" s="95">
        <v>1256.935574031269</v>
      </c>
      <c r="I347" s="95">
        <v>3076.5908092185859</v>
      </c>
      <c r="J347" s="95"/>
      <c r="K347" s="95"/>
      <c r="L347" s="95">
        <v>120.51647831485619</v>
      </c>
      <c r="M347" s="95">
        <v>482.54532247763785</v>
      </c>
      <c r="N347" s="95">
        <v>195.06089145611398</v>
      </c>
      <c r="O347" s="95">
        <v>2896.4265398685629</v>
      </c>
      <c r="P347" s="95">
        <v>482.96219458271787</v>
      </c>
      <c r="Q347" s="95">
        <v>10000.000000000002</v>
      </c>
      <c r="S347" s="98">
        <v>2896.4265398685629</v>
      </c>
      <c r="T347" s="95">
        <v>2747.7889844605047</v>
      </c>
      <c r="U347" s="99">
        <v>1715.8986866500866</v>
      </c>
      <c r="W347" s="121">
        <v>12539.487200824751</v>
      </c>
      <c r="X347" s="59">
        <v>121572.89980245067</v>
      </c>
      <c r="Y347" s="59">
        <v>161200.90661252095</v>
      </c>
      <c r="Z347" s="59">
        <v>513285.79356877023</v>
      </c>
      <c r="AA347" s="59">
        <v>1462880.7615138213</v>
      </c>
      <c r="AB347" s="59">
        <v>3188056.0487120692</v>
      </c>
      <c r="AC347" s="59">
        <v>1896307.2466765668</v>
      </c>
      <c r="AD347" s="59">
        <v>7355843.144087024</v>
      </c>
      <c r="AE347" s="59">
        <v>1986070502.0118363</v>
      </c>
      <c r="AF347" s="68">
        <v>7355843.144087024</v>
      </c>
    </row>
    <row r="348" spans="1:32" x14ac:dyDescent="0.2">
      <c r="A348" s="95">
        <v>311</v>
      </c>
      <c r="B348" s="95">
        <v>25</v>
      </c>
      <c r="C348" s="95">
        <v>11</v>
      </c>
      <c r="D348" s="95"/>
      <c r="E348" s="95">
        <v>62.583382946318402</v>
      </c>
      <c r="F348" s="95">
        <v>608.94635518777852</v>
      </c>
      <c r="G348" s="95">
        <v>808.56044664471597</v>
      </c>
      <c r="H348" s="95">
        <v>1252.2842532050383</v>
      </c>
      <c r="I348" s="95">
        <v>3073.6146149555634</v>
      </c>
      <c r="J348" s="95"/>
      <c r="K348" s="95"/>
      <c r="L348" s="95">
        <v>120.40702424305422</v>
      </c>
      <c r="M348" s="95">
        <v>482.60322597694653</v>
      </c>
      <c r="N348" s="95">
        <v>195.02915043798501</v>
      </c>
      <c r="O348" s="95">
        <v>2909.6990461871096</v>
      </c>
      <c r="P348" s="95">
        <v>486.27250021549224</v>
      </c>
      <c r="Q348" s="95">
        <v>10000.000000000002</v>
      </c>
      <c r="S348" s="98">
        <v>2909.6990461871096</v>
      </c>
      <c r="T348" s="95">
        <v>2757.7879045904651</v>
      </c>
      <c r="U348" s="99">
        <v>1722.9053927986656</v>
      </c>
      <c r="W348" s="121">
        <v>12407.82258521609</v>
      </c>
      <c r="X348" s="59">
        <v>120742.83875420618</v>
      </c>
      <c r="Y348" s="59">
        <v>160329.13824003705</v>
      </c>
      <c r="Z348" s="59">
        <v>511257.90874739247</v>
      </c>
      <c r="AA348" s="59">
        <v>1461099.4536417131</v>
      </c>
      <c r="AB348" s="59">
        <v>3186984.0474914783</v>
      </c>
      <c r="AC348" s="59">
        <v>1895523.420934723</v>
      </c>
      <c r="AD348" s="59">
        <v>7348344.6303947661</v>
      </c>
      <c r="AE348" s="59">
        <v>1993418846.642231</v>
      </c>
      <c r="AF348" s="68">
        <v>7348344.6303947661</v>
      </c>
    </row>
    <row r="349" spans="1:32" x14ac:dyDescent="0.2">
      <c r="A349" s="95">
        <v>312</v>
      </c>
      <c r="B349" s="95">
        <v>26</v>
      </c>
      <c r="C349" s="95">
        <v>0</v>
      </c>
      <c r="D349" s="95"/>
      <c r="E349" s="95">
        <v>61.94190327111864</v>
      </c>
      <c r="F349" s="95">
        <v>604.93869997799777</v>
      </c>
      <c r="G349" s="95">
        <v>804.38393197085986</v>
      </c>
      <c r="H349" s="95">
        <v>1247.6383010972343</v>
      </c>
      <c r="I349" s="95">
        <v>3070.6080908796807</v>
      </c>
      <c r="J349" s="95"/>
      <c r="K349" s="95"/>
      <c r="L349" s="95">
        <v>120.31546351003331</v>
      </c>
      <c r="M349" s="95">
        <v>482.63500102207854</v>
      </c>
      <c r="N349" s="95">
        <v>194.99479039504254</v>
      </c>
      <c r="O349" s="95">
        <v>2922.9693034336656</v>
      </c>
      <c r="P349" s="95">
        <v>489.57451444229093</v>
      </c>
      <c r="Q349" s="95">
        <v>10000.000000000002</v>
      </c>
      <c r="S349" s="98">
        <v>2922.9693034336656</v>
      </c>
      <c r="T349" s="95">
        <v>2767.7771520890706</v>
      </c>
      <c r="U349" s="99">
        <v>1729.9083346006937</v>
      </c>
      <c r="W349" s="121">
        <v>12277.54044807132</v>
      </c>
      <c r="X349" s="59">
        <v>119917.99612083743</v>
      </c>
      <c r="Y349" s="59">
        <v>159460.86177846559</v>
      </c>
      <c r="Z349" s="59">
        <v>509233.19955386285</v>
      </c>
      <c r="AA349" s="59">
        <v>1459304.525832776</v>
      </c>
      <c r="AB349" s="59">
        <v>3185869.0182286901</v>
      </c>
      <c r="AC349" s="59">
        <v>1894714.4132638033</v>
      </c>
      <c r="AD349" s="59">
        <v>7340777.5552265067</v>
      </c>
      <c r="AE349" s="59">
        <v>2000759624.1974576</v>
      </c>
      <c r="AF349" s="68">
        <v>7340777.5552265067</v>
      </c>
    </row>
    <row r="350" spans="1:32" x14ac:dyDescent="0.2">
      <c r="A350" s="95">
        <v>313</v>
      </c>
      <c r="B350" s="95">
        <v>26</v>
      </c>
      <c r="C350" s="95">
        <v>1</v>
      </c>
      <c r="D350" s="95"/>
      <c r="E350" s="95">
        <v>61.306998762589672</v>
      </c>
      <c r="F350" s="95">
        <v>600.95518172672473</v>
      </c>
      <c r="G350" s="95">
        <v>800.22288314334332</v>
      </c>
      <c r="H350" s="95">
        <v>1242.9978176891209</v>
      </c>
      <c r="I350" s="95">
        <v>3067.571438010129</v>
      </c>
      <c r="J350" s="95"/>
      <c r="K350" s="95"/>
      <c r="L350" s="95">
        <v>120.22118945390312</v>
      </c>
      <c r="M350" s="95">
        <v>482.66117896951147</v>
      </c>
      <c r="N350" s="95">
        <v>194.95782377999635</v>
      </c>
      <c r="O350" s="95">
        <v>2936.2372459313306</v>
      </c>
      <c r="P350" s="95">
        <v>492.868242533353</v>
      </c>
      <c r="Q350" s="95">
        <v>10000.000000000002</v>
      </c>
      <c r="S350" s="98">
        <v>2936.2372459313306</v>
      </c>
      <c r="T350" s="95">
        <v>2777.7566283844294</v>
      </c>
      <c r="U350" s="99">
        <v>1736.9074300057353</v>
      </c>
      <c r="W350" s="121">
        <v>12148.626273366572</v>
      </c>
      <c r="X350" s="59">
        <v>119098.34450392623</v>
      </c>
      <c r="Y350" s="59">
        <v>158596.07665353635</v>
      </c>
      <c r="Z350" s="59">
        <v>507211.70480100793</v>
      </c>
      <c r="AA350" s="59">
        <v>1457496.0841976188</v>
      </c>
      <c r="AB350" s="59">
        <v>3184710.2949221591</v>
      </c>
      <c r="AC350" s="59">
        <v>1893880.3653584607</v>
      </c>
      <c r="AD350" s="59">
        <v>7333141.496710076</v>
      </c>
      <c r="AE350" s="59">
        <v>2008092765.6941676</v>
      </c>
      <c r="AF350" s="68">
        <v>7333141.496710076</v>
      </c>
    </row>
    <row r="351" spans="1:32" x14ac:dyDescent="0.2">
      <c r="A351" s="95">
        <v>314</v>
      </c>
      <c r="B351" s="95">
        <v>26</v>
      </c>
      <c r="C351" s="95">
        <v>2</v>
      </c>
      <c r="D351" s="95"/>
      <c r="E351" s="95">
        <v>60.678602025273129</v>
      </c>
      <c r="F351" s="95">
        <v>596.99568150323228</v>
      </c>
      <c r="G351" s="95">
        <v>796.07730874090248</v>
      </c>
      <c r="H351" s="95">
        <v>1238.362902040715</v>
      </c>
      <c r="I351" s="95">
        <v>3064.5048573442405</v>
      </c>
      <c r="J351" s="95"/>
      <c r="K351" s="95"/>
      <c r="L351" s="95">
        <v>120.12549378889827</v>
      </c>
      <c r="M351" s="95">
        <v>482.68051482567188</v>
      </c>
      <c r="N351" s="95">
        <v>194.91826240401264</v>
      </c>
      <c r="O351" s="95">
        <v>2949.5026875379349</v>
      </c>
      <c r="P351" s="95">
        <v>496.15368978912068</v>
      </c>
      <c r="Q351" s="95">
        <v>10000.000000000002</v>
      </c>
      <c r="S351" s="98">
        <v>2949.5026875379349</v>
      </c>
      <c r="T351" s="95">
        <v>2787.7262355579624</v>
      </c>
      <c r="U351" s="99">
        <v>1743.9025967711464</v>
      </c>
      <c r="W351" s="121">
        <v>12021.065697496224</v>
      </c>
      <c r="X351" s="59">
        <v>118283.85657814414</v>
      </c>
      <c r="Y351" s="59">
        <v>157734.7821030803</v>
      </c>
      <c r="Z351" s="59">
        <v>505193.46288553101</v>
      </c>
      <c r="AA351" s="59">
        <v>1455674.2347354414</v>
      </c>
      <c r="AB351" s="59">
        <v>3183508.1821416686</v>
      </c>
      <c r="AC351" s="59">
        <v>1893021.409356256</v>
      </c>
      <c r="AD351" s="59">
        <v>7325436.9934976175</v>
      </c>
      <c r="AE351" s="59">
        <v>2015418202.6876652</v>
      </c>
      <c r="AF351" s="68">
        <v>7325436.9934976175</v>
      </c>
    </row>
    <row r="352" spans="1:32" x14ac:dyDescent="0.2">
      <c r="A352" s="95">
        <v>315</v>
      </c>
      <c r="B352" s="95">
        <v>26</v>
      </c>
      <c r="C352" s="95">
        <v>3</v>
      </c>
      <c r="D352" s="95"/>
      <c r="E352" s="95">
        <v>60.056646354514079</v>
      </c>
      <c r="F352" s="95">
        <v>593.06008062157923</v>
      </c>
      <c r="G352" s="95">
        <v>791.94721640977093</v>
      </c>
      <c r="H352" s="95">
        <v>1233.7336522907101</v>
      </c>
      <c r="I352" s="95">
        <v>3061.4085498486916</v>
      </c>
      <c r="J352" s="95"/>
      <c r="K352" s="95"/>
      <c r="L352" s="95">
        <v>120.02838777362626</v>
      </c>
      <c r="M352" s="95">
        <v>482.69303644668491</v>
      </c>
      <c r="N352" s="95">
        <v>194.87611815131871</v>
      </c>
      <c r="O352" s="95">
        <v>2962.7654505026489</v>
      </c>
      <c r="P352" s="95">
        <v>499.43086160045715</v>
      </c>
      <c r="Q352" s="95">
        <v>10000.000000000002</v>
      </c>
      <c r="S352" s="98">
        <v>2962.7654505026489</v>
      </c>
      <c r="T352" s="95">
        <v>2797.6858763443311</v>
      </c>
      <c r="U352" s="99">
        <v>1750.8937531535305</v>
      </c>
      <c r="W352" s="121">
        <v>11894.844507672513</v>
      </c>
      <c r="X352" s="59">
        <v>117474.50509216593</v>
      </c>
      <c r="Y352" s="59">
        <v>156876.97717956739</v>
      </c>
      <c r="Z352" s="59">
        <v>503178.51178847806</v>
      </c>
      <c r="AA352" s="59">
        <v>1453839.0833299272</v>
      </c>
      <c r="AB352" s="59">
        <v>3182262.9238670478</v>
      </c>
      <c r="AC352" s="59">
        <v>1892137.6782959155</v>
      </c>
      <c r="AD352" s="59">
        <v>7317664.5240607746</v>
      </c>
      <c r="AE352" s="59">
        <v>2022735867.211726</v>
      </c>
      <c r="AF352" s="68">
        <v>7317664.5240607746</v>
      </c>
    </row>
    <row r="353" spans="1:32" x14ac:dyDescent="0.2">
      <c r="A353" s="95">
        <v>316</v>
      </c>
      <c r="B353" s="95">
        <v>26</v>
      </c>
      <c r="C353" s="95">
        <v>4</v>
      </c>
      <c r="D353" s="95"/>
      <c r="E353" s="95">
        <v>59.441065729380313</v>
      </c>
      <c r="F353" s="95">
        <v>589.14826064548879</v>
      </c>
      <c r="G353" s="95">
        <v>787.83261287520452</v>
      </c>
      <c r="H353" s="95">
        <v>1229.110165656519</v>
      </c>
      <c r="I353" s="95">
        <v>3058.2827164507457</v>
      </c>
      <c r="J353" s="95"/>
      <c r="K353" s="95"/>
      <c r="L353" s="95">
        <v>119.92988259425073</v>
      </c>
      <c r="M353" s="95">
        <v>482.69877174230771</v>
      </c>
      <c r="N353" s="95">
        <v>194.83140293343052</v>
      </c>
      <c r="O353" s="95">
        <v>2976.0253579282689</v>
      </c>
      <c r="P353" s="95">
        <v>502.69976344440556</v>
      </c>
      <c r="Q353" s="95">
        <v>10000.000000000002</v>
      </c>
      <c r="S353" s="98">
        <v>2976.0253579282689</v>
      </c>
      <c r="T353" s="95">
        <v>2807.6354541313394</v>
      </c>
      <c r="U353" s="99">
        <v>1757.8808178656025</v>
      </c>
      <c r="W353" s="121">
        <v>11769.948640341951</v>
      </c>
      <c r="X353" s="59">
        <v>116670.26286956044</v>
      </c>
      <c r="Y353" s="59">
        <v>156022.66075262323</v>
      </c>
      <c r="Z353" s="59">
        <v>501166.88907575089</v>
      </c>
      <c r="AA353" s="59">
        <v>1451990.7357451608</v>
      </c>
      <c r="AB353" s="59">
        <v>3180974.7636206378</v>
      </c>
      <c r="AC353" s="59">
        <v>1891229.3054504655</v>
      </c>
      <c r="AD353" s="59">
        <v>7309824.5661545405</v>
      </c>
      <c r="AE353" s="59">
        <v>2030045691.7778804</v>
      </c>
      <c r="AF353" s="68">
        <v>7309824.5661545405</v>
      </c>
    </row>
    <row r="354" spans="1:32" x14ac:dyDescent="0.2">
      <c r="A354" s="95">
        <v>317</v>
      </c>
      <c r="B354" s="95">
        <v>26</v>
      </c>
      <c r="C354" s="95">
        <v>5</v>
      </c>
      <c r="D354" s="95"/>
      <c r="E354" s="95">
        <v>58.831794805654162</v>
      </c>
      <c r="F354" s="95">
        <v>585.26010339312199</v>
      </c>
      <c r="G354" s="95">
        <v>783.73350395292039</v>
      </c>
      <c r="H354" s="95">
        <v>1224.4925384344299</v>
      </c>
      <c r="I354" s="95">
        <v>3055.1275580295428</v>
      </c>
      <c r="J354" s="95"/>
      <c r="K354" s="95"/>
      <c r="L354" s="95">
        <v>119.82998936574371</v>
      </c>
      <c r="M354" s="95">
        <v>482.6977486752632</v>
      </c>
      <c r="N354" s="95">
        <v>194.78412868801561</v>
      </c>
      <c r="O354" s="95">
        <v>2989.2822337715911</v>
      </c>
      <c r="P354" s="95">
        <v>505.96040088371922</v>
      </c>
      <c r="Q354" s="95">
        <v>10000.000000000002</v>
      </c>
      <c r="S354" s="98">
        <v>2989.2822337715911</v>
      </c>
      <c r="T354" s="95">
        <v>2817.5748729598045</v>
      </c>
      <c r="U354" s="99">
        <v>1764.8637100760354</v>
      </c>
      <c r="W354" s="121">
        <v>11646.36417961836</v>
      </c>
      <c r="X354" s="59">
        <v>115871.10280965889</v>
      </c>
      <c r="Y354" s="59">
        <v>155171.83151152523</v>
      </c>
      <c r="Z354" s="59">
        <v>499158.63189866778</v>
      </c>
      <c r="AA354" s="59">
        <v>1450129.2976215754</v>
      </c>
      <c r="AB354" s="59">
        <v>3179643.9444740848</v>
      </c>
      <c r="AC354" s="59">
        <v>1890296.4243111</v>
      </c>
      <c r="AD354" s="59">
        <v>7301917.59680623</v>
      </c>
      <c r="AE354" s="59">
        <v>2037347609.3746867</v>
      </c>
      <c r="AF354" s="68">
        <v>7301917.59680623</v>
      </c>
    </row>
    <row r="355" spans="1:32" x14ac:dyDescent="0.2">
      <c r="A355" s="95">
        <v>318</v>
      </c>
      <c r="B355" s="95">
        <v>26</v>
      </c>
      <c r="C355" s="95">
        <v>6</v>
      </c>
      <c r="D355" s="95"/>
      <c r="E355" s="95">
        <v>58.228768908896207</v>
      </c>
      <c r="F355" s="95">
        <v>581.39549094174595</v>
      </c>
      <c r="G355" s="95">
        <v>779.6498945604493</v>
      </c>
      <c r="H355" s="95">
        <v>1219.8808659998758</v>
      </c>
      <c r="I355" s="95">
        <v>3051.9432754074305</v>
      </c>
      <c r="J355" s="95"/>
      <c r="K355" s="95"/>
      <c r="L355" s="95">
        <v>119.7287191331052</v>
      </c>
      <c r="M355" s="95">
        <v>482.68999526056194</v>
      </c>
      <c r="N355" s="95">
        <v>194.73430737778989</v>
      </c>
      <c r="O355" s="95">
        <v>3002.535902843756</v>
      </c>
      <c r="P355" s="95">
        <v>509.21277956639159</v>
      </c>
      <c r="Q355" s="95">
        <v>10000.000000000002</v>
      </c>
      <c r="S355" s="98">
        <v>3002.535902843756</v>
      </c>
      <c r="T355" s="95">
        <v>2827.5040375234003</v>
      </c>
      <c r="U355" s="99">
        <v>1771.8423494093022</v>
      </c>
      <c r="W355" s="121">
        <v>11524.077355732366</v>
      </c>
      <c r="X355" s="59">
        <v>115076.99788840118</v>
      </c>
      <c r="Y355" s="59">
        <v>154324.48796767808</v>
      </c>
      <c r="Z355" s="59">
        <v>497153.77699456841</v>
      </c>
      <c r="AA355" s="59">
        <v>1448254.8744719233</v>
      </c>
      <c r="AB355" s="59">
        <v>3178270.7090548105</v>
      </c>
      <c r="AC355" s="59">
        <v>1889339.1685716077</v>
      </c>
      <c r="AD355" s="59">
        <v>7293944.0923047215</v>
      </c>
      <c r="AE355" s="59">
        <v>2044641553.4669914</v>
      </c>
      <c r="AF355" s="68">
        <v>7293944.0923047215</v>
      </c>
    </row>
    <row r="356" spans="1:32" x14ac:dyDescent="0.2">
      <c r="A356" s="95">
        <v>319</v>
      </c>
      <c r="B356" s="95">
        <v>26</v>
      </c>
      <c r="C356" s="95">
        <v>7</v>
      </c>
      <c r="D356" s="95"/>
      <c r="E356" s="95">
        <v>57.63192402758002</v>
      </c>
      <c r="F356" s="95">
        <v>577.55430563229947</v>
      </c>
      <c r="G356" s="95">
        <v>775.58178872840199</v>
      </c>
      <c r="H356" s="95">
        <v>1215.2752428078149</v>
      </c>
      <c r="I356" s="95">
        <v>3048.7300693413426</v>
      </c>
      <c r="J356" s="95"/>
      <c r="K356" s="95"/>
      <c r="L356" s="95">
        <v>119.62608287255058</v>
      </c>
      <c r="M356" s="95">
        <v>482.67553956481242</v>
      </c>
      <c r="N356" s="95">
        <v>194.68195098944742</v>
      </c>
      <c r="O356" s="95">
        <v>3015.7861908105665</v>
      </c>
      <c r="P356" s="95">
        <v>512.45690522518657</v>
      </c>
      <c r="Q356" s="95">
        <v>10000.000000000002</v>
      </c>
      <c r="S356" s="98">
        <v>3015.7861908105665</v>
      </c>
      <c r="T356" s="95">
        <v>2837.4228531684744</v>
      </c>
      <c r="U356" s="99">
        <v>1778.8166559455083</v>
      </c>
      <c r="W356" s="121">
        <v>11403.074543497178</v>
      </c>
      <c r="X356" s="59">
        <v>114287.92115916041</v>
      </c>
      <c r="Y356" s="59">
        <v>153480.62845706838</v>
      </c>
      <c r="Z356" s="59">
        <v>495152.36068746442</v>
      </c>
      <c r="AA356" s="59">
        <v>1446367.5716772785</v>
      </c>
      <c r="AB356" s="59">
        <v>3176855.2995521664</v>
      </c>
      <c r="AC356" s="59">
        <v>1888357.6721133362</v>
      </c>
      <c r="AD356" s="59">
        <v>7285904.5281899711</v>
      </c>
      <c r="AE356" s="59">
        <v>2051927457.9951813</v>
      </c>
      <c r="AF356" s="68">
        <v>7285904.5281899711</v>
      </c>
    </row>
    <row r="357" spans="1:32" x14ac:dyDescent="0.2">
      <c r="A357" s="95">
        <v>320</v>
      </c>
      <c r="B357" s="95">
        <v>26</v>
      </c>
      <c r="C357" s="95">
        <v>8</v>
      </c>
      <c r="D357" s="95"/>
      <c r="E357" s="95">
        <v>57.041196806297322</v>
      </c>
      <c r="F357" s="95">
        <v>573.73643007385681</v>
      </c>
      <c r="G357" s="95">
        <v>771.52918961164926</v>
      </c>
      <c r="H357" s="95">
        <v>1210.6757623932194</v>
      </c>
      <c r="I357" s="95">
        <v>3045.4881405142232</v>
      </c>
      <c r="J357" s="95"/>
      <c r="K357" s="95"/>
      <c r="L357" s="95">
        <v>119.52209149266668</v>
      </c>
      <c r="M357" s="95">
        <v>482.65440970552004</v>
      </c>
      <c r="N357" s="95">
        <v>194.62707153262147</v>
      </c>
      <c r="O357" s="95">
        <v>3029.0329241927798</v>
      </c>
      <c r="P357" s="95">
        <v>515.69278367716868</v>
      </c>
      <c r="Q357" s="95">
        <v>10000.000000000002</v>
      </c>
      <c r="S357" s="98">
        <v>3029.0329241927798</v>
      </c>
      <c r="T357" s="95">
        <v>2847.3312258938336</v>
      </c>
      <c r="U357" s="99">
        <v>1785.7865502202183</v>
      </c>
      <c r="W357" s="121">
        <v>11283.342260790458</v>
      </c>
      <c r="X357" s="59">
        <v>113503.84575354608</v>
      </c>
      <c r="Y357" s="59">
        <v>152640.25114269895</v>
      </c>
      <c r="Z357" s="59">
        <v>493154.41888873314</v>
      </c>
      <c r="AA357" s="59">
        <v>1444467.4944830642</v>
      </c>
      <c r="AB357" s="59">
        <v>3175397.9577232813</v>
      </c>
      <c r="AC357" s="59">
        <v>1887352.0689906713</v>
      </c>
      <c r="AD357" s="59">
        <v>7277799.3792427853</v>
      </c>
      <c r="AE357" s="59">
        <v>2059205257.3744242</v>
      </c>
      <c r="AF357" s="68">
        <v>7277799.3792427853</v>
      </c>
    </row>
    <row r="358" spans="1:32" x14ac:dyDescent="0.2">
      <c r="A358" s="95">
        <v>321</v>
      </c>
      <c r="B358" s="95">
        <v>26</v>
      </c>
      <c r="C358" s="95">
        <v>9</v>
      </c>
      <c r="D358" s="95"/>
      <c r="E358" s="95">
        <v>56.456524539032777</v>
      </c>
      <c r="F358" s="95">
        <v>569.94174714799146</v>
      </c>
      <c r="G358" s="95">
        <v>767.49209950041677</v>
      </c>
      <c r="H358" s="95">
        <v>1206.0825173716714</v>
      </c>
      <c r="I358" s="95">
        <v>3042.2176895264961</v>
      </c>
      <c r="J358" s="95"/>
      <c r="K358" s="95"/>
      <c r="L358" s="95">
        <v>119.4167558355372</v>
      </c>
      <c r="M358" s="95">
        <v>482.62663385037496</v>
      </c>
      <c r="N358" s="95">
        <v>194.5696810388757</v>
      </c>
      <c r="O358" s="95">
        <v>3042.2759303663724</v>
      </c>
      <c r="P358" s="95">
        <v>518.92042082323371</v>
      </c>
      <c r="Q358" s="95">
        <v>10000.000000000002</v>
      </c>
      <c r="S358" s="98">
        <v>3042.2759303663724</v>
      </c>
      <c r="T358" s="95">
        <v>2857.2290623505046</v>
      </c>
      <c r="U358" s="99">
        <v>1792.7519532242745</v>
      </c>
      <c r="W358" s="121">
        <v>11164.867167052156</v>
      </c>
      <c r="X358" s="59">
        <v>112724.744882186</v>
      </c>
      <c r="Y358" s="59">
        <v>151803.35401700257</v>
      </c>
      <c r="Z358" s="59">
        <v>491159.98709785461</v>
      </c>
      <c r="AA358" s="59">
        <v>1442554.7479951088</v>
      </c>
      <c r="AB358" s="59">
        <v>3173898.9248986058</v>
      </c>
      <c r="AC358" s="59">
        <v>1886322.4934170118</v>
      </c>
      <c r="AD358" s="59">
        <v>7269629.1194748217</v>
      </c>
      <c r="AE358" s="59">
        <v>2066474886.4938991</v>
      </c>
      <c r="AF358" s="68">
        <v>7269629.1194748217</v>
      </c>
    </row>
    <row r="359" spans="1:32" x14ac:dyDescent="0.2">
      <c r="A359" s="95">
        <v>322</v>
      </c>
      <c r="B359" s="95">
        <v>26</v>
      </c>
      <c r="C359" s="95">
        <v>10</v>
      </c>
      <c r="D359" s="95"/>
      <c r="E359" s="95">
        <v>55.87784516250769</v>
      </c>
      <c r="F359" s="95">
        <v>566.17014001304142</v>
      </c>
      <c r="G359" s="95">
        <v>763.47051983129404</v>
      </c>
      <c r="H359" s="95">
        <v>1201.4955994400636</v>
      </c>
      <c r="I359" s="95">
        <v>3038.9189168875837</v>
      </c>
      <c r="J359" s="95"/>
      <c r="K359" s="95"/>
      <c r="L359" s="95">
        <v>119.31008667783837</v>
      </c>
      <c r="M359" s="95">
        <v>482.59224021652932</v>
      </c>
      <c r="N359" s="95">
        <v>194.50979156072401</v>
      </c>
      <c r="O359" s="95">
        <v>3055.5150375627818</v>
      </c>
      <c r="P359" s="95">
        <v>522.13982264763888</v>
      </c>
      <c r="Q359" s="95">
        <v>10000.000000000004</v>
      </c>
      <c r="S359" s="98">
        <v>3055.5150375627818</v>
      </c>
      <c r="T359" s="95">
        <v>2867.1162698414655</v>
      </c>
      <c r="U359" s="99">
        <v>1799.712786403609</v>
      </c>
      <c r="W359" s="121">
        <v>11047.63606179811</v>
      </c>
      <c r="X359" s="59">
        <v>111950.59183548765</v>
      </c>
      <c r="Y359" s="59">
        <v>150969.93490423527</v>
      </c>
      <c r="Z359" s="59">
        <v>489169.10040319024</v>
      </c>
      <c r="AA359" s="59">
        <v>1440629.4371757333</v>
      </c>
      <c r="AB359" s="59">
        <v>3172358.4419871662</v>
      </c>
      <c r="AC359" s="59">
        <v>1885269.0797512147</v>
      </c>
      <c r="AD359" s="59">
        <v>7261394.2221188257</v>
      </c>
      <c r="AE359" s="59">
        <v>2073736280.716018</v>
      </c>
      <c r="AF359" s="68">
        <v>7261394.2221188257</v>
      </c>
    </row>
    <row r="360" spans="1:32" x14ac:dyDescent="0.2">
      <c r="A360" s="95">
        <v>323</v>
      </c>
      <c r="B360" s="95">
        <v>26</v>
      </c>
      <c r="C360" s="95">
        <v>11</v>
      </c>
      <c r="D360" s="95"/>
      <c r="E360" s="95">
        <v>55.305097249591988</v>
      </c>
      <c r="F360" s="95">
        <v>562.42149210827699</v>
      </c>
      <c r="G360" s="95">
        <v>759.4644511981578</v>
      </c>
      <c r="H360" s="95">
        <v>1196.9150993774026</v>
      </c>
      <c r="I360" s="95">
        <v>3035.5920230074735</v>
      </c>
      <c r="J360" s="95"/>
      <c r="K360" s="95"/>
      <c r="L360" s="95">
        <v>119.20209473190526</v>
      </c>
      <c r="M360" s="95">
        <v>482.55125706986365</v>
      </c>
      <c r="N360" s="95">
        <v>194.44741517067814</v>
      </c>
      <c r="O360" s="95">
        <v>3068.7500748691191</v>
      </c>
      <c r="P360" s="95">
        <v>525.35099521753364</v>
      </c>
      <c r="Q360" s="95">
        <v>10000.000000000002</v>
      </c>
      <c r="S360" s="98">
        <v>3068.7500748691191</v>
      </c>
      <c r="T360" s="95">
        <v>2876.99275632135</v>
      </c>
      <c r="U360" s="99">
        <v>1806.6689716590458</v>
      </c>
      <c r="W360" s="121">
        <v>10931.635883149229</v>
      </c>
      <c r="X360" s="59">
        <v>111181.35998437885</v>
      </c>
      <c r="Y360" s="59">
        <v>150139.99146284946</v>
      </c>
      <c r="Z360" s="59">
        <v>487181.7934828031</v>
      </c>
      <c r="AA360" s="59">
        <v>1438691.6668398629</v>
      </c>
      <c r="AB360" s="59">
        <v>3170776.7494815309</v>
      </c>
      <c r="AC360" s="59">
        <v>1884191.9624844957</v>
      </c>
      <c r="AD360" s="59">
        <v>7253095.1596190706</v>
      </c>
      <c r="AE360" s="59">
        <v>2080989375.8756371</v>
      </c>
      <c r="AF360" s="68">
        <v>7253095.1596190706</v>
      </c>
    </row>
    <row r="361" spans="1:32" x14ac:dyDescent="0.2">
      <c r="A361" s="95">
        <v>324</v>
      </c>
      <c r="B361" s="95">
        <v>27</v>
      </c>
      <c r="C361" s="95">
        <v>0</v>
      </c>
      <c r="D361" s="95"/>
      <c r="E361" s="95">
        <v>54.73822000278367</v>
      </c>
      <c r="F361" s="95">
        <v>558.69568715797277</v>
      </c>
      <c r="G361" s="95">
        <v>755.4738933630108</v>
      </c>
      <c r="H361" s="95">
        <v>1192.3411070457139</v>
      </c>
      <c r="I361" s="95">
        <v>3032.237208188335</v>
      </c>
      <c r="J361" s="95"/>
      <c r="K361" s="95"/>
      <c r="L361" s="95">
        <v>119.09279064676969</v>
      </c>
      <c r="M361" s="95">
        <v>482.50371272424331</v>
      </c>
      <c r="N361" s="95">
        <v>194.38256396032159</v>
      </c>
      <c r="O361" s="95">
        <v>3081.9808722283615</v>
      </c>
      <c r="P361" s="95">
        <v>528.55394468249028</v>
      </c>
      <c r="Q361" s="95">
        <v>10000.000000000002</v>
      </c>
      <c r="S361" s="98">
        <v>3081.9808722283615</v>
      </c>
      <c r="T361" s="95">
        <v>2886.8584303961243</v>
      </c>
      <c r="U361" s="99">
        <v>1813.6204313460978</v>
      </c>
      <c r="W361" s="121">
        <v>10816.853706376161</v>
      </c>
      <c r="X361" s="59">
        <v>110417.0227810286</v>
      </c>
      <c r="Y361" s="59">
        <v>149313.52118784652</v>
      </c>
      <c r="Z361" s="59">
        <v>485198.10060531786</v>
      </c>
      <c r="AA361" s="59">
        <v>1436741.5416511742</v>
      </c>
      <c r="AB361" s="59">
        <v>3169154.0874624979</v>
      </c>
      <c r="AC361" s="59">
        <v>1883091.276227765</v>
      </c>
      <c r="AD361" s="59">
        <v>7244732.4036220061</v>
      </c>
      <c r="AE361" s="59">
        <v>2088234108.279259</v>
      </c>
      <c r="AF361" s="68">
        <v>7244732.4036220061</v>
      </c>
    </row>
    <row r="362" spans="1:32" x14ac:dyDescent="0.2">
      <c r="A362" s="95">
        <v>325</v>
      </c>
      <c r="B362" s="95">
        <v>27</v>
      </c>
      <c r="C362" s="95">
        <v>1</v>
      </c>
      <c r="D362" s="95"/>
      <c r="E362" s="95">
        <v>54.177153247755136</v>
      </c>
      <c r="F362" s="95">
        <v>554.99260917538527</v>
      </c>
      <c r="G362" s="95">
        <v>751.49884526673486</v>
      </c>
      <c r="H362" s="95">
        <v>1187.7737113910459</v>
      </c>
      <c r="I362" s="95">
        <v>3028.8546726161844</v>
      </c>
      <c r="J362" s="95"/>
      <c r="K362" s="95"/>
      <c r="L362" s="95">
        <v>118.98218500917028</v>
      </c>
      <c r="M362" s="95">
        <v>482.44963554076463</v>
      </c>
      <c r="N362" s="95">
        <v>194.3152500394088</v>
      </c>
      <c r="O362" s="95">
        <v>3095.2072604395184</v>
      </c>
      <c r="P362" s="95">
        <v>531.74867727403478</v>
      </c>
      <c r="Q362" s="95">
        <v>10000.000000000002</v>
      </c>
      <c r="S362" s="98">
        <v>3095.2072604395184</v>
      </c>
      <c r="T362" s="95">
        <v>2896.7132013227365</v>
      </c>
      <c r="U362" s="99">
        <v>1820.5670882747534</v>
      </c>
      <c r="W362" s="121">
        <v>10703.276742459213</v>
      </c>
      <c r="X362" s="59">
        <v>109657.55375954772</v>
      </c>
      <c r="Y362" s="59">
        <v>148490.52141310944</v>
      </c>
      <c r="Z362" s="59">
        <v>483218.05563082109</v>
      </c>
      <c r="AA362" s="59">
        <v>1434779.1661182654</v>
      </c>
      <c r="AB362" s="59">
        <v>3167490.6956035099</v>
      </c>
      <c r="AC362" s="59">
        <v>1881967.1556993807</v>
      </c>
      <c r="AD362" s="59">
        <v>7236306.4249670934</v>
      </c>
      <c r="AE362" s="59">
        <v>2095470414.704226</v>
      </c>
      <c r="AF362" s="68">
        <v>7236306.4249670934</v>
      </c>
    </row>
    <row r="363" spans="1:32" x14ac:dyDescent="0.2">
      <c r="A363" s="95">
        <v>326</v>
      </c>
      <c r="B363" s="95">
        <v>27</v>
      </c>
      <c r="C363" s="95">
        <v>2</v>
      </c>
      <c r="D363" s="95"/>
      <c r="E363" s="95">
        <v>53.621837426965648</v>
      </c>
      <c r="F363" s="95">
        <v>551.31214246663751</v>
      </c>
      <c r="G363" s="95">
        <v>747.53930503975982</v>
      </c>
      <c r="H363" s="95">
        <v>1183.213000444571</v>
      </c>
      <c r="I363" s="95">
        <v>3025.4446163526018</v>
      </c>
      <c r="J363" s="95"/>
      <c r="K363" s="95"/>
      <c r="L363" s="95">
        <v>118.87028834453541</v>
      </c>
      <c r="M363" s="95">
        <v>482.38905392699127</v>
      </c>
      <c r="N363" s="95">
        <v>194.24548553498863</v>
      </c>
      <c r="O363" s="95">
        <v>3108.4290711577737</v>
      </c>
      <c r="P363" s="95">
        <v>534.935199305178</v>
      </c>
      <c r="Q363" s="95">
        <v>10000.000000000004</v>
      </c>
      <c r="S363" s="98">
        <v>3108.4290711577737</v>
      </c>
      <c r="T363" s="95">
        <v>2906.5569790087393</v>
      </c>
      <c r="U363" s="99">
        <v>1827.5088657092551</v>
      </c>
      <c r="W363" s="121">
        <v>10590.89233666339</v>
      </c>
      <c r="X363" s="59">
        <v>108902.92653667025</v>
      </c>
      <c r="Y363" s="59">
        <v>147670.98931371531</v>
      </c>
      <c r="Z363" s="59">
        <v>481241.69201179931</v>
      </c>
      <c r="AA363" s="59">
        <v>1432804.6445908609</v>
      </c>
      <c r="AB363" s="59">
        <v>3165786.8131748037</v>
      </c>
      <c r="AC363" s="59">
        <v>1880819.7357132987</v>
      </c>
      <c r="AD363" s="59">
        <v>7227817.6936778119</v>
      </c>
      <c r="AE363" s="59">
        <v>2102698232.3979039</v>
      </c>
      <c r="AF363" s="68">
        <v>7227817.6936778119</v>
      </c>
    </row>
    <row r="364" spans="1:32" x14ac:dyDescent="0.2">
      <c r="A364" s="95">
        <v>327</v>
      </c>
      <c r="B364" s="95">
        <v>27</v>
      </c>
      <c r="C364" s="95">
        <v>3</v>
      </c>
      <c r="D364" s="95"/>
      <c r="E364" s="95">
        <v>53.072213593339249</v>
      </c>
      <c r="F364" s="95">
        <v>547.65417163451173</v>
      </c>
      <c r="G364" s="95">
        <v>743.59527001264769</v>
      </c>
      <c r="H364" s="95">
        <v>1178.659061323782</v>
      </c>
      <c r="I364" s="95">
        <v>3022.0072393264991</v>
      </c>
      <c r="J364" s="95"/>
      <c r="K364" s="95"/>
      <c r="L364" s="95">
        <v>118.75711111793957</v>
      </c>
      <c r="M364" s="95">
        <v>482.32199633618126</v>
      </c>
      <c r="N364" s="95">
        <v>194.17328259055114</v>
      </c>
      <c r="O364" s="95">
        <v>3121.6461368946043</v>
      </c>
      <c r="P364" s="95">
        <v>538.11351716994659</v>
      </c>
      <c r="Q364" s="95">
        <v>10000.000000000002</v>
      </c>
      <c r="S364" s="98">
        <v>3121.6461368946043</v>
      </c>
      <c r="T364" s="95">
        <v>2916.3896740118853</v>
      </c>
      <c r="U364" s="99">
        <v>1834.4456873678719</v>
      </c>
      <c r="W364" s="121">
        <v>10479.687967128424</v>
      </c>
      <c r="X364" s="59">
        <v>108153.11481241547</v>
      </c>
      <c r="Y364" s="59">
        <v>146854.92190822764</v>
      </c>
      <c r="Z364" s="59">
        <v>479269.04279411567</v>
      </c>
      <c r="AA364" s="59">
        <v>1430818.081256046</v>
      </c>
      <c r="AB364" s="59">
        <v>3164042.6790473028</v>
      </c>
      <c r="AC364" s="59">
        <v>1879649.1511676102</v>
      </c>
      <c r="AD364" s="59">
        <v>7219266.6789528457</v>
      </c>
      <c r="AE364" s="59">
        <v>2109917499.0768569</v>
      </c>
      <c r="AF364" s="68">
        <v>7219266.6789528457</v>
      </c>
    </row>
    <row r="365" spans="1:32" x14ac:dyDescent="0.2">
      <c r="A365" s="95">
        <v>328</v>
      </c>
      <c r="B365" s="95">
        <v>27</v>
      </c>
      <c r="C365" s="95">
        <v>4</v>
      </c>
      <c r="D365" s="95"/>
      <c r="E365" s="95">
        <v>52.52822340400752</v>
      </c>
      <c r="F365" s="95">
        <v>544.01858158215168</v>
      </c>
      <c r="G365" s="95">
        <v>739.66673672659272</v>
      </c>
      <c r="H365" s="95">
        <v>1174.1119802337835</v>
      </c>
      <c r="I365" s="95">
        <v>3018.5427413259404</v>
      </c>
      <c r="J365" s="95"/>
      <c r="K365" s="95"/>
      <c r="L365" s="95">
        <v>118.64266373503385</v>
      </c>
      <c r="M365" s="95">
        <v>482.24849126650457</v>
      </c>
      <c r="N365" s="95">
        <v>194.09865336519636</v>
      </c>
      <c r="O365" s="95">
        <v>3134.8582910178779</v>
      </c>
      <c r="P365" s="95">
        <v>541.28363734291429</v>
      </c>
      <c r="Q365" s="95">
        <v>10000.000000000004</v>
      </c>
      <c r="S365" s="98">
        <v>3134.8582910178779</v>
      </c>
      <c r="T365" s="95">
        <v>2926.2111975396965</v>
      </c>
      <c r="U365" s="99">
        <v>1841.3774774226595</v>
      </c>
      <c r="W365" s="121">
        <v>10369.651243473576</v>
      </c>
      <c r="X365" s="59">
        <v>107408.09237073104</v>
      </c>
      <c r="Y365" s="59">
        <v>146042.31606096879</v>
      </c>
      <c r="Z365" s="59">
        <v>477300.14061802276</v>
      </c>
      <c r="AA365" s="59">
        <v>1428819.5801345273</v>
      </c>
      <c r="AB365" s="59">
        <v>3162258.5316962572</v>
      </c>
      <c r="AC365" s="59">
        <v>1878455.5370334436</v>
      </c>
      <c r="AD365" s="59">
        <v>7210653.8491574246</v>
      </c>
      <c r="AE365" s="59">
        <v>2117128152.9260142</v>
      </c>
      <c r="AF365" s="68">
        <v>7210653.8491574246</v>
      </c>
    </row>
    <row r="366" spans="1:32" x14ac:dyDescent="0.2">
      <c r="A366" s="95">
        <v>329</v>
      </c>
      <c r="B366" s="95">
        <v>27</v>
      </c>
      <c r="C366" s="95">
        <v>5</v>
      </c>
      <c r="D366" s="95"/>
      <c r="E366" s="95">
        <v>51.98980911411644</v>
      </c>
      <c r="F366" s="95">
        <v>540.4052575166761</v>
      </c>
      <c r="G366" s="95">
        <v>735.75370094383709</v>
      </c>
      <c r="H366" s="95">
        <v>1169.5718424686727</v>
      </c>
      <c r="I366" s="95">
        <v>3015.0513219900145</v>
      </c>
      <c r="J366" s="95"/>
      <c r="K366" s="95"/>
      <c r="L366" s="95">
        <v>118.5269565429512</v>
      </c>
      <c r="M366" s="95">
        <v>482.16856726025168</v>
      </c>
      <c r="N366" s="95">
        <v>194.0216100328245</v>
      </c>
      <c r="O366" s="95">
        <v>3148.0653677519249</v>
      </c>
      <c r="P366" s="95">
        <v>544.44556637873393</v>
      </c>
      <c r="Q366" s="95">
        <v>10000.000000000004</v>
      </c>
      <c r="S366" s="98">
        <v>3148.0653677519249</v>
      </c>
      <c r="T366" s="95">
        <v>2936.021461449006</v>
      </c>
      <c r="U366" s="99">
        <v>1848.3041604992152</v>
      </c>
      <c r="W366" s="121">
        <v>10260.769905417104</v>
      </c>
      <c r="X366" s="59">
        <v>106667.83308011752</v>
      </c>
      <c r="Y366" s="59">
        <v>145233.16848427273</v>
      </c>
      <c r="Z366" s="59">
        <v>475335.01771921286</v>
      </c>
      <c r="AA366" s="59">
        <v>1426809.2450769306</v>
      </c>
      <c r="AB366" s="59">
        <v>3160434.6092046346</v>
      </c>
      <c r="AC366" s="59">
        <v>1877239.0283442189</v>
      </c>
      <c r="AD366" s="59">
        <v>7201979.671814804</v>
      </c>
      <c r="AE366" s="59">
        <v>2124330132.5978291</v>
      </c>
      <c r="AF366" s="68">
        <v>7201979.671814804</v>
      </c>
    </row>
    <row r="367" spans="1:32" x14ac:dyDescent="0.2">
      <c r="A367" s="95">
        <v>330</v>
      </c>
      <c r="B367" s="95">
        <v>27</v>
      </c>
      <c r="C367" s="95">
        <v>6</v>
      </c>
      <c r="D367" s="95"/>
      <c r="E367" s="95">
        <v>51.456913570696749</v>
      </c>
      <c r="F367" s="95">
        <v>536.81408495270398</v>
      </c>
      <c r="G367" s="95">
        <v>731.85615765800321</v>
      </c>
      <c r="H367" s="95">
        <v>1165.0387324130129</v>
      </c>
      <c r="I367" s="95">
        <v>3011.5331808007609</v>
      </c>
      <c r="J367" s="95"/>
      <c r="K367" s="95"/>
      <c r="L367" s="95">
        <v>118.40999983118702</v>
      </c>
      <c r="M367" s="95">
        <v>482.08225290303324</v>
      </c>
      <c r="N367" s="95">
        <v>193.94216478134658</v>
      </c>
      <c r="O367" s="95">
        <v>3161.2672021775902</v>
      </c>
      <c r="P367" s="95">
        <v>547.59931091166857</v>
      </c>
      <c r="Q367" s="95">
        <v>10000.000000000004</v>
      </c>
      <c r="S367" s="98">
        <v>3161.2672021775902</v>
      </c>
      <c r="T367" s="95">
        <v>2945.8203782454734</v>
      </c>
      <c r="U367" s="99">
        <v>1855.2256616764216</v>
      </c>
      <c r="W367" s="121">
        <v>10153.031821410224</v>
      </c>
      <c r="X367" s="59">
        <v>105932.31089423441</v>
      </c>
      <c r="Y367" s="59">
        <v>144427.47574071761</v>
      </c>
      <c r="Z367" s="59">
        <v>473373.70592990215</v>
      </c>
      <c r="AA367" s="59">
        <v>1424787.1797601255</v>
      </c>
      <c r="AB367" s="59">
        <v>3158571.1492662774</v>
      </c>
      <c r="AC367" s="59">
        <v>1875999.7601852396</v>
      </c>
      <c r="AD367" s="59">
        <v>7193244.6135979071</v>
      </c>
      <c r="AE367" s="59">
        <v>2131523377.211427</v>
      </c>
      <c r="AF367" s="68">
        <v>7193244.6135979071</v>
      </c>
    </row>
    <row r="368" spans="1:32" x14ac:dyDescent="0.2">
      <c r="A368" s="95">
        <v>331</v>
      </c>
      <c r="B368" s="95">
        <v>27</v>
      </c>
      <c r="C368" s="95">
        <v>7</v>
      </c>
      <c r="D368" s="95"/>
      <c r="E368" s="95">
        <v>50.929480206597106</v>
      </c>
      <c r="F368" s="95">
        <v>533.24494971579361</v>
      </c>
      <c r="G368" s="95">
        <v>727.97410110434248</v>
      </c>
      <c r="H368" s="95">
        <v>1160.512733543394</v>
      </c>
      <c r="I368" s="95">
        <v>3007.9885170751495</v>
      </c>
      <c r="J368" s="95"/>
      <c r="K368" s="95"/>
      <c r="L368" s="95">
        <v>118.29180383245567</v>
      </c>
      <c r="M368" s="95">
        <v>481.9895768229714</v>
      </c>
      <c r="N368" s="95">
        <v>193.86032981191445</v>
      </c>
      <c r="O368" s="95">
        <v>3174.463630232261</v>
      </c>
      <c r="P368" s="95">
        <v>550.7448776551239</v>
      </c>
      <c r="Q368" s="95">
        <v>10000.000000000004</v>
      </c>
      <c r="S368" s="98">
        <v>3174.463630232261</v>
      </c>
      <c r="T368" s="95">
        <v>2955.6078610830759</v>
      </c>
      <c r="U368" s="99">
        <v>1862.1419064861832</v>
      </c>
      <c r="W368" s="121">
        <v>10046.424987285416</v>
      </c>
      <c r="X368" s="59">
        <v>105201.49985248833</v>
      </c>
      <c r="Y368" s="59">
        <v>143625.23424533906</v>
      </c>
      <c r="Z368" s="59">
        <v>471416.23667995096</v>
      </c>
      <c r="AA368" s="59">
        <v>1422753.4876835805</v>
      </c>
      <c r="AB368" s="59">
        <v>3156668.3891888205</v>
      </c>
      <c r="AC368" s="59">
        <v>1874737.8676836086</v>
      </c>
      <c r="AD368" s="59">
        <v>7184449.1403210731</v>
      </c>
      <c r="AE368" s="59">
        <v>2138707826.351748</v>
      </c>
      <c r="AF368" s="68">
        <v>7184449.1403210731</v>
      </c>
    </row>
    <row r="369" spans="1:32" x14ac:dyDescent="0.2">
      <c r="A369" s="95">
        <v>332</v>
      </c>
      <c r="B369" s="95">
        <v>27</v>
      </c>
      <c r="C369" s="95">
        <v>8</v>
      </c>
      <c r="D369" s="95"/>
      <c r="E369" s="95">
        <v>50.407453034479488</v>
      </c>
      <c r="F369" s="95">
        <v>529.69773794579646</v>
      </c>
      <c r="G369" s="95">
        <v>724.10752476990046</v>
      </c>
      <c r="H369" s="95">
        <v>1155.9939284300797</v>
      </c>
      <c r="I369" s="95">
        <v>3004.4175299571161</v>
      </c>
      <c r="J369" s="95"/>
      <c r="K369" s="95"/>
      <c r="L369" s="95">
        <v>118.17237872352348</v>
      </c>
      <c r="M369" s="95">
        <v>481.89056768988269</v>
      </c>
      <c r="N369" s="95">
        <v>193.77611733816963</v>
      </c>
      <c r="O369" s="95">
        <v>3187.6544887098748</v>
      </c>
      <c r="P369" s="95">
        <v>553.88227340118021</v>
      </c>
      <c r="Q369" s="95">
        <v>10000.000000000004</v>
      </c>
      <c r="S369" s="98">
        <v>3187.6544887098748</v>
      </c>
      <c r="T369" s="95">
        <v>2965.38382376357</v>
      </c>
      <c r="U369" s="99">
        <v>1869.0528209131517</v>
      </c>
      <c r="W369" s="121">
        <v>9940.9375249189197</v>
      </c>
      <c r="X369" s="59">
        <v>104475.3740806032</v>
      </c>
      <c r="Y369" s="59">
        <v>142826.44026782346</v>
      </c>
      <c r="Z369" s="59">
        <v>469462.64099801728</v>
      </c>
      <c r="AA369" s="59">
        <v>1420708.2721657539</v>
      </c>
      <c r="AB369" s="59">
        <v>3154726.5658963867</v>
      </c>
      <c r="AC369" s="59">
        <v>1873453.4859984529</v>
      </c>
      <c r="AD369" s="59">
        <v>7175593.7169319568</v>
      </c>
      <c r="AE369" s="59">
        <v>2145883420.06868</v>
      </c>
      <c r="AF369" s="68">
        <v>7175593.7169319568</v>
      </c>
    </row>
    <row r="370" spans="1:32" x14ac:dyDescent="0.2">
      <c r="A370" s="95">
        <v>333</v>
      </c>
      <c r="B370" s="95">
        <v>27</v>
      </c>
      <c r="C370" s="95">
        <v>9</v>
      </c>
      <c r="D370" s="95"/>
      <c r="E370" s="95">
        <v>49.890776640876076</v>
      </c>
      <c r="F370" s="95">
        <v>526.17233610012704</v>
      </c>
      <c r="G370" s="95">
        <v>720.25642140359923</v>
      </c>
      <c r="H370" s="95">
        <v>1151.4823987387394</v>
      </c>
      <c r="I370" s="95">
        <v>3000.8204184096512</v>
      </c>
      <c r="J370" s="95"/>
      <c r="K370" s="95"/>
      <c r="L370" s="95">
        <v>118.05173462601888</v>
      </c>
      <c r="M370" s="95">
        <v>481.78525421445289</v>
      </c>
      <c r="N370" s="95">
        <v>193.68953958550995</v>
      </c>
      <c r="O370" s="95">
        <v>3200.8396152609039</v>
      </c>
      <c r="P370" s="95">
        <v>557.01150502012467</v>
      </c>
      <c r="Q370" s="95">
        <v>10000.000000000004</v>
      </c>
      <c r="S370" s="98">
        <v>3200.8396152609039</v>
      </c>
      <c r="T370" s="95">
        <v>2975.1481807359305</v>
      </c>
      <c r="U370" s="99">
        <v>1875.9583313944443</v>
      </c>
      <c r="W370" s="121">
        <v>9836.55768090727</v>
      </c>
      <c r="X370" s="59">
        <v>103753.9077911731</v>
      </c>
      <c r="Y370" s="59">
        <v>142031.08993468198</v>
      </c>
      <c r="Z370" s="59">
        <v>467512.94951274316</v>
      </c>
      <c r="AA370" s="59">
        <v>1418651.6363405108</v>
      </c>
      <c r="AB370" s="59">
        <v>3152745.9159320584</v>
      </c>
      <c r="AC370" s="59">
        <v>1872146.7503114464</v>
      </c>
      <c r="AD370" s="59">
        <v>7166678.8075035214</v>
      </c>
      <c r="AE370" s="59">
        <v>2153050098.8761835</v>
      </c>
      <c r="AF370" s="68">
        <v>7166678.8075035214</v>
      </c>
    </row>
    <row r="371" spans="1:32" x14ac:dyDescent="0.2">
      <c r="A371" s="95">
        <v>334</v>
      </c>
      <c r="B371" s="95">
        <v>27</v>
      </c>
      <c r="C371" s="95">
        <v>10</v>
      </c>
      <c r="D371" s="95"/>
      <c r="E371" s="95">
        <v>49.379396180307097</v>
      </c>
      <c r="F371" s="95">
        <v>522.66863095694964</v>
      </c>
      <c r="G371" s="95">
        <v>716.42078302623736</v>
      </c>
      <c r="H371" s="95">
        <v>1146.978225232265</v>
      </c>
      <c r="I371" s="95">
        <v>2997.197381206945</v>
      </c>
      <c r="J371" s="95"/>
      <c r="K371" s="95"/>
      <c r="L371" s="95">
        <v>117.92988160722011</v>
      </c>
      <c r="M371" s="95">
        <v>481.67366514740394</v>
      </c>
      <c r="N371" s="95">
        <v>193.6006087903734</v>
      </c>
      <c r="O371" s="95">
        <v>3214.018848392318</v>
      </c>
      <c r="P371" s="95">
        <v>560.13257945998407</v>
      </c>
      <c r="Q371" s="95">
        <v>10000.000000000004</v>
      </c>
      <c r="S371" s="98">
        <v>3214.018848392318</v>
      </c>
      <c r="T371" s="95">
        <v>2984.9008470957619</v>
      </c>
      <c r="U371" s="99">
        <v>1882.8583648193514</v>
      </c>
      <c r="W371" s="121">
        <v>9733.2738252577437</v>
      </c>
      <c r="X371" s="59">
        <v>103037.07528419775</v>
      </c>
      <c r="Y371" s="59">
        <v>141239.17923140494</v>
      </c>
      <c r="Z371" s="59">
        <v>465567.19245397393</v>
      </c>
      <c r="AA371" s="59">
        <v>1416583.6831535769</v>
      </c>
      <c r="AB371" s="59">
        <v>3150726.6754601346</v>
      </c>
      <c r="AC371" s="59">
        <v>1870817.7958176171</v>
      </c>
      <c r="AD371" s="59">
        <v>7157704.8752261633</v>
      </c>
      <c r="AE371" s="59">
        <v>2160207803.7514095</v>
      </c>
      <c r="AF371" s="68">
        <v>7157704.8752261633</v>
      </c>
    </row>
    <row r="372" spans="1:32" x14ac:dyDescent="0.2">
      <c r="A372" s="95">
        <v>335</v>
      </c>
      <c r="B372" s="95">
        <v>27</v>
      </c>
      <c r="C372" s="95">
        <v>11</v>
      </c>
      <c r="D372" s="95"/>
      <c r="E372" s="95">
        <v>48.873257369458948</v>
      </c>
      <c r="F372" s="95">
        <v>519.18650961828405</v>
      </c>
      <c r="G372" s="95">
        <v>712.60060094040693</v>
      </c>
      <c r="H372" s="95">
        <v>1142.481487772666</v>
      </c>
      <c r="I372" s="95">
        <v>2993.5486169265896</v>
      </c>
      <c r="J372" s="95"/>
      <c r="K372" s="95"/>
      <c r="L372" s="95">
        <v>117.80682968082114</v>
      </c>
      <c r="M372" s="95">
        <v>481.55582927865333</v>
      </c>
      <c r="N372" s="95">
        <v>193.50933719953841</v>
      </c>
      <c r="O372" s="95">
        <v>3227.1920274675272</v>
      </c>
      <c r="P372" s="95">
        <v>563.24550374605792</v>
      </c>
      <c r="Q372" s="95">
        <v>10000.000000000004</v>
      </c>
      <c r="S372" s="98">
        <v>3227.1920274675272</v>
      </c>
      <c r="T372" s="95">
        <v>2994.6417385846844</v>
      </c>
      <c r="U372" s="99">
        <v>1889.7528485290356</v>
      </c>
      <c r="W372" s="121">
        <v>9631.0744500925375</v>
      </c>
      <c r="X372" s="59">
        <v>102324.85094760114</v>
      </c>
      <c r="Y372" s="59">
        <v>140450.70400459706</v>
      </c>
      <c r="Z372" s="59">
        <v>463625.3996540092</v>
      </c>
      <c r="AA372" s="59">
        <v>1414504.5153590215</v>
      </c>
      <c r="AB372" s="59">
        <v>3148669.0802681781</v>
      </c>
      <c r="AC372" s="59">
        <v>1869466.7577164264</v>
      </c>
      <c r="AD372" s="59">
        <v>7148672.382399926</v>
      </c>
      <c r="AE372" s="59">
        <v>2167356476.1338096</v>
      </c>
      <c r="AF372" s="68">
        <v>7148672.382399926</v>
      </c>
    </row>
    <row r="373" spans="1:32" x14ac:dyDescent="0.2">
      <c r="A373" s="95">
        <v>336</v>
      </c>
      <c r="B373" s="95">
        <v>28</v>
      </c>
      <c r="C373" s="95">
        <v>0</v>
      </c>
      <c r="D373" s="95"/>
      <c r="E373" s="95">
        <v>48.372306481421994</v>
      </c>
      <c r="F373" s="95">
        <v>515.72585951303097</v>
      </c>
      <c r="G373" s="95">
        <v>708.79586574032885</v>
      </c>
      <c r="H373" s="95">
        <v>1137.9922653230481</v>
      </c>
      <c r="I373" s="95">
        <v>2989.8743239418363</v>
      </c>
      <c r="J373" s="95"/>
      <c r="K373" s="95"/>
      <c r="L373" s="95">
        <v>117.6825888076763</v>
      </c>
      <c r="M373" s="95">
        <v>481.4317754364663</v>
      </c>
      <c r="N373" s="95">
        <v>193.41573706943979</v>
      </c>
      <c r="O373" s="95">
        <v>3240.358992706304</v>
      </c>
      <c r="P373" s="95">
        <v>566.35028498045108</v>
      </c>
      <c r="Q373" s="95">
        <v>10000.000000000004</v>
      </c>
      <c r="S373" s="98">
        <v>3240.358992706304</v>
      </c>
      <c r="T373" s="95">
        <v>3004.3707715896958</v>
      </c>
      <c r="U373" s="99">
        <v>1896.6417103162203</v>
      </c>
      <c r="W373" s="121">
        <v>9529.9481683665654</v>
      </c>
      <c r="X373" s="59">
        <v>101617.20925773332</v>
      </c>
      <c r="Y373" s="59">
        <v>139665.65996409315</v>
      </c>
      <c r="Z373" s="59">
        <v>461687.60054888437</v>
      </c>
      <c r="AA373" s="59">
        <v>1412414.2355157726</v>
      </c>
      <c r="AB373" s="59">
        <v>3146573.3657688559</v>
      </c>
      <c r="AC373" s="59">
        <v>1868093.7712031114</v>
      </c>
      <c r="AD373" s="59">
        <v>7139581.7904268177</v>
      </c>
      <c r="AE373" s="59">
        <v>2174496057.9242363</v>
      </c>
      <c r="AF373" s="68">
        <v>7139581.7904268177</v>
      </c>
    </row>
    <row r="374" spans="1:32" x14ac:dyDescent="0.2">
      <c r="A374" s="95">
        <v>337</v>
      </c>
      <c r="B374" s="95">
        <v>28</v>
      </c>
      <c r="C374" s="95">
        <v>1</v>
      </c>
      <c r="D374" s="95"/>
      <c r="E374" s="95">
        <v>47.87649033998742</v>
      </c>
      <c r="F374" s="95">
        <v>512.28656839991766</v>
      </c>
      <c r="G374" s="95">
        <v>705.00656732160598</v>
      </c>
      <c r="H374" s="95">
        <v>1133.5106359496669</v>
      </c>
      <c r="I374" s="95">
        <v>2986.174700413912</v>
      </c>
      <c r="J374" s="95"/>
      <c r="K374" s="95"/>
      <c r="L374" s="95">
        <v>117.5571688965241</v>
      </c>
      <c r="M374" s="95">
        <v>481.30153248660048</v>
      </c>
      <c r="N374" s="95">
        <v>193.31982066549978</v>
      </c>
      <c r="O374" s="95">
        <v>3253.5195851846815</v>
      </c>
      <c r="P374" s="95">
        <v>569.44693034160764</v>
      </c>
      <c r="Q374" s="95">
        <v>10000.000000000004</v>
      </c>
      <c r="S374" s="98">
        <v>3253.5195851846815</v>
      </c>
      <c r="T374" s="95">
        <v>3014.0878631425066</v>
      </c>
      <c r="U374" s="99">
        <v>1903.5248784248693</v>
      </c>
      <c r="W374" s="121">
        <v>9429.8837125987175</v>
      </c>
      <c r="X374" s="59">
        <v>100914.12477985599</v>
      </c>
      <c r="Y374" s="59">
        <v>138884.04268505477</v>
      </c>
      <c r="Z374" s="59">
        <v>459753.82417968247</v>
      </c>
      <c r="AA374" s="59">
        <v>1410312.9459841663</v>
      </c>
      <c r="AB374" s="59">
        <v>3144439.7670015865</v>
      </c>
      <c r="AC374" s="59">
        <v>1866698.9714602761</v>
      </c>
      <c r="AD374" s="59">
        <v>7130433.5598032204</v>
      </c>
      <c r="AE374" s="59">
        <v>2181626491.4840393</v>
      </c>
      <c r="AF374" s="68">
        <v>7130433.5598032204</v>
      </c>
    </row>
    <row r="375" spans="1:32" x14ac:dyDescent="0.2">
      <c r="A375" s="95">
        <v>338</v>
      </c>
      <c r="B375" s="95">
        <v>28</v>
      </c>
      <c r="C375" s="95">
        <v>2</v>
      </c>
      <c r="D375" s="95"/>
      <c r="E375" s="95">
        <v>47.385756314002549</v>
      </c>
      <c r="F375" s="95">
        <v>508.86852437036652</v>
      </c>
      <c r="G375" s="95">
        <v>701.23269489089523</v>
      </c>
      <c r="H375" s="95">
        <v>1129.0366768240615</v>
      </c>
      <c r="I375" s="95">
        <v>2982.4499442843903</v>
      </c>
      <c r="J375" s="95"/>
      <c r="K375" s="95"/>
      <c r="L375" s="95">
        <v>117.43057980469086</v>
      </c>
      <c r="M375" s="95">
        <v>481.16512933144412</v>
      </c>
      <c r="N375" s="95">
        <v>193.22160026147358</v>
      </c>
      <c r="O375" s="95">
        <v>3266.6736468348345</v>
      </c>
      <c r="P375" s="95">
        <v>572.53544708384447</v>
      </c>
      <c r="Q375" s="95">
        <v>10000.000000000004</v>
      </c>
      <c r="S375" s="98">
        <v>3266.6736468348345</v>
      </c>
      <c r="T375" s="95">
        <v>3023.7929309188517</v>
      </c>
      <c r="U375" s="99">
        <v>1910.4022815498565</v>
      </c>
      <c r="W375" s="121">
        <v>9330.86993361643</v>
      </c>
      <c r="X375" s="59">
        <v>100215.57216861163</v>
      </c>
      <c r="Y375" s="59">
        <v>138105.84761004773</v>
      </c>
      <c r="Z375" s="59">
        <v>457824.09919387562</v>
      </c>
      <c r="AA375" s="59">
        <v>1408200.7489225275</v>
      </c>
      <c r="AB375" s="59">
        <v>3142268.5186339887</v>
      </c>
      <c r="AC375" s="59">
        <v>1865282.4936497253</v>
      </c>
      <c r="AD375" s="59">
        <v>7121228.1501123933</v>
      </c>
      <c r="AE375" s="59">
        <v>2188747719.6341519</v>
      </c>
      <c r="AF375" s="68">
        <v>7121228.1501123933</v>
      </c>
    </row>
    <row r="376" spans="1:32" x14ac:dyDescent="0.2">
      <c r="A376" s="95">
        <v>339</v>
      </c>
      <c r="B376" s="95">
        <v>28</v>
      </c>
      <c r="C376" s="95">
        <v>3</v>
      </c>
      <c r="D376" s="95"/>
      <c r="E376" s="95">
        <v>46.900052311784023</v>
      </c>
      <c r="F376" s="95">
        <v>505.47161585128612</v>
      </c>
      <c r="G376" s="95">
        <v>697.47423697549755</v>
      </c>
      <c r="H376" s="95">
        <v>1124.5704642252592</v>
      </c>
      <c r="I376" s="95">
        <v>2978.7002532676247</v>
      </c>
      <c r="J376" s="95"/>
      <c r="K376" s="95"/>
      <c r="L376" s="95">
        <v>117.30283133877448</v>
      </c>
      <c r="M376" s="95">
        <v>481.0225949091473</v>
      </c>
      <c r="N376" s="95">
        <v>193.12108813880863</v>
      </c>
      <c r="O376" s="95">
        <v>3279.8210204449365</v>
      </c>
      <c r="P376" s="95">
        <v>575.61584253688511</v>
      </c>
      <c r="Q376" s="95">
        <v>10000.000000000004</v>
      </c>
      <c r="S376" s="98">
        <v>3279.8210204449365</v>
      </c>
      <c r="T376" s="95">
        <v>3033.4858932377761</v>
      </c>
      <c r="U376" s="99">
        <v>1917.2738488366265</v>
      </c>
      <c r="W376" s="121">
        <v>9232.8957993134572</v>
      </c>
      <c r="X376" s="59">
        <v>99521.526168476921</v>
      </c>
      <c r="Y376" s="59">
        <v>137331.07005110072</v>
      </c>
      <c r="Z376" s="59">
        <v>455898.45384669531</v>
      </c>
      <c r="AA376" s="59">
        <v>1406077.7462837838</v>
      </c>
      <c r="AB376" s="59">
        <v>3140059.8549631443</v>
      </c>
      <c r="AC376" s="59">
        <v>1863844.4729045262</v>
      </c>
      <c r="AD376" s="59">
        <v>7111966.0200170409</v>
      </c>
      <c r="AE376" s="59">
        <v>2195859685.6541691</v>
      </c>
      <c r="AF376" s="68">
        <v>7111966.0200170409</v>
      </c>
    </row>
    <row r="377" spans="1:32" x14ac:dyDescent="0.2">
      <c r="A377" s="95">
        <v>340</v>
      </c>
      <c r="B377" s="95">
        <v>28</v>
      </c>
      <c r="C377" s="95">
        <v>4</v>
      </c>
      <c r="D377" s="95"/>
      <c r="E377" s="95">
        <v>46.419326775588239</v>
      </c>
      <c r="F377" s="95">
        <v>502.09573160778712</v>
      </c>
      <c r="G377" s="95">
        <v>693.73118143286808</v>
      </c>
      <c r="H377" s="95">
        <v>1120.1120735420575</v>
      </c>
      <c r="I377" s="95">
        <v>2974.9258248432366</v>
      </c>
      <c r="J377" s="95"/>
      <c r="K377" s="95"/>
      <c r="L377" s="95">
        <v>117.17393325530892</v>
      </c>
      <c r="M377" s="95">
        <v>480.87395819274701</v>
      </c>
      <c r="N377" s="95">
        <v>193.01829658601707</v>
      </c>
      <c r="O377" s="95">
        <v>3292.961549658999</v>
      </c>
      <c r="P377" s="95">
        <v>578.68812410539419</v>
      </c>
      <c r="Q377" s="95">
        <v>10000.000000000004</v>
      </c>
      <c r="S377" s="98">
        <v>3292.961549658999</v>
      </c>
      <c r="T377" s="95">
        <v>3043.1666690608959</v>
      </c>
      <c r="U377" s="99">
        <v>1924.1395098808437</v>
      </c>
      <c r="W377" s="121">
        <v>9135.9503934206659</v>
      </c>
      <c r="X377" s="59">
        <v>98831.961614200496</v>
      </c>
      <c r="Y377" s="59">
        <v>136559.70519174475</v>
      </c>
      <c r="Z377" s="59">
        <v>453976.91600253066</v>
      </c>
      <c r="AA377" s="59">
        <v>1403944.0398121111</v>
      </c>
      <c r="AB377" s="59">
        <v>3137814.0099166762</v>
      </c>
      <c r="AC377" s="59">
        <v>1862385.0443212925</v>
      </c>
      <c r="AD377" s="59">
        <v>7102647.6272519762</v>
      </c>
      <c r="AE377" s="59">
        <v>2202962333.2814212</v>
      </c>
      <c r="AF377" s="68">
        <v>7102647.6272519762</v>
      </c>
    </row>
    <row r="378" spans="1:32" x14ac:dyDescent="0.2">
      <c r="A378" s="95">
        <v>341</v>
      </c>
      <c r="B378" s="95">
        <v>28</v>
      </c>
      <c r="C378" s="95">
        <v>5</v>
      </c>
      <c r="D378" s="95"/>
      <c r="E378" s="95">
        <v>45.943528676138456</v>
      </c>
      <c r="F378" s="95">
        <v>498.74076074582337</v>
      </c>
      <c r="G378" s="95">
        <v>690.00351546004481</v>
      </c>
      <c r="H378" s="95">
        <v>1115.6615792753753</v>
      </c>
      <c r="I378" s="95">
        <v>2971.1268562486639</v>
      </c>
      <c r="J378" s="95"/>
      <c r="K378" s="95"/>
      <c r="L378" s="95">
        <v>117.04389526141006</v>
      </c>
      <c r="M378" s="95">
        <v>480.71924818928557</v>
      </c>
      <c r="N378" s="95">
        <v>192.91323789806106</v>
      </c>
      <c r="O378" s="95">
        <v>3306.0950789766894</v>
      </c>
      <c r="P378" s="95">
        <v>581.75229926851205</v>
      </c>
      <c r="Q378" s="95">
        <v>10000.000000000004</v>
      </c>
      <c r="S378" s="98">
        <v>3306.0950789766894</v>
      </c>
      <c r="T378" s="95">
        <v>3052.8351779916366</v>
      </c>
      <c r="U378" s="99">
        <v>1930.999194728033</v>
      </c>
      <c r="W378" s="121">
        <v>9040.0229142897497</v>
      </c>
      <c r="X378" s="59">
        <v>98146.853431225099</v>
      </c>
      <c r="Y378" s="59">
        <v>135791.74808903411</v>
      </c>
      <c r="Z378" s="59">
        <v>452059.51313635393</v>
      </c>
      <c r="AA378" s="59">
        <v>1401799.7310396151</v>
      </c>
      <c r="AB378" s="59">
        <v>3135531.2170536546</v>
      </c>
      <c r="AC378" s="59">
        <v>1860904.3429526794</v>
      </c>
      <c r="AD378" s="59">
        <v>7093273.4286168516</v>
      </c>
      <c r="AE378" s="59">
        <v>2210055606.7100382</v>
      </c>
      <c r="AF378" s="68">
        <v>7093273.4286168516</v>
      </c>
    </row>
    <row r="379" spans="1:32" x14ac:dyDescent="0.2">
      <c r="A379" s="95">
        <v>342</v>
      </c>
      <c r="B379" s="95">
        <v>28</v>
      </c>
      <c r="C379" s="95">
        <v>6</v>
      </c>
      <c r="D379" s="95"/>
      <c r="E379" s="95">
        <v>45.472607507208039</v>
      </c>
      <c r="F379" s="95">
        <v>495.40659271475988</v>
      </c>
      <c r="G379" s="95">
        <v>686.2912256029972</v>
      </c>
      <c r="H379" s="95">
        <v>1111.219055040676</v>
      </c>
      <c r="I379" s="95">
        <v>2967.3035444717698</v>
      </c>
      <c r="J379" s="95"/>
      <c r="K379" s="95"/>
      <c r="L379" s="95">
        <v>116.91272701540294</v>
      </c>
      <c r="M379" s="95">
        <v>480.5584939389235</v>
      </c>
      <c r="N379" s="95">
        <v>192.80592437575007</v>
      </c>
      <c r="O379" s="95">
        <v>3319.2214537531268</v>
      </c>
      <c r="P379" s="95">
        <v>584.80837557938946</v>
      </c>
      <c r="Q379" s="95">
        <v>10000.000000000004</v>
      </c>
      <c r="S379" s="98">
        <v>3319.2214537531268</v>
      </c>
      <c r="T379" s="95">
        <v>3062.4913402744446</v>
      </c>
      <c r="U379" s="99">
        <v>1937.8528338732103</v>
      </c>
      <c r="W379" s="121">
        <v>8945.1026736897074</v>
      </c>
      <c r="X379" s="59">
        <v>97466.176636094839</v>
      </c>
      <c r="Y379" s="59">
        <v>135027.19367554816</v>
      </c>
      <c r="Z379" s="59">
        <v>450146.2723351735</v>
      </c>
      <c r="AA379" s="59">
        <v>1399644.9212830428</v>
      </c>
      <c r="AB379" s="59">
        <v>3133211.7095653205</v>
      </c>
      <c r="AC379" s="59">
        <v>1859402.5038000813</v>
      </c>
      <c r="AD379" s="59">
        <v>7083843.8799689505</v>
      </c>
      <c r="AE379" s="59">
        <v>2217139450.5900073</v>
      </c>
      <c r="AF379" s="68">
        <v>7083843.8799689505</v>
      </c>
    </row>
    <row r="380" spans="1:32" x14ac:dyDescent="0.2">
      <c r="A380" s="95">
        <v>343</v>
      </c>
      <c r="B380" s="95">
        <v>28</v>
      </c>
      <c r="C380" s="95">
        <v>7</v>
      </c>
      <c r="D380" s="95"/>
      <c r="E380" s="95">
        <v>45.006513280259156</v>
      </c>
      <c r="F380" s="95">
        <v>492.09311730986821</v>
      </c>
      <c r="G380" s="95">
        <v>682.59429776589525</v>
      </c>
      <c r="H380" s="95">
        <v>1106.7845735704591</v>
      </c>
      <c r="I380" s="95">
        <v>2963.4560862435101</v>
      </c>
      <c r="J380" s="95"/>
      <c r="K380" s="95"/>
      <c r="L380" s="95">
        <v>116.78043812743135</v>
      </c>
      <c r="M380" s="95">
        <v>480.39172451404642</v>
      </c>
      <c r="N380" s="95">
        <v>192.69636832514999</v>
      </c>
      <c r="O380" s="95">
        <v>3332.3405201986607</v>
      </c>
      <c r="P380" s="95">
        <v>587.85636066472318</v>
      </c>
      <c r="Q380" s="95">
        <v>10000.000000000004</v>
      </c>
      <c r="S380" s="98">
        <v>3332.3405201986607</v>
      </c>
      <c r="T380" s="95">
        <v>3072.135076793978</v>
      </c>
      <c r="U380" s="99">
        <v>1944.7003582605018</v>
      </c>
      <c r="W380" s="121">
        <v>8851.1790956159657</v>
      </c>
      <c r="X380" s="59">
        <v>96789.906336847227</v>
      </c>
      <c r="Y380" s="59">
        <v>134266.03676137503</v>
      </c>
      <c r="Z380" s="59">
        <v>448237.22029951197</v>
      </c>
      <c r="AA380" s="59">
        <v>1397479.7116405289</v>
      </c>
      <c r="AB380" s="59">
        <v>3130855.7202756517</v>
      </c>
      <c r="AC380" s="59">
        <v>1857879.6618065254</v>
      </c>
      <c r="AD380" s="59">
        <v>7074359.4362160563</v>
      </c>
      <c r="AE380" s="59">
        <v>2224213810.0262232</v>
      </c>
      <c r="AF380" s="68">
        <v>7074359.4362160563</v>
      </c>
    </row>
    <row r="381" spans="1:32" x14ac:dyDescent="0.2">
      <c r="A381" s="95">
        <v>344</v>
      </c>
      <c r="B381" s="95">
        <v>28</v>
      </c>
      <c r="C381" s="95">
        <v>8</v>
      </c>
      <c r="D381" s="95"/>
      <c r="E381" s="95">
        <v>44.545196519136503</v>
      </c>
      <c r="F381" s="95">
        <v>488.80022467475089</v>
      </c>
      <c r="G381" s="95">
        <v>678.9127172202983</v>
      </c>
      <c r="H381" s="95">
        <v>1102.3582067168184</v>
      </c>
      <c r="I381" s="95">
        <v>2959.5846780306606</v>
      </c>
      <c r="J381" s="95"/>
      <c r="K381" s="95"/>
      <c r="L381" s="95">
        <v>116.64703816004985</v>
      </c>
      <c r="M381" s="95">
        <v>480.21896901836641</v>
      </c>
      <c r="N381" s="95">
        <v>192.5845820570033</v>
      </c>
      <c r="O381" s="95">
        <v>3345.4521253786279</v>
      </c>
      <c r="P381" s="95">
        <v>590.89626222429149</v>
      </c>
      <c r="Q381" s="95">
        <v>10000.000000000004</v>
      </c>
      <c r="S381" s="98">
        <v>3345.4521253786279</v>
      </c>
      <c r="T381" s="95">
        <v>3081.7663090742694</v>
      </c>
      <c r="U381" s="99">
        <v>1951.5416992827543</v>
      </c>
      <c r="W381" s="121">
        <v>8758.2417151119971</v>
      </c>
      <c r="X381" s="59">
        <v>96118.01773339085</v>
      </c>
      <c r="Y381" s="59">
        <v>133508.27203607626</v>
      </c>
      <c r="Z381" s="59">
        <v>446332.38334491063</v>
      </c>
      <c r="AA381" s="59">
        <v>1395304.2029883761</v>
      </c>
      <c r="AB381" s="59">
        <v>3128463.4816417564</v>
      </c>
      <c r="AC381" s="59">
        <v>1856335.9518497502</v>
      </c>
      <c r="AD381" s="59">
        <v>7064820.5513093723</v>
      </c>
      <c r="AE381" s="59">
        <v>2231278630.5775328</v>
      </c>
      <c r="AF381" s="68">
        <v>7064820.5513093723</v>
      </c>
    </row>
    <row r="382" spans="1:32" x14ac:dyDescent="0.2">
      <c r="A382" s="95">
        <v>345</v>
      </c>
      <c r="B382" s="95">
        <v>28</v>
      </c>
      <c r="C382" s="95">
        <v>9</v>
      </c>
      <c r="D382" s="95"/>
      <c r="E382" s="95">
        <v>44.088608254815355</v>
      </c>
      <c r="F382" s="95">
        <v>485.52780530369563</v>
      </c>
      <c r="G382" s="95">
        <v>675.2464686142647</v>
      </c>
      <c r="H382" s="95">
        <v>1097.9400254540669</v>
      </c>
      <c r="I382" s="95">
        <v>2955.6895160286058</v>
      </c>
      <c r="J382" s="95"/>
      <c r="K382" s="95"/>
      <c r="L382" s="95">
        <v>116.5125366287988</v>
      </c>
      <c r="M382" s="95">
        <v>480.04025658601802</v>
      </c>
      <c r="N382" s="95">
        <v>192.4705778861599</v>
      </c>
      <c r="O382" s="95">
        <v>3358.5561172130883</v>
      </c>
      <c r="P382" s="95">
        <v>593.92808803049002</v>
      </c>
      <c r="Q382" s="95">
        <v>10000.000000000004</v>
      </c>
      <c r="S382" s="98">
        <v>3358.5561172130883</v>
      </c>
      <c r="T382" s="95">
        <v>3091.3849592778693</v>
      </c>
      <c r="U382" s="99">
        <v>1958.3767887811343</v>
      </c>
      <c r="W382" s="121">
        <v>8666.280177103321</v>
      </c>
      <c r="X382" s="59">
        <v>95450.486117868306</v>
      </c>
      <c r="Y382" s="59">
        <v>132753.89407063328</v>
      </c>
      <c r="Z382" s="59">
        <v>444431.78740345762</v>
      </c>
      <c r="AA382" s="59">
        <v>1393118.4959778681</v>
      </c>
      <c r="AB382" s="59">
        <v>3126035.2257541153</v>
      </c>
      <c r="AC382" s="59">
        <v>1854771.5087354628</v>
      </c>
      <c r="AD382" s="59">
        <v>7055227.6782365087</v>
      </c>
      <c r="AE382" s="59">
        <v>2238333858.2557693</v>
      </c>
      <c r="AF382" s="68">
        <v>7055227.6782365087</v>
      </c>
    </row>
    <row r="383" spans="1:32" x14ac:dyDescent="0.2">
      <c r="A383" s="95">
        <v>346</v>
      </c>
      <c r="B383" s="95">
        <v>28</v>
      </c>
      <c r="C383" s="95">
        <v>10</v>
      </c>
      <c r="D383" s="95"/>
      <c r="E383" s="95">
        <v>43.636700020203499</v>
      </c>
      <c r="F383" s="95">
        <v>482.27575004396039</v>
      </c>
      <c r="G383" s="95">
        <v>671.5955359813828</v>
      </c>
      <c r="H383" s="95">
        <v>1093.5300998814266</v>
      </c>
      <c r="I383" s="95">
        <v>2951.7707961541878</v>
      </c>
      <c r="J383" s="95"/>
      <c r="K383" s="95"/>
      <c r="L383" s="95">
        <v>116.37694300276286</v>
      </c>
      <c r="M383" s="95">
        <v>479.85561638064928</v>
      </c>
      <c r="N383" s="95">
        <v>192.3543681310183</v>
      </c>
      <c r="O383" s="95">
        <v>3371.6523444765439</v>
      </c>
      <c r="P383" s="95">
        <v>596.95184592786825</v>
      </c>
      <c r="Q383" s="95">
        <v>10000.000000000004</v>
      </c>
      <c r="S383" s="98">
        <v>3371.6523444765439</v>
      </c>
      <c r="T383" s="95">
        <v>3100.9909502049622</v>
      </c>
      <c r="U383" s="99">
        <v>1965.2055590447183</v>
      </c>
      <c r="W383" s="121">
        <v>8575.2842352437365</v>
      </c>
      <c r="X383" s="59">
        <v>94787.286875005084</v>
      </c>
      <c r="Y383" s="59">
        <v>132002.89731937554</v>
      </c>
      <c r="Z383" s="59">
        <v>442535.45802534156</v>
      </c>
      <c r="AA383" s="59">
        <v>1390922.6910321163</v>
      </c>
      <c r="AB383" s="59">
        <v>3123571.184336666</v>
      </c>
      <c r="AC383" s="59">
        <v>1853186.4671907683</v>
      </c>
      <c r="AD383" s="59">
        <v>7045581.2690145168</v>
      </c>
      <c r="AE383" s="59">
        <v>2245379439.5247836</v>
      </c>
      <c r="AF383" s="68">
        <v>7045581.2690145168</v>
      </c>
    </row>
    <row r="384" spans="1:32" x14ac:dyDescent="0.2">
      <c r="A384" s="95">
        <v>347</v>
      </c>
      <c r="B384" s="95">
        <v>28</v>
      </c>
      <c r="C384" s="95">
        <v>11</v>
      </c>
      <c r="D384" s="95"/>
      <c r="E384" s="95">
        <v>43.189423844996412</v>
      </c>
      <c r="F384" s="95">
        <v>479.04395009799066</v>
      </c>
      <c r="G384" s="95">
        <v>667.95990274972303</v>
      </c>
      <c r="H384" s="95">
        <v>1089.1284992257793</v>
      </c>
      <c r="I384" s="95">
        <v>2947.8287140386169</v>
      </c>
      <c r="J384" s="95"/>
      <c r="K384" s="95"/>
      <c r="L384" s="95">
        <v>116.2402667051133</v>
      </c>
      <c r="M384" s="95">
        <v>479.66507759450764</v>
      </c>
      <c r="N384" s="95">
        <v>192.23596511297663</v>
      </c>
      <c r="O384" s="95">
        <v>3384.7406567976341</v>
      </c>
      <c r="P384" s="95">
        <v>599.96754383266602</v>
      </c>
      <c r="Q384" s="95">
        <v>10000.000000000004</v>
      </c>
      <c r="S384" s="98">
        <v>3384.7406567976341</v>
      </c>
      <c r="T384" s="95">
        <v>3110.5842052924631</v>
      </c>
      <c r="U384" s="99">
        <v>1972.0279428100707</v>
      </c>
      <c r="W384" s="121">
        <v>8485.2437507736777</v>
      </c>
      <c r="X384" s="59">
        <v>94128.39548244451</v>
      </c>
      <c r="Y384" s="59">
        <v>131255.27612189023</v>
      </c>
      <c r="Z384" s="59">
        <v>440643.4203804275</v>
      </c>
      <c r="AA384" s="59">
        <v>1388716.8883429402</v>
      </c>
      <c r="AB384" s="59">
        <v>3121071.5887467391</v>
      </c>
      <c r="AC384" s="59">
        <v>1851580.9618577643</v>
      </c>
      <c r="AD384" s="59">
        <v>7035881.7746829791</v>
      </c>
      <c r="AE384" s="59">
        <v>2252415321.2994666</v>
      </c>
      <c r="AF384" s="68">
        <v>7035881.7746829791</v>
      </c>
    </row>
    <row r="385" spans="1:32" x14ac:dyDescent="0.2">
      <c r="A385" s="95">
        <v>348</v>
      </c>
      <c r="B385" s="95">
        <v>29</v>
      </c>
      <c r="C385" s="95">
        <v>0</v>
      </c>
      <c r="D385" s="95"/>
      <c r="E385" s="95">
        <v>42.746732250585197</v>
      </c>
      <c r="F385" s="95">
        <v>475.83229702556963</v>
      </c>
      <c r="G385" s="95">
        <v>664.33955175071173</v>
      </c>
      <c r="H385" s="95">
        <v>1084.735291844481</v>
      </c>
      <c r="I385" s="95">
        <v>2943.8634650204431</v>
      </c>
      <c r="J385" s="95"/>
      <c r="K385" s="95"/>
      <c r="L385" s="95">
        <v>116.10251711363456</v>
      </c>
      <c r="M385" s="95">
        <v>479.46866944752128</v>
      </c>
      <c r="N385" s="95">
        <v>192.11538115589295</v>
      </c>
      <c r="O385" s="95">
        <v>3397.8209046588136</v>
      </c>
      <c r="P385" s="95">
        <v>602.97518973235083</v>
      </c>
      <c r="Q385" s="95">
        <v>10000.000000000004</v>
      </c>
      <c r="S385" s="98">
        <v>3397.8209046588136</v>
      </c>
      <c r="T385" s="95">
        <v>3120.1646486130885</v>
      </c>
      <c r="U385" s="99">
        <v>1978.8438732608136</v>
      </c>
      <c r="W385" s="121">
        <v>8396.1486913905537</v>
      </c>
      <c r="X385" s="59">
        <v>93473.787511068731</v>
      </c>
      <c r="Y385" s="59">
        <v>130511.02470491389</v>
      </c>
      <c r="Z385" s="59">
        <v>438755.69925985654</v>
      </c>
      <c r="AA385" s="59">
        <v>1386501.1878677835</v>
      </c>
      <c r="AB385" s="59">
        <v>3118536.6699748496</v>
      </c>
      <c r="AC385" s="59">
        <v>1849955.1272872915</v>
      </c>
      <c r="AD385" s="59">
        <v>7026129.6452971539</v>
      </c>
      <c r="AE385" s="59">
        <v>2259441450.9447637</v>
      </c>
      <c r="AF385" s="68">
        <v>7026129.6452971539</v>
      </c>
    </row>
    <row r="386" spans="1:32" x14ac:dyDescent="0.2">
      <c r="A386" s="95">
        <v>349</v>
      </c>
      <c r="B386" s="95">
        <v>29</v>
      </c>
      <c r="C386" s="95">
        <v>1</v>
      </c>
      <c r="D386" s="95"/>
      <c r="E386" s="95">
        <v>42.308578245016697</v>
      </c>
      <c r="F386" s="95">
        <v>472.64068274590227</v>
      </c>
      <c r="G386" s="95">
        <v>660.7344652279271</v>
      </c>
      <c r="H386" s="95">
        <v>1080.3505452282359</v>
      </c>
      <c r="I386" s="95">
        <v>2939.8752441385891</v>
      </c>
      <c r="J386" s="95"/>
      <c r="K386" s="95"/>
      <c r="L386" s="95">
        <v>115.96370356123543</v>
      </c>
      <c r="M386" s="95">
        <v>479.26642118637608</v>
      </c>
      <c r="N386" s="95">
        <v>191.99262858555488</v>
      </c>
      <c r="O386" s="95">
        <v>3410.8929393960111</v>
      </c>
      <c r="P386" s="95">
        <v>605.9747916851552</v>
      </c>
      <c r="Q386" s="95">
        <v>10000.000000000004</v>
      </c>
      <c r="S386" s="98">
        <v>3410.8929393960111</v>
      </c>
      <c r="T386" s="95">
        <v>3129.7322048744049</v>
      </c>
      <c r="U386" s="99">
        <v>1985.6532840271839</v>
      </c>
      <c r="W386" s="121">
        <v>8307.9891301309544</v>
      </c>
      <c r="X386" s="59">
        <v>92823.438625306429</v>
      </c>
      <c r="Y386" s="59">
        <v>129770.13718420613</v>
      </c>
      <c r="Z386" s="59">
        <v>436872.31907766749</v>
      </c>
      <c r="AA386" s="59">
        <v>1384275.68932666</v>
      </c>
      <c r="AB386" s="59">
        <v>3115966.6586443461</v>
      </c>
      <c r="AC386" s="59">
        <v>1848309.0979328363</v>
      </c>
      <c r="AD386" s="59">
        <v>7016325.3299211534</v>
      </c>
      <c r="AE386" s="59">
        <v>2266457776.2746849</v>
      </c>
      <c r="AF386" s="68">
        <v>7016325.3299211534</v>
      </c>
    </row>
    <row r="387" spans="1:32" x14ac:dyDescent="0.2">
      <c r="A387" s="95">
        <v>350</v>
      </c>
      <c r="B387" s="95">
        <v>29</v>
      </c>
      <c r="C387" s="95">
        <v>2</v>
      </c>
      <c r="D387" s="95"/>
      <c r="E387" s="95">
        <v>41.874915318005279</v>
      </c>
      <c r="F387" s="95">
        <v>469.46899953963475</v>
      </c>
      <c r="G387" s="95">
        <v>657.14462484581736</v>
      </c>
      <c r="H387" s="95">
        <v>1075.9743260040282</v>
      </c>
      <c r="I387" s="95">
        <v>2935.8642461254472</v>
      </c>
      <c r="J387" s="95"/>
      <c r="K387" s="95"/>
      <c r="L387" s="95">
        <v>115.82383533644531</v>
      </c>
      <c r="M387" s="95">
        <v>479.05836208358807</v>
      </c>
      <c r="N387" s="95">
        <v>191.86771972915759</v>
      </c>
      <c r="O387" s="95">
        <v>3423.9566131982651</v>
      </c>
      <c r="P387" s="95">
        <v>608.9663578196147</v>
      </c>
      <c r="Q387" s="95">
        <v>10000.000000000004</v>
      </c>
      <c r="S387" s="98">
        <v>3423.9566131982651</v>
      </c>
      <c r="T387" s="95">
        <v>3139.2867994178555</v>
      </c>
      <c r="U387" s="99">
        <v>1992.4561091855821</v>
      </c>
      <c r="W387" s="121">
        <v>8220.7552442645792</v>
      </c>
      <c r="X387" s="59">
        <v>92177.324583426962</v>
      </c>
      <c r="Y387" s="59">
        <v>129032.60756640518</v>
      </c>
      <c r="Z387" s="59">
        <v>434993.30387244018</v>
      </c>
      <c r="AA387" s="59">
        <v>1382040.4921991394</v>
      </c>
      <c r="AB387" s="59">
        <v>3113361.785010926</v>
      </c>
      <c r="AC387" s="59">
        <v>1846643.0081445789</v>
      </c>
      <c r="AD387" s="59">
        <v>7006469.2766211815</v>
      </c>
      <c r="AE387" s="59">
        <v>2273464245.5513062</v>
      </c>
      <c r="AF387" s="68">
        <v>7006469.2766211815</v>
      </c>
    </row>
    <row r="388" spans="1:32" x14ac:dyDescent="0.2">
      <c r="A388" s="95">
        <v>351</v>
      </c>
      <c r="B388" s="95">
        <v>29</v>
      </c>
      <c r="C388" s="95">
        <v>3</v>
      </c>
      <c r="D388" s="95"/>
      <c r="E388" s="95">
        <v>41.445697435995726</v>
      </c>
      <c r="F388" s="95">
        <v>466.31714005080971</v>
      </c>
      <c r="G388" s="95">
        <v>653.570011698342</v>
      </c>
      <c r="H388" s="95">
        <v>1071.6066999381121</v>
      </c>
      <c r="I388" s="95">
        <v>2931.8306654000362</v>
      </c>
      <c r="J388" s="95"/>
      <c r="K388" s="95"/>
      <c r="L388" s="95">
        <v>115.68292168389587</v>
      </c>
      <c r="M388" s="95">
        <v>478.84452143657211</v>
      </c>
      <c r="N388" s="95">
        <v>191.74066691479035</v>
      </c>
      <c r="O388" s="95">
        <v>3437.011779107344</v>
      </c>
      <c r="P388" s="95">
        <v>611.94989633410569</v>
      </c>
      <c r="Q388" s="95">
        <v>10000.000000000004</v>
      </c>
      <c r="S388" s="98">
        <v>3437.011779107344</v>
      </c>
      <c r="T388" s="95">
        <v>3148.8283582177633</v>
      </c>
      <c r="U388" s="99">
        <v>1999.2522832581087</v>
      </c>
      <c r="W388" s="121">
        <v>8134.4373141998012</v>
      </c>
      <c r="X388" s="59">
        <v>91535.421237821691</v>
      </c>
      <c r="Y388" s="59">
        <v>128298.4297508656</v>
      </c>
      <c r="Z388" s="59">
        <v>433118.6773089596</v>
      </c>
      <c r="AA388" s="59">
        <v>1379795.6957213606</v>
      </c>
      <c r="AB388" s="59">
        <v>3110722.2789620175</v>
      </c>
      <c r="AC388" s="59">
        <v>1844956.9921635804</v>
      </c>
      <c r="AD388" s="59">
        <v>6996561.9324588049</v>
      </c>
      <c r="AE388" s="59">
        <v>2280460807.4837651</v>
      </c>
      <c r="AF388" s="68">
        <v>6996561.9324588049</v>
      </c>
    </row>
    <row r="389" spans="1:32" x14ac:dyDescent="0.2">
      <c r="A389" s="95">
        <v>352</v>
      </c>
      <c r="B389" s="95">
        <v>29</v>
      </c>
      <c r="C389" s="95">
        <v>4</v>
      </c>
      <c r="D389" s="95"/>
      <c r="E389" s="95">
        <v>41.020879037276771</v>
      </c>
      <c r="F389" s="95">
        <v>463.18499728875872</v>
      </c>
      <c r="G389" s="95">
        <v>650.01060631753603</v>
      </c>
      <c r="H389" s="95">
        <v>1067.247731939058</v>
      </c>
      <c r="I389" s="95">
        <v>2927.7746960612212</v>
      </c>
      <c r="J389" s="95"/>
      <c r="K389" s="95"/>
      <c r="L389" s="95">
        <v>115.54097180478843</v>
      </c>
      <c r="M389" s="95">
        <v>478.62492856670633</v>
      </c>
      <c r="N389" s="95">
        <v>191.61148247093104</v>
      </c>
      <c r="O389" s="95">
        <v>3450.0582910173425</v>
      </c>
      <c r="P389" s="95">
        <v>614.92541549638497</v>
      </c>
      <c r="Q389" s="95">
        <v>10000.000000000004</v>
      </c>
      <c r="S389" s="98">
        <v>3450.0582910173425</v>
      </c>
      <c r="T389" s="95">
        <v>3158.3568078803132</v>
      </c>
      <c r="U389" s="99">
        <v>2006.0417412120914</v>
      </c>
      <c r="W389" s="121">
        <v>8049.0257224007037</v>
      </c>
      <c r="X389" s="59">
        <v>90897.704535272205</v>
      </c>
      <c r="Y389" s="59">
        <v>127567.59753147836</v>
      </c>
      <c r="Z389" s="59">
        <v>431248.46267990128</v>
      </c>
      <c r="AA389" s="59">
        <v>1377541.3988830848</v>
      </c>
      <c r="AB389" s="59">
        <v>3108048.3700160314</v>
      </c>
      <c r="AC389" s="59">
        <v>1843251.1841161028</v>
      </c>
      <c r="AD389" s="59">
        <v>6986603.7434842717</v>
      </c>
      <c r="AE389" s="59">
        <v>2287447411.2272496</v>
      </c>
      <c r="AF389" s="68">
        <v>6986603.7434842717</v>
      </c>
    </row>
    <row r="390" spans="1:32" x14ac:dyDescent="0.2">
      <c r="A390" s="95">
        <v>353</v>
      </c>
      <c r="B390" s="95">
        <v>29</v>
      </c>
      <c r="C390" s="95">
        <v>5</v>
      </c>
      <c r="D390" s="95"/>
      <c r="E390" s="95">
        <v>40.600415027144685</v>
      </c>
      <c r="F390" s="95">
        <v>460.07246462993243</v>
      </c>
      <c r="G390" s="95">
        <v>646.46638868199727</v>
      </c>
      <c r="H390" s="95">
        <v>1062.897486060853</v>
      </c>
      <c r="I390" s="95">
        <v>2923.6965318809976</v>
      </c>
      <c r="J390" s="95"/>
      <c r="K390" s="95"/>
      <c r="L390" s="95">
        <v>115.39799485734763</v>
      </c>
      <c r="M390" s="95">
        <v>478.39961281839334</v>
      </c>
      <c r="N390" s="95">
        <v>191.48017872594818</v>
      </c>
      <c r="O390" s="95">
        <v>3463.0960036742617</v>
      </c>
      <c r="P390" s="95">
        <v>617.89292364312814</v>
      </c>
      <c r="Q390" s="95">
        <v>10000.000000000004</v>
      </c>
      <c r="S390" s="98">
        <v>3463.0960036742617</v>
      </c>
      <c r="T390" s="95">
        <v>3167.8720756425123</v>
      </c>
      <c r="U390" s="99">
        <v>2012.8244184596012</v>
      </c>
      <c r="W390" s="121">
        <v>7964.510952315497</v>
      </c>
      <c r="X390" s="59">
        <v>90264.150517205984</v>
      </c>
      <c r="Y390" s="59">
        <v>126840.10459847315</v>
      </c>
      <c r="Z390" s="59">
        <v>429382.68290753569</v>
      </c>
      <c r="AA390" s="59">
        <v>1375277.700424779</v>
      </c>
      <c r="AB390" s="59">
        <v>3105340.2873214935</v>
      </c>
      <c r="AC390" s="59">
        <v>1841525.7180080577</v>
      </c>
      <c r="AD390" s="59">
        <v>6976595.1547298608</v>
      </c>
      <c r="AE390" s="59">
        <v>2294424006.3819795</v>
      </c>
      <c r="AF390" s="68">
        <v>6976595.1547298608</v>
      </c>
    </row>
    <row r="391" spans="1:32" x14ac:dyDescent="0.2">
      <c r="A391" s="95">
        <v>354</v>
      </c>
      <c r="B391" s="95">
        <v>29</v>
      </c>
      <c r="C391" s="95">
        <v>6</v>
      </c>
      <c r="D391" s="95"/>
      <c r="E391" s="95">
        <v>40.184260773116449</v>
      </c>
      <c r="F391" s="95">
        <v>456.97943581967007</v>
      </c>
      <c r="G391" s="95">
        <v>642.93733822529828</v>
      </c>
      <c r="H391" s="95">
        <v>1058.5560255060543</v>
      </c>
      <c r="I391" s="95">
        <v>2919.5963662978374</v>
      </c>
      <c r="J391" s="95"/>
      <c r="K391" s="95"/>
      <c r="L391" s="95">
        <v>115.25399995726151</v>
      </c>
      <c r="M391" s="95">
        <v>478.16860355811752</v>
      </c>
      <c r="N391" s="95">
        <v>191.34676800761056</v>
      </c>
      <c r="O391" s="95">
        <v>3476.1247726755682</v>
      </c>
      <c r="P391" s="95">
        <v>620.85242917946937</v>
      </c>
      <c r="Q391" s="95">
        <v>10000.000000000004</v>
      </c>
      <c r="S391" s="98">
        <v>3476.1247726755682</v>
      </c>
      <c r="T391" s="95">
        <v>3177.3740893711256</v>
      </c>
      <c r="U391" s="99">
        <v>2019.6002508569584</v>
      </c>
      <c r="W391" s="121">
        <v>7880.8835873161834</v>
      </c>
      <c r="X391" s="59">
        <v>89634.735319939617</v>
      </c>
      <c r="Y391" s="59">
        <v>126115.9445402031</v>
      </c>
      <c r="Z391" s="59">
        <v>427521.36054545274</v>
      </c>
      <c r="AA391" s="59">
        <v>1373004.6988347366</v>
      </c>
      <c r="AB391" s="59">
        <v>3102598.2596560512</v>
      </c>
      <c r="AC391" s="59">
        <v>1839780.7277195789</v>
      </c>
      <c r="AD391" s="59">
        <v>6966536.6102032783</v>
      </c>
      <c r="AE391" s="59">
        <v>2301390542.9921827</v>
      </c>
      <c r="AF391" s="68">
        <v>6966536.6102032783</v>
      </c>
    </row>
    <row r="392" spans="1:32" x14ac:dyDescent="0.2">
      <c r="A392" s="95">
        <v>355</v>
      </c>
      <c r="B392" s="95">
        <v>29</v>
      </c>
      <c r="C392" s="95">
        <v>7</v>
      </c>
      <c r="D392" s="95"/>
      <c r="E392" s="95">
        <v>39.772372100192008</v>
      </c>
      <c r="F392" s="95">
        <v>453.9058049739088</v>
      </c>
      <c r="G392" s="95">
        <v>639.42343384432195</v>
      </c>
      <c r="H392" s="95">
        <v>1054.2234126289957</v>
      </c>
      <c r="I392" s="95">
        <v>2915.4743924100981</v>
      </c>
      <c r="J392" s="95"/>
      <c r="K392" s="95"/>
      <c r="L392" s="95">
        <v>115.10899617810851</v>
      </c>
      <c r="M392" s="95">
        <v>477.93193017349944</v>
      </c>
      <c r="N392" s="95">
        <v>191.21126264260391</v>
      </c>
      <c r="O392" s="95">
        <v>3489.1444544697333</v>
      </c>
      <c r="P392" s="95">
        <v>623.80394057854187</v>
      </c>
      <c r="Q392" s="95">
        <v>10000.000000000004</v>
      </c>
      <c r="S392" s="98">
        <v>3489.1444544697333</v>
      </c>
      <c r="T392" s="95">
        <v>3186.8627775615937</v>
      </c>
      <c r="U392" s="99">
        <v>2026.3691747042265</v>
      </c>
      <c r="W392" s="121">
        <v>7798.1343096493638</v>
      </c>
      <c r="X392" s="59">
        <v>89009.435174909755</v>
      </c>
      <c r="Y392" s="59">
        <v>125395.11084491215</v>
      </c>
      <c r="Z392" s="59">
        <v>425664.51778030454</v>
      </c>
      <c r="AA392" s="59">
        <v>1370722.4923462295</v>
      </c>
      <c r="AB392" s="59">
        <v>3099822.5154253668</v>
      </c>
      <c r="AC392" s="59">
        <v>1838016.3469997121</v>
      </c>
      <c r="AD392" s="59">
        <v>6956428.5528810844</v>
      </c>
      <c r="AE392" s="59">
        <v>2308346971.545064</v>
      </c>
      <c r="AF392" s="68">
        <v>6956428.5528810844</v>
      </c>
    </row>
    <row r="393" spans="1:32" x14ac:dyDescent="0.2">
      <c r="A393" s="95">
        <v>356</v>
      </c>
      <c r="B393" s="95">
        <v>29</v>
      </c>
      <c r="C393" s="95">
        <v>8</v>
      </c>
      <c r="D393" s="95"/>
      <c r="E393" s="95">
        <v>39.364705286165041</v>
      </c>
      <c r="F393" s="95">
        <v>450.85146658083352</v>
      </c>
      <c r="G393" s="95">
        <v>635.9246539075217</v>
      </c>
      <c r="H393" s="95">
        <v>1049.8997089390441</v>
      </c>
      <c r="I393" s="95">
        <v>2911.3308029694954</v>
      </c>
      <c r="J393" s="95"/>
      <c r="K393" s="95"/>
      <c r="L393" s="95">
        <v>114.96299255177155</v>
      </c>
      <c r="M393" s="95">
        <v>477.68962207234699</v>
      </c>
      <c r="N393" s="95">
        <v>191.07367495605419</v>
      </c>
      <c r="O393" s="95">
        <v>3502.1549063557532</v>
      </c>
      <c r="P393" s="95">
        <v>626.74746638101772</v>
      </c>
      <c r="Q393" s="95">
        <v>10000.000000000004</v>
      </c>
      <c r="S393" s="98">
        <v>3502.1549063557532</v>
      </c>
      <c r="T393" s="95">
        <v>3196.3380693369263</v>
      </c>
      <c r="U393" s="99">
        <v>2033.1311267446974</v>
      </c>
      <c r="W393" s="121">
        <v>7716.2538993980461</v>
      </c>
      <c r="X393" s="59">
        <v>88388.226408892035</v>
      </c>
      <c r="Y393" s="59">
        <v>124677.59690248495</v>
      </c>
      <c r="Z393" s="59">
        <v>423812.17643356667</v>
      </c>
      <c r="AA393" s="59">
        <v>1368431.1789346966</v>
      </c>
      <c r="AB393" s="59">
        <v>3097013.2826618995</v>
      </c>
      <c r="AC393" s="59">
        <v>1836232.709461218</v>
      </c>
      <c r="AD393" s="59">
        <v>6946271.4247021554</v>
      </c>
      <c r="AE393" s="59">
        <v>2315293242.9697661</v>
      </c>
      <c r="AF393" s="68">
        <v>6946271.4247021554</v>
      </c>
    </row>
    <row r="394" spans="1:32" x14ac:dyDescent="0.2">
      <c r="A394" s="95">
        <v>357</v>
      </c>
      <c r="B394" s="95">
        <v>29</v>
      </c>
      <c r="C394" s="95">
        <v>9</v>
      </c>
      <c r="D394" s="95"/>
      <c r="E394" s="95">
        <v>38.961217056981852</v>
      </c>
      <c r="F394" s="95">
        <v>447.81631550246897</v>
      </c>
      <c r="G394" s="95">
        <v>632.4409762631069</v>
      </c>
      <c r="H394" s="95">
        <v>1045.5849751039057</v>
      </c>
      <c r="I394" s="95">
        <v>2907.1657903746395</v>
      </c>
      <c r="J394" s="95"/>
      <c r="K394" s="95"/>
      <c r="L394" s="95">
        <v>114.81599806883982</v>
      </c>
      <c r="M394" s="95">
        <v>477.44170868170374</v>
      </c>
      <c r="N394" s="95">
        <v>190.93401727105766</v>
      </c>
      <c r="O394" s="95">
        <v>3515.15598648265</v>
      </c>
      <c r="P394" s="95">
        <v>629.68301519464933</v>
      </c>
      <c r="Q394" s="95">
        <v>10000.000000000004</v>
      </c>
      <c r="S394" s="98">
        <v>3515.15598648265</v>
      </c>
      <c r="T394" s="95">
        <v>3205.7998944465771</v>
      </c>
      <c r="U394" s="99">
        <v>2039.8860441643651</v>
      </c>
      <c r="W394" s="121">
        <v>7635.2332334543662</v>
      </c>
      <c r="X394" s="59">
        <v>87771.085444208191</v>
      </c>
      <c r="Y394" s="59">
        <v>123963.39600617957</v>
      </c>
      <c r="Z394" s="59">
        <v>421964.35796331725</v>
      </c>
      <c r="AA394" s="59">
        <v>1366130.8563149662</v>
      </c>
      <c r="AB394" s="59">
        <v>3094170.7890235749</v>
      </c>
      <c r="AC394" s="59">
        <v>1834429.9485754855</v>
      </c>
      <c r="AD394" s="59">
        <v>6936065.6665611863</v>
      </c>
      <c r="AE394" s="59">
        <v>2322229308.6363273</v>
      </c>
      <c r="AF394" s="68">
        <v>6936065.6665611863</v>
      </c>
    </row>
    <row r="395" spans="1:32" x14ac:dyDescent="0.2">
      <c r="A395" s="95">
        <v>358</v>
      </c>
      <c r="B395" s="95">
        <v>29</v>
      </c>
      <c r="C395" s="95">
        <v>10</v>
      </c>
      <c r="D395" s="95"/>
      <c r="E395" s="95">
        <v>38.561864582147791</v>
      </c>
      <c r="F395" s="95">
        <v>444.80024697621417</v>
      </c>
      <c r="G395" s="95">
        <v>628.97237824715342</v>
      </c>
      <c r="H395" s="95">
        <v>1041.2792709529804</v>
      </c>
      <c r="I395" s="95">
        <v>2902.9795466646351</v>
      </c>
      <c r="J395" s="95"/>
      <c r="K395" s="95"/>
      <c r="L395" s="95">
        <v>114.66802167899831</v>
      </c>
      <c r="M395" s="95">
        <v>477.18821944689449</v>
      </c>
      <c r="N395" s="95">
        <v>190.79230190821715</v>
      </c>
      <c r="O395" s="95">
        <v>3528.1475538489517</v>
      </c>
      <c r="P395" s="95">
        <v>632.61059569381075</v>
      </c>
      <c r="Q395" s="95">
        <v>10000.000000000004</v>
      </c>
      <c r="S395" s="98">
        <v>3528.1475538489517</v>
      </c>
      <c r="T395" s="95">
        <v>3215.2481832652948</v>
      </c>
      <c r="U395" s="99">
        <v>2046.6338645913886</v>
      </c>
      <c r="W395" s="121">
        <v>7555.0632845030959</v>
      </c>
      <c r="X395" s="59">
        <v>87157.988798921404</v>
      </c>
      <c r="Y395" s="59">
        <v>123252.50135434294</v>
      </c>
      <c r="Z395" s="59">
        <v>420121.08346603246</v>
      </c>
      <c r="AA395" s="59">
        <v>1363821.6219385115</v>
      </c>
      <c r="AB395" s="59">
        <v>3091295.2617923515</v>
      </c>
      <c r="AC395" s="59">
        <v>1832608.1976675487</v>
      </c>
      <c r="AD395" s="59">
        <v>6925811.7183022117</v>
      </c>
      <c r="AE395" s="59">
        <v>2329155120.3546295</v>
      </c>
      <c r="AF395" s="68">
        <v>6925811.7183022117</v>
      </c>
    </row>
    <row r="396" spans="1:32" x14ac:dyDescent="0.2">
      <c r="A396" s="95">
        <v>359</v>
      </c>
      <c r="B396" s="95">
        <v>29</v>
      </c>
      <c r="C396" s="95">
        <v>11</v>
      </c>
      <c r="D396" s="95"/>
      <c r="E396" s="95">
        <v>38.166605470180777</v>
      </c>
      <c r="F396" s="95">
        <v>441.80315661632051</v>
      </c>
      <c r="G396" s="95">
        <v>625.51883669163988</v>
      </c>
      <c r="H396" s="95">
        <v>1036.9826554807632</v>
      </c>
      <c r="I396" s="95">
        <v>2898.7722635127461</v>
      </c>
      <c r="J396" s="95"/>
      <c r="K396" s="95"/>
      <c r="L396" s="95">
        <v>114.51907229140558</v>
      </c>
      <c r="M396" s="95">
        <v>476.92918383056843</v>
      </c>
      <c r="N396" s="95">
        <v>190.64854118518446</v>
      </c>
      <c r="O396" s="95">
        <v>3541.1294683021551</v>
      </c>
      <c r="P396" s="95">
        <v>635.53021661903938</v>
      </c>
      <c r="Q396" s="95">
        <v>10000.000000000004</v>
      </c>
      <c r="S396" s="98">
        <v>3541.1294683021551</v>
      </c>
      <c r="T396" s="95">
        <v>3224.6828667919549</v>
      </c>
      <c r="U396" s="99">
        <v>2053.3745260955438</v>
      </c>
      <c r="W396" s="121">
        <v>7475.7351200158137</v>
      </c>
      <c r="X396" s="59">
        <v>86548.91308702041</v>
      </c>
      <c r="Y396" s="59">
        <v>122544.90605210947</v>
      </c>
      <c r="Z396" s="59">
        <v>418282.37367839972</v>
      </c>
      <c r="AA396" s="59">
        <v>1361503.5729907434</v>
      </c>
      <c r="AB396" s="59">
        <v>3088386.9278726857</v>
      </c>
      <c r="AC396" s="59">
        <v>1830767.5899112052</v>
      </c>
      <c r="AD396" s="59">
        <v>6915510.0187121797</v>
      </c>
      <c r="AE396" s="59">
        <v>2336070630.3733416</v>
      </c>
      <c r="AF396" s="68">
        <v>6915510.0187121797</v>
      </c>
    </row>
    <row r="397" spans="1:32" x14ac:dyDescent="0.2">
      <c r="A397" s="95">
        <v>360</v>
      </c>
      <c r="B397" s="95">
        <v>30</v>
      </c>
      <c r="C397" s="95">
        <v>0</v>
      </c>
      <c r="D397" s="95"/>
      <c r="E397" s="95">
        <v>37.775397764111425</v>
      </c>
      <c r="F397" s="95">
        <v>438.82494041531436</v>
      </c>
      <c r="G397" s="95">
        <v>622.08032793240989</v>
      </c>
      <c r="H397" s="95">
        <v>1032.695186850292</v>
      </c>
      <c r="I397" s="95">
        <v>2894.5441322201227</v>
      </c>
      <c r="J397" s="95"/>
      <c r="K397" s="95"/>
      <c r="L397" s="95">
        <v>114.36915877505997</v>
      </c>
      <c r="M397" s="95">
        <v>476.66463131173998</v>
      </c>
      <c r="N397" s="95">
        <v>190.50274741620845</v>
      </c>
      <c r="O397" s="95">
        <v>3554.1015905381664</v>
      </c>
      <c r="P397" s="95">
        <v>638.44188677657871</v>
      </c>
      <c r="Q397" s="95">
        <v>10000.000000000004</v>
      </c>
      <c r="S397" s="98">
        <v>3554.1015905381664</v>
      </c>
      <c r="T397" s="95">
        <v>3234.1038766483712</v>
      </c>
      <c r="U397" s="99">
        <v>2060.1079671876664</v>
      </c>
      <c r="W397" s="121">
        <v>7397.239901255648</v>
      </c>
      <c r="X397" s="59">
        <v>85943.835018592246</v>
      </c>
      <c r="Y397" s="59">
        <v>121840.60311308234</v>
      </c>
      <c r="Z397" s="59">
        <v>416448.24897914607</v>
      </c>
      <c r="AA397" s="59">
        <v>1359176.8063883334</v>
      </c>
      <c r="AB397" s="59">
        <v>3085446.0137898983</v>
      </c>
      <c r="AC397" s="59">
        <v>1828908.2583242299</v>
      </c>
      <c r="AD397" s="59">
        <v>6905161.0055145379</v>
      </c>
      <c r="AE397" s="59">
        <v>2342975791.3788562</v>
      </c>
      <c r="AF397" s="68">
        <v>6905161.0055145379</v>
      </c>
    </row>
    <row r="398" spans="1:32" x14ac:dyDescent="0.2">
      <c r="A398" s="95">
        <v>361</v>
      </c>
      <c r="B398" s="95">
        <v>30</v>
      </c>
      <c r="C398" s="95">
        <v>1</v>
      </c>
      <c r="D398" s="95"/>
      <c r="E398" s="95">
        <v>37.378756087588258</v>
      </c>
      <c r="F398" s="95">
        <v>435.75578851026114</v>
      </c>
      <c r="G398" s="95">
        <v>618.50130773507829</v>
      </c>
      <c r="H398" s="95">
        <v>1028.1587485999255</v>
      </c>
      <c r="I398" s="95">
        <v>2889.5717076765382</v>
      </c>
      <c r="J398" s="95"/>
      <c r="K398" s="95"/>
      <c r="L398" s="95">
        <v>114.1896976694609</v>
      </c>
      <c r="M398" s="95">
        <v>476.27542522699952</v>
      </c>
      <c r="N398" s="95">
        <v>190.30730722483489</v>
      </c>
      <c r="O398" s="95">
        <v>3567.0637821007244</v>
      </c>
      <c r="P398" s="95">
        <v>642.79747916859264</v>
      </c>
      <c r="Q398" s="95">
        <v>10000.000000000004</v>
      </c>
      <c r="S398" s="98">
        <v>3567.0637821007244</v>
      </c>
      <c r="T398" s="95">
        <v>3243.5111450780864</v>
      </c>
      <c r="U398" s="99">
        <v>2066.8341268190816</v>
      </c>
      <c r="W398" s="121">
        <v>7316.4866990002738</v>
      </c>
      <c r="X398" s="59">
        <v>85306.921468726112</v>
      </c>
      <c r="Y398" s="59">
        <v>121088.81854303462</v>
      </c>
      <c r="Z398" s="59">
        <v>414445.20928714139</v>
      </c>
      <c r="AA398" s="59">
        <v>1356275.0951072471</v>
      </c>
      <c r="AB398" s="59">
        <v>3081187.1431826963</v>
      </c>
      <c r="AC398" s="59">
        <v>1826268.2906560486</v>
      </c>
      <c r="AD398" s="59">
        <v>6891887.9649438942</v>
      </c>
      <c r="AE398" s="59">
        <v>2349867679.3438001</v>
      </c>
      <c r="AF398" s="68">
        <v>6891887.9649438942</v>
      </c>
    </row>
    <row r="399" spans="1:32" x14ac:dyDescent="0.2">
      <c r="A399" s="95">
        <v>362</v>
      </c>
      <c r="B399" s="95">
        <v>30</v>
      </c>
      <c r="C399" s="95">
        <v>2</v>
      </c>
      <c r="D399" s="95"/>
      <c r="E399" s="95">
        <v>36.986279148668579</v>
      </c>
      <c r="F399" s="95">
        <v>432.70681103878474</v>
      </c>
      <c r="G399" s="95">
        <v>614.93902217887387</v>
      </c>
      <c r="H399" s="95">
        <v>1023.6337747126937</v>
      </c>
      <c r="I399" s="95">
        <v>2884.5811217566752</v>
      </c>
      <c r="J399" s="95"/>
      <c r="K399" s="95"/>
      <c r="L399" s="95">
        <v>114.00759307105</v>
      </c>
      <c r="M399" s="95">
        <v>475.88270562000139</v>
      </c>
      <c r="N399" s="95">
        <v>190.1099444177018</v>
      </c>
      <c r="O399" s="95">
        <v>3580.0126648329137</v>
      </c>
      <c r="P399" s="95">
        <v>647.14008322264067</v>
      </c>
      <c r="Q399" s="95">
        <v>10000.000000000004</v>
      </c>
      <c r="S399" s="98">
        <v>3580.0126648329137</v>
      </c>
      <c r="T399" s="95">
        <v>3252.9022531280352</v>
      </c>
      <c r="U399" s="99">
        <v>2073.5512628411175</v>
      </c>
      <c r="W399" s="121">
        <v>7236.6150525361882</v>
      </c>
      <c r="X399" s="59">
        <v>84674.475111924374</v>
      </c>
      <c r="Y399" s="59">
        <v>120340.91742970754</v>
      </c>
      <c r="Z399" s="59">
        <v>412448.39127418137</v>
      </c>
      <c r="AA399" s="59">
        <v>1353367.041312661</v>
      </c>
      <c r="AB399" s="59">
        <v>3076899.1577097243</v>
      </c>
      <c r="AC399" s="59">
        <v>1823611.747160302</v>
      </c>
      <c r="AD399" s="59">
        <v>6878578.3450510371</v>
      </c>
      <c r="AE399" s="59">
        <v>2356746257.6888509</v>
      </c>
      <c r="AF399" s="68">
        <v>6878578.3450510371</v>
      </c>
    </row>
    <row r="400" spans="1:32" x14ac:dyDescent="0.2">
      <c r="A400" s="95">
        <v>363</v>
      </c>
      <c r="B400" s="95">
        <v>30</v>
      </c>
      <c r="C400" s="95">
        <v>3</v>
      </c>
      <c r="D400" s="95"/>
      <c r="E400" s="95">
        <v>36.597923217607558</v>
      </c>
      <c r="F400" s="95">
        <v>429.67789057401376</v>
      </c>
      <c r="G400" s="95">
        <v>611.39343426864241</v>
      </c>
      <c r="H400" s="95">
        <v>1019.1203131145586</v>
      </c>
      <c r="I400" s="95">
        <v>2879.5725791164882</v>
      </c>
      <c r="J400" s="95"/>
      <c r="K400" s="95"/>
      <c r="L400" s="95">
        <v>113.82289808584436</v>
      </c>
      <c r="M400" s="95">
        <v>475.4864727536177</v>
      </c>
      <c r="N400" s="95">
        <v>189.91067277182404</v>
      </c>
      <c r="O400" s="95">
        <v>3592.948097435808</v>
      </c>
      <c r="P400" s="95">
        <v>651.46971866159902</v>
      </c>
      <c r="Q400" s="95">
        <v>10000.000000000004</v>
      </c>
      <c r="S400" s="98">
        <v>3592.948097435808</v>
      </c>
      <c r="T400" s="95">
        <v>3262.2771417737445</v>
      </c>
      <c r="U400" s="99">
        <v>2080.2593191757496</v>
      </c>
      <c r="W400" s="121">
        <v>7157.6153382126686</v>
      </c>
      <c r="X400" s="59">
        <v>84046.467689013225</v>
      </c>
      <c r="Y400" s="59">
        <v>119596.88805045193</v>
      </c>
      <c r="Z400" s="59">
        <v>410457.80749226391</v>
      </c>
      <c r="AA400" s="59">
        <v>1350452.7504404583</v>
      </c>
      <c r="AB400" s="59">
        <v>3072582.4113722895</v>
      </c>
      <c r="AC400" s="59">
        <v>1820938.7823213681</v>
      </c>
      <c r="AD400" s="59">
        <v>6865232.7227040576</v>
      </c>
      <c r="AE400" s="59">
        <v>2363611490.4115548</v>
      </c>
      <c r="AF400" s="68">
        <v>6865232.7227040576</v>
      </c>
    </row>
    <row r="401" spans="1:32" x14ac:dyDescent="0.2">
      <c r="A401" s="95">
        <v>364</v>
      </c>
      <c r="B401" s="95">
        <v>30</v>
      </c>
      <c r="C401" s="95">
        <v>4</v>
      </c>
      <c r="D401" s="95"/>
      <c r="E401" s="95">
        <v>36.213645023822679</v>
      </c>
      <c r="F401" s="95">
        <v>426.66891018255563</v>
      </c>
      <c r="G401" s="95">
        <v>607.86450657515377</v>
      </c>
      <c r="H401" s="95">
        <v>1014.6184108623017</v>
      </c>
      <c r="I401" s="95">
        <v>2874.5462838178273</v>
      </c>
      <c r="J401" s="95"/>
      <c r="K401" s="95"/>
      <c r="L401" s="95">
        <v>113.63566486868285</v>
      </c>
      <c r="M401" s="95">
        <v>475.08672735668551</v>
      </c>
      <c r="N401" s="95">
        <v>189.70950610484061</v>
      </c>
      <c r="O401" s="95">
        <v>3605.8699399086076</v>
      </c>
      <c r="P401" s="95">
        <v>655.78640529952588</v>
      </c>
      <c r="Q401" s="95">
        <v>10000.000000000004</v>
      </c>
      <c r="S401" s="98">
        <v>3605.8699399086076</v>
      </c>
      <c r="T401" s="95">
        <v>3271.6357526558731</v>
      </c>
      <c r="U401" s="99">
        <v>2086.9582402861424</v>
      </c>
      <c r="W401" s="121">
        <v>7079.4780374371794</v>
      </c>
      <c r="X401" s="59">
        <v>83422.871080126439</v>
      </c>
      <c r="Y401" s="59">
        <v>118856.71861335241</v>
      </c>
      <c r="Z401" s="59">
        <v>408473.47011605802</v>
      </c>
      <c r="AA401" s="59">
        <v>1347532.3274791085</v>
      </c>
      <c r="AB401" s="59">
        <v>3068237.2536057043</v>
      </c>
      <c r="AC401" s="59">
        <v>1818249.5511501436</v>
      </c>
      <c r="AD401" s="59">
        <v>6851851.6700819302</v>
      </c>
      <c r="AE401" s="59">
        <v>2370463342.0816369</v>
      </c>
      <c r="AF401" s="68">
        <v>6851851.6700819302</v>
      </c>
    </row>
    <row r="402" spans="1:32" x14ac:dyDescent="0.2">
      <c r="A402" s="95">
        <v>365</v>
      </c>
      <c r="B402" s="95">
        <v>30</v>
      </c>
      <c r="C402" s="95">
        <v>5</v>
      </c>
      <c r="D402" s="95"/>
      <c r="E402" s="95">
        <v>35.833401751072543</v>
      </c>
      <c r="F402" s="95">
        <v>423.67975342510789</v>
      </c>
      <c r="G402" s="95">
        <v>604.35220124326395</v>
      </c>
      <c r="H402" s="95">
        <v>1010.1281141482376</v>
      </c>
      <c r="I402" s="95">
        <v>2869.5024393231042</v>
      </c>
      <c r="J402" s="95"/>
      <c r="K402" s="95"/>
      <c r="L402" s="95">
        <v>113.44594464259902</v>
      </c>
      <c r="M402" s="95">
        <v>474.68347061589373</v>
      </c>
      <c r="N402" s="95">
        <v>189.50645827009595</v>
      </c>
      <c r="O402" s="95">
        <v>3618.7780535400088</v>
      </c>
      <c r="P402" s="95">
        <v>660.09016304061981</v>
      </c>
      <c r="Q402" s="95">
        <v>10000.000000000004</v>
      </c>
      <c r="S402" s="98">
        <v>3618.7780535400088</v>
      </c>
      <c r="T402" s="95">
        <v>3280.9780280782811</v>
      </c>
      <c r="U402" s="99">
        <v>2093.6479711732068</v>
      </c>
      <c r="W402" s="121">
        <v>7002.1937355284908</v>
      </c>
      <c r="X402" s="59">
        <v>82803.657304580411</v>
      </c>
      <c r="Y402" s="59">
        <v>118120.39725898753</v>
      </c>
      <c r="Z402" s="59">
        <v>406495.39094556577</v>
      </c>
      <c r="AA402" s="59">
        <v>1344605.8769679184</v>
      </c>
      <c r="AB402" s="59">
        <v>3063864.0293885707</v>
      </c>
      <c r="AC402" s="59">
        <v>1815544.2091064416</v>
      </c>
      <c r="AD402" s="59">
        <v>6838435.7547075925</v>
      </c>
      <c r="AE402" s="59">
        <v>2377301777.8363447</v>
      </c>
      <c r="AF402" s="68">
        <v>6838435.7547075925</v>
      </c>
    </row>
    <row r="403" spans="1:32" x14ac:dyDescent="0.2">
      <c r="A403" s="95">
        <v>366</v>
      </c>
      <c r="B403" s="95">
        <v>30</v>
      </c>
      <c r="C403" s="95">
        <v>6</v>
      </c>
      <c r="D403" s="95"/>
      <c r="E403" s="95">
        <v>35.457151032686284</v>
      </c>
      <c r="F403" s="95">
        <v>420.71030435701749</v>
      </c>
      <c r="G403" s="95">
        <v>600.85647999999333</v>
      </c>
      <c r="H403" s="95">
        <v>1005.6494683049594</v>
      </c>
      <c r="I403" s="95">
        <v>2864.4412484900345</v>
      </c>
      <c r="J403" s="95"/>
      <c r="K403" s="95"/>
      <c r="L403" s="95">
        <v>113.25378771777476</v>
      </c>
      <c r="M403" s="95">
        <v>474.27670416778165</v>
      </c>
      <c r="N403" s="95">
        <v>189.30154315195753</v>
      </c>
      <c r="O403" s="95">
        <v>3631.6723008996141</v>
      </c>
      <c r="P403" s="95">
        <v>664.38101187818438</v>
      </c>
      <c r="Q403" s="95">
        <v>10000.000000000004</v>
      </c>
      <c r="S403" s="98">
        <v>3631.6723008996141</v>
      </c>
      <c r="T403" s="95">
        <v>3290.3039110060813</v>
      </c>
      <c r="U403" s="99">
        <v>2100.3284573722153</v>
      </c>
      <c r="W403" s="121">
        <v>6925.7531205823052</v>
      </c>
      <c r="X403" s="59">
        <v>82188.79852073903</v>
      </c>
      <c r="Y403" s="59">
        <v>117387.91206216962</v>
      </c>
      <c r="Z403" s="59">
        <v>404523.58140879148</v>
      </c>
      <c r="AA403" s="59">
        <v>1341673.5029953229</v>
      </c>
      <c r="AB403" s="59">
        <v>3059463.0793491644</v>
      </c>
      <c r="AC403" s="59">
        <v>1812822.9120253408</v>
      </c>
      <c r="AD403" s="59">
        <v>6824985.5394821102</v>
      </c>
      <c r="AE403" s="59">
        <v>2384126763.3758268</v>
      </c>
      <c r="AF403" s="68">
        <v>6824985.5394821102</v>
      </c>
    </row>
    <row r="404" spans="1:32" x14ac:dyDescent="0.2">
      <c r="A404" s="95">
        <v>367</v>
      </c>
      <c r="B404" s="95">
        <v>30</v>
      </c>
      <c r="C404" s="95">
        <v>7</v>
      </c>
      <c r="D404" s="95"/>
      <c r="E404" s="95">
        <v>35.084850946843076</v>
      </c>
      <c r="F404" s="95">
        <v>417.76044752878954</v>
      </c>
      <c r="G404" s="95">
        <v>597.37730416252225</v>
      </c>
      <c r="H404" s="95">
        <v>1001.182517810116</v>
      </c>
      <c r="I404" s="95">
        <v>2859.3629135664505</v>
      </c>
      <c r="J404" s="95"/>
      <c r="K404" s="95"/>
      <c r="L404" s="95">
        <v>113.05924351008389</v>
      </c>
      <c r="M404" s="95">
        <v>473.86643009084725</v>
      </c>
      <c r="N404" s="95">
        <v>189.09477466135959</v>
      </c>
      <c r="O404" s="95">
        <v>3644.5525458293901</v>
      </c>
      <c r="P404" s="95">
        <v>668.65897189360101</v>
      </c>
      <c r="Q404" s="95">
        <v>10000.000000000004</v>
      </c>
      <c r="S404" s="98">
        <v>3644.5525458293901</v>
      </c>
      <c r="T404" s="95">
        <v>3299.6133450636739</v>
      </c>
      <c r="U404" s="99">
        <v>2106.999644949472</v>
      </c>
      <c r="W404" s="121">
        <v>6850.1469823492816</v>
      </c>
      <c r="X404" s="59">
        <v>81578.267025868612</v>
      </c>
      <c r="Y404" s="59">
        <v>116659.25103366395</v>
      </c>
      <c r="Z404" s="59">
        <v>402558.05256441736</v>
      </c>
      <c r="AA404" s="59">
        <v>1338735.3091972165</v>
      </c>
      <c r="AB404" s="59">
        <v>3055034.739868972</v>
      </c>
      <c r="AC404" s="59">
        <v>1810085.8160473071</v>
      </c>
      <c r="AD404" s="59">
        <v>6811501.5827197945</v>
      </c>
      <c r="AE404" s="59">
        <v>2390938264.9585466</v>
      </c>
      <c r="AF404" s="68">
        <v>6811501.5827197945</v>
      </c>
    </row>
    <row r="405" spans="1:32" x14ac:dyDescent="0.2">
      <c r="A405" s="95">
        <v>368</v>
      </c>
      <c r="B405" s="95">
        <v>30</v>
      </c>
      <c r="C405" s="95">
        <v>8</v>
      </c>
      <c r="D405" s="95"/>
      <c r="E405" s="95">
        <v>34.716460011901226</v>
      </c>
      <c r="F405" s="95">
        <v>414.83006798654577</v>
      </c>
      <c r="G405" s="95">
        <v>593.9146346461041</v>
      </c>
      <c r="H405" s="95">
        <v>996.72730629121918</v>
      </c>
      <c r="I405" s="95">
        <v>2854.2676361851882</v>
      </c>
      <c r="J405" s="95"/>
      <c r="K405" s="95"/>
      <c r="L405" s="95">
        <v>112.8623605592346</v>
      </c>
      <c r="M405" s="95">
        <v>473.45265089776404</v>
      </c>
      <c r="N405" s="95">
        <v>188.88616673156301</v>
      </c>
      <c r="O405" s="95">
        <v>3657.4186534351743</v>
      </c>
      <c r="P405" s="95">
        <v>672.92406325530874</v>
      </c>
      <c r="Q405" s="95">
        <v>10000.000000000004</v>
      </c>
      <c r="S405" s="98">
        <v>3657.4186534351743</v>
      </c>
      <c r="T405" s="95">
        <v>3308.9062745327651</v>
      </c>
      <c r="U405" s="99">
        <v>2113.6614804990381</v>
      </c>
      <c r="W405" s="121">
        <v>6775.3662111253025</v>
      </c>
      <c r="X405" s="59">
        <v>80972.035255983108</v>
      </c>
      <c r="Y405" s="59">
        <v>115934.40212188794</v>
      </c>
      <c r="Z405" s="59">
        <v>400598.81510448613</v>
      </c>
      <c r="AA405" s="59">
        <v>1335791.3987553227</v>
      </c>
      <c r="AB405" s="59">
        <v>3050579.343183469</v>
      </c>
      <c r="AC405" s="59">
        <v>1807333.0775519228</v>
      </c>
      <c r="AD405" s="59">
        <v>6797984.4381841971</v>
      </c>
      <c r="AE405" s="59">
        <v>2397736249.3967309</v>
      </c>
      <c r="AF405" s="68">
        <v>6797984.4381841971</v>
      </c>
    </row>
    <row r="406" spans="1:32" x14ac:dyDescent="0.2">
      <c r="A406" s="95">
        <v>369</v>
      </c>
      <c r="B406" s="95">
        <v>30</v>
      </c>
      <c r="C406" s="95">
        <v>9</v>
      </c>
      <c r="D406" s="95"/>
      <c r="E406" s="95">
        <v>34.351937181776265</v>
      </c>
      <c r="F406" s="95">
        <v>411.91905127243388</v>
      </c>
      <c r="G406" s="95">
        <v>590.46843197189651</v>
      </c>
      <c r="H406" s="95">
        <v>992.28387653048003</v>
      </c>
      <c r="I406" s="95">
        <v>2849.1556173590466</v>
      </c>
      <c r="J406" s="95"/>
      <c r="K406" s="95"/>
      <c r="L406" s="95">
        <v>112.66318654651941</v>
      </c>
      <c r="M406" s="95">
        <v>473.03536952770452</v>
      </c>
      <c r="N406" s="95">
        <v>188.67573331412194</v>
      </c>
      <c r="O406" s="95">
        <v>3670.2704900782333</v>
      </c>
      <c r="P406" s="95">
        <v>677.17630621779085</v>
      </c>
      <c r="Q406" s="95">
        <v>10000.000000000004</v>
      </c>
      <c r="S406" s="98">
        <v>3670.2704900782333</v>
      </c>
      <c r="T406" s="95">
        <v>3318.1826443503669</v>
      </c>
      <c r="U406" s="99">
        <v>2120.3139111395103</v>
      </c>
      <c r="W406" s="121">
        <v>6701.4017966538513</v>
      </c>
      <c r="X406" s="59">
        <v>80370.075785679714</v>
      </c>
      <c r="Y406" s="59">
        <v>115213.35321459005</v>
      </c>
      <c r="Z406" s="59">
        <v>398645.87935708917</v>
      </c>
      <c r="AA406" s="59">
        <v>1332841.8743956026</v>
      </c>
      <c r="AB406" s="59">
        <v>3046097.2174801901</v>
      </c>
      <c r="AC406" s="59">
        <v>1804564.8530950635</v>
      </c>
      <c r="AD406" s="59">
        <v>6784434.6551248692</v>
      </c>
      <c r="AE406" s="59">
        <v>2404520684.0518556</v>
      </c>
      <c r="AF406" s="68">
        <v>6784434.6551248692</v>
      </c>
    </row>
    <row r="407" spans="1:32" x14ac:dyDescent="0.2">
      <c r="A407" s="95">
        <v>370</v>
      </c>
      <c r="B407" s="95">
        <v>30</v>
      </c>
      <c r="C407" s="95">
        <v>10</v>
      </c>
      <c r="D407" s="95"/>
      <c r="E407" s="95">
        <v>33.991241841367611</v>
      </c>
      <c r="F407" s="95">
        <v>409.02728342498881</v>
      </c>
      <c r="G407" s="95">
        <v>587.03865627471168</v>
      </c>
      <c r="H407" s="95">
        <v>987.85227046967316</v>
      </c>
      <c r="I407" s="95">
        <v>2844.0270574758197</v>
      </c>
      <c r="J407" s="95"/>
      <c r="K407" s="95"/>
      <c r="L407" s="95">
        <v>112.46176831218139</v>
      </c>
      <c r="M407" s="95">
        <v>472.61458933876906</v>
      </c>
      <c r="N407" s="95">
        <v>188.46348837504834</v>
      </c>
      <c r="O407" s="95">
        <v>3683.1079233668747</v>
      </c>
      <c r="P407" s="95">
        <v>681.41572112056883</v>
      </c>
      <c r="Q407" s="95">
        <v>10000.000000000004</v>
      </c>
      <c r="S407" s="98">
        <v>3683.1079233668747</v>
      </c>
      <c r="T407" s="95">
        <v>3327.4424001067837</v>
      </c>
      <c r="U407" s="99">
        <v>2126.9568845108497</v>
      </c>
      <c r="W407" s="121">
        <v>6628.2448270403793</v>
      </c>
      <c r="X407" s="59">
        <v>79772.361327965235</v>
      </c>
      <c r="Y407" s="59">
        <v>114496.09214050905</v>
      </c>
      <c r="Z407" s="59">
        <v>396699.2552890603</v>
      </c>
      <c r="AA407" s="59">
        <v>1329886.8383867056</v>
      </c>
      <c r="AB407" s="59">
        <v>3041588.6869941764</v>
      </c>
      <c r="AC407" s="59">
        <v>1801781.2993493667</v>
      </c>
      <c r="AD407" s="59">
        <v>6770852.7783148233</v>
      </c>
      <c r="AE407" s="59">
        <v>2411291536.8301702</v>
      </c>
      <c r="AF407" s="68">
        <v>6770852.7783148233</v>
      </c>
    </row>
    <row r="408" spans="1:32" x14ac:dyDescent="0.2">
      <c r="A408" s="95">
        <v>371</v>
      </c>
      <c r="B408" s="95">
        <v>30</v>
      </c>
      <c r="C408" s="95">
        <v>11</v>
      </c>
      <c r="D408" s="95"/>
      <c r="E408" s="95">
        <v>33.634333802033254</v>
      </c>
      <c r="F408" s="95">
        <v>406.15465097944639</v>
      </c>
      <c r="G408" s="95">
        <v>583.62526731068556</v>
      </c>
      <c r="H408" s="95">
        <v>983.4325292150279</v>
      </c>
      <c r="I408" s="95">
        <v>2838.8821562934013</v>
      </c>
      <c r="J408" s="95"/>
      <c r="K408" s="95"/>
      <c r="L408" s="95">
        <v>112.2581518724048</v>
      </c>
      <c r="M408" s="95">
        <v>472.19031410051855</v>
      </c>
      <c r="N408" s="95">
        <v>188.24944589116544</v>
      </c>
      <c r="O408" s="95">
        <v>3695.9308221481169</v>
      </c>
      <c r="P408" s="95">
        <v>685.64232838720329</v>
      </c>
      <c r="Q408" s="95">
        <v>10000.000000000004</v>
      </c>
      <c r="S408" s="98">
        <v>3695.9308221481169</v>
      </c>
      <c r="T408" s="95">
        <v>3336.6854880435799</v>
      </c>
      <c r="U408" s="99">
        <v>2133.5903487712603</v>
      </c>
      <c r="W408" s="121">
        <v>6555.8864876785228</v>
      </c>
      <c r="X408" s="59">
        <v>79178.864734073155</v>
      </c>
      <c r="Y408" s="59">
        <v>113782.60667101311</v>
      </c>
      <c r="Z408" s="59">
        <v>394758.95250867459</v>
      </c>
      <c r="AA408" s="59">
        <v>1326926.3925384546</v>
      </c>
      <c r="AB408" s="59">
        <v>3037054.0721008498</v>
      </c>
      <c r="AC408" s="59">
        <v>1798982.5730478454</v>
      </c>
      <c r="AD408" s="59">
        <v>6757239.3480885895</v>
      </c>
      <c r="AE408" s="59">
        <v>2418048776.1782589</v>
      </c>
      <c r="AF408" s="68">
        <v>6757239.3480885895</v>
      </c>
    </row>
    <row r="409" spans="1:32" x14ac:dyDescent="0.2">
      <c r="A409" s="95">
        <v>372</v>
      </c>
      <c r="B409" s="95">
        <v>31</v>
      </c>
      <c r="C409" s="95">
        <v>0</v>
      </c>
      <c r="D409" s="95"/>
      <c r="E409" s="95">
        <v>33.281173297111906</v>
      </c>
      <c r="F409" s="95">
        <v>403.30104096801057</v>
      </c>
      <c r="G409" s="95">
        <v>580.2282244648668</v>
      </c>
      <c r="H409" s="95">
        <v>979.02469304214492</v>
      </c>
      <c r="I409" s="95">
        <v>2833.7211129349639</v>
      </c>
      <c r="J409" s="95"/>
      <c r="K409" s="95"/>
      <c r="L409" s="95">
        <v>112.08064546550771</v>
      </c>
      <c r="M409" s="95">
        <v>471.73428495703996</v>
      </c>
      <c r="N409" s="95">
        <v>188.03361984664195</v>
      </c>
      <c r="O409" s="95">
        <v>3708.7390564994139</v>
      </c>
      <c r="P409" s="95">
        <v>689.85614852430183</v>
      </c>
      <c r="Q409" s="95">
        <v>10000.000000000004</v>
      </c>
      <c r="S409" s="98">
        <v>3708.7390564994139</v>
      </c>
      <c r="T409" s="95">
        <v>3345.9118550515336</v>
      </c>
      <c r="U409" s="99">
        <v>2140.2142525941158</v>
      </c>
      <c r="W409" s="121">
        <v>6484.3180601880322</v>
      </c>
      <c r="X409" s="59">
        <v>78589.55899327193</v>
      </c>
      <c r="Y409" s="59">
        <v>113072.88452171981</v>
      </c>
      <c r="Z409" s="59">
        <v>392824.98026835144</v>
      </c>
      <c r="AA409" s="59">
        <v>1323960.6382003732</v>
      </c>
      <c r="AB409" s="59">
        <v>3032493.6894063889</v>
      </c>
      <c r="AC409" s="59">
        <v>1796168.8309305066</v>
      </c>
      <c r="AD409" s="59">
        <v>6743594.9003807995</v>
      </c>
      <c r="AE409" s="59">
        <v>2424792371.0786395</v>
      </c>
      <c r="AF409" s="68">
        <v>6743594.9003807995</v>
      </c>
    </row>
    <row r="410" spans="1:32" x14ac:dyDescent="0.2">
      <c r="A410" s="95">
        <v>373</v>
      </c>
      <c r="B410" s="95">
        <v>31</v>
      </c>
      <c r="C410" s="95">
        <v>1</v>
      </c>
      <c r="D410" s="95"/>
      <c r="E410" s="95">
        <v>32.931720977492233</v>
      </c>
      <c r="F410" s="95">
        <v>400.46634092007469</v>
      </c>
      <c r="G410" s="95">
        <v>576.84748675872618</v>
      </c>
      <c r="H410" s="95">
        <v>974.62880140093796</v>
      </c>
      <c r="I410" s="95">
        <v>2828.5441258842075</v>
      </c>
      <c r="J410" s="95"/>
      <c r="K410" s="95"/>
      <c r="L410" s="95">
        <v>111.90037924483003</v>
      </c>
      <c r="M410" s="95">
        <v>471.27525587538571</v>
      </c>
      <c r="N410" s="95">
        <v>187.8160242296992</v>
      </c>
      <c r="O410" s="95">
        <v>3721.5326625881162</v>
      </c>
      <c r="P410" s="95">
        <v>694.05720212053404</v>
      </c>
      <c r="Q410" s="95">
        <v>10000.000000000004</v>
      </c>
      <c r="S410" s="98">
        <v>3721.5326625881162</v>
      </c>
      <c r="T410" s="95">
        <v>3355.1214486685722</v>
      </c>
      <c r="U410" s="99">
        <v>2146.8285451649344</v>
      </c>
      <c r="W410" s="121">
        <v>6413.5309213643131</v>
      </c>
      <c r="X410" s="59">
        <v>78004.417232664258</v>
      </c>
      <c r="Y410" s="59">
        <v>112366.91335409628</v>
      </c>
      <c r="Z410" s="59">
        <v>390897.34746736207</v>
      </c>
      <c r="AA410" s="59">
        <v>1320989.6762602506</v>
      </c>
      <c r="AB410" s="59">
        <v>3027906.4168769098</v>
      </c>
      <c r="AC410" s="59">
        <v>1793340.2296938384</v>
      </c>
      <c r="AD410" s="59">
        <v>6729918.5318064857</v>
      </c>
      <c r="AE410" s="59">
        <v>2431522289.610446</v>
      </c>
      <c r="AF410" s="68">
        <v>6729918.5318064857</v>
      </c>
    </row>
    <row r="411" spans="1:32" x14ac:dyDescent="0.2">
      <c r="A411" s="95">
        <v>374</v>
      </c>
      <c r="B411" s="95">
        <v>31</v>
      </c>
      <c r="C411" s="95">
        <v>2</v>
      </c>
      <c r="D411" s="95"/>
      <c r="E411" s="95">
        <v>32.585937907228562</v>
      </c>
      <c r="F411" s="95">
        <v>397.650438862398</v>
      </c>
      <c r="G411" s="95">
        <v>573.48301285758703</v>
      </c>
      <c r="H411" s="95">
        <v>970.24489292059877</v>
      </c>
      <c r="I411" s="95">
        <v>2823.3513929806813</v>
      </c>
      <c r="J411" s="95"/>
      <c r="K411" s="95"/>
      <c r="L411" s="95">
        <v>111.7191534035741</v>
      </c>
      <c r="M411" s="95">
        <v>470.81148166036041</v>
      </c>
      <c r="N411" s="95">
        <v>187.59667209523292</v>
      </c>
      <c r="O411" s="95">
        <v>3734.3115075903397</v>
      </c>
      <c r="P411" s="95">
        <v>698.24550972200257</v>
      </c>
      <c r="Q411" s="95">
        <v>10000.000000000004</v>
      </c>
      <c r="S411" s="98">
        <v>3734.3115075903397</v>
      </c>
      <c r="T411" s="95">
        <v>3364.314217077696</v>
      </c>
      <c r="U411" s="99">
        <v>2153.4331752441472</v>
      </c>
      <c r="W411" s="121">
        <v>6343.5165421394195</v>
      </c>
      <c r="X411" s="59">
        <v>77423.412716978084</v>
      </c>
      <c r="Y411" s="59">
        <v>111664.68077704024</v>
      </c>
      <c r="Z411" s="59">
        <v>388976.06265454018</v>
      </c>
      <c r="AA411" s="59">
        <v>1318013.6071427458</v>
      </c>
      <c r="AB411" s="59">
        <v>3023292.6210614261</v>
      </c>
      <c r="AC411" s="59">
        <v>1790496.9109902908</v>
      </c>
      <c r="AD411" s="59">
        <v>6716210.8118851604</v>
      </c>
      <c r="AE411" s="59">
        <v>2438238500.4223313</v>
      </c>
      <c r="AF411" s="68">
        <v>6716210.8118851604</v>
      </c>
    </row>
    <row r="412" spans="1:32" x14ac:dyDescent="0.2">
      <c r="A412" s="95">
        <v>375</v>
      </c>
      <c r="B412" s="95">
        <v>31</v>
      </c>
      <c r="C412" s="95">
        <v>3</v>
      </c>
      <c r="D412" s="95"/>
      <c r="E412" s="95">
        <v>32.243785559202664</v>
      </c>
      <c r="F412" s="95">
        <v>394.85322331923805</v>
      </c>
      <c r="G412" s="95">
        <v>570.13476107797658</v>
      </c>
      <c r="H412" s="95">
        <v>965.87300541458512</v>
      </c>
      <c r="I412" s="95">
        <v>2818.1431114151801</v>
      </c>
      <c r="J412" s="95"/>
      <c r="K412" s="95"/>
      <c r="L412" s="95">
        <v>111.53698121666366</v>
      </c>
      <c r="M412" s="95">
        <v>470.34299331068024</v>
      </c>
      <c r="N412" s="95">
        <v>187.37557656627922</v>
      </c>
      <c r="O412" s="95">
        <v>3747.0754701611795</v>
      </c>
      <c r="P412" s="95">
        <v>702.42109195901833</v>
      </c>
      <c r="Q412" s="95">
        <v>10000.000000000004</v>
      </c>
      <c r="S412" s="98">
        <v>3747.0754701611795</v>
      </c>
      <c r="T412" s="95">
        <v>3373.4901091048832</v>
      </c>
      <c r="U412" s="99">
        <v>2160.0280921346534</v>
      </c>
      <c r="W412" s="121">
        <v>6274.2664865543966</v>
      </c>
      <c r="X412" s="59">
        <v>76846.518848348875</v>
      </c>
      <c r="Y412" s="59">
        <v>110966.17434844187</v>
      </c>
      <c r="Z412" s="59">
        <v>387061.13403099618</v>
      </c>
      <c r="AA412" s="59">
        <v>1315032.5308080271</v>
      </c>
      <c r="AB412" s="59">
        <v>3018652.5754716028</v>
      </c>
      <c r="AC412" s="59">
        <v>1787639.0174816211</v>
      </c>
      <c r="AD412" s="59">
        <v>6702472.2174755922</v>
      </c>
      <c r="AE412" s="59">
        <v>2444940972.6398067</v>
      </c>
      <c r="AF412" s="68">
        <v>6702472.2174755922</v>
      </c>
    </row>
    <row r="413" spans="1:32" x14ac:dyDescent="0.2">
      <c r="A413" s="95">
        <v>376</v>
      </c>
      <c r="B413" s="95">
        <v>31</v>
      </c>
      <c r="C413" s="95">
        <v>4</v>
      </c>
      <c r="D413" s="95"/>
      <c r="E413" s="95">
        <v>31.905225810831034</v>
      </c>
      <c r="F413" s="95">
        <v>392.07458331243959</v>
      </c>
      <c r="G413" s="95">
        <v>566.80268939489963</v>
      </c>
      <c r="H413" s="95">
        <v>961.51317588562961</v>
      </c>
      <c r="I413" s="95">
        <v>2812.9194777252092</v>
      </c>
      <c r="J413" s="95"/>
      <c r="K413" s="95"/>
      <c r="L413" s="95">
        <v>111.35387582051273</v>
      </c>
      <c r="M413" s="95">
        <v>469.86982182969433</v>
      </c>
      <c r="N413" s="95">
        <v>187.15275077001041</v>
      </c>
      <c r="O413" s="95">
        <v>3759.8244299133485</v>
      </c>
      <c r="P413" s="95">
        <v>706.58396953742817</v>
      </c>
      <c r="Q413" s="95">
        <v>10000.000000000004</v>
      </c>
      <c r="S413" s="98">
        <v>3759.8244299133485</v>
      </c>
      <c r="T413" s="95">
        <v>3382.6490742169826</v>
      </c>
      <c r="U413" s="99">
        <v>2166.6132456202927</v>
      </c>
      <c r="W413" s="121">
        <v>6205.7724107428439</v>
      </c>
      <c r="X413" s="59">
        <v>76273.709166093904</v>
      </c>
      <c r="Y413" s="59">
        <v>110271.38157672675</v>
      </c>
      <c r="Z413" s="59">
        <v>385152.5694528342</v>
      </c>
      <c r="AA413" s="59">
        <v>1312046.5467504552</v>
      </c>
      <c r="AB413" s="59">
        <v>3013986.5522580845</v>
      </c>
      <c r="AC413" s="59">
        <v>1784766.6918212438</v>
      </c>
      <c r="AD413" s="59">
        <v>6688703.2234361814</v>
      </c>
      <c r="AE413" s="59">
        <v>2451629675.8632431</v>
      </c>
      <c r="AF413" s="68">
        <v>6688703.2234361814</v>
      </c>
    </row>
    <row r="414" spans="1:32" x14ac:dyDescent="0.2">
      <c r="A414" s="95">
        <v>377</v>
      </c>
      <c r="B414" s="95">
        <v>31</v>
      </c>
      <c r="C414" s="95">
        <v>5</v>
      </c>
      <c r="D414" s="95"/>
      <c r="E414" s="95">
        <v>31.570220939817307</v>
      </c>
      <c r="F414" s="95">
        <v>389.31440836148107</v>
      </c>
      <c r="G414" s="95">
        <v>563.48675544903426</v>
      </c>
      <c r="H414" s="95">
        <v>957.16544053076996</v>
      </c>
      <c r="I414" s="95">
        <v>2807.6806877905233</v>
      </c>
      <c r="J414" s="95"/>
      <c r="K414" s="95"/>
      <c r="L414" s="95">
        <v>111.16985021532264</v>
      </c>
      <c r="M414" s="95">
        <v>469.39199822388093</v>
      </c>
      <c r="N414" s="95">
        <v>186.92820783606396</v>
      </c>
      <c r="O414" s="95">
        <v>3772.5582674152697</v>
      </c>
      <c r="P414" s="95">
        <v>710.73416323784011</v>
      </c>
      <c r="Q414" s="95">
        <v>10000.000000000004</v>
      </c>
      <c r="S414" s="98">
        <v>3772.5582674152697</v>
      </c>
      <c r="T414" s="95">
        <v>3391.7910625195896</v>
      </c>
      <c r="U414" s="99">
        <v>2173.1885859643235</v>
      </c>
      <c r="W414" s="121">
        <v>6138.0260619255678</v>
      </c>
      <c r="X414" s="59">
        <v>75704.957346478361</v>
      </c>
      <c r="Y414" s="59">
        <v>109580.2899223798</v>
      </c>
      <c r="Z414" s="59">
        <v>383250.37643387087</v>
      </c>
      <c r="AA414" s="59">
        <v>1309055.7539972973</v>
      </c>
      <c r="AB414" s="59">
        <v>3009294.8222230799</v>
      </c>
      <c r="AC414" s="59">
        <v>1781880.0766292424</v>
      </c>
      <c r="AD414" s="59">
        <v>6674904.3026142744</v>
      </c>
      <c r="AE414" s="59">
        <v>2458304580.1658573</v>
      </c>
      <c r="AF414" s="68">
        <v>6674904.3026142744</v>
      </c>
    </row>
    <row r="415" spans="1:32" x14ac:dyDescent="0.2">
      <c r="A415" s="95">
        <v>378</v>
      </c>
      <c r="B415" s="95">
        <v>31</v>
      </c>
      <c r="C415" s="95">
        <v>6</v>
      </c>
      <c r="D415" s="95"/>
      <c r="E415" s="95">
        <v>31.238733619949226</v>
      </c>
      <c r="F415" s="95">
        <v>386.57258848347936</v>
      </c>
      <c r="G415" s="95">
        <v>560.18691655385101</v>
      </c>
      <c r="H415" s="95">
        <v>952.82983474639809</v>
      </c>
      <c r="I415" s="95">
        <v>2802.4269368287364</v>
      </c>
      <c r="J415" s="95"/>
      <c r="K415" s="95"/>
      <c r="L415" s="95">
        <v>110.98491726732792</v>
      </c>
      <c r="M415" s="95">
        <v>468.90955350135465</v>
      </c>
      <c r="N415" s="95">
        <v>186.7019608949314</v>
      </c>
      <c r="O415" s="95">
        <v>3785.2768641891248</v>
      </c>
      <c r="P415" s="95">
        <v>714.87169391485031</v>
      </c>
      <c r="Q415" s="95">
        <v>10000.000000000004</v>
      </c>
      <c r="S415" s="98">
        <v>3785.2768641891248</v>
      </c>
      <c r="T415" s="95">
        <v>3400.9160247549089</v>
      </c>
      <c r="U415" s="99">
        <v>2179.7540639079011</v>
      </c>
      <c r="W415" s="121">
        <v>6071.0192774162142</v>
      </c>
      <c r="X415" s="59">
        <v>75140.237202473698</v>
      </c>
      <c r="Y415" s="59">
        <v>108892.88679945079</v>
      </c>
      <c r="Z415" s="59">
        <v>381354.56214835687</v>
      </c>
      <c r="AA415" s="59">
        <v>1306060.251107486</v>
      </c>
      <c r="AB415" s="59">
        <v>3004577.6548325662</v>
      </c>
      <c r="AC415" s="59">
        <v>1778979.3144684015</v>
      </c>
      <c r="AD415" s="59">
        <v>6661075.9258361515</v>
      </c>
      <c r="AE415" s="59">
        <v>2464965656.0916934</v>
      </c>
      <c r="AF415" s="68">
        <v>6661075.9258361515</v>
      </c>
    </row>
    <row r="416" spans="1:32" x14ac:dyDescent="0.2">
      <c r="A416" s="95">
        <v>379</v>
      </c>
      <c r="B416" s="95">
        <v>31</v>
      </c>
      <c r="C416" s="95">
        <v>7</v>
      </c>
      <c r="D416" s="95"/>
      <c r="E416" s="95">
        <v>30.910726916939758</v>
      </c>
      <c r="F416" s="95">
        <v>383.84901419315327</v>
      </c>
      <c r="G416" s="95">
        <v>556.90312970265506</v>
      </c>
      <c r="H416" s="95">
        <v>948.50639313332829</v>
      </c>
      <c r="I416" s="95">
        <v>2797.158419391003</v>
      </c>
      <c r="J416" s="95"/>
      <c r="K416" s="95"/>
      <c r="L416" s="95">
        <v>110.79908971099202</v>
      </c>
      <c r="M416" s="95">
        <v>468.42251867038442</v>
      </c>
      <c r="N416" s="95">
        <v>186.47402307640496</v>
      </c>
      <c r="O416" s="95">
        <v>3797.9801027088697</v>
      </c>
      <c r="P416" s="95">
        <v>718.99658249627225</v>
      </c>
      <c r="Q416" s="95">
        <v>10000.000000000004</v>
      </c>
      <c r="S416" s="98">
        <v>3797.9801027088697</v>
      </c>
      <c r="T416" s="95">
        <v>3410.0239122996022</v>
      </c>
      <c r="U416" s="99">
        <v>2186.309630668557</v>
      </c>
      <c r="W416" s="121">
        <v>6004.7439836377534</v>
      </c>
      <c r="X416" s="59">
        <v>74579.522683508083</v>
      </c>
      <c r="Y416" s="59">
        <v>108209.15957704109</v>
      </c>
      <c r="Z416" s="59">
        <v>379465.13343369914</v>
      </c>
      <c r="AA416" s="59">
        <v>1303060.1361704103</v>
      </c>
      <c r="AB416" s="59">
        <v>2999835.31822812</v>
      </c>
      <c r="AC416" s="59">
        <v>1776064.5478212181</v>
      </c>
      <c r="AD416" s="59">
        <v>6647218.5618976345</v>
      </c>
      <c r="AE416" s="59">
        <v>2471612874.6535912</v>
      </c>
      <c r="AF416" s="68">
        <v>6647218.5618976345</v>
      </c>
    </row>
    <row r="417" spans="1:32" x14ac:dyDescent="0.2">
      <c r="A417" s="95">
        <v>380</v>
      </c>
      <c r="B417" s="95">
        <v>31</v>
      </c>
      <c r="C417" s="95">
        <v>8</v>
      </c>
      <c r="D417" s="95"/>
      <c r="E417" s="95">
        <v>30.586164284311891</v>
      </c>
      <c r="F417" s="95">
        <v>381.14357650274707</v>
      </c>
      <c r="G417" s="95">
        <v>553.63535157555305</v>
      </c>
      <c r="H417" s="95">
        <v>944.19514950188272</v>
      </c>
      <c r="I417" s="95">
        <v>2791.8753293577715</v>
      </c>
      <c r="J417" s="95"/>
      <c r="K417" s="95"/>
      <c r="L417" s="95">
        <v>110.61238015115413</v>
      </c>
      <c r="M417" s="95">
        <v>467.93092473792228</v>
      </c>
      <c r="N417" s="95">
        <v>186.24440750807955</v>
      </c>
      <c r="O417" s="95">
        <v>3810.667866398212</v>
      </c>
      <c r="P417" s="95">
        <v>723.10884998236838</v>
      </c>
      <c r="Q417" s="95">
        <v>10000.000000000002</v>
      </c>
      <c r="S417" s="98">
        <v>3810.667866398212</v>
      </c>
      <c r="T417" s="95">
        <v>3419.1146771626231</v>
      </c>
      <c r="U417" s="99">
        <v>2192.8552379386742</v>
      </c>
      <c r="W417" s="121">
        <v>5939.1921951497088</v>
      </c>
      <c r="X417" s="59">
        <v>74022.787875209615</v>
      </c>
      <c r="Y417" s="59">
        <v>107529.09558077231</v>
      </c>
      <c r="Z417" s="59">
        <v>377582.09679318493</v>
      </c>
      <c r="AA417" s="59">
        <v>1300055.5068047473</v>
      </c>
      <c r="AB417" s="59">
        <v>2995068.0792383817</v>
      </c>
      <c r="AC417" s="59">
        <v>1773135.9190678506</v>
      </c>
      <c r="AD417" s="59">
        <v>6633332.6775552966</v>
      </c>
      <c r="AE417" s="59">
        <v>2478246207.3311462</v>
      </c>
      <c r="AF417" s="68">
        <v>6633332.6775552966</v>
      </c>
    </row>
    <row r="418" spans="1:32" x14ac:dyDescent="0.2">
      <c r="A418" s="95">
        <v>381</v>
      </c>
      <c r="B418" s="95">
        <v>31</v>
      </c>
      <c r="C418" s="95">
        <v>9</v>
      </c>
      <c r="D418" s="95"/>
      <c r="E418" s="95">
        <v>30.265009559326618</v>
      </c>
      <c r="F418" s="95">
        <v>378.45616692191425</v>
      </c>
      <c r="G418" s="95">
        <v>550.38353854634363</v>
      </c>
      <c r="H418" s="95">
        <v>939.89613687699364</v>
      </c>
      <c r="I418" s="95">
        <v>2786.5778599346081</v>
      </c>
      <c r="J418" s="95"/>
      <c r="K418" s="95"/>
      <c r="L418" s="95">
        <v>110.42480106512815</v>
      </c>
      <c r="M418" s="95">
        <v>467.43480270814297</v>
      </c>
      <c r="N418" s="95">
        <v>186.01312731390814</v>
      </c>
      <c r="O418" s="95">
        <v>3823.3400396285542</v>
      </c>
      <c r="P418" s="95">
        <v>727.20851744508286</v>
      </c>
      <c r="Q418" s="95">
        <v>10000.000000000002</v>
      </c>
      <c r="S418" s="98">
        <v>3823.3400396285542</v>
      </c>
      <c r="T418" s="95">
        <v>3428.188271983036</v>
      </c>
      <c r="U418" s="99">
        <v>2199.3908378839633</v>
      </c>
      <c r="W418" s="121">
        <v>5874.3560136859905</v>
      </c>
      <c r="X418" s="59">
        <v>73470.006999141842</v>
      </c>
      <c r="Y418" s="59">
        <v>106852.68209423641</v>
      </c>
      <c r="Z418" s="59">
        <v>375705.45839870605</v>
      </c>
      <c r="AA418" s="59">
        <v>1297046.4601573288</v>
      </c>
      <c r="AB418" s="59">
        <v>2990276.2033901704</v>
      </c>
      <c r="AC418" s="59">
        <v>1770193.5704649705</v>
      </c>
      <c r="AD418" s="59">
        <v>6619418.7375182398</v>
      </c>
      <c r="AE418" s="59">
        <v>2484865626.0686646</v>
      </c>
      <c r="AF418" s="68">
        <v>6619418.7375182398</v>
      </c>
    </row>
    <row r="419" spans="1:32" x14ac:dyDescent="0.2">
      <c r="A419" s="95">
        <v>382</v>
      </c>
      <c r="B419" s="95">
        <v>31</v>
      </c>
      <c r="C419" s="95">
        <v>10</v>
      </c>
      <c r="D419" s="95"/>
      <c r="E419" s="95">
        <v>29.947226958953689</v>
      </c>
      <c r="F419" s="95">
        <v>375.78667745756269</v>
      </c>
      <c r="G419" s="95">
        <v>547.14764668933401</v>
      </c>
      <c r="H419" s="95">
        <v>935.60938750332173</v>
      </c>
      <c r="I419" s="95">
        <v>2781.2662036480901</v>
      </c>
      <c r="J419" s="95"/>
      <c r="K419" s="95"/>
      <c r="L419" s="95">
        <v>110.23636480475501</v>
      </c>
      <c r="M419" s="95">
        <v>466.93418358099461</v>
      </c>
      <c r="N419" s="95">
        <v>185.7801956128084</v>
      </c>
      <c r="O419" s="95">
        <v>3835.9965077169045</v>
      </c>
      <c r="P419" s="95">
        <v>731.29560602727759</v>
      </c>
      <c r="Q419" s="95">
        <v>10000.000000000002</v>
      </c>
      <c r="S419" s="98">
        <v>3835.9965077169045</v>
      </c>
      <c r="T419" s="95">
        <v>3437.2446500278234</v>
      </c>
      <c r="U419" s="99">
        <v>2205.9163831419355</v>
      </c>
      <c r="W419" s="121">
        <v>5810.2276272032523</v>
      </c>
      <c r="X419" s="59">
        <v>72921.154412532371</v>
      </c>
      <c r="Y419" s="59">
        <v>106179.90636042802</v>
      </c>
      <c r="Z419" s="59">
        <v>373835.22409348376</v>
      </c>
      <c r="AA419" s="59">
        <v>1294033.0929020473</v>
      </c>
      <c r="AB419" s="59">
        <v>2985459.9549192516</v>
      </c>
      <c r="AC419" s="59">
        <v>1767237.6441254804</v>
      </c>
      <c r="AD419" s="59">
        <v>6605477.204440427</v>
      </c>
      <c r="AE419" s="59">
        <v>2491471103.2731051</v>
      </c>
      <c r="AF419" s="68">
        <v>6605477.204440427</v>
      </c>
    </row>
    <row r="420" spans="1:32" x14ac:dyDescent="0.2">
      <c r="A420" s="95">
        <v>383</v>
      </c>
      <c r="B420" s="95">
        <v>31</v>
      </c>
      <c r="C420" s="95">
        <v>11</v>
      </c>
      <c r="D420" s="95"/>
      <c r="E420" s="95">
        <v>29.632781075884676</v>
      </c>
      <c r="F420" s="95">
        <v>373.13500061366159</v>
      </c>
      <c r="G420" s="95">
        <v>543.92763178608141</v>
      </c>
      <c r="H420" s="95">
        <v>931.33493285038878</v>
      </c>
      <c r="I420" s="95">
        <v>2775.9405523417736</v>
      </c>
      <c r="J420" s="95"/>
      <c r="K420" s="95"/>
      <c r="L420" s="95">
        <v>110.04708359840919</v>
      </c>
      <c r="M420" s="95">
        <v>466.42909835076011</v>
      </c>
      <c r="N420" s="95">
        <v>185.54562551731837</v>
      </c>
      <c r="O420" s="95">
        <v>3848.6371569237549</v>
      </c>
      <c r="P420" s="95">
        <v>735.37013694196946</v>
      </c>
      <c r="Q420" s="95">
        <v>10000.000000000002</v>
      </c>
      <c r="S420" s="98">
        <v>3848.6371569237549</v>
      </c>
      <c r="T420" s="95">
        <v>3446.2837651896798</v>
      </c>
      <c r="U420" s="99">
        <v>2212.4318268203774</v>
      </c>
      <c r="W420" s="121">
        <v>5746.7993089396168</v>
      </c>
      <c r="X420" s="59">
        <v>72376.204607994208</v>
      </c>
      <c r="Y420" s="59">
        <v>105510.75558315869</v>
      </c>
      <c r="Z420" s="59">
        <v>371971.39939479355</v>
      </c>
      <c r="AA420" s="59">
        <v>1291015.5012387962</v>
      </c>
      <c r="AB420" s="59">
        <v>2980619.5967807751</v>
      </c>
      <c r="AC420" s="59">
        <v>1764268.2819990616</v>
      </c>
      <c r="AD420" s="59">
        <v>6591508.5389135191</v>
      </c>
      <c r="AE420" s="59">
        <v>2498062611.8120189</v>
      </c>
      <c r="AF420" s="68">
        <v>6591508.5389135191</v>
      </c>
    </row>
    <row r="421" spans="1:32" x14ac:dyDescent="0.2">
      <c r="A421" s="95">
        <v>384</v>
      </c>
      <c r="B421" s="95">
        <v>32</v>
      </c>
      <c r="C421" s="95">
        <v>0</v>
      </c>
      <c r="D421" s="95"/>
      <c r="E421" s="95">
        <v>29.321636874587888</v>
      </c>
      <c r="F421" s="95">
        <v>370.50102939101112</v>
      </c>
      <c r="G421" s="95">
        <v>540.72344933206114</v>
      </c>
      <c r="H421" s="95">
        <v>927.07280361772473</v>
      </c>
      <c r="I421" s="95">
        <v>2770.601097172228</v>
      </c>
      <c r="J421" s="95"/>
      <c r="K421" s="95"/>
      <c r="L421" s="95">
        <v>109.85696955296071</v>
      </c>
      <c r="M421" s="95">
        <v>465.91957800462922</v>
      </c>
      <c r="N421" s="95">
        <v>185.30943013229984</v>
      </c>
      <c r="O421" s="95">
        <v>3861.2618744509291</v>
      </c>
      <c r="P421" s="95">
        <v>739.43213147157019</v>
      </c>
      <c r="Q421" s="95">
        <v>10000.000000000002</v>
      </c>
      <c r="S421" s="98">
        <v>3861.2618744509291</v>
      </c>
      <c r="T421" s="95">
        <v>3455.3055719847907</v>
      </c>
      <c r="U421" s="99">
        <v>2218.9371224958213</v>
      </c>
      <c r="W421" s="121">
        <v>5684.063416483692</v>
      </c>
      <c r="X421" s="59">
        <v>71835.132213240417</v>
      </c>
      <c r="Y421" s="59">
        <v>104845.21692845339</v>
      </c>
      <c r="Z421" s="59">
        <v>370113.98949668952</v>
      </c>
      <c r="AA421" s="59">
        <v>1287993.780892449</v>
      </c>
      <c r="AB421" s="59">
        <v>2975755.390659383</v>
      </c>
      <c r="AC421" s="59">
        <v>1761285.6258535238</v>
      </c>
      <c r="AD421" s="59">
        <v>6577513.1994602233</v>
      </c>
      <c r="AE421" s="59">
        <v>2504640125.0114789</v>
      </c>
      <c r="AF421" s="68">
        <v>6577513.1994602233</v>
      </c>
    </row>
    <row r="422" spans="1:32" x14ac:dyDescent="0.2">
      <c r="A422" s="95">
        <v>385</v>
      </c>
      <c r="B422" s="95">
        <v>32</v>
      </c>
      <c r="C422" s="95">
        <v>1</v>
      </c>
      <c r="D422" s="95"/>
      <c r="E422" s="95">
        <v>29.013759687404715</v>
      </c>
      <c r="F422" s="95">
        <v>367.88465728697543</v>
      </c>
      <c r="G422" s="95">
        <v>537.53505454326114</v>
      </c>
      <c r="H422" s="95">
        <v>922.82302974002732</v>
      </c>
      <c r="I422" s="95">
        <v>2765.2480286051427</v>
      </c>
      <c r="J422" s="95"/>
      <c r="K422" s="95"/>
      <c r="L422" s="95">
        <v>109.66603465569342</v>
      </c>
      <c r="M422" s="95">
        <v>465.40565352128192</v>
      </c>
      <c r="N422" s="95">
        <v>185.07162255368689</v>
      </c>
      <c r="O422" s="95">
        <v>3873.8705484394</v>
      </c>
      <c r="P422" s="95">
        <v>743.48161096712829</v>
      </c>
      <c r="Q422" s="95">
        <v>10000.000000000002</v>
      </c>
      <c r="S422" s="98">
        <v>3873.8705484394</v>
      </c>
      <c r="T422" s="95">
        <v>3464.3100255506006</v>
      </c>
      <c r="U422" s="99">
        <v>2225.4322242120152</v>
      </c>
      <c r="W422" s="121">
        <v>5622.0123908537453</v>
      </c>
      <c r="X422" s="59">
        <v>71297.911990791908</v>
      </c>
      <c r="Y422" s="59">
        <v>104183.27752592943</v>
      </c>
      <c r="Z422" s="59">
        <v>368262.99927272781</v>
      </c>
      <c r="AA422" s="59">
        <v>1284968.027111873</v>
      </c>
      <c r="AB422" s="59">
        <v>2970867.5969790081</v>
      </c>
      <c r="AC422" s="59">
        <v>1758289.817256917</v>
      </c>
      <c r="AD422" s="59">
        <v>6563491.6425281009</v>
      </c>
      <c r="AE422" s="59">
        <v>2511203616.654007</v>
      </c>
      <c r="AF422" s="68">
        <v>6563491.6425281009</v>
      </c>
    </row>
    <row r="423" spans="1:32" x14ac:dyDescent="0.2">
      <c r="A423" s="95">
        <v>386</v>
      </c>
      <c r="B423" s="95">
        <v>32</v>
      </c>
      <c r="C423" s="95">
        <v>2</v>
      </c>
      <c r="D423" s="95"/>
      <c r="E423" s="95">
        <v>28.709115210686964</v>
      </c>
      <c r="F423" s="95">
        <v>365.28577829517963</v>
      </c>
      <c r="G423" s="95">
        <v>534.36240236270385</v>
      </c>
      <c r="H423" s="95">
        <v>918.58564039233465</v>
      </c>
      <c r="I423" s="95">
        <v>2759.881536411503</v>
      </c>
      <c r="J423" s="95"/>
      <c r="K423" s="95"/>
      <c r="L423" s="95">
        <v>109.47429077618078</v>
      </c>
      <c r="M423" s="95">
        <v>464.88735586948235</v>
      </c>
      <c r="N423" s="95">
        <v>184.83221586727845</v>
      </c>
      <c r="O423" s="95">
        <v>3886.4630679670786</v>
      </c>
      <c r="P423" s="95">
        <v>747.51859684757335</v>
      </c>
      <c r="Q423" s="95">
        <v>10000.000000000002</v>
      </c>
      <c r="S423" s="98">
        <v>3886.4630679670786</v>
      </c>
      <c r="T423" s="95">
        <v>3473.2970816435673</v>
      </c>
      <c r="U423" s="99">
        <v>2231.9170864783905</v>
      </c>
      <c r="W423" s="121">
        <v>5560.6387555869251</v>
      </c>
      <c r="X423" s="59">
        <v>70764.518837678697</v>
      </c>
      <c r="Y423" s="59">
        <v>103524.924470158</v>
      </c>
      <c r="Z423" s="59">
        <v>366418.43327868945</v>
      </c>
      <c r="AA423" s="59">
        <v>1281938.3346689797</v>
      </c>
      <c r="AB423" s="59">
        <v>2965956.4749123608</v>
      </c>
      <c r="AC423" s="59">
        <v>1755280.9975603821</v>
      </c>
      <c r="AD423" s="59">
        <v>6549444.3224838357</v>
      </c>
      <c r="AE423" s="59">
        <v>2517753060.976491</v>
      </c>
      <c r="AF423" s="68">
        <v>6549444.3224838357</v>
      </c>
    </row>
    <row r="424" spans="1:32" x14ac:dyDescent="0.2">
      <c r="A424" s="95">
        <v>387</v>
      </c>
      <c r="B424" s="95">
        <v>32</v>
      </c>
      <c r="C424" s="95">
        <v>3</v>
      </c>
      <c r="D424" s="95"/>
      <c r="E424" s="95">
        <v>28.407669500974752</v>
      </c>
      <c r="F424" s="95">
        <v>362.70428690517156</v>
      </c>
      <c r="G424" s="95">
        <v>531.20544746689563</v>
      </c>
      <c r="H424" s="95">
        <v>914.36066399520826</v>
      </c>
      <c r="I424" s="95">
        <v>2754.501809663836</v>
      </c>
      <c r="J424" s="95"/>
      <c r="K424" s="95"/>
      <c r="L424" s="95">
        <v>109.28174966811987</v>
      </c>
      <c r="M424" s="95">
        <v>464.36471600668375</v>
      </c>
      <c r="N424" s="95">
        <v>184.59122314757283</v>
      </c>
      <c r="O424" s="95">
        <v>3899.0393230465766</v>
      </c>
      <c r="P424" s="95">
        <v>751.54311059896236</v>
      </c>
      <c r="Q424" s="95">
        <v>10000.000000000002</v>
      </c>
      <c r="S424" s="98">
        <v>3899.0393230465766</v>
      </c>
      <c r="T424" s="95">
        <v>3482.2666966369047</v>
      </c>
      <c r="U424" s="99">
        <v>2238.3916642685294</v>
      </c>
      <c r="W424" s="121">
        <v>5499.9351158384343</v>
      </c>
      <c r="X424" s="59">
        <v>70234.927785134831</v>
      </c>
      <c r="Y424" s="59">
        <v>102870.14482200812</v>
      </c>
      <c r="Z424" s="59">
        <v>364580.29575530102</v>
      </c>
      <c r="AA424" s="59">
        <v>1278904.7978578121</v>
      </c>
      <c r="AB424" s="59">
        <v>2961022.2823901209</v>
      </c>
      <c r="AC424" s="59">
        <v>1752259.3078817076</v>
      </c>
      <c r="AD424" s="59">
        <v>6535371.6916079232</v>
      </c>
      <c r="AE424" s="59">
        <v>2524288432.6680989</v>
      </c>
      <c r="AF424" s="68">
        <v>6535371.6916079232</v>
      </c>
    </row>
    <row r="425" spans="1:32" x14ac:dyDescent="0.2">
      <c r="A425" s="95">
        <v>388</v>
      </c>
      <c r="B425" s="95">
        <v>32</v>
      </c>
      <c r="C425" s="95">
        <v>4</v>
      </c>
      <c r="D425" s="95"/>
      <c r="E425" s="95">
        <v>28.109388971214518</v>
      </c>
      <c r="F425" s="95">
        <v>360.1400781020489</v>
      </c>
      <c r="G425" s="95">
        <v>528.06414427220477</v>
      </c>
      <c r="H425" s="95">
        <v>910.14812821992712</v>
      </c>
      <c r="I425" s="95">
        <v>2749.1090367325264</v>
      </c>
      <c r="J425" s="95"/>
      <c r="K425" s="95"/>
      <c r="L425" s="95">
        <v>109.0884229711248</v>
      </c>
      <c r="M425" s="95">
        <v>463.83776487764408</v>
      </c>
      <c r="N425" s="95">
        <v>184.34865745664271</v>
      </c>
      <c r="O425" s="95">
        <v>3911.5992046229399</v>
      </c>
      <c r="P425" s="95">
        <v>755.55517377372814</v>
      </c>
      <c r="Q425" s="95">
        <v>10000.000000000002</v>
      </c>
      <c r="S425" s="98">
        <v>3911.5992046229399</v>
      </c>
      <c r="T425" s="95">
        <v>3491.2188275183121</v>
      </c>
      <c r="U425" s="99">
        <v>2244.8559130186277</v>
      </c>
      <c r="W425" s="121">
        <v>5439.8941574905311</v>
      </c>
      <c r="X425" s="59">
        <v>69709.113998286892</v>
      </c>
      <c r="Y425" s="59">
        <v>102218.92560997374</v>
      </c>
      <c r="Z425" s="59">
        <v>362748.59063095407</v>
      </c>
      <c r="AA425" s="59">
        <v>1275867.5104936664</v>
      </c>
      <c r="AB425" s="59">
        <v>2956065.2761098403</v>
      </c>
      <c r="AC425" s="59">
        <v>1749224.8890895627</v>
      </c>
      <c r="AD425" s="59">
        <v>6521274.200089775</v>
      </c>
      <c r="AE425" s="59">
        <v>2530809706.8681889</v>
      </c>
      <c r="AF425" s="68">
        <v>6521274.200089775</v>
      </c>
    </row>
    <row r="426" spans="1:32" x14ac:dyDescent="0.2">
      <c r="A426" s="95">
        <v>389</v>
      </c>
      <c r="B426" s="95">
        <v>32</v>
      </c>
      <c r="C426" s="95">
        <v>5</v>
      </c>
      <c r="D426" s="95"/>
      <c r="E426" s="95">
        <v>27.814240387016767</v>
      </c>
      <c r="F426" s="95">
        <v>357.59304736605219</v>
      </c>
      <c r="G426" s="95">
        <v>524.93844694116808</v>
      </c>
      <c r="H426" s="95">
        <v>905.94805999369157</v>
      </c>
      <c r="I426" s="95">
        <v>2743.7034052822009</v>
      </c>
      <c r="J426" s="95"/>
      <c r="K426" s="95"/>
      <c r="L426" s="95">
        <v>108.89432221248033</v>
      </c>
      <c r="M426" s="95">
        <v>463.30653341305293</v>
      </c>
      <c r="N426" s="95">
        <v>184.10453184304899</v>
      </c>
      <c r="O426" s="95">
        <v>3924.1426045713588</v>
      </c>
      <c r="P426" s="95">
        <v>759.55480798993062</v>
      </c>
      <c r="Q426" s="95">
        <v>10000.000000000002</v>
      </c>
      <c r="S426" s="98">
        <v>3924.1426045713588</v>
      </c>
      <c r="T426" s="95">
        <v>3500.1534318876929</v>
      </c>
      <c r="U426" s="99">
        <v>2251.3097886259588</v>
      </c>
      <c r="W426" s="121">
        <v>5380.5086462712588</v>
      </c>
      <c r="X426" s="59">
        <v>69187.052775836564</v>
      </c>
      <c r="Y426" s="59">
        <v>101571.25383148357</v>
      </c>
      <c r="Z426" s="59">
        <v>360923.32152442215</v>
      </c>
      <c r="AA426" s="59">
        <v>1272826.5659122493</v>
      </c>
      <c r="AB426" s="59">
        <v>2951085.7115445626</v>
      </c>
      <c r="AC426" s="59">
        <v>1746177.8817883846</v>
      </c>
      <c r="AD426" s="59">
        <v>6507152.2960232096</v>
      </c>
      <c r="AE426" s="59">
        <v>2537316859.1642122</v>
      </c>
      <c r="AF426" s="68">
        <v>6507152.2960232096</v>
      </c>
    </row>
    <row r="427" spans="1:32" x14ac:dyDescent="0.2">
      <c r="A427" s="95">
        <v>390</v>
      </c>
      <c r="B427" s="95">
        <v>32</v>
      </c>
      <c r="C427" s="95">
        <v>6</v>
      </c>
      <c r="D427" s="95"/>
      <c r="E427" s="95">
        <v>27.522190862953092</v>
      </c>
      <c r="F427" s="95">
        <v>355.06309067212487</v>
      </c>
      <c r="G427" s="95">
        <v>521.82830938872678</v>
      </c>
      <c r="H427" s="95">
        <v>901.76048550483563</v>
      </c>
      <c r="I427" s="95">
        <v>2738.2851022681821</v>
      </c>
      <c r="J427" s="95"/>
      <c r="K427" s="95"/>
      <c r="L427" s="95">
        <v>108.69945880885659</v>
      </c>
      <c r="M427" s="95">
        <v>462.77105252816887</v>
      </c>
      <c r="N427" s="95">
        <v>183.85885934079212</v>
      </c>
      <c r="O427" s="95">
        <v>3936.6694156948515</v>
      </c>
      <c r="P427" s="95">
        <v>763.54203493050966</v>
      </c>
      <c r="Q427" s="95">
        <v>10000.000000000002</v>
      </c>
      <c r="S427" s="98">
        <v>3936.6694156948515</v>
      </c>
      <c r="T427" s="95">
        <v>3509.0704679548603</v>
      </c>
      <c r="U427" s="99">
        <v>2257.7532474473328</v>
      </c>
      <c r="W427" s="121">
        <v>5321.7714268827976</v>
      </c>
      <c r="X427" s="59">
        <v>68668.719549737041</v>
      </c>
      <c r="Y427" s="59">
        <v>100927.11645419417</v>
      </c>
      <c r="Z427" s="59">
        <v>359104.49174757535</v>
      </c>
      <c r="AA427" s="59">
        <v>1269782.0569688724</v>
      </c>
      <c r="AB427" s="59">
        <v>2946083.842951173</v>
      </c>
      <c r="AC427" s="59">
        <v>1743118.4263038887</v>
      </c>
      <c r="AD427" s="59">
        <v>6493006.4254023237</v>
      </c>
      <c r="AE427" s="59">
        <v>2543809865.5896144</v>
      </c>
      <c r="AF427" s="68">
        <v>6493006.4254023237</v>
      </c>
    </row>
    <row r="428" spans="1:32" x14ac:dyDescent="0.2">
      <c r="A428" s="95">
        <v>391</v>
      </c>
      <c r="B428" s="95">
        <v>32</v>
      </c>
      <c r="C428" s="95">
        <v>7</v>
      </c>
      <c r="D428" s="95"/>
      <c r="E428" s="95">
        <v>27.233207858892087</v>
      </c>
      <c r="F428" s="95">
        <v>352.55010448944034</v>
      </c>
      <c r="G428" s="95">
        <v>518.73368528839217</v>
      </c>
      <c r="H428" s="95">
        <v>897.58543020804757</v>
      </c>
      <c r="I428" s="95">
        <v>2732.85431393301</v>
      </c>
      <c r="J428" s="95"/>
      <c r="K428" s="95"/>
      <c r="L428" s="95">
        <v>108.5038440679859</v>
      </c>
      <c r="M428" s="95">
        <v>462.23135312146803</v>
      </c>
      <c r="N428" s="95">
        <v>183.61165296829935</v>
      </c>
      <c r="O428" s="95">
        <v>3949.1795317219253</v>
      </c>
      <c r="P428" s="95">
        <v>767.51687634254063</v>
      </c>
      <c r="Q428" s="95">
        <v>10000.000000000002</v>
      </c>
      <c r="S428" s="98">
        <v>3949.1795317219253</v>
      </c>
      <c r="T428" s="95">
        <v>3517.969894537232</v>
      </c>
      <c r="U428" s="99">
        <v>2264.1862462975555</v>
      </c>
      <c r="W428" s="121">
        <v>5263.6754221393276</v>
      </c>
      <c r="X428" s="59">
        <v>68154.089884863817</v>
      </c>
      <c r="Y428" s="59">
        <v>100286.5004172663</v>
      </c>
      <c r="Z428" s="59">
        <v>357292.10430809238</v>
      </c>
      <c r="AA428" s="59">
        <v>1266734.0760376791</v>
      </c>
      <c r="AB428" s="59">
        <v>2941059.9233784787</v>
      </c>
      <c r="AC428" s="59">
        <v>1740046.662669179</v>
      </c>
      <c r="AD428" s="59">
        <v>6478837.0321176983</v>
      </c>
      <c r="AE428" s="59">
        <v>2550288702.6217322</v>
      </c>
      <c r="AF428" s="68">
        <v>6478837.0321176983</v>
      </c>
    </row>
    <row r="429" spans="1:32" x14ac:dyDescent="0.2">
      <c r="A429" s="95">
        <v>392</v>
      </c>
      <c r="B429" s="95">
        <v>32</v>
      </c>
      <c r="C429" s="95">
        <v>8</v>
      </c>
      <c r="D429" s="95"/>
      <c r="E429" s="95">
        <v>26.94725917637372</v>
      </c>
      <c r="F429" s="95">
        <v>350.05398578089728</v>
      </c>
      <c r="G429" s="95">
        <v>515.6545280783422</v>
      </c>
      <c r="H429" s="95">
        <v>893.42291882959762</v>
      </c>
      <c r="I429" s="95">
        <v>2727.4112258030341</v>
      </c>
      <c r="J429" s="95"/>
      <c r="K429" s="95"/>
      <c r="L429" s="95">
        <v>108.30748919030242</v>
      </c>
      <c r="M429" s="95">
        <v>461.68746607330331</v>
      </c>
      <c r="N429" s="95">
        <v>183.36292572744657</v>
      </c>
      <c r="O429" s="95">
        <v>3961.6728473042122</v>
      </c>
      <c r="P429" s="95">
        <v>771.47935403649228</v>
      </c>
      <c r="Q429" s="95">
        <v>10000.000000000002</v>
      </c>
      <c r="S429" s="98">
        <v>3961.6728473042122</v>
      </c>
      <c r="T429" s="95">
        <v>3526.8516710575141</v>
      </c>
      <c r="U429" s="99">
        <v>2270.6087424478842</v>
      </c>
      <c r="W429" s="121">
        <v>5206.2136321143062</v>
      </c>
      <c r="X429" s="59">
        <v>67643.139478679557</v>
      </c>
      <c r="Y429" s="59">
        <v>99649.392632624615</v>
      </c>
      <c r="Z429" s="59">
        <v>355486.16191216902</v>
      </c>
      <c r="AA429" s="59">
        <v>1263682.7150109077</v>
      </c>
      <c r="AB429" s="59">
        <v>2936014.2046750393</v>
      </c>
      <c r="AC429" s="59">
        <v>1736962.7306114375</v>
      </c>
      <c r="AD429" s="59">
        <v>6464644.5579529721</v>
      </c>
      <c r="AE429" s="59">
        <v>2556753347.1796851</v>
      </c>
      <c r="AF429" s="68">
        <v>6464644.5579529721</v>
      </c>
    </row>
    <row r="430" spans="1:32" x14ac:dyDescent="0.2">
      <c r="A430" s="95">
        <v>393</v>
      </c>
      <c r="B430" s="95">
        <v>32</v>
      </c>
      <c r="C430" s="95">
        <v>9</v>
      </c>
      <c r="D430" s="95"/>
      <c r="E430" s="95">
        <v>26.664312955021796</v>
      </c>
      <c r="F430" s="95">
        <v>347.5746320025832</v>
      </c>
      <c r="G430" s="95">
        <v>512.59079096744802</v>
      </c>
      <c r="H430" s="95">
        <v>889.27297537257277</v>
      </c>
      <c r="I430" s="95">
        <v>2721.9560226850713</v>
      </c>
      <c r="J430" s="95"/>
      <c r="K430" s="95"/>
      <c r="L430" s="95">
        <v>108.11040527054574</v>
      </c>
      <c r="M430" s="95">
        <v>461.13942224457463</v>
      </c>
      <c r="N430" s="95">
        <v>183.11269060261333</v>
      </c>
      <c r="O430" s="95">
        <v>3974.1492580140844</v>
      </c>
      <c r="P430" s="95">
        <v>775.42948988548676</v>
      </c>
      <c r="Q430" s="95">
        <v>10000.000000000002</v>
      </c>
      <c r="S430" s="98">
        <v>3974.1492580140844</v>
      </c>
      <c r="T430" s="95">
        <v>3535.7157575413739</v>
      </c>
      <c r="U430" s="99">
        <v>2277.0206936244813</v>
      </c>
      <c r="W430" s="121">
        <v>5149.3791332970586</v>
      </c>
      <c r="X430" s="59">
        <v>67135.844160893554</v>
      </c>
      <c r="Y430" s="59">
        <v>99015.779986200956</v>
      </c>
      <c r="Z430" s="59">
        <v>353686.66696722363</v>
      </c>
      <c r="AA430" s="59">
        <v>1260628.0652981892</v>
      </c>
      <c r="AB430" s="59">
        <v>2930946.937496738</v>
      </c>
      <c r="AC430" s="59">
        <v>1733866.7695391623</v>
      </c>
      <c r="AD430" s="59">
        <v>6450429.4425817048</v>
      </c>
      <c r="AE430" s="59">
        <v>2563203776.6222668</v>
      </c>
      <c r="AF430" s="68">
        <v>6450429.4425817048</v>
      </c>
    </row>
    <row r="431" spans="1:32" x14ac:dyDescent="0.2">
      <c r="A431" s="95">
        <v>394</v>
      </c>
      <c r="B431" s="95">
        <v>32</v>
      </c>
      <c r="C431" s="95">
        <v>10</v>
      </c>
      <c r="D431" s="95"/>
      <c r="E431" s="95">
        <v>26.384337668994068</v>
      </c>
      <c r="F431" s="95">
        <v>345.11194110320776</v>
      </c>
      <c r="G431" s="95">
        <v>509.54242694123292</v>
      </c>
      <c r="H431" s="95">
        <v>885.13562312211627</v>
      </c>
      <c r="I431" s="95">
        <v>2716.4888886631334</v>
      </c>
      <c r="J431" s="95"/>
      <c r="K431" s="95"/>
      <c r="L431" s="95">
        <v>107.91260329932877</v>
      </c>
      <c r="M431" s="95">
        <v>460.58725247541008</v>
      </c>
      <c r="N431" s="95">
        <v>182.86096055976998</v>
      </c>
      <c r="O431" s="95">
        <v>3986.6086603422468</v>
      </c>
      <c r="P431" s="95">
        <v>779.3673058245621</v>
      </c>
      <c r="Q431" s="95">
        <v>10000.000000000002</v>
      </c>
      <c r="S431" s="98">
        <v>3986.6086603422468</v>
      </c>
      <c r="T431" s="95">
        <v>3544.5621146151002</v>
      </c>
      <c r="U431" s="99">
        <v>2283.4220580068663</v>
      </c>
      <c r="W431" s="121">
        <v>5093.1650777585655</v>
      </c>
      <c r="X431" s="59">
        <v>66632.179893115826</v>
      </c>
      <c r="Y431" s="59">
        <v>98385.649339161377</v>
      </c>
      <c r="Z431" s="59">
        <v>351893.6215845985</v>
      </c>
      <c r="AA431" s="59">
        <v>1257570.2178258791</v>
      </c>
      <c r="AB431" s="59">
        <v>2925858.3713141209</v>
      </c>
      <c r="AC431" s="59">
        <v>1730758.9185299412</v>
      </c>
      <c r="AD431" s="59">
        <v>6436192.1235645758</v>
      </c>
      <c r="AE431" s="59">
        <v>2569639968.7458315</v>
      </c>
      <c r="AF431" s="68">
        <v>6436192.1235645758</v>
      </c>
    </row>
    <row r="432" spans="1:32" x14ac:dyDescent="0.2">
      <c r="A432" s="95">
        <v>395</v>
      </c>
      <c r="B432" s="95">
        <v>32</v>
      </c>
      <c r="C432" s="95">
        <v>11</v>
      </c>
      <c r="D432" s="95"/>
      <c r="E432" s="95">
        <v>26.10730212346963</v>
      </c>
      <c r="F432" s="95">
        <v>342.66581152350534</v>
      </c>
      <c r="G432" s="95">
        <v>506.5093887677624</v>
      </c>
      <c r="H432" s="95">
        <v>881.01088465067323</v>
      </c>
      <c r="I432" s="95">
        <v>2711.0100070952208</v>
      </c>
      <c r="J432" s="95"/>
      <c r="K432" s="95"/>
      <c r="L432" s="95">
        <v>107.71409416467125</v>
      </c>
      <c r="M432" s="95">
        <v>460.03098758385789</v>
      </c>
      <c r="N432" s="95">
        <v>182.60774854559551</v>
      </c>
      <c r="O432" s="95">
        <v>3999.0509516953089</v>
      </c>
      <c r="P432" s="95">
        <v>783.29282384993689</v>
      </c>
      <c r="Q432" s="95">
        <v>10000.000000000002</v>
      </c>
      <c r="S432" s="98">
        <v>3999.0509516953089</v>
      </c>
      <c r="T432" s="95">
        <v>3553.3907035032553</v>
      </c>
      <c r="U432" s="99">
        <v>2289.8127942263636</v>
      </c>
      <c r="W432" s="121">
        <v>5037.5646923263675</v>
      </c>
      <c r="X432" s="59">
        <v>66132.122768505767</v>
      </c>
      <c r="Y432" s="59">
        <v>97758.987529116974</v>
      </c>
      <c r="Z432" s="59">
        <v>350107.02758225787</v>
      </c>
      <c r="AA432" s="59">
        <v>1254509.2630364238</v>
      </c>
      <c r="AB432" s="59">
        <v>2920748.7544194926</v>
      </c>
      <c r="AC432" s="59">
        <v>1727639.3163187329</v>
      </c>
      <c r="AD432" s="59">
        <v>6421933.0363468565</v>
      </c>
      <c r="AE432" s="59">
        <v>2576061901.7821784</v>
      </c>
      <c r="AF432" s="68">
        <v>6421933.0363468565</v>
      </c>
    </row>
    <row r="433" spans="1:32" x14ac:dyDescent="0.2">
      <c r="A433" s="95">
        <v>396</v>
      </c>
      <c r="B433" s="95">
        <v>33</v>
      </c>
      <c r="C433" s="95">
        <v>0</v>
      </c>
      <c r="D433" s="95"/>
      <c r="E433" s="95">
        <v>25.833175451173197</v>
      </c>
      <c r="F433" s="95">
        <v>340.23614219560835</v>
      </c>
      <c r="G433" s="95">
        <v>503.4916290034671</v>
      </c>
      <c r="H433" s="95">
        <v>876.89878182323969</v>
      </c>
      <c r="I433" s="95">
        <v>2705.5195606101852</v>
      </c>
      <c r="J433" s="95"/>
      <c r="K433" s="95"/>
      <c r="L433" s="95">
        <v>107.51488865349948</v>
      </c>
      <c r="M433" s="95">
        <v>459.47065836458921</v>
      </c>
      <c r="N433" s="95">
        <v>182.35306748662495</v>
      </c>
      <c r="O433" s="95">
        <v>4011.4760303933367</v>
      </c>
      <c r="P433" s="95">
        <v>787.20606601827797</v>
      </c>
      <c r="Q433" s="95">
        <v>10000.000000000002</v>
      </c>
      <c r="S433" s="98">
        <v>4011.4760303933367</v>
      </c>
      <c r="T433" s="95">
        <v>3562.2014860263148</v>
      </c>
      <c r="U433" s="99">
        <v>2296.1928613645496</v>
      </c>
      <c r="W433" s="121">
        <v>4982.5712777684712</v>
      </c>
      <c r="X433" s="59">
        <v>65635.649011415779</v>
      </c>
      <c r="Y433" s="59">
        <v>97135.78137131875</v>
      </c>
      <c r="Z433" s="59">
        <v>348326.88648748095</v>
      </c>
      <c r="AA433" s="59">
        <v>1251445.2908877593</v>
      </c>
      <c r="AB433" s="59">
        <v>2915618.3339337893</v>
      </c>
      <c r="AC433" s="59">
        <v>1724508.1012866371</v>
      </c>
      <c r="AD433" s="59">
        <v>6407652.6142561696</v>
      </c>
      <c r="AE433" s="59">
        <v>2582469554.3964348</v>
      </c>
      <c r="AF433" s="68">
        <v>6407652.6142561696</v>
      </c>
    </row>
    <row r="434" spans="1:32" x14ac:dyDescent="0.2">
      <c r="A434" s="95">
        <v>397</v>
      </c>
      <c r="B434" s="95">
        <v>33</v>
      </c>
      <c r="C434" s="95">
        <v>1</v>
      </c>
      <c r="D434" s="95"/>
      <c r="E434" s="95">
        <v>25.56192710893588</v>
      </c>
      <c r="F434" s="95">
        <v>337.82283254239167</v>
      </c>
      <c r="G434" s="95">
        <v>500.48909999889872</v>
      </c>
      <c r="H434" s="95">
        <v>872.79933580261559</v>
      </c>
      <c r="I434" s="95">
        <v>2700.0177311046573</v>
      </c>
      <c r="J434" s="95"/>
      <c r="K434" s="95"/>
      <c r="L434" s="95">
        <v>107.31499745311287</v>
      </c>
      <c r="M434" s="95">
        <v>458.90629558761196</v>
      </c>
      <c r="N434" s="95">
        <v>182.09693028842528</v>
      </c>
      <c r="O434" s="95">
        <v>4023.8837956673833</v>
      </c>
      <c r="P434" s="95">
        <v>791.10705444596931</v>
      </c>
      <c r="Q434" s="95">
        <v>10000.000000000002</v>
      </c>
      <c r="S434" s="98">
        <v>4023.8837956673833</v>
      </c>
      <c r="T434" s="95">
        <v>3570.9944245982979</v>
      </c>
      <c r="U434" s="99">
        <v>2302.5622189516971</v>
      </c>
      <c r="W434" s="121">
        <v>4928.178207986165</v>
      </c>
      <c r="X434" s="59">
        <v>65142.734977029839</v>
      </c>
      <c r="Y434" s="59">
        <v>96516.017659836565</v>
      </c>
      <c r="Z434" s="59">
        <v>346553.19953955058</v>
      </c>
      <c r="AA434" s="59">
        <v>1248378.3908527463</v>
      </c>
      <c r="AB434" s="59">
        <v>2910467.355813229</v>
      </c>
      <c r="AC434" s="59">
        <v>1721365.4114501365</v>
      </c>
      <c r="AD434" s="59">
        <v>6393351.2885005148</v>
      </c>
      <c r="AE434" s="59">
        <v>2588862905.6849351</v>
      </c>
      <c r="AF434" s="68">
        <v>6393351.2885005148</v>
      </c>
    </row>
    <row r="435" spans="1:32" x14ac:dyDescent="0.2">
      <c r="A435" s="95">
        <v>398</v>
      </c>
      <c r="B435" s="95">
        <v>33</v>
      </c>
      <c r="C435" s="95">
        <v>2</v>
      </c>
      <c r="D435" s="95"/>
      <c r="E435" s="95">
        <v>25.293526874292052</v>
      </c>
      <c r="F435" s="95">
        <v>335.42578247678841</v>
      </c>
      <c r="G435" s="95">
        <v>497.50175390441916</v>
      </c>
      <c r="H435" s="95">
        <v>868.71256705466067</v>
      </c>
      <c r="I435" s="95">
        <v>2694.5046997400418</v>
      </c>
      <c r="J435" s="95"/>
      <c r="K435" s="95"/>
      <c r="L435" s="95">
        <v>107.11443115261831</v>
      </c>
      <c r="M435" s="95">
        <v>458.3379299969954</v>
      </c>
      <c r="N435" s="95">
        <v>181.8393498347987</v>
      </c>
      <c r="O435" s="95">
        <v>4036.2741476570031</v>
      </c>
      <c r="P435" s="95">
        <v>794.99581130838419</v>
      </c>
      <c r="Q435" s="95">
        <v>10000.000000000002</v>
      </c>
      <c r="S435" s="98">
        <v>4036.2741476570031</v>
      </c>
      <c r="T435" s="95">
        <v>3579.769482224388</v>
      </c>
      <c r="U435" s="99">
        <v>2308.9208269652167</v>
      </c>
      <c r="W435" s="121">
        <v>4874.3789292156498</v>
      </c>
      <c r="X435" s="59">
        <v>64653.35715099721</v>
      </c>
      <c r="Y435" s="59">
        <v>95899.683168722346</v>
      </c>
      <c r="Z435" s="59">
        <v>344785.96769243735</v>
      </c>
      <c r="AA435" s="59">
        <v>1245308.6519186362</v>
      </c>
      <c r="AB435" s="59">
        <v>2905296.0648557451</v>
      </c>
      <c r="AC435" s="59">
        <v>1718211.3844507888</v>
      </c>
      <c r="AD435" s="59">
        <v>6379029.4881665427</v>
      </c>
      <c r="AE435" s="59">
        <v>2595241935.1731014</v>
      </c>
      <c r="AF435" s="68">
        <v>6379029.4881665427</v>
      </c>
    </row>
    <row r="436" spans="1:32" x14ac:dyDescent="0.2">
      <c r="A436" s="95">
        <v>399</v>
      </c>
      <c r="B436" s="95">
        <v>33</v>
      </c>
      <c r="C436" s="95">
        <v>3</v>
      </c>
      <c r="D436" s="95"/>
      <c r="E436" s="95">
        <v>25.027944842111985</v>
      </c>
      <c r="F436" s="95">
        <v>333.0448924010779</v>
      </c>
      <c r="G436" s="95">
        <v>494.5295426758239</v>
      </c>
      <c r="H436" s="95">
        <v>864.63849535355212</v>
      </c>
      <c r="I436" s="95">
        <v>2688.9806469395799</v>
      </c>
      <c r="J436" s="95"/>
      <c r="K436" s="95"/>
      <c r="L436" s="95">
        <v>106.9132002443331</v>
      </c>
      <c r="M436" s="95">
        <v>457.76559230960572</v>
      </c>
      <c r="N436" s="95">
        <v>181.5803389870122</v>
      </c>
      <c r="O436" s="95">
        <v>4048.6469874077447</v>
      </c>
      <c r="P436" s="95">
        <v>798.87235883916014</v>
      </c>
      <c r="Q436" s="95">
        <v>10000.000000000002</v>
      </c>
      <c r="S436" s="98">
        <v>4048.6469874077447</v>
      </c>
      <c r="T436" s="95">
        <v>3588.526622498543</v>
      </c>
      <c r="U436" s="99">
        <v>2315.2686458280946</v>
      </c>
      <c r="W436" s="121">
        <v>4821.1669592383787</v>
      </c>
      <c r="X436" s="59">
        <v>64167.492149061334</v>
      </c>
      <c r="Y436" s="59">
        <v>95286.764653157836</v>
      </c>
      <c r="Z436" s="59">
        <v>343025.19161747827</v>
      </c>
      <c r="AA436" s="59">
        <v>1242236.1625865716</v>
      </c>
      <c r="AB436" s="59">
        <v>2900104.7047072183</v>
      </c>
      <c r="AC436" s="59">
        <v>1715046.1575453519</v>
      </c>
      <c r="AD436" s="59">
        <v>6364687.6402180772</v>
      </c>
      <c r="AE436" s="59">
        <v>2601606622.8133197</v>
      </c>
      <c r="AF436" s="68">
        <v>6364687.6402180772</v>
      </c>
    </row>
    <row r="437" spans="1:32" x14ac:dyDescent="0.2">
      <c r="A437" s="95">
        <v>400</v>
      </c>
      <c r="B437" s="95">
        <v>33</v>
      </c>
      <c r="C437" s="95">
        <v>4</v>
      </c>
      <c r="D437" s="95"/>
      <c r="E437" s="95">
        <v>24.76515142126981</v>
      </c>
      <c r="F437" s="95">
        <v>330.68006320614671</v>
      </c>
      <c r="G437" s="95">
        <v>491.57241807989976</v>
      </c>
      <c r="H437" s="95">
        <v>860.57713978704419</v>
      </c>
      <c r="I437" s="95">
        <v>2683.4457523854762</v>
      </c>
      <c r="J437" s="95"/>
      <c r="K437" s="95"/>
      <c r="L437" s="95">
        <v>106.71131512515694</v>
      </c>
      <c r="M437" s="95">
        <v>457.18931321385236</v>
      </c>
      <c r="N437" s="95">
        <v>181.31991058305258</v>
      </c>
      <c r="O437" s="95">
        <v>4061.0022168686278</v>
      </c>
      <c r="P437" s="95">
        <v>802.73671932947502</v>
      </c>
      <c r="Q437" s="95">
        <v>10000.000000000002</v>
      </c>
      <c r="S437" s="98">
        <v>4061.0022168686278</v>
      </c>
      <c r="T437" s="95">
        <v>3597.2658096010969</v>
      </c>
      <c r="U437" s="99">
        <v>2321.6056364073297</v>
      </c>
      <c r="W437" s="121">
        <v>4768.535886600027</v>
      </c>
      <c r="X437" s="59">
        <v>63685.116716684155</v>
      </c>
      <c r="Y437" s="59">
        <v>94677.248850586766</v>
      </c>
      <c r="Z437" s="59">
        <v>341270.87170605001</v>
      </c>
      <c r="AA437" s="59">
        <v>1239161.01087112</v>
      </c>
      <c r="AB437" s="59">
        <v>2894893.5178674995</v>
      </c>
      <c r="AC437" s="59">
        <v>1711869.867596325</v>
      </c>
      <c r="AD437" s="59">
        <v>6350326.1694948655</v>
      </c>
      <c r="AE437" s="59">
        <v>2607956948.9828143</v>
      </c>
      <c r="AF437" s="68">
        <v>6350326.1694948655</v>
      </c>
    </row>
    <row r="438" spans="1:32" x14ac:dyDescent="0.2">
      <c r="A438" s="95">
        <v>401</v>
      </c>
      <c r="B438" s="95">
        <v>33</v>
      </c>
      <c r="C438" s="95">
        <v>5</v>
      </c>
      <c r="D438" s="95"/>
      <c r="E438" s="95">
        <v>24.505117331346476</v>
      </c>
      <c r="F438" s="95">
        <v>328.33119627072261</v>
      </c>
      <c r="G438" s="95">
        <v>488.63033169991769</v>
      </c>
      <c r="H438" s="95">
        <v>856.52851876172815</v>
      </c>
      <c r="I438" s="95">
        <v>2677.9001950160928</v>
      </c>
      <c r="J438" s="95"/>
      <c r="K438" s="95"/>
      <c r="L438" s="95">
        <v>106.508786097914</v>
      </c>
      <c r="M438" s="95">
        <v>456.6091233684453</v>
      </c>
      <c r="N438" s="95">
        <v>181.05807743690576</v>
      </c>
      <c r="O438" s="95">
        <v>4073.3397388896024</v>
      </c>
      <c r="P438" s="95">
        <v>806.58891512732646</v>
      </c>
      <c r="Q438" s="95">
        <v>10000.000000000002</v>
      </c>
      <c r="S438" s="98">
        <v>4073.3397388896024</v>
      </c>
      <c r="T438" s="95">
        <v>3605.9870082963498</v>
      </c>
      <c r="U438" s="99">
        <v>2327.9317600123672</v>
      </c>
      <c r="W438" s="121">
        <v>4716.4793698379763</v>
      </c>
      <c r="X438" s="59">
        <v>63206.207728665853</v>
      </c>
      <c r="Y438" s="59">
        <v>94071.122481831728</v>
      </c>
      <c r="Z438" s="59">
        <v>339523.00807223679</v>
      </c>
      <c r="AA438" s="59">
        <v>1236083.2842998386</v>
      </c>
      <c r="AB438" s="59">
        <v>2889662.7456962415</v>
      </c>
      <c r="AC438" s="59">
        <v>1708682.6510628893</v>
      </c>
      <c r="AD438" s="59">
        <v>6335945.4987115413</v>
      </c>
      <c r="AE438" s="59">
        <v>2614292894.4815259</v>
      </c>
      <c r="AF438" s="68">
        <v>6335945.4987115413</v>
      </c>
    </row>
    <row r="439" spans="1:32" x14ac:dyDescent="0.2">
      <c r="A439" s="95">
        <v>402</v>
      </c>
      <c r="B439" s="95">
        <v>33</v>
      </c>
      <c r="C439" s="95">
        <v>6</v>
      </c>
      <c r="D439" s="95"/>
      <c r="E439" s="95">
        <v>24.247813599367337</v>
      </c>
      <c r="F439" s="95">
        <v>325.99819346058257</v>
      </c>
      <c r="G439" s="95">
        <v>485.70323494106117</v>
      </c>
      <c r="H439" s="95">
        <v>852.49265000829269</v>
      </c>
      <c r="I439" s="95">
        <v>2672.3441530232062</v>
      </c>
      <c r="J439" s="95"/>
      <c r="K439" s="95"/>
      <c r="L439" s="95">
        <v>106.30562337266547</v>
      </c>
      <c r="M439" s="95">
        <v>456.02505340116312</v>
      </c>
      <c r="N439" s="95">
        <v>180.79485233785965</v>
      </c>
      <c r="O439" s="95">
        <v>4085.6594572189892</v>
      </c>
      <c r="P439" s="95">
        <v>810.42896863681381</v>
      </c>
      <c r="Q439" s="95">
        <v>10000.000000000002</v>
      </c>
      <c r="S439" s="98">
        <v>4085.6594572189892</v>
      </c>
      <c r="T439" s="95">
        <v>3614.6901839301522</v>
      </c>
      <c r="U439" s="99">
        <v>2334.2469783935289</v>
      </c>
      <c r="W439" s="121">
        <v>4664.9911367172454</v>
      </c>
      <c r="X439" s="59">
        <v>62730.742188760283</v>
      </c>
      <c r="Y439" s="59">
        <v>93468.372252195986</v>
      </c>
      <c r="Z439" s="59">
        <v>337781.60055549192</v>
      </c>
      <c r="AA439" s="59">
        <v>1233003.0699128727</v>
      </c>
      <c r="AB439" s="59">
        <v>2884412.6284185429</v>
      </c>
      <c r="AC439" s="59">
        <v>1705484.6439922324</v>
      </c>
      <c r="AD439" s="59">
        <v>6321546.0484568132</v>
      </c>
      <c r="AE439" s="59">
        <v>2620614440.5299826</v>
      </c>
      <c r="AF439" s="68">
        <v>6321546.0484568132</v>
      </c>
    </row>
    <row r="440" spans="1:32" x14ac:dyDescent="0.2">
      <c r="A440" s="95">
        <v>403</v>
      </c>
      <c r="B440" s="95">
        <v>33</v>
      </c>
      <c r="C440" s="95">
        <v>7</v>
      </c>
      <c r="D440" s="95"/>
      <c r="E440" s="95">
        <v>23.993211556573979</v>
      </c>
      <c r="F440" s="95">
        <v>323.68095712773516</v>
      </c>
      <c r="G440" s="95">
        <v>482.79107903579057</v>
      </c>
      <c r="H440" s="95">
        <v>848.46955058678361</v>
      </c>
      <c r="I440" s="95">
        <v>2666.7778038493329</v>
      </c>
      <c r="J440" s="95"/>
      <c r="K440" s="95"/>
      <c r="L440" s="95">
        <v>106.1018370679935</v>
      </c>
      <c r="M440" s="95">
        <v>455.43713390763213</v>
      </c>
      <c r="N440" s="95">
        <v>180.53024804982951</v>
      </c>
      <c r="O440" s="95">
        <v>4097.9612765009078</v>
      </c>
      <c r="P440" s="95">
        <v>814.25690231742192</v>
      </c>
      <c r="Q440" s="95">
        <v>10000.000000000002</v>
      </c>
      <c r="S440" s="98">
        <v>4097.9612765009078</v>
      </c>
      <c r="T440" s="95">
        <v>3623.3753024274774</v>
      </c>
      <c r="U440" s="99">
        <v>2340.5512537404411</v>
      </c>
      <c r="W440" s="121">
        <v>4614.0649834747483</v>
      </c>
      <c r="X440" s="59">
        <v>62258.697229286008</v>
      </c>
      <c r="Y440" s="59">
        <v>92868.984852550173</v>
      </c>
      <c r="Z440" s="59">
        <v>336046.64872329379</v>
      </c>
      <c r="AA440" s="59">
        <v>1229920.4542625875</v>
      </c>
      <c r="AB440" s="59">
        <v>2879143.405130405</v>
      </c>
      <c r="AC440" s="59">
        <v>1702275.9820112388</v>
      </c>
      <c r="AD440" s="59">
        <v>6307128.2371928357</v>
      </c>
      <c r="AE440" s="59">
        <v>2626921568.7671752</v>
      </c>
      <c r="AF440" s="68">
        <v>6307128.2371928357</v>
      </c>
    </row>
    <row r="441" spans="1:32" x14ac:dyDescent="0.2">
      <c r="A441" s="95">
        <v>404</v>
      </c>
      <c r="B441" s="95">
        <v>33</v>
      </c>
      <c r="C441" s="95">
        <v>8</v>
      </c>
      <c r="D441" s="95"/>
      <c r="E441" s="95">
        <v>23.741282835229953</v>
      </c>
      <c r="F441" s="95">
        <v>321.3793901095778</v>
      </c>
      <c r="G441" s="95">
        <v>479.89381504914394</v>
      </c>
      <c r="H441" s="95">
        <v>844.45923689186247</v>
      </c>
      <c r="I441" s="95">
        <v>2661.2013241851168</v>
      </c>
      <c r="J441" s="95"/>
      <c r="K441" s="95"/>
      <c r="L441" s="95">
        <v>105.89743721225713</v>
      </c>
      <c r="M441" s="95">
        <v>454.84539545011609</v>
      </c>
      <c r="N441" s="95">
        <v>180.26427731070513</v>
      </c>
      <c r="O441" s="95">
        <v>4110.2451022726837</v>
      </c>
      <c r="P441" s="95">
        <v>818.07273868330822</v>
      </c>
      <c r="Q441" s="95">
        <v>10000.000000000002</v>
      </c>
      <c r="S441" s="98">
        <v>4110.2451022726837</v>
      </c>
      <c r="T441" s="95">
        <v>3632.0423302899876</v>
      </c>
      <c r="U441" s="99">
        <v>2346.8445486804603</v>
      </c>
      <c r="W441" s="121">
        <v>4563.6947740718151</v>
      </c>
      <c r="X441" s="59">
        <v>61790.050110733275</v>
      </c>
      <c r="Y441" s="59">
        <v>92272.946960404137</v>
      </c>
      <c r="Z441" s="59">
        <v>334318.15187379491</v>
      </c>
      <c r="AA441" s="59">
        <v>1226835.5234132286</v>
      </c>
      <c r="AB441" s="59">
        <v>2873855.3138040141</v>
      </c>
      <c r="AC441" s="59">
        <v>1699056.8003185363</v>
      </c>
      <c r="AD441" s="59">
        <v>6292692.4812547835</v>
      </c>
      <c r="AE441" s="59">
        <v>2633214261.2484298</v>
      </c>
      <c r="AF441" s="68">
        <v>6292692.4812547835</v>
      </c>
    </row>
    <row r="442" spans="1:32" x14ac:dyDescent="0.2">
      <c r="A442" s="95">
        <v>405</v>
      </c>
      <c r="B442" s="95">
        <v>33</v>
      </c>
      <c r="C442" s="95">
        <v>9</v>
      </c>
      <c r="D442" s="95"/>
      <c r="E442" s="95">
        <v>23.491999365460039</v>
      </c>
      <c r="F442" s="95">
        <v>319.09339572802958</v>
      </c>
      <c r="G442" s="95">
        <v>477.01139388397513</v>
      </c>
      <c r="H442" s="95">
        <v>840.46172465806364</v>
      </c>
      <c r="I442" s="95">
        <v>2655.6148899667819</v>
      </c>
      <c r="J442" s="95"/>
      <c r="K442" s="95"/>
      <c r="L442" s="95">
        <v>105.69243374482072</v>
      </c>
      <c r="M442" s="95">
        <v>454.24986855631693</v>
      </c>
      <c r="N442" s="95">
        <v>179.99695283171891</v>
      </c>
      <c r="O442" s="95">
        <v>4122.5108409622435</v>
      </c>
      <c r="P442" s="95">
        <v>821.87650030259124</v>
      </c>
      <c r="Q442" s="95">
        <v>10000.000000000002</v>
      </c>
      <c r="S442" s="98">
        <v>4122.5108409622435</v>
      </c>
      <c r="T442" s="95">
        <v>3640.6912345935893</v>
      </c>
      <c r="U442" s="99">
        <v>2353.1268262770964</v>
      </c>
      <c r="W442" s="121">
        <v>4513.8744394548648</v>
      </c>
      <c r="X442" s="59">
        <v>61324.778221366934</v>
      </c>
      <c r="Y442" s="59">
        <v>91680.245240963981</v>
      </c>
      <c r="Z442" s="59">
        <v>332596.10903846455</v>
      </c>
      <c r="AA442" s="59">
        <v>1223748.3629406176</v>
      </c>
      <c r="AB442" s="59">
        <v>2868548.5912928507</v>
      </c>
      <c r="AC442" s="59">
        <v>1695827.2336768806</v>
      </c>
      <c r="AD442" s="59">
        <v>6278239.1948505994</v>
      </c>
      <c r="AE442" s="59">
        <v>2639492500.4432802</v>
      </c>
      <c r="AF442" s="68">
        <v>6278239.1948505994</v>
      </c>
    </row>
    <row r="443" spans="1:32" x14ac:dyDescent="0.2">
      <c r="A443" s="95">
        <v>406</v>
      </c>
      <c r="B443" s="95">
        <v>33</v>
      </c>
      <c r="C443" s="95">
        <v>10</v>
      </c>
      <c r="D443" s="95"/>
      <c r="E443" s="95">
        <v>23.245333372122708</v>
      </c>
      <c r="F443" s="95">
        <v>316.82287778863991</v>
      </c>
      <c r="G443" s="95">
        <v>474.14376628612928</v>
      </c>
      <c r="H443" s="95">
        <v>836.47702896504859</v>
      </c>
      <c r="I443" s="95">
        <v>2650.0186763736483</v>
      </c>
      <c r="J443" s="95"/>
      <c r="K443" s="95"/>
      <c r="L443" s="95">
        <v>105.48683651725572</v>
      </c>
      <c r="M443" s="95">
        <v>453.65058371818628</v>
      </c>
      <c r="N443" s="95">
        <v>179.72828729683414</v>
      </c>
      <c r="O443" s="95">
        <v>4134.7583998854943</v>
      </c>
      <c r="P443" s="95">
        <v>825.6682097966426</v>
      </c>
      <c r="Q443" s="95">
        <v>10000.000000000002</v>
      </c>
      <c r="S443" s="98">
        <v>4134.7583998854943</v>
      </c>
      <c r="T443" s="95">
        <v>3649.3219829859813</v>
      </c>
      <c r="U443" s="99">
        <v>2359.3980500284306</v>
      </c>
      <c r="W443" s="121">
        <v>4464.5979768241486</v>
      </c>
      <c r="X443" s="59">
        <v>60862.859076825334</v>
      </c>
      <c r="Y443" s="59">
        <v>91090.866348174575</v>
      </c>
      <c r="Z443" s="59">
        <v>330880.51898472459</v>
      </c>
      <c r="AA443" s="59">
        <v>1220659.0579318774</v>
      </c>
      <c r="AB443" s="59">
        <v>2863223.4733366319</v>
      </c>
      <c r="AC443" s="59">
        <v>1692587.4164058657</v>
      </c>
      <c r="AD443" s="59">
        <v>6263768.7900609234</v>
      </c>
      <c r="AE443" s="59">
        <v>2645756269.2333412</v>
      </c>
      <c r="AF443" s="68">
        <v>6263768.7900609234</v>
      </c>
    </row>
    <row r="444" spans="1:32" x14ac:dyDescent="0.2">
      <c r="A444" s="95">
        <v>407</v>
      </c>
      <c r="B444" s="95">
        <v>33</v>
      </c>
      <c r="C444" s="95">
        <v>11</v>
      </c>
      <c r="D444" s="95"/>
      <c r="E444" s="95">
        <v>23.001257371715418</v>
      </c>
      <c r="F444" s="95">
        <v>314.56774057967374</v>
      </c>
      <c r="G444" s="95">
        <v>471.29088284955623</v>
      </c>
      <c r="H444" s="95">
        <v>832.50516424285729</v>
      </c>
      <c r="I444" s="95">
        <v>2644.4128578257132</v>
      </c>
      <c r="J444" s="95"/>
      <c r="K444" s="95"/>
      <c r="L444" s="95">
        <v>105.28065529451632</v>
      </c>
      <c r="M444" s="95">
        <v>453.04757139074786</v>
      </c>
      <c r="N444" s="95">
        <v>179.4582933621526</v>
      </c>
      <c r="O444" s="95">
        <v>4146.987687243688</v>
      </c>
      <c r="P444" s="95">
        <v>829.44788983938099</v>
      </c>
      <c r="Q444" s="95">
        <v>10000.000000000002</v>
      </c>
      <c r="S444" s="98">
        <v>4146.987687243688</v>
      </c>
      <c r="T444" s="95">
        <v>3657.9345436841959</v>
      </c>
      <c r="U444" s="99">
        <v>2365.6581838655338</v>
      </c>
      <c r="W444" s="121">
        <v>4415.8594489104853</v>
      </c>
      <c r="X444" s="59">
        <v>60404.270319715564</v>
      </c>
      <c r="Y444" s="59">
        <v>90504.796925747462</v>
      </c>
      <c r="Z444" s="59">
        <v>329171.38021857792</v>
      </c>
      <c r="AA444" s="59">
        <v>1217567.6929851882</v>
      </c>
      <c r="AB444" s="59">
        <v>2857880.1945660962</v>
      </c>
      <c r="AC444" s="59">
        <v>1689337.4823749459</v>
      </c>
      <c r="AD444" s="59">
        <v>6249281.6768391822</v>
      </c>
      <c r="AE444" s="59">
        <v>2652005550.9101806</v>
      </c>
      <c r="AF444" s="68">
        <v>6249281.6768391822</v>
      </c>
    </row>
    <row r="445" spans="1:32" x14ac:dyDescent="0.2">
      <c r="A445" s="95">
        <v>408</v>
      </c>
      <c r="B445" s="95">
        <v>34</v>
      </c>
      <c r="C445" s="95">
        <v>0</v>
      </c>
      <c r="D445" s="95"/>
      <c r="E445" s="95">
        <v>22.759744169312405</v>
      </c>
      <c r="F445" s="95">
        <v>312.32788887117385</v>
      </c>
      <c r="G445" s="95">
        <v>468.45269402136284</v>
      </c>
      <c r="H445" s="95">
        <v>828.54614427715637</v>
      </c>
      <c r="I445" s="95">
        <v>2638.7976079812947</v>
      </c>
      <c r="J445" s="95"/>
      <c r="K445" s="95"/>
      <c r="L445" s="95">
        <v>105.0738997560895</v>
      </c>
      <c r="M445" s="95">
        <v>452.44086199093067</v>
      </c>
      <c r="N445" s="95">
        <v>179.1869836553409</v>
      </c>
      <c r="O445" s="95">
        <v>4159.1986121207719</v>
      </c>
      <c r="P445" s="95">
        <v>833.21556315656869</v>
      </c>
      <c r="Q445" s="95">
        <v>10000.000000000002</v>
      </c>
      <c r="S445" s="98">
        <v>4159.1986121207719</v>
      </c>
      <c r="T445" s="95">
        <v>3666.5288854721293</v>
      </c>
      <c r="U445" s="99">
        <v>2371.9071921508803</v>
      </c>
      <c r="W445" s="121">
        <v>4367.6529832598799</v>
      </c>
      <c r="X445" s="59">
        <v>59948.989719204787</v>
      </c>
      <c r="Y445" s="59">
        <v>89922.023608174597</v>
      </c>
      <c r="Z445" s="59">
        <v>327468.69098723028</v>
      </c>
      <c r="AA445" s="59">
        <v>1214474.3522095764</v>
      </c>
      <c r="AB445" s="59">
        <v>2852518.988507627</v>
      </c>
      <c r="AC445" s="59">
        <v>1686077.5649967617</v>
      </c>
      <c r="AD445" s="59">
        <v>6234778.2630118346</v>
      </c>
      <c r="AE445" s="59">
        <v>2658240329.1731925</v>
      </c>
      <c r="AF445" s="68">
        <v>6234778.2630118346</v>
      </c>
    </row>
    <row r="446" spans="1:32" x14ac:dyDescent="0.2">
      <c r="A446" s="95">
        <v>409</v>
      </c>
      <c r="B446" s="95">
        <v>34</v>
      </c>
      <c r="C446" s="95">
        <v>1</v>
      </c>
      <c r="D446" s="95"/>
      <c r="E446" s="95">
        <v>22.520766855534625</v>
      </c>
      <c r="F446" s="95">
        <v>310.10322791400046</v>
      </c>
      <c r="G446" s="95">
        <v>465.62915010680399</v>
      </c>
      <c r="H446" s="95">
        <v>824.59998221448291</v>
      </c>
      <c r="I446" s="95">
        <v>2633.1730997347372</v>
      </c>
      <c r="J446" s="95"/>
      <c r="K446" s="95"/>
      <c r="L446" s="95">
        <v>104.8665794971203</v>
      </c>
      <c r="M446" s="95">
        <v>451.83048589641299</v>
      </c>
      <c r="N446" s="95">
        <v>178.91437077507481</v>
      </c>
      <c r="O446" s="95">
        <v>4171.3910844807242</v>
      </c>
      <c r="P446" s="95">
        <v>836.97125252511069</v>
      </c>
      <c r="Q446" s="95">
        <v>10000.000000000002</v>
      </c>
      <c r="S446" s="98">
        <v>4171.3910844807242</v>
      </c>
      <c r="T446" s="95">
        <v>3675.1049776980685</v>
      </c>
      <c r="U446" s="99">
        <v>2378.1450396767582</v>
      </c>
      <c r="W446" s="121">
        <v>4319.9727715259587</v>
      </c>
      <c r="X446" s="59">
        <v>59496.995170608134</v>
      </c>
      <c r="Y446" s="59">
        <v>89342.533021727679</v>
      </c>
      <c r="Z446" s="59">
        <v>325772.44928170362</v>
      </c>
      <c r="AA446" s="59">
        <v>1211379.1192247313</v>
      </c>
      <c r="AB446" s="59">
        <v>2847140.087587731</v>
      </c>
      <c r="AC446" s="59">
        <v>1682807.7972207498</v>
      </c>
      <c r="AD446" s="59">
        <v>6220258.9542787774</v>
      </c>
      <c r="AE446" s="59">
        <v>2664460588.1274714</v>
      </c>
      <c r="AF446" s="68">
        <v>6220258.9542787774</v>
      </c>
    </row>
    <row r="447" spans="1:32" x14ac:dyDescent="0.2">
      <c r="A447" s="95">
        <v>410</v>
      </c>
      <c r="B447" s="95">
        <v>34</v>
      </c>
      <c r="C447" s="95">
        <v>2</v>
      </c>
      <c r="D447" s="95"/>
      <c r="E447" s="95">
        <v>22.284298803551511</v>
      </c>
      <c r="F447" s="95">
        <v>307.89366343884893</v>
      </c>
      <c r="G447" s="95">
        <v>462.82020127421333</v>
      </c>
      <c r="H447" s="95">
        <v>820.66669056748344</v>
      </c>
      <c r="I447" s="95">
        <v>2627.5395052141812</v>
      </c>
      <c r="J447" s="95"/>
      <c r="K447" s="95"/>
      <c r="L447" s="95">
        <v>104.65870402951255</v>
      </c>
      <c r="M447" s="95">
        <v>451.21647344447729</v>
      </c>
      <c r="N447" s="95">
        <v>178.64046729050096</v>
      </c>
      <c r="O447" s="95">
        <v>4183.565015164877</v>
      </c>
      <c r="P447" s="95">
        <v>840.71498077235628</v>
      </c>
      <c r="Q447" s="95">
        <v>10000.000000000002</v>
      </c>
      <c r="S447" s="98">
        <v>4183.565015164877</v>
      </c>
      <c r="T447" s="95">
        <v>3683.6627902722066</v>
      </c>
      <c r="U447" s="99">
        <v>2384.3716916636786</v>
      </c>
      <c r="W447" s="121">
        <v>4272.8130687701341</v>
      </c>
      <c r="X447" s="59">
        <v>59048.264694972997</v>
      </c>
      <c r="Y447" s="59">
        <v>88766.311785443526</v>
      </c>
      <c r="Z447" s="59">
        <v>324082.65283944231</v>
      </c>
      <c r="AA447" s="59">
        <v>1208282.0771608567</v>
      </c>
      <c r="AB447" s="59">
        <v>2841743.7231373684</v>
      </c>
      <c r="AC447" s="59">
        <v>1679528.3115270343</v>
      </c>
      <c r="AD447" s="59">
        <v>6205724.1542138886</v>
      </c>
      <c r="AE447" s="59">
        <v>2670666312.2816854</v>
      </c>
      <c r="AF447" s="68">
        <v>6205724.1542138886</v>
      </c>
    </row>
    <row r="448" spans="1:32" x14ac:dyDescent="0.2">
      <c r="A448" s="95">
        <v>411</v>
      </c>
      <c r="B448" s="95">
        <v>34</v>
      </c>
      <c r="C448" s="95">
        <v>3</v>
      </c>
      <c r="D448" s="95"/>
      <c r="E448" s="95">
        <v>22.050313666114221</v>
      </c>
      <c r="F448" s="95">
        <v>305.6991016552459</v>
      </c>
      <c r="G448" s="95">
        <v>460.02579755987404</v>
      </c>
      <c r="H448" s="95">
        <v>816.74628122014758</v>
      </c>
      <c r="I448" s="95">
        <v>2621.8969957793938</v>
      </c>
      <c r="J448" s="95"/>
      <c r="K448" s="95"/>
      <c r="L448" s="95">
        <v>104.45028278300605</v>
      </c>
      <c r="M448" s="95">
        <v>450.59885493087575</v>
      </c>
      <c r="N448" s="95">
        <v>178.36528574071525</v>
      </c>
      <c r="O448" s="95">
        <v>4195.7203158892271</v>
      </c>
      <c r="P448" s="95">
        <v>844.44677077540337</v>
      </c>
      <c r="Q448" s="95">
        <v>10000.000000000004</v>
      </c>
      <c r="S448" s="98">
        <v>4195.7203158892271</v>
      </c>
      <c r="T448" s="95">
        <v>3692.2022936641529</v>
      </c>
      <c r="U448" s="99">
        <v>2390.587113758781</v>
      </c>
      <c r="W448" s="121">
        <v>4226.1681927693935</v>
      </c>
      <c r="X448" s="59">
        <v>58602.776438659974</v>
      </c>
      <c r="Y448" s="59">
        <v>88193.346512095464</v>
      </c>
      <c r="Z448" s="59">
        <v>322399.29914691142</v>
      </c>
      <c r="AA448" s="59">
        <v>1205183.3086585468</v>
      </c>
      <c r="AB448" s="59">
        <v>2836330.1253961427</v>
      </c>
      <c r="AC448" s="59">
        <v>1676239.2399205805</v>
      </c>
      <c r="AD448" s="59">
        <v>6191174.2642657058</v>
      </c>
      <c r="AE448" s="59">
        <v>2676857486.5459509</v>
      </c>
      <c r="AF448" s="68">
        <v>6191174.2642657058</v>
      </c>
    </row>
    <row r="449" spans="1:32" x14ac:dyDescent="0.2">
      <c r="A449" s="95">
        <v>412</v>
      </c>
      <c r="B449" s="95">
        <v>34</v>
      </c>
      <c r="C449" s="95">
        <v>4</v>
      </c>
      <c r="D449" s="95"/>
      <c r="E449" s="95">
        <v>21.81878537262002</v>
      </c>
      <c r="F449" s="95">
        <v>303.51944925052442</v>
      </c>
      <c r="G449" s="95">
        <v>457.24588887283005</v>
      </c>
      <c r="H449" s="95">
        <v>812.83876543303643</v>
      </c>
      <c r="I449" s="95">
        <v>2616.2457420196615</v>
      </c>
      <c r="J449" s="95"/>
      <c r="K449" s="95"/>
      <c r="L449" s="95">
        <v>104.24132510623029</v>
      </c>
      <c r="M449" s="95">
        <v>449.97766060870669</v>
      </c>
      <c r="N449" s="95">
        <v>178.08883863425723</v>
      </c>
      <c r="O449" s="95">
        <v>4207.8568992417313</v>
      </c>
      <c r="P449" s="95">
        <v>848.16664546040488</v>
      </c>
      <c r="Q449" s="95">
        <v>10000.000000000004</v>
      </c>
      <c r="S449" s="98">
        <v>4207.8568992417313</v>
      </c>
      <c r="T449" s="95">
        <v>3700.7234589004361</v>
      </c>
      <c r="U449" s="99">
        <v>2396.7912720342356</v>
      </c>
      <c r="W449" s="121">
        <v>4180.0325233316607</v>
      </c>
      <c r="X449" s="59">
        <v>58160.508672920529</v>
      </c>
      <c r="Y449" s="59">
        <v>87623.6238091509</v>
      </c>
      <c r="Z449" s="59">
        <v>320722.38544218655</v>
      </c>
      <c r="AA449" s="59">
        <v>1202082.8958686972</v>
      </c>
      <c r="AB449" s="59">
        <v>2830899.5235163542</v>
      </c>
      <c r="AC449" s="59">
        <v>1672940.7139256068</v>
      </c>
      <c r="AD449" s="59">
        <v>6176609.6837582476</v>
      </c>
      <c r="AE449" s="59">
        <v>2683034096.2297091</v>
      </c>
      <c r="AF449" s="68">
        <v>6176609.6837582476</v>
      </c>
    </row>
    <row r="450" spans="1:32" x14ac:dyDescent="0.2">
      <c r="A450" s="95">
        <v>413</v>
      </c>
      <c r="B450" s="95">
        <v>34</v>
      </c>
      <c r="C450" s="95">
        <v>5</v>
      </c>
      <c r="D450" s="95"/>
      <c r="E450" s="95">
        <v>21.589688126207509</v>
      </c>
      <c r="F450" s="95">
        <v>301.35461338877838</v>
      </c>
      <c r="G450" s="95">
        <v>454.48042499963833</v>
      </c>
      <c r="H450" s="95">
        <v>808.9441538485039</v>
      </c>
      <c r="I450" s="95">
        <v>2610.5859137517459</v>
      </c>
      <c r="J450" s="95"/>
      <c r="K450" s="95"/>
      <c r="L450" s="95">
        <v>104.03184026773573</v>
      </c>
      <c r="M450" s="95">
        <v>449.35292068730189</v>
      </c>
      <c r="N450" s="95">
        <v>177.81113844862014</v>
      </c>
      <c r="O450" s="95">
        <v>4219.9746786795931</v>
      </c>
      <c r="P450" s="95">
        <v>851.87462780187832</v>
      </c>
      <c r="Q450" s="95">
        <v>10000.000000000004</v>
      </c>
      <c r="S450" s="98">
        <v>4219.9746786795931</v>
      </c>
      <c r="T450" s="95">
        <v>3709.2262575619998</v>
      </c>
      <c r="U450" s="99">
        <v>2402.9841329856431</v>
      </c>
      <c r="W450" s="121">
        <v>4134.4005016186229</v>
      </c>
      <c r="X450" s="59">
        <v>57721.439793471422</v>
      </c>
      <c r="Y450" s="59">
        <v>87057.130279715246</v>
      </c>
      <c r="Z450" s="59">
        <v>319051.90871753561</v>
      </c>
      <c r="AA450" s="59">
        <v>1198980.9204524427</v>
      </c>
      <c r="AB450" s="59">
        <v>2825452.1455669226</v>
      </c>
      <c r="AC450" s="59">
        <v>1669632.8645802408</v>
      </c>
      <c r="AD450" s="59">
        <v>6162030.8098919466</v>
      </c>
      <c r="AE450" s="59">
        <v>2689196127.0396013</v>
      </c>
      <c r="AF450" s="68">
        <v>6162030.8098919466</v>
      </c>
    </row>
    <row r="451" spans="1:32" x14ac:dyDescent="0.2">
      <c r="A451" s="95">
        <v>414</v>
      </c>
      <c r="B451" s="95">
        <v>34</v>
      </c>
      <c r="C451" s="95">
        <v>6</v>
      </c>
      <c r="D451" s="95"/>
      <c r="E451" s="95">
        <v>21.362996400882331</v>
      </c>
      <c r="F451" s="95">
        <v>299.20450170979677</v>
      </c>
      <c r="G451" s="95">
        <v>451.72935560906274</v>
      </c>
      <c r="H451" s="95">
        <v>805.06245649591165</v>
      </c>
      <c r="I451" s="95">
        <v>2604.9176800178975</v>
      </c>
      <c r="J451" s="95"/>
      <c r="K451" s="95"/>
      <c r="L451" s="95">
        <v>103.82183745700277</v>
      </c>
      <c r="M451" s="95">
        <v>448.72466533112441</v>
      </c>
      <c r="N451" s="95">
        <v>177.53219762977585</v>
      </c>
      <c r="O451" s="95">
        <v>4232.0735685265317</v>
      </c>
      <c r="P451" s="95">
        <v>855.57074082201723</v>
      </c>
      <c r="Q451" s="95">
        <v>10000.000000000004</v>
      </c>
      <c r="S451" s="98">
        <v>4232.0735685265317</v>
      </c>
      <c r="T451" s="95">
        <v>3717.710661781693</v>
      </c>
      <c r="U451" s="99">
        <v>2409.1656635304321</v>
      </c>
      <c r="W451" s="121">
        <v>4089.2666294759533</v>
      </c>
      <c r="X451" s="59">
        <v>57285.548320066067</v>
      </c>
      <c r="Y451" s="59">
        <v>86493.852523462177</v>
      </c>
      <c r="Z451" s="59">
        <v>317387.86572199175</v>
      </c>
      <c r="AA451" s="59">
        <v>1195877.4635811255</v>
      </c>
      <c r="AB451" s="59">
        <v>2819988.2185371849</v>
      </c>
      <c r="AC451" s="59">
        <v>1666315.8224314114</v>
      </c>
      <c r="AD451" s="59">
        <v>6147438.0377447177</v>
      </c>
      <c r="AE451" s="59">
        <v>2695343565.0773458</v>
      </c>
      <c r="AF451" s="68">
        <v>6147438.0377447177</v>
      </c>
    </row>
    <row r="452" spans="1:32" x14ac:dyDescent="0.2">
      <c r="A452" s="95">
        <v>415</v>
      </c>
      <c r="B452" s="95">
        <v>34</v>
      </c>
      <c r="C452" s="95">
        <v>7</v>
      </c>
      <c r="D452" s="95"/>
      <c r="E452" s="95">
        <v>21.138684938673066</v>
      </c>
      <c r="F452" s="95">
        <v>297.06902232797864</v>
      </c>
      <c r="G452" s="95">
        <v>448.99263025670973</v>
      </c>
      <c r="H452" s="95">
        <v>801.19368279683658</v>
      </c>
      <c r="I452" s="95">
        <v>2599.2412090839321</v>
      </c>
      <c r="J452" s="95"/>
      <c r="K452" s="95"/>
      <c r="L452" s="95">
        <v>103.61132578542916</v>
      </c>
      <c r="M452" s="95">
        <v>448.09292465867736</v>
      </c>
      <c r="N452" s="95">
        <v>177.25202859171426</v>
      </c>
      <c r="O452" s="95">
        <v>4244.1534839700462</v>
      </c>
      <c r="P452" s="95">
        <v>859.25500759000579</v>
      </c>
      <c r="Q452" s="95">
        <v>10000.000000000004</v>
      </c>
      <c r="S452" s="98">
        <v>4244.1534839700462</v>
      </c>
      <c r="T452" s="95">
        <v>3726.1766442417511</v>
      </c>
      <c r="U452" s="99">
        <v>2415.3358310062522</v>
      </c>
      <c r="W452" s="121">
        <v>4044.6254687708406</v>
      </c>
      <c r="X452" s="59">
        <v>56852.812896062911</v>
      </c>
      <c r="Y452" s="59">
        <v>85933.777137550656</v>
      </c>
      <c r="Z452" s="59">
        <v>315730.25296391791</v>
      </c>
      <c r="AA452" s="59">
        <v>1192772.6059362926</v>
      </c>
      <c r="AB452" s="59">
        <v>2814507.9683405659</v>
      </c>
      <c r="AC452" s="59">
        <v>1662989.7175299674</v>
      </c>
      <c r="AD452" s="59">
        <v>6132831.7602731278</v>
      </c>
      <c r="AE452" s="59">
        <v>2701476396.8376188</v>
      </c>
      <c r="AF452" s="68">
        <v>6132831.7602731278</v>
      </c>
    </row>
    <row r="453" spans="1:32" x14ac:dyDescent="0.2">
      <c r="A453" s="95">
        <v>416</v>
      </c>
      <c r="B453" s="95">
        <v>34</v>
      </c>
      <c r="C453" s="95">
        <v>8</v>
      </c>
      <c r="D453" s="95"/>
      <c r="E453" s="95">
        <v>20.916728746817</v>
      </c>
      <c r="F453" s="95">
        <v>294.94808383122819</v>
      </c>
      <c r="G453" s="95">
        <v>446.27019838960661</v>
      </c>
      <c r="H453" s="95">
        <v>797.33784157026992</v>
      </c>
      <c r="I453" s="95">
        <v>2593.556668437368</v>
      </c>
      <c r="J453" s="95"/>
      <c r="K453" s="95"/>
      <c r="L453" s="95">
        <v>103.40031428729627</v>
      </c>
      <c r="M453" s="95">
        <v>447.45772874142335</v>
      </c>
      <c r="N453" s="95">
        <v>176.97064371599652</v>
      </c>
      <c r="O453" s="95">
        <v>4256.2143410586614</v>
      </c>
      <c r="P453" s="95">
        <v>862.92745122133567</v>
      </c>
      <c r="Q453" s="95">
        <v>10000.000000000004</v>
      </c>
      <c r="S453" s="98">
        <v>4256.2143410586614</v>
      </c>
      <c r="T453" s="95">
        <v>3734.6241781712738</v>
      </c>
      <c r="U453" s="99">
        <v>2421.4946031693667</v>
      </c>
      <c r="W453" s="121">
        <v>4000.4716407367591</v>
      </c>
      <c r="X453" s="59">
        <v>56423.212287990907</v>
      </c>
      <c r="Y453" s="59">
        <v>85376.89071752844</v>
      </c>
      <c r="Z453" s="59">
        <v>314079.06671356224</v>
      </c>
      <c r="AA453" s="59">
        <v>1189666.4277097208</v>
      </c>
      <c r="AB453" s="59">
        <v>2809011.6198181361</v>
      </c>
      <c r="AC453" s="59">
        <v>1659654.6794260144</v>
      </c>
      <c r="AD453" s="59">
        <v>6118212.3683136897</v>
      </c>
      <c r="AE453" s="59">
        <v>2707594609.2059326</v>
      </c>
      <c r="AF453" s="68">
        <v>6118212.3683136897</v>
      </c>
    </row>
    <row r="454" spans="1:32" x14ac:dyDescent="0.2">
      <c r="A454" s="95">
        <v>417</v>
      </c>
      <c r="B454" s="95">
        <v>34</v>
      </c>
      <c r="C454" s="95">
        <v>9</v>
      </c>
      <c r="D454" s="95"/>
      <c r="E454" s="95">
        <v>20.697103094975422</v>
      </c>
      <c r="F454" s="95">
        <v>292.84159527983172</v>
      </c>
      <c r="G454" s="95">
        <v>443.56200935072286</v>
      </c>
      <c r="H454" s="95">
        <v>793.49494103780899</v>
      </c>
      <c r="I454" s="95">
        <v>2587.864224785621</v>
      </c>
      <c r="J454" s="95"/>
      <c r="K454" s="95"/>
      <c r="L454" s="95">
        <v>103.18881192071476</v>
      </c>
      <c r="M454" s="95">
        <v>446.81910760271472</v>
      </c>
      <c r="N454" s="95">
        <v>176.68805535132165</v>
      </c>
      <c r="O454" s="95">
        <v>4268.256056699166</v>
      </c>
      <c r="P454" s="95">
        <v>866.58809487712574</v>
      </c>
      <c r="Q454" s="95">
        <v>10000.000000000004</v>
      </c>
      <c r="S454" s="98">
        <v>4268.256056699166</v>
      </c>
      <c r="T454" s="95">
        <v>3743.0532373436954</v>
      </c>
      <c r="U454" s="99">
        <v>2427.6419481930398</v>
      </c>
      <c r="W454" s="121">
        <v>3956.7998253253832</v>
      </c>
      <c r="X454" s="59">
        <v>55996.725385112171</v>
      </c>
      <c r="Y454" s="59">
        <v>84823.179858222647</v>
      </c>
      <c r="Z454" s="59">
        <v>312434.30300560466</v>
      </c>
      <c r="AA454" s="59">
        <v>1186559.0086034723</v>
      </c>
      <c r="AB454" s="59">
        <v>2803499.3967420519</v>
      </c>
      <c r="AC454" s="59">
        <v>1656310.8371644593</v>
      </c>
      <c r="AD454" s="59">
        <v>6103580.2505842485</v>
      </c>
      <c r="AE454" s="59">
        <v>2713698189.4565167</v>
      </c>
      <c r="AF454" s="68">
        <v>6103580.2505842485</v>
      </c>
    </row>
    <row r="455" spans="1:32" x14ac:dyDescent="0.2">
      <c r="A455" s="95">
        <v>418</v>
      </c>
      <c r="B455" s="95">
        <v>34</v>
      </c>
      <c r="C455" s="95">
        <v>10</v>
      </c>
      <c r="D455" s="95"/>
      <c r="E455" s="95">
        <v>20.479783512478178</v>
      </c>
      <c r="F455" s="95">
        <v>290.74946620531574</v>
      </c>
      <c r="G455" s="95">
        <v>440.86801238343475</v>
      </c>
      <c r="H455" s="95">
        <v>789.664988828839</v>
      </c>
      <c r="I455" s="95">
        <v>2582.1640440542606</v>
      </c>
      <c r="J455" s="95"/>
      <c r="K455" s="95"/>
      <c r="L455" s="95">
        <v>102.97682756855009</v>
      </c>
      <c r="M455" s="95">
        <v>446.17709121673448</v>
      </c>
      <c r="N455" s="95">
        <v>176.4042758131063</v>
      </c>
      <c r="O455" s="95">
        <v>4280.2785486538405</v>
      </c>
      <c r="P455" s="95">
        <v>870.23696176344356</v>
      </c>
      <c r="Q455" s="95">
        <v>10000.000000000004</v>
      </c>
      <c r="S455" s="98">
        <v>4280.2785486538405</v>
      </c>
      <c r="T455" s="95">
        <v>3751.4637960742489</v>
      </c>
      <c r="U455" s="99">
        <v>2433.7778346659225</v>
      </c>
      <c r="W455" s="121">
        <v>3913.6047605655813</v>
      </c>
      <c r="X455" s="59">
        <v>55573.331198981927</v>
      </c>
      <c r="Y455" s="59">
        <v>84272.631154617047</v>
      </c>
      <c r="Z455" s="59">
        <v>310795.95764169365</v>
      </c>
      <c r="AA455" s="59">
        <v>1183450.4278299781</v>
      </c>
      <c r="AB455" s="59">
        <v>2797971.5218188879</v>
      </c>
      <c r="AC455" s="59">
        <v>1652958.3192807566</v>
      </c>
      <c r="AD455" s="59">
        <v>6088935.793685481</v>
      </c>
      <c r="AE455" s="59">
        <v>2719787125.2502022</v>
      </c>
      <c r="AF455" s="68">
        <v>6088935.793685481</v>
      </c>
    </row>
    <row r="456" spans="1:32" x14ac:dyDescent="0.2">
      <c r="A456" s="95">
        <v>419</v>
      </c>
      <c r="B456" s="95">
        <v>34</v>
      </c>
      <c r="C456" s="95">
        <v>11</v>
      </c>
      <c r="D456" s="95"/>
      <c r="E456" s="95">
        <v>20.264745785597157</v>
      </c>
      <c r="F456" s="95">
        <v>288.67160660928744</v>
      </c>
      <c r="G456" s="95">
        <v>438.18815663593381</v>
      </c>
      <c r="H456" s="95">
        <v>785.84799198570624</v>
      </c>
      <c r="I456" s="95">
        <v>2576.4562913853256</v>
      </c>
      <c r="J456" s="95"/>
      <c r="K456" s="95"/>
      <c r="L456" s="95">
        <v>102.7643700393284</v>
      </c>
      <c r="M456" s="95">
        <v>445.53170950744777</v>
      </c>
      <c r="N456" s="95">
        <v>176.11931738307669</v>
      </c>
      <c r="O456" s="95">
        <v>4292.2817355376692</v>
      </c>
      <c r="P456" s="95">
        <v>873.87407513063067</v>
      </c>
      <c r="Q456" s="95">
        <v>10000.000000000004</v>
      </c>
      <c r="S456" s="98">
        <v>4292.2817355376692</v>
      </c>
      <c r="T456" s="95">
        <v>3759.8558292174253</v>
      </c>
      <c r="U456" s="99">
        <v>2439.9022315904358</v>
      </c>
      <c r="W456" s="121">
        <v>3870.8812419294068</v>
      </c>
      <c r="X456" s="59">
        <v>55153.008863005838</v>
      </c>
      <c r="Y456" s="59">
        <v>83725.231202716604</v>
      </c>
      <c r="Z456" s="59">
        <v>309164.0261929743</v>
      </c>
      <c r="AA456" s="59">
        <v>1180340.764112147</v>
      </c>
      <c r="AB456" s="59">
        <v>2792428.216692863</v>
      </c>
      <c r="AC456" s="59">
        <v>1649597.2537968487</v>
      </c>
      <c r="AD456" s="59">
        <v>6074279.3821024848</v>
      </c>
      <c r="AE456" s="59">
        <v>2725861404.6323047</v>
      </c>
      <c r="AF456" s="68">
        <v>6074279.3821024848</v>
      </c>
    </row>
    <row r="457" spans="1:32" x14ac:dyDescent="0.2">
      <c r="A457" s="95">
        <v>420</v>
      </c>
      <c r="B457" s="95">
        <v>35</v>
      </c>
      <c r="C457" s="95">
        <v>0</v>
      </c>
      <c r="D457" s="95"/>
      <c r="E457" s="95">
        <v>20.051965954848388</v>
      </c>
      <c r="F457" s="95">
        <v>286.60792696225758</v>
      </c>
      <c r="G457" s="95">
        <v>435.52239116557996</v>
      </c>
      <c r="H457" s="95">
        <v>782.04395696888116</v>
      </c>
      <c r="I457" s="95">
        <v>2570.7411311356964</v>
      </c>
      <c r="J457" s="95"/>
      <c r="K457" s="95"/>
      <c r="L457" s="95">
        <v>102.55144806812309</v>
      </c>
      <c r="M457" s="95">
        <v>444.88299234756425</v>
      </c>
      <c r="N457" s="95">
        <v>175.83319230887284</v>
      </c>
      <c r="O457" s="95">
        <v>4304.2655368155492</v>
      </c>
      <c r="P457" s="95">
        <v>877.49945827262945</v>
      </c>
      <c r="Q457" s="95">
        <v>10000.000000000002</v>
      </c>
      <c r="S457" s="98">
        <v>4304.2655368155492</v>
      </c>
      <c r="T457" s="95">
        <v>3768.2293121644275</v>
      </c>
      <c r="U457" s="99">
        <v>2446.0151083811506</v>
      </c>
      <c r="W457" s="121">
        <v>3828.6241217050106</v>
      </c>
      <c r="X457" s="59">
        <v>54735.737631994853</v>
      </c>
      <c r="Y457" s="59">
        <v>83180.966600399232</v>
      </c>
      <c r="Z457" s="59">
        <v>307538.50400260632</v>
      </c>
      <c r="AA457" s="59">
        <v>1177230.0956835069</v>
      </c>
      <c r="AB457" s="59">
        <v>2786869.7019489631</v>
      </c>
      <c r="AC457" s="59">
        <v>1646227.7682172896</v>
      </c>
      <c r="AD457" s="59">
        <v>6059611.3982064649</v>
      </c>
      <c r="AE457" s="59">
        <v>2731921016.0305109</v>
      </c>
      <c r="AF457" s="68">
        <v>6059611.3982064649</v>
      </c>
    </row>
    <row r="458" spans="1:32" x14ac:dyDescent="0.2">
      <c r="A458" s="95">
        <v>421</v>
      </c>
      <c r="B458" s="95">
        <v>35</v>
      </c>
      <c r="C458" s="95">
        <v>1</v>
      </c>
      <c r="D458" s="95"/>
      <c r="E458" s="95">
        <v>19.83306532650796</v>
      </c>
      <c r="F458" s="95">
        <v>284.43891823287873</v>
      </c>
      <c r="G458" s="95">
        <v>432.68919728021365</v>
      </c>
      <c r="H458" s="95">
        <v>777.92703801337404</v>
      </c>
      <c r="I458" s="95">
        <v>2563.9475847375547</v>
      </c>
      <c r="J458" s="95"/>
      <c r="K458" s="95"/>
      <c r="L458" s="95">
        <v>102.29534054739445</v>
      </c>
      <c r="M458" s="95">
        <v>444.0456016440329</v>
      </c>
      <c r="N458" s="95">
        <v>175.47264897353563</v>
      </c>
      <c r="O458" s="95">
        <v>4316.2298727994839</v>
      </c>
      <c r="P458" s="95">
        <v>883.12073244502653</v>
      </c>
      <c r="Q458" s="95">
        <v>10000.000000000002</v>
      </c>
      <c r="S458" s="98">
        <v>4316.2298727994839</v>
      </c>
      <c r="T458" s="95">
        <v>3776.5842208406184</v>
      </c>
      <c r="U458" s="99">
        <v>2452.1164348631646</v>
      </c>
      <c r="W458" s="121">
        <v>3783.9568402851187</v>
      </c>
      <c r="X458" s="59">
        <v>54280.445078493518</v>
      </c>
      <c r="Y458" s="59">
        <v>82577.438223304431</v>
      </c>
      <c r="Z458" s="59">
        <v>305688.7323102706</v>
      </c>
      <c r="AA458" s="59">
        <v>1173235.5777166076</v>
      </c>
      <c r="AB458" s="59">
        <v>2779206.044839507</v>
      </c>
      <c r="AC458" s="59">
        <v>1641615.3186993846</v>
      </c>
      <c r="AD458" s="59">
        <v>6040387.5137078529</v>
      </c>
      <c r="AE458" s="59">
        <v>2737961403.5442185</v>
      </c>
      <c r="AF458" s="68">
        <v>6040387.5137078529</v>
      </c>
    </row>
    <row r="459" spans="1:32" x14ac:dyDescent="0.2">
      <c r="A459" s="95">
        <v>422</v>
      </c>
      <c r="B459" s="95">
        <v>35</v>
      </c>
      <c r="C459" s="95">
        <v>2</v>
      </c>
      <c r="D459" s="95"/>
      <c r="E459" s="95">
        <v>19.616554363360247</v>
      </c>
      <c r="F459" s="95">
        <v>282.28566954439094</v>
      </c>
      <c r="G459" s="95">
        <v>429.87227691473413</v>
      </c>
      <c r="H459" s="95">
        <v>773.82638707436467</v>
      </c>
      <c r="I459" s="95">
        <v>2557.1521720902329</v>
      </c>
      <c r="J459" s="95"/>
      <c r="K459" s="95"/>
      <c r="L459" s="95">
        <v>102.03633358831264</v>
      </c>
      <c r="M459" s="95">
        <v>443.20820353489057</v>
      </c>
      <c r="N459" s="95">
        <v>175.11123331170342</v>
      </c>
      <c r="O459" s="95">
        <v>4328.1696795057724</v>
      </c>
      <c r="P459" s="95">
        <v>888.72149007224129</v>
      </c>
      <c r="Q459" s="95">
        <v>10000.000000000004</v>
      </c>
      <c r="S459" s="98">
        <v>4328.1696795057724</v>
      </c>
      <c r="T459" s="95">
        <v>3784.9170504910153</v>
      </c>
      <c r="U459" s="99">
        <v>2458.2036390511098</v>
      </c>
      <c r="W459" s="121">
        <v>3739.810677148459</v>
      </c>
      <c r="X459" s="59">
        <v>53828.814651979861</v>
      </c>
      <c r="Y459" s="59">
        <v>81977.876903782701</v>
      </c>
      <c r="Z459" s="59">
        <v>303847.96155580349</v>
      </c>
      <c r="AA459" s="59">
        <v>1169245.5396235229</v>
      </c>
      <c r="AB459" s="59">
        <v>2771537.5439879172</v>
      </c>
      <c r="AC459" s="59">
        <v>1637000.6951993126</v>
      </c>
      <c r="AD459" s="59">
        <v>6021178.2425994677</v>
      </c>
      <c r="AE459" s="59">
        <v>2743982581.786818</v>
      </c>
      <c r="AF459" s="68">
        <v>6021178.2425994677</v>
      </c>
    </row>
    <row r="460" spans="1:32" x14ac:dyDescent="0.2">
      <c r="A460" s="95">
        <v>423</v>
      </c>
      <c r="B460" s="95">
        <v>35</v>
      </c>
      <c r="C460" s="95">
        <v>3</v>
      </c>
      <c r="D460" s="95"/>
      <c r="E460" s="95">
        <v>19.4024069782269</v>
      </c>
      <c r="F460" s="95">
        <v>280.1480741756925</v>
      </c>
      <c r="G460" s="95">
        <v>427.07155998179235</v>
      </c>
      <c r="H460" s="95">
        <v>769.74199065020639</v>
      </c>
      <c r="I460" s="95">
        <v>2550.3550608711148</v>
      </c>
      <c r="J460" s="95"/>
      <c r="K460" s="95"/>
      <c r="L460" s="95">
        <v>101.77450679523096</v>
      </c>
      <c r="M460" s="95">
        <v>442.3707762578419</v>
      </c>
      <c r="N460" s="95">
        <v>174.7489587319684</v>
      </c>
      <c r="O460" s="95">
        <v>4340.0848818501954</v>
      </c>
      <c r="P460" s="95">
        <v>894.30178370773365</v>
      </c>
      <c r="Q460" s="95">
        <v>10000.000000000004</v>
      </c>
      <c r="S460" s="98">
        <v>4340.0848818501954</v>
      </c>
      <c r="T460" s="95">
        <v>3793.2277950503085</v>
      </c>
      <c r="U460" s="99">
        <v>2464.27670229558</v>
      </c>
      <c r="W460" s="121">
        <v>3696.179552581727</v>
      </c>
      <c r="X460" s="59">
        <v>53380.818474214248</v>
      </c>
      <c r="Y460" s="59">
        <v>81382.261307797497</v>
      </c>
      <c r="Z460" s="59">
        <v>302016.16915305605</v>
      </c>
      <c r="AA460" s="59">
        <v>1165260.0543351318</v>
      </c>
      <c r="AB460" s="59">
        <v>2763864.5807860731</v>
      </c>
      <c r="AC460" s="59">
        <v>1632384.0356284259</v>
      </c>
      <c r="AD460" s="59">
        <v>6001984.09923728</v>
      </c>
      <c r="AE460" s="59">
        <v>2749984565.8860555</v>
      </c>
      <c r="AF460" s="68">
        <v>6001984.09923728</v>
      </c>
    </row>
    <row r="461" spans="1:32" x14ac:dyDescent="0.2">
      <c r="A461" s="95">
        <v>424</v>
      </c>
      <c r="B461" s="95">
        <v>35</v>
      </c>
      <c r="C461" s="95">
        <v>4</v>
      </c>
      <c r="D461" s="95"/>
      <c r="E461" s="95">
        <v>19.190597368714588</v>
      </c>
      <c r="F461" s="95">
        <v>278.02602603178076</v>
      </c>
      <c r="G461" s="95">
        <v>424.28697642074013</v>
      </c>
      <c r="H461" s="95">
        <v>765.67383468464709</v>
      </c>
      <c r="I461" s="95">
        <v>2543.5564176908697</v>
      </c>
      <c r="J461" s="95"/>
      <c r="K461" s="95"/>
      <c r="L461" s="95">
        <v>101.50993815348127</v>
      </c>
      <c r="M461" s="95">
        <v>441.53329881509251</v>
      </c>
      <c r="N461" s="95">
        <v>174.38583867355229</v>
      </c>
      <c r="O461" s="95">
        <v>4351.9754062298753</v>
      </c>
      <c r="P461" s="95">
        <v>899.86166593124938</v>
      </c>
      <c r="Q461" s="95">
        <v>10000.000000000004</v>
      </c>
      <c r="S461" s="98">
        <v>4351.9754062298753</v>
      </c>
      <c r="T461" s="95">
        <v>3801.5164489981398</v>
      </c>
      <c r="U461" s="99">
        <v>2470.3356064705636</v>
      </c>
      <c r="W461" s="121">
        <v>3653.0574578016067</v>
      </c>
      <c r="X461" s="59">
        <v>52936.428858583997</v>
      </c>
      <c r="Y461" s="59">
        <v>80790.570158071918</v>
      </c>
      <c r="Z461" s="59">
        <v>300193.33233827213</v>
      </c>
      <c r="AA461" s="59">
        <v>1161279.1940662153</v>
      </c>
      <c r="AB461" s="59">
        <v>2756187.5284546809</v>
      </c>
      <c r="AC461" s="59">
        <v>1627765.4784402829</v>
      </c>
      <c r="AD461" s="59">
        <v>5982805.5897739092</v>
      </c>
      <c r="AE461" s="59">
        <v>2755967371.4758296</v>
      </c>
      <c r="AF461" s="68">
        <v>5982805.5897739092</v>
      </c>
    </row>
    <row r="462" spans="1:32" x14ac:dyDescent="0.2">
      <c r="A462" s="95">
        <v>425</v>
      </c>
      <c r="B462" s="95">
        <v>35</v>
      </c>
      <c r="C462" s="95">
        <v>5</v>
      </c>
      <c r="D462" s="95"/>
      <c r="E462" s="95">
        <v>18.981100014106122</v>
      </c>
      <c r="F462" s="95">
        <v>275.91941964136356</v>
      </c>
      <c r="G462" s="95">
        <v>421.51845620176698</v>
      </c>
      <c r="H462" s="95">
        <v>761.62190457310419</v>
      </c>
      <c r="I462" s="95">
        <v>2536.7564080940474</v>
      </c>
      <c r="J462" s="95"/>
      <c r="K462" s="95"/>
      <c r="L462" s="95">
        <v>101.24270406338117</v>
      </c>
      <c r="M462" s="95">
        <v>440.69575095913405</v>
      </c>
      <c r="N462" s="95">
        <v>174.02188659909385</v>
      </c>
      <c r="O462" s="95">
        <v>4363.8411805069445</v>
      </c>
      <c r="P462" s="95">
        <v>905.4011893470614</v>
      </c>
      <c r="Q462" s="95">
        <v>10000.000000000004</v>
      </c>
      <c r="S462" s="98">
        <v>4363.8411805069445</v>
      </c>
      <c r="T462" s="95">
        <v>3809.7830073556352</v>
      </c>
      <c r="U462" s="99">
        <v>2476.3803339673582</v>
      </c>
      <c r="W462" s="121">
        <v>3610.4384541272548</v>
      </c>
      <c r="X462" s="59">
        <v>52495.618309070313</v>
      </c>
      <c r="Y462" s="59">
        <v>80202.782234769868</v>
      </c>
      <c r="Z462" s="59">
        <v>298379.42817331408</v>
      </c>
      <c r="AA462" s="59">
        <v>1157303.0303179936</v>
      </c>
      <c r="AB462" s="59">
        <v>2748506.7522521485</v>
      </c>
      <c r="AC462" s="59">
        <v>1623145.1625080877</v>
      </c>
      <c r="AD462" s="59">
        <v>5963643.2122495109</v>
      </c>
      <c r="AE462" s="59">
        <v>2761931014.6880789</v>
      </c>
      <c r="AF462" s="68">
        <v>5963643.2122495109</v>
      </c>
    </row>
    <row r="463" spans="1:32" x14ac:dyDescent="0.2">
      <c r="A463" s="95">
        <v>426</v>
      </c>
      <c r="B463" s="95">
        <v>35</v>
      </c>
      <c r="C463" s="95">
        <v>6</v>
      </c>
      <c r="D463" s="95"/>
      <c r="E463" s="95">
        <v>18.773889672285463</v>
      </c>
      <c r="F463" s="95">
        <v>273.82815015445982</v>
      </c>
      <c r="G463" s="95">
        <v>418.76592932997357</v>
      </c>
      <c r="H463" s="95">
        <v>757.58618516891318</v>
      </c>
      <c r="I463" s="95">
        <v>2529.9551965597288</v>
      </c>
      <c r="J463" s="95"/>
      <c r="K463" s="95"/>
      <c r="L463" s="95">
        <v>100.97287937349979</v>
      </c>
      <c r="M463" s="95">
        <v>439.85811317875402</v>
      </c>
      <c r="N463" s="95">
        <v>173.65711598781445</v>
      </c>
      <c r="O463" s="95">
        <v>4375.6821339923417</v>
      </c>
      <c r="P463" s="95">
        <v>910.92040658223175</v>
      </c>
      <c r="Q463" s="95">
        <v>10000.000000000002</v>
      </c>
      <c r="S463" s="98">
        <v>4375.6821339923417</v>
      </c>
      <c r="T463" s="95">
        <v>3818.0274656819406</v>
      </c>
      <c r="U463" s="99">
        <v>2482.4108676885953</v>
      </c>
      <c r="W463" s="121">
        <v>3568.3166721624366</v>
      </c>
      <c r="X463" s="59">
        <v>52058.359519216421</v>
      </c>
      <c r="Y463" s="59">
        <v>79618.876376161439</v>
      </c>
      <c r="Z463" s="59">
        <v>296574.43354886549</v>
      </c>
      <c r="AA463" s="59">
        <v>1153331.6338806825</v>
      </c>
      <c r="AB463" s="59">
        <v>2740822.6096778857</v>
      </c>
      <c r="AC463" s="59">
        <v>1618523.227008963</v>
      </c>
      <c r="AD463" s="59">
        <v>5944497.4566839365</v>
      </c>
      <c r="AE463" s="59">
        <v>2767875512.144763</v>
      </c>
      <c r="AF463" s="68">
        <v>5944497.4566839365</v>
      </c>
    </row>
    <row r="464" spans="1:32" x14ac:dyDescent="0.2">
      <c r="A464" s="95">
        <v>427</v>
      </c>
      <c r="B464" s="95">
        <v>35</v>
      </c>
      <c r="C464" s="95">
        <v>7</v>
      </c>
      <c r="D464" s="95"/>
      <c r="E464" s="95">
        <v>18.568941376696348</v>
      </c>
      <c r="F464" s="95">
        <v>271.75211333999033</v>
      </c>
      <c r="G464" s="95">
        <v>416.02932584938299</v>
      </c>
      <c r="H464" s="95">
        <v>753.5666607895497</v>
      </c>
      <c r="I464" s="95">
        <v>2523.1529465022363</v>
      </c>
      <c r="J464" s="95"/>
      <c r="K464" s="95"/>
      <c r="L464" s="95">
        <v>100.70053741319882</v>
      </c>
      <c r="M464" s="95">
        <v>439.02036668526728</v>
      </c>
      <c r="N464" s="95">
        <v>173.29154032904472</v>
      </c>
      <c r="O464" s="95">
        <v>4387.4981974297416</v>
      </c>
      <c r="P464" s="95">
        <v>916.41937028489474</v>
      </c>
      <c r="Q464" s="95">
        <v>10000.000000000004</v>
      </c>
      <c r="S464" s="98">
        <v>4387.4981974297416</v>
      </c>
      <c r="T464" s="95">
        <v>3826.2498200707596</v>
      </c>
      <c r="U464" s="99">
        <v>2488.4271910423777</v>
      </c>
      <c r="W464" s="121">
        <v>3526.6863109872083</v>
      </c>
      <c r="X464" s="59">
        <v>51624.625371097056</v>
      </c>
      <c r="Y464" s="59">
        <v>79038.831479273314</v>
      </c>
      <c r="Z464" s="59">
        <v>294778.32518761017</v>
      </c>
      <c r="AA464" s="59">
        <v>1149365.0748360702</v>
      </c>
      <c r="AB464" s="59">
        <v>2733135.4506701971</v>
      </c>
      <c r="AC464" s="59">
        <v>1613899.8113147409</v>
      </c>
      <c r="AD464" s="59">
        <v>5925368.8051699763</v>
      </c>
      <c r="AE464" s="59">
        <v>2773800880.9499331</v>
      </c>
      <c r="AF464" s="68">
        <v>5925368.8051699763</v>
      </c>
    </row>
    <row r="465" spans="1:32" x14ac:dyDescent="0.2">
      <c r="A465" s="95">
        <v>428</v>
      </c>
      <c r="B465" s="95">
        <v>35</v>
      </c>
      <c r="C465" s="95">
        <v>8</v>
      </c>
      <c r="D465" s="95"/>
      <c r="E465" s="95">
        <v>18.366230433334078</v>
      </c>
      <c r="F465" s="95">
        <v>269.69120558335823</v>
      </c>
      <c r="G465" s="95">
        <v>413.30857584688982</v>
      </c>
      <c r="H465" s="95">
        <v>749.56331522282346</v>
      </c>
      <c r="I465" s="95">
        <v>2516.3498202718979</v>
      </c>
      <c r="J465" s="95"/>
      <c r="K465" s="95"/>
      <c r="L465" s="95">
        <v>100.42575002446434</v>
      </c>
      <c r="M465" s="95">
        <v>438.18249339896516</v>
      </c>
      <c r="N465" s="95">
        <v>172.92517311609623</v>
      </c>
      <c r="O465" s="95">
        <v>4399.2893029796123</v>
      </c>
      <c r="P465" s="95">
        <v>921.89813312256103</v>
      </c>
      <c r="Q465" s="95">
        <v>10000.000000000002</v>
      </c>
      <c r="S465" s="98">
        <v>4399.2893029796123</v>
      </c>
      <c r="T465" s="95">
        <v>3834.4500671468918</v>
      </c>
      <c r="U465" s="99">
        <v>2494.4292879365216</v>
      </c>
      <c r="W465" s="121">
        <v>3485.5416373590238</v>
      </c>
      <c r="X465" s="59">
        <v>51194.388934289302</v>
      </c>
      <c r="Y465" s="59">
        <v>78462.626500523897</v>
      </c>
      <c r="Z465" s="59">
        <v>292991.07964738773</v>
      </c>
      <c r="AA465" s="59">
        <v>1145403.4225601128</v>
      </c>
      <c r="AB465" s="59">
        <v>2725445.6177988844</v>
      </c>
      <c r="AC465" s="59">
        <v>1609275.0548889742</v>
      </c>
      <c r="AD465" s="59">
        <v>5906257.7319675311</v>
      </c>
      <c r="AE465" s="59">
        <v>2779707138.6819005</v>
      </c>
      <c r="AF465" s="68">
        <v>5906257.7319675311</v>
      </c>
    </row>
    <row r="466" spans="1:32" x14ac:dyDescent="0.2">
      <c r="A466" s="95">
        <v>429</v>
      </c>
      <c r="B466" s="95">
        <v>35</v>
      </c>
      <c r="C466" s="95">
        <v>9</v>
      </c>
      <c r="D466" s="95"/>
      <c r="E466" s="95">
        <v>18.16573241777018</v>
      </c>
      <c r="F466" s="95">
        <v>267.64532388402051</v>
      </c>
      <c r="G466" s="95">
        <v>410.60360945614832</v>
      </c>
      <c r="H466" s="95">
        <v>745.57613173304514</v>
      </c>
      <c r="I466" s="95">
        <v>2509.5459791558669</v>
      </c>
      <c r="J466" s="95"/>
      <c r="K466" s="95"/>
      <c r="L466" s="95">
        <v>100.14858759304549</v>
      </c>
      <c r="M466" s="95">
        <v>437.34447593577954</v>
      </c>
      <c r="N466" s="95">
        <v>172.55802784046301</v>
      </c>
      <c r="O466" s="95">
        <v>4411.0553842034215</v>
      </c>
      <c r="P466" s="95">
        <v>927.35674778044188</v>
      </c>
      <c r="Q466" s="95">
        <v>10000.000000000002</v>
      </c>
      <c r="S466" s="98">
        <v>4411.0553842034215</v>
      </c>
      <c r="T466" s="95">
        <v>3842.6282040627752</v>
      </c>
      <c r="U466" s="99">
        <v>2500.4171427729048</v>
      </c>
      <c r="W466" s="121">
        <v>3444.8769849231685</v>
      </c>
      <c r="X466" s="59">
        <v>50767.623464844954</v>
      </c>
      <c r="Y466" s="59">
        <v>77890.240456343876</v>
      </c>
      <c r="Z466" s="59">
        <v>291212.67332432605</v>
      </c>
      <c r="AA466" s="59">
        <v>1141446.7457255493</v>
      </c>
      <c r="AB466" s="59">
        <v>2717753.4464527089</v>
      </c>
      <c r="AC466" s="59">
        <v>1604649.0971898786</v>
      </c>
      <c r="AD466" s="59">
        <v>5887164.7035985747</v>
      </c>
      <c r="AE466" s="59">
        <v>2785594303.385499</v>
      </c>
      <c r="AF466" s="68">
        <v>5887164.7035985747</v>
      </c>
    </row>
    <row r="467" spans="1:32" x14ac:dyDescent="0.2">
      <c r="A467" s="95">
        <v>430</v>
      </c>
      <c r="B467" s="95">
        <v>35</v>
      </c>
      <c r="C467" s="95">
        <v>10</v>
      </c>
      <c r="D467" s="95"/>
      <c r="E467" s="95">
        <v>17.967423172209521</v>
      </c>
      <c r="F467" s="95">
        <v>265.61436585305063</v>
      </c>
      <c r="G467" s="95">
        <v>407.91435686139982</v>
      </c>
      <c r="H467" s="95">
        <v>741.60509306716528</v>
      </c>
      <c r="I467" s="95">
        <v>2502.7415833789996</v>
      </c>
      <c r="J467" s="95"/>
      <c r="K467" s="95"/>
      <c r="L467" s="95">
        <v>99.869119078915091</v>
      </c>
      <c r="M467" s="95">
        <v>436.50629759415773</v>
      </c>
      <c r="N467" s="95">
        <v>172.19011798633784</v>
      </c>
      <c r="O467" s="95">
        <v>4422.7963760479734</v>
      </c>
      <c r="P467" s="95">
        <v>932.79526695979405</v>
      </c>
      <c r="Q467" s="95">
        <v>10000.000000000004</v>
      </c>
      <c r="S467" s="98">
        <v>4422.7963760479734</v>
      </c>
      <c r="T467" s="95">
        <v>3850.7842284950316</v>
      </c>
      <c r="U467" s="99">
        <v>2506.3907404419165</v>
      </c>
      <c r="W467" s="121">
        <v>3404.6867534323978</v>
      </c>
      <c r="X467" s="59">
        <v>50344.302404264352</v>
      </c>
      <c r="Y467" s="59">
        <v>77321.652423781779</v>
      </c>
      <c r="Z467" s="59">
        <v>289443.08245594992</v>
      </c>
      <c r="AA467" s="59">
        <v>1137495.1123045352</v>
      </c>
      <c r="AB467" s="59">
        <v>2710059.2650218382</v>
      </c>
      <c r="AC467" s="59">
        <v>1600022.077578929</v>
      </c>
      <c r="AD467" s="59">
        <v>5868090.1789427307</v>
      </c>
      <c r="AE467" s="59">
        <v>2791462393.5644417</v>
      </c>
      <c r="AF467" s="68">
        <v>5868090.1789427307</v>
      </c>
    </row>
    <row r="468" spans="1:32" x14ac:dyDescent="0.2">
      <c r="A468" s="95">
        <v>431</v>
      </c>
      <c r="B468" s="95">
        <v>35</v>
      </c>
      <c r="C468" s="95">
        <v>11</v>
      </c>
      <c r="D468" s="95"/>
      <c r="E468" s="95">
        <v>17.771278802579566</v>
      </c>
      <c r="F468" s="95">
        <v>263.59822971069201</v>
      </c>
      <c r="G468" s="95">
        <v>405.24074830123999</v>
      </c>
      <c r="H468" s="95">
        <v>737.65018146088494</v>
      </c>
      <c r="I468" s="95">
        <v>2495.9367921047829</v>
      </c>
      <c r="J468" s="95"/>
      <c r="K468" s="95"/>
      <c r="L468" s="95">
        <v>99.587412046067044</v>
      </c>
      <c r="M468" s="95">
        <v>435.66794234214586</v>
      </c>
      <c r="N468" s="95">
        <v>171.82145702542951</v>
      </c>
      <c r="O468" s="95">
        <v>4434.512214829896</v>
      </c>
      <c r="P468" s="95">
        <v>938.21374337628504</v>
      </c>
      <c r="Q468" s="95">
        <v>10000.000000000004</v>
      </c>
      <c r="S468" s="98">
        <v>4434.512214829896</v>
      </c>
      <c r="T468" s="95">
        <v>3858.9181386410132</v>
      </c>
      <c r="U468" s="99">
        <v>2512.3500663170062</v>
      </c>
      <c r="W468" s="121">
        <v>3364.9654079756865</v>
      </c>
      <c r="X468" s="59">
        <v>49924.399378471935</v>
      </c>
      <c r="Y468" s="59">
        <v>76756.841541095244</v>
      </c>
      <c r="Z468" s="59">
        <v>287682.28312426596</v>
      </c>
      <c r="AA468" s="59">
        <v>1133548.5895712953</v>
      </c>
      <c r="AB468" s="59">
        <v>2702363.3950754087</v>
      </c>
      <c r="AC468" s="59">
        <v>1595394.1352348495</v>
      </c>
      <c r="AD468" s="59">
        <v>5849034.6093333624</v>
      </c>
      <c r="AE468" s="59">
        <v>2797311428.1737752</v>
      </c>
      <c r="AF468" s="68">
        <v>5849034.6093333624</v>
      </c>
    </row>
    <row r="469" spans="1:32" x14ac:dyDescent="0.2">
      <c r="A469" s="95">
        <v>432</v>
      </c>
      <c r="B469" s="95">
        <v>36</v>
      </c>
      <c r="C469" s="95">
        <v>0</v>
      </c>
      <c r="D469" s="95"/>
      <c r="E469" s="95">
        <v>17.577275675651407</v>
      </c>
      <c r="F469" s="95">
        <v>261.59681428390394</v>
      </c>
      <c r="G469" s="95">
        <v>402.58271407232689</v>
      </c>
      <c r="H469" s="95">
        <v>733.71137864473781</v>
      </c>
      <c r="I469" s="95">
        <v>2489.1317634363195</v>
      </c>
      <c r="J469" s="95"/>
      <c r="K469" s="95"/>
      <c r="L469" s="95">
        <v>99.345400106400419</v>
      </c>
      <c r="M469" s="95">
        <v>434.78752738994154</v>
      </c>
      <c r="N469" s="95">
        <v>171.45205841206709</v>
      </c>
      <c r="O469" s="95">
        <v>4446.2028382202761</v>
      </c>
      <c r="P469" s="95">
        <v>943.61222975837791</v>
      </c>
      <c r="Q469" s="95">
        <v>10000.000000000002</v>
      </c>
      <c r="S469" s="98">
        <v>4446.2028382202761</v>
      </c>
      <c r="T469" s="95">
        <v>3867.0299332153536</v>
      </c>
      <c r="U469" s="99">
        <v>2518.2951062493285</v>
      </c>
      <c r="W469" s="121">
        <v>3325.7074782159702</v>
      </c>
      <c r="X469" s="59">
        <v>49507.88819679345</v>
      </c>
      <c r="Y469" s="59">
        <v>76195.787008328029</v>
      </c>
      <c r="Z469" s="59">
        <v>285930.2512588246</v>
      </c>
      <c r="AA469" s="59">
        <v>1129607.2441047924</v>
      </c>
      <c r="AB469" s="59">
        <v>2694666.1515343334</v>
      </c>
      <c r="AC469" s="59">
        <v>1590765.4090727393</v>
      </c>
      <c r="AD469" s="59">
        <v>5829998.4386540269</v>
      </c>
      <c r="AE469" s="59">
        <v>2803141426.6124291</v>
      </c>
      <c r="AF469" s="68">
        <v>5829998.4386540269</v>
      </c>
    </row>
    <row r="470" spans="1:32" x14ac:dyDescent="0.2">
      <c r="A470" s="95">
        <v>433</v>
      </c>
      <c r="B470" s="95">
        <v>36</v>
      </c>
      <c r="C470" s="95">
        <v>1</v>
      </c>
      <c r="D470" s="95"/>
      <c r="E470" s="95">
        <v>17.385390416192212</v>
      </c>
      <c r="F470" s="95">
        <v>259.61001900389931</v>
      </c>
      <c r="G470" s="95">
        <v>399.94018453303022</v>
      </c>
      <c r="H470" s="95">
        <v>729.78866585014305</v>
      </c>
      <c r="I470" s="95">
        <v>2482.3266544173657</v>
      </c>
      <c r="J470" s="95"/>
      <c r="K470" s="95"/>
      <c r="L470" s="95">
        <v>99.100266749551068</v>
      </c>
      <c r="M470" s="95">
        <v>433.90767514948072</v>
      </c>
      <c r="N470" s="95">
        <v>171.08193557857859</v>
      </c>
      <c r="O470" s="95">
        <v>4457.8684294560253</v>
      </c>
      <c r="P470" s="95">
        <v>948.99077884573614</v>
      </c>
      <c r="Q470" s="95">
        <v>10000.000000000002</v>
      </c>
      <c r="S470" s="98">
        <v>4457.8684294560253</v>
      </c>
      <c r="T470" s="95">
        <v>3875.1196114465215</v>
      </c>
      <c r="U470" s="99">
        <v>2524.2258465624836</v>
      </c>
      <c r="W470" s="121">
        <v>3286.9075576367841</v>
      </c>
      <c r="X470" s="59">
        <v>49094.742850934912</v>
      </c>
      <c r="Y470" s="59">
        <v>75638.468087872752</v>
      </c>
      <c r="Z470" s="59">
        <v>284186.96263975784</v>
      </c>
      <c r="AA470" s="59">
        <v>1125671.1417914154</v>
      </c>
      <c r="AB470" s="59">
        <v>2686965.6035999781</v>
      </c>
      <c r="AC470" s="59">
        <v>1586136.0376680994</v>
      </c>
      <c r="AD470" s="59">
        <v>5810979.8641956951</v>
      </c>
      <c r="AE470" s="59">
        <v>2808952406.476625</v>
      </c>
      <c r="AF470" s="68">
        <v>5810979.8641956951</v>
      </c>
    </row>
    <row r="471" spans="1:32" x14ac:dyDescent="0.2">
      <c r="A471" s="95">
        <v>434</v>
      </c>
      <c r="B471" s="95">
        <v>36</v>
      </c>
      <c r="C471" s="95">
        <v>2</v>
      </c>
      <c r="D471" s="95"/>
      <c r="E471" s="95">
        <v>17.195599904148782</v>
      </c>
      <c r="F471" s="95">
        <v>257.63774390367502</v>
      </c>
      <c r="G471" s="95">
        <v>397.31309010702233</v>
      </c>
      <c r="H471" s="95">
        <v>725.8820238154301</v>
      </c>
      <c r="I471" s="95">
        <v>2475.5216210334202</v>
      </c>
      <c r="J471" s="95"/>
      <c r="K471" s="95"/>
      <c r="L471" s="95">
        <v>98.854659885225146</v>
      </c>
      <c r="M471" s="95">
        <v>433.02579702392302</v>
      </c>
      <c r="N471" s="95">
        <v>170.71110054698062</v>
      </c>
      <c r="O471" s="95">
        <v>4469.5089206774601</v>
      </c>
      <c r="P471" s="95">
        <v>954.34944310271737</v>
      </c>
      <c r="Q471" s="95">
        <v>10000.000000000002</v>
      </c>
      <c r="S471" s="98">
        <v>4469.5089206774601</v>
      </c>
      <c r="T471" s="95">
        <v>3883.1871730733778</v>
      </c>
      <c r="U471" s="99">
        <v>2530.1422726633982</v>
      </c>
      <c r="W471" s="121">
        <v>3248.5603027976881</v>
      </c>
      <c r="X471" s="59">
        <v>48684.937513963458</v>
      </c>
      <c r="Y471" s="59">
        <v>75084.864105019718</v>
      </c>
      <c r="Z471" s="59">
        <v>282452.3929007937</v>
      </c>
      <c r="AA471" s="59">
        <v>1121740.3478276844</v>
      </c>
      <c r="AB471" s="59">
        <v>2679262.1481212531</v>
      </c>
      <c r="AC471" s="59">
        <v>1581506.1358519078</v>
      </c>
      <c r="AD471" s="59">
        <v>5791979.3866234198</v>
      </c>
      <c r="AE471" s="59">
        <v>2814744385.8632483</v>
      </c>
      <c r="AF471" s="68">
        <v>5791979.3866234198</v>
      </c>
    </row>
    <row r="472" spans="1:32" x14ac:dyDescent="0.2">
      <c r="A472" s="95">
        <v>435</v>
      </c>
      <c r="B472" s="95">
        <v>36</v>
      </c>
      <c r="C472" s="95">
        <v>3</v>
      </c>
      <c r="D472" s="95"/>
      <c r="E472" s="95">
        <v>17.007881271861823</v>
      </c>
      <c r="F472" s="95">
        <v>255.67988961553516</v>
      </c>
      <c r="G472" s="95">
        <v>394.70136128681162</v>
      </c>
      <c r="H472" s="95">
        <v>721.99143279183318</v>
      </c>
      <c r="I472" s="95">
        <v>2468.7168182128662</v>
      </c>
      <c r="J472" s="95"/>
      <c r="K472" s="95"/>
      <c r="L472" s="95">
        <v>98.608594640468965</v>
      </c>
      <c r="M472" s="95">
        <v>432.14192130100946</v>
      </c>
      <c r="N472" s="95">
        <v>170.33956541556992</v>
      </c>
      <c r="O472" s="95">
        <v>4481.1242604524059</v>
      </c>
      <c r="P472" s="95">
        <v>959.68827501164048</v>
      </c>
      <c r="Q472" s="95">
        <v>10000.000000000002</v>
      </c>
      <c r="S472" s="98">
        <v>4481.1242604524059</v>
      </c>
      <c r="T472" s="95">
        <v>3891.2326183417363</v>
      </c>
      <c r="U472" s="99">
        <v>2536.0443704770892</v>
      </c>
      <c r="W472" s="121">
        <v>3210.6604325983817</v>
      </c>
      <c r="X472" s="59">
        <v>48278.446539290067</v>
      </c>
      <c r="Y472" s="59">
        <v>74534.95444849215</v>
      </c>
      <c r="Z472" s="59">
        <v>280726.51753224712</v>
      </c>
      <c r="AA472" s="59">
        <v>1117814.9267229713</v>
      </c>
      <c r="AB472" s="59">
        <v>2671556.0375929829</v>
      </c>
      <c r="AC472" s="59">
        <v>1576875.8198394389</v>
      </c>
      <c r="AD472" s="59">
        <v>5772997.3631080203</v>
      </c>
      <c r="AE472" s="59">
        <v>2820517383.2263565</v>
      </c>
      <c r="AF472" s="68">
        <v>5772997.3631080203</v>
      </c>
    </row>
    <row r="473" spans="1:32" x14ac:dyDescent="0.2">
      <c r="A473" s="95">
        <v>436</v>
      </c>
      <c r="B473" s="95">
        <v>36</v>
      </c>
      <c r="C473" s="95">
        <v>4</v>
      </c>
      <c r="D473" s="95"/>
      <c r="E473" s="95">
        <v>16.822211901310666</v>
      </c>
      <c r="F473" s="95">
        <v>253.73635736860766</v>
      </c>
      <c r="G473" s="95">
        <v>392.1049286372189</v>
      </c>
      <c r="H473" s="95">
        <v>718.11687254945639</v>
      </c>
      <c r="I473" s="95">
        <v>2461.9123998281652</v>
      </c>
      <c r="J473" s="95"/>
      <c r="K473" s="95"/>
      <c r="L473" s="95">
        <v>98.362085911966759</v>
      </c>
      <c r="M473" s="95">
        <v>431.25607621224685</v>
      </c>
      <c r="N473" s="95">
        <v>169.96734226479779</v>
      </c>
      <c r="O473" s="95">
        <v>4492.7143982726329</v>
      </c>
      <c r="P473" s="95">
        <v>965.00732705359917</v>
      </c>
      <c r="Q473" s="95">
        <v>10000.000000000002</v>
      </c>
      <c r="S473" s="98">
        <v>4492.7143982726329</v>
      </c>
      <c r="T473" s="95">
        <v>3899.2559480009281</v>
      </c>
      <c r="U473" s="99">
        <v>2541.9321263553393</v>
      </c>
      <c r="W473" s="121">
        <v>3173.2027275514006</v>
      </c>
      <c r="X473" s="59">
        <v>47875.244459654292</v>
      </c>
      <c r="Y473" s="59">
        <v>73988.718570967598</v>
      </c>
      <c r="Z473" s="59">
        <v>279009.31188398716</v>
      </c>
      <c r="AA473" s="59">
        <v>1113894.9423022373</v>
      </c>
      <c r="AB473" s="59">
        <v>2663847.521875889</v>
      </c>
      <c r="AC473" s="59">
        <v>1572245.2056577441</v>
      </c>
      <c r="AD473" s="59">
        <v>5754034.147478031</v>
      </c>
      <c r="AE473" s="59">
        <v>2826271417.3738346</v>
      </c>
      <c r="AF473" s="68">
        <v>5754034.147478031</v>
      </c>
    </row>
    <row r="474" spans="1:32" x14ac:dyDescent="0.2">
      <c r="A474" s="95">
        <v>437</v>
      </c>
      <c r="B474" s="95">
        <v>36</v>
      </c>
      <c r="C474" s="95">
        <v>5</v>
      </c>
      <c r="D474" s="95"/>
      <c r="E474" s="95">
        <v>16.638569421388024</v>
      </c>
      <c r="F474" s="95">
        <v>251.80704898635443</v>
      </c>
      <c r="G474" s="95">
        <v>389.52372279879762</v>
      </c>
      <c r="H474" s="95">
        <v>714.25832238320947</v>
      </c>
      <c r="I474" s="95">
        <v>2455.1085186971027</v>
      </c>
      <c r="J474" s="95"/>
      <c r="K474" s="95"/>
      <c r="L474" s="95">
        <v>98.115148370228468</v>
      </c>
      <c r="M474" s="95">
        <v>430.36828993126539</v>
      </c>
      <c r="N474" s="95">
        <v>169.59444315506988</v>
      </c>
      <c r="O474" s="95">
        <v>4504.2792845492013</v>
      </c>
      <c r="P474" s="95">
        <v>970.30665170738519</v>
      </c>
      <c r="Q474" s="95">
        <v>10000.000000000002</v>
      </c>
      <c r="S474" s="98">
        <v>4504.2792845492013</v>
      </c>
      <c r="T474" s="95">
        <v>3907.2571633003695</v>
      </c>
      <c r="U474" s="99">
        <v>2547.8055270738428</v>
      </c>
      <c r="W474" s="121">
        <v>3136.1820290633013</v>
      </c>
      <c r="X474" s="59">
        <v>47475.305986111031</v>
      </c>
      <c r="Y474" s="59">
        <v>73446.13598958611</v>
      </c>
      <c r="Z474" s="59">
        <v>277300.75116838032</v>
      </c>
      <c r="AA474" s="59">
        <v>1109980.457708789</v>
      </c>
      <c r="AB474" s="59">
        <v>2656136.8482297813</v>
      </c>
      <c r="AC474" s="59">
        <v>1567614.409108937</v>
      </c>
      <c r="AD474" s="59">
        <v>5735090.0902206479</v>
      </c>
      <c r="AE474" s="59">
        <v>2832006507.4640551</v>
      </c>
      <c r="AF474" s="68">
        <v>5735090.0902206479</v>
      </c>
    </row>
    <row r="475" spans="1:32" x14ac:dyDescent="0.2">
      <c r="A475" s="95">
        <v>438</v>
      </c>
      <c r="B475" s="95">
        <v>36</v>
      </c>
      <c r="C475" s="95">
        <v>6</v>
      </c>
      <c r="D475" s="95"/>
      <c r="E475" s="95">
        <v>16.456931705204539</v>
      </c>
      <c r="F475" s="95">
        <v>249.89186688407554</v>
      </c>
      <c r="G475" s="95">
        <v>386.95767449119774</v>
      </c>
      <c r="H475" s="95">
        <v>710.41576111871268</v>
      </c>
      <c r="I475" s="95">
        <v>2448.3053265840817</v>
      </c>
      <c r="J475" s="95"/>
      <c r="K475" s="95"/>
      <c r="L475" s="95">
        <v>97.867796463688066</v>
      </c>
      <c r="M475" s="95">
        <v>429.47859057220421</v>
      </c>
      <c r="N475" s="95">
        <v>169.2208801246428</v>
      </c>
      <c r="O475" s="95">
        <v>4515.8188706077763</v>
      </c>
      <c r="P475" s="95">
        <v>975.58630144841914</v>
      </c>
      <c r="Q475" s="95">
        <v>10000.000000000002</v>
      </c>
      <c r="S475" s="98">
        <v>4515.8188706077763</v>
      </c>
      <c r="T475" s="95">
        <v>3915.2362659861351</v>
      </c>
      <c r="U475" s="99">
        <v>2553.6645598293644</v>
      </c>
      <c r="W475" s="121">
        <v>3099.5932387242292</v>
      </c>
      <c r="X475" s="59">
        <v>47078.606007019393</v>
      </c>
      <c r="Y475" s="59">
        <v>72907.186286445169</v>
      </c>
      <c r="Z475" s="59">
        <v>275600.81046321057</v>
      </c>
      <c r="AA475" s="59">
        <v>1106071.5354070449</v>
      </c>
      <c r="AB475" s="59">
        <v>2648424.2613460184</v>
      </c>
      <c r="AC475" s="59">
        <v>1562983.5457352654</v>
      </c>
      <c r="AD475" s="59">
        <v>5716165.5384837277</v>
      </c>
      <c r="AE475" s="59">
        <v>2837722673.0025387</v>
      </c>
      <c r="AF475" s="68">
        <v>5716165.5384837277</v>
      </c>
    </row>
    <row r="476" spans="1:32" x14ac:dyDescent="0.2">
      <c r="A476" s="95">
        <v>439</v>
      </c>
      <c r="B476" s="95">
        <v>36</v>
      </c>
      <c r="C476" s="95">
        <v>7</v>
      </c>
      <c r="D476" s="95"/>
      <c r="E476" s="95">
        <v>16.277276867422724</v>
      </c>
      <c r="F476" s="95">
        <v>247.99071406640766</v>
      </c>
      <c r="G476" s="95">
        <v>384.40671451647489</v>
      </c>
      <c r="H476" s="95">
        <v>706.58916711817199</v>
      </c>
      <c r="I476" s="95">
        <v>2441.5029742014681</v>
      </c>
      <c r="J476" s="95"/>
      <c r="K476" s="95"/>
      <c r="L476" s="95">
        <v>97.620044422714329</v>
      </c>
      <c r="M476" s="95">
        <v>428.58700618812446</v>
      </c>
      <c r="N476" s="95">
        <v>168.84666518761367</v>
      </c>
      <c r="O476" s="95">
        <v>4527.333108683918</v>
      </c>
      <c r="P476" s="95">
        <v>980.84632874768681</v>
      </c>
      <c r="Q476" s="95">
        <v>10000.000000000002</v>
      </c>
      <c r="S476" s="98">
        <v>4527.333108683918</v>
      </c>
      <c r="T476" s="95">
        <v>3923.1932582975332</v>
      </c>
      <c r="U476" s="99">
        <v>2559.509212236916</v>
      </c>
      <c r="W476" s="121">
        <v>3063.4313176057799</v>
      </c>
      <c r="X476" s="59">
        <v>46685.119587033783</v>
      </c>
      <c r="Y476" s="59">
        <v>72371.849109081406</v>
      </c>
      <c r="Z476" s="59">
        <v>273909.46471457579</v>
      </c>
      <c r="AA476" s="59">
        <v>1102168.2371853231</v>
      </c>
      <c r="AB476" s="59">
        <v>2640710.0033792532</v>
      </c>
      <c r="AC476" s="59">
        <v>1558352.7307858986</v>
      </c>
      <c r="AD476" s="59">
        <v>5697260.8360787714</v>
      </c>
      <c r="AE476" s="59">
        <v>2843419933.8386173</v>
      </c>
      <c r="AF476" s="68">
        <v>5697260.8360787714</v>
      </c>
    </row>
    <row r="477" spans="1:32" x14ac:dyDescent="0.2">
      <c r="A477" s="95">
        <v>440</v>
      </c>
      <c r="B477" s="95">
        <v>36</v>
      </c>
      <c r="C477" s="95">
        <v>8</v>
      </c>
      <c r="D477" s="95"/>
      <c r="E477" s="95">
        <v>16.099583261620026</v>
      </c>
      <c r="F477" s="95">
        <v>246.10349412481716</v>
      </c>
      <c r="G477" s="95">
        <v>381.87077376234464</v>
      </c>
      <c r="H477" s="95">
        <v>702.77851828622317</v>
      </c>
      <c r="I477" s="95">
        <v>2434.7016112109854</v>
      </c>
      <c r="J477" s="95"/>
      <c r="K477" s="95"/>
      <c r="L477" s="95">
        <v>97.371906263536033</v>
      </c>
      <c r="M477" s="95">
        <v>427.69356476944978</v>
      </c>
      <c r="N477" s="95">
        <v>168.47181033199865</v>
      </c>
      <c r="O477" s="95">
        <v>4538.821951918344</v>
      </c>
      <c r="P477" s="95">
        <v>986.08678607068327</v>
      </c>
      <c r="Q477" s="95">
        <v>10000.000000000002</v>
      </c>
      <c r="S477" s="98">
        <v>4538.821951918344</v>
      </c>
      <c r="T477" s="95">
        <v>3931.1281429636879</v>
      </c>
      <c r="U477" s="99">
        <v>2565.3394723269457</v>
      </c>
      <c r="W477" s="121">
        <v>3027.6912855670457</v>
      </c>
      <c r="X477" s="59">
        <v>46294.82196609713</v>
      </c>
      <c r="Y477" s="59">
        <v>71840.104170939681</v>
      </c>
      <c r="Z477" s="59">
        <v>272226.68873976014</v>
      </c>
      <c r="AA477" s="59">
        <v>1098270.6241586395</v>
      </c>
      <c r="AB477" s="59">
        <v>2632994.3139784862</v>
      </c>
      <c r="AC477" s="59">
        <v>1553722.0791853585</v>
      </c>
      <c r="AD477" s="59">
        <v>5678376.3234848483</v>
      </c>
      <c r="AE477" s="59">
        <v>2849098310.1621022</v>
      </c>
      <c r="AF477" s="68">
        <v>5678376.3234848483</v>
      </c>
    </row>
    <row r="478" spans="1:32" x14ac:dyDescent="0.2">
      <c r="A478" s="95">
        <v>441</v>
      </c>
      <c r="B478" s="95">
        <v>36</v>
      </c>
      <c r="C478" s="95">
        <v>9</v>
      </c>
      <c r="D478" s="95"/>
      <c r="E478" s="95">
        <v>15.923829477680673</v>
      </c>
      <c r="F478" s="95">
        <v>244.2301112350882</v>
      </c>
      <c r="G478" s="95">
        <v>379.34978320538261</v>
      </c>
      <c r="H478" s="95">
        <v>698.9837920757459</v>
      </c>
      <c r="I478" s="95">
        <v>2427.9013862251577</v>
      </c>
      <c r="J478" s="95"/>
      <c r="K478" s="95"/>
      <c r="L478" s="95">
        <v>97.123395792083556</v>
      </c>
      <c r="M478" s="95">
        <v>426.79829424243405</v>
      </c>
      <c r="N478" s="95">
        <v>168.09632751789744</v>
      </c>
      <c r="O478" s="95">
        <v>4550.2853543521696</v>
      </c>
      <c r="P478" s="95">
        <v>991.30772587636284</v>
      </c>
      <c r="Q478" s="95">
        <v>10000.000000000002</v>
      </c>
      <c r="S478" s="98">
        <v>4550.2853543521696</v>
      </c>
      <c r="T478" s="95">
        <v>3939.0409232001234</v>
      </c>
      <c r="U478" s="99">
        <v>2571.1553285425452</v>
      </c>
      <c r="W478" s="121">
        <v>2992.3682205687637</v>
      </c>
      <c r="X478" s="59">
        <v>45907.688558436537</v>
      </c>
      <c r="Y478" s="59">
        <v>71311.93125182917</v>
      </c>
      <c r="Z478" s="59">
        <v>270552.45723008312</v>
      </c>
      <c r="AA478" s="59">
        <v>1094378.7567715223</v>
      </c>
      <c r="AB478" s="59">
        <v>2625277.4303174452</v>
      </c>
      <c r="AC478" s="59">
        <v>1549091.7055035217</v>
      </c>
      <c r="AD478" s="59">
        <v>5659512.3378534066</v>
      </c>
      <c r="AE478" s="59">
        <v>2854757822.4999557</v>
      </c>
      <c r="AF478" s="68">
        <v>5659512.3378534066</v>
      </c>
    </row>
    <row r="479" spans="1:32" x14ac:dyDescent="0.2">
      <c r="A479" s="95">
        <v>442</v>
      </c>
      <c r="B479" s="95">
        <v>36</v>
      </c>
      <c r="C479" s="95">
        <v>10</v>
      </c>
      <c r="D479" s="95"/>
      <c r="E479" s="95">
        <v>15.749994339215993</v>
      </c>
      <c r="F479" s="95">
        <v>242.3704701548061</v>
      </c>
      <c r="G479" s="95">
        <v>376.84367391417106</v>
      </c>
      <c r="H479" s="95">
        <v>695.20496549364577</v>
      </c>
      <c r="I479" s="95">
        <v>2421.1024468087994</v>
      </c>
      <c r="J479" s="95"/>
      <c r="K479" s="95"/>
      <c r="L479" s="95">
        <v>96.874526607748649</v>
      </c>
      <c r="M479" s="95">
        <v>425.90122246765554</v>
      </c>
      <c r="N479" s="95">
        <v>167.72022867573966</v>
      </c>
      <c r="O479" s="95">
        <v>4561.7232709221244</v>
      </c>
      <c r="P479" s="95">
        <v>996.50920061609622</v>
      </c>
      <c r="Q479" s="95">
        <v>10000.000000000004</v>
      </c>
      <c r="S479" s="98">
        <v>4561.7232709221244</v>
      </c>
      <c r="T479" s="95">
        <v>3946.9316027053551</v>
      </c>
      <c r="U479" s="99">
        <v>2576.9567697366701</v>
      </c>
      <c r="W479" s="121">
        <v>2957.4572579954615</v>
      </c>
      <c r="X479" s="59">
        <v>45523.694951561149</v>
      </c>
      <c r="Y479" s="59">
        <v>70787.310198367122</v>
      </c>
      <c r="Z479" s="59">
        <v>268886.74475372524</v>
      </c>
      <c r="AA479" s="59">
        <v>1090492.6948008423</v>
      </c>
      <c r="AB479" s="59">
        <v>2617559.5871243002</v>
      </c>
      <c r="AC479" s="59">
        <v>1544461.7239271337</v>
      </c>
      <c r="AD479" s="59">
        <v>5640669.2130139256</v>
      </c>
      <c r="AE479" s="59">
        <v>2860398491.7129698</v>
      </c>
      <c r="AF479" s="68">
        <v>5640669.2130139256</v>
      </c>
    </row>
    <row r="480" spans="1:32" x14ac:dyDescent="0.2">
      <c r="A480" s="95">
        <v>443</v>
      </c>
      <c r="B480" s="95">
        <v>36</v>
      </c>
      <c r="C480" s="95">
        <v>11</v>
      </c>
      <c r="D480" s="95"/>
      <c r="E480" s="95">
        <v>15.578056901012886</v>
      </c>
      <c r="F480" s="95">
        <v>240.52447622083631</v>
      </c>
      <c r="G480" s="95">
        <v>374.35237705239268</v>
      </c>
      <c r="H480" s="95">
        <v>691.44201510660628</v>
      </c>
      <c r="I480" s="95">
        <v>2414.3049394805557</v>
      </c>
      <c r="J480" s="95"/>
      <c r="K480" s="95"/>
      <c r="L480" s="95">
        <v>96.625312107064204</v>
      </c>
      <c r="M480" s="95">
        <v>425.00237723853769</v>
      </c>
      <c r="N480" s="95">
        <v>167.34352570461044</v>
      </c>
      <c r="O480" s="95">
        <v>4573.1356574557522</v>
      </c>
      <c r="P480" s="95">
        <v>1001.691262732635</v>
      </c>
      <c r="Q480" s="95">
        <v>10000.000000000004</v>
      </c>
      <c r="S480" s="98">
        <v>4573.1356574557522</v>
      </c>
      <c r="T480" s="95">
        <v>3954.8001856574838</v>
      </c>
      <c r="U480" s="99">
        <v>2582.7437851693744</v>
      </c>
      <c r="W480" s="121">
        <v>2922.9535899855146</v>
      </c>
      <c r="X480" s="59">
        <v>45142.816905262553</v>
      </c>
      <c r="Y480" s="59">
        <v>70266.22092441014</v>
      </c>
      <c r="Z480" s="59">
        <v>267229.52575852961</v>
      </c>
      <c r="AA480" s="59">
        <v>1086612.4973586532</v>
      </c>
      <c r="AB480" s="59">
        <v>2609841.01671074</v>
      </c>
      <c r="AC480" s="59">
        <v>1539832.2482327654</v>
      </c>
      <c r="AD480" s="59">
        <v>5621847.2794803465</v>
      </c>
      <c r="AE480" s="59">
        <v>2866020338.9924502</v>
      </c>
      <c r="AF480" s="68">
        <v>5621847.2794803465</v>
      </c>
    </row>
    <row r="481" spans="1:32" x14ac:dyDescent="0.2">
      <c r="A481" s="95">
        <v>444</v>
      </c>
      <c r="B481" s="95">
        <v>37</v>
      </c>
      <c r="C481" s="95">
        <v>0</v>
      </c>
      <c r="D481" s="95"/>
      <c r="E481" s="95">
        <v>15.407996446510161</v>
      </c>
      <c r="F481" s="95">
        <v>238.69203534679929</v>
      </c>
      <c r="G481" s="95">
        <v>371.8758238818719</v>
      </c>
      <c r="H481" s="95">
        <v>687.69491704680865</v>
      </c>
      <c r="I481" s="95">
        <v>2407.5090097144866</v>
      </c>
      <c r="J481" s="95"/>
      <c r="K481" s="95"/>
      <c r="L481" s="95">
        <v>96.375765487305955</v>
      </c>
      <c r="M481" s="95">
        <v>424.10178627989598</v>
      </c>
      <c r="N481" s="95">
        <v>166.96623047065174</v>
      </c>
      <c r="O481" s="95">
        <v>4584.5224706665913</v>
      </c>
      <c r="P481" s="95">
        <v>1006.8539646590818</v>
      </c>
      <c r="Q481" s="95">
        <v>10000.000000000004</v>
      </c>
      <c r="S481" s="98">
        <v>4584.5224706665913</v>
      </c>
      <c r="T481" s="95">
        <v>3962.6466767107954</v>
      </c>
      <c r="U481" s="99">
        <v>2588.5163645050602</v>
      </c>
      <c r="W481" s="121">
        <v>2888.8524647690169</v>
      </c>
      <c r="X481" s="59">
        <v>44765.030350617555</v>
      </c>
      <c r="Y481" s="59">
        <v>69748.643411473196</v>
      </c>
      <c r="Z481" s="59">
        <v>265580.77457478014</v>
      </c>
      <c r="AA481" s="59">
        <v>1082738.2228950497</v>
      </c>
      <c r="AB481" s="59">
        <v>2602121.9490004275</v>
      </c>
      <c r="AC481" s="59">
        <v>1535203.3917611572</v>
      </c>
      <c r="AD481" s="59">
        <v>5603046.8644582741</v>
      </c>
      <c r="AE481" s="59">
        <v>2871623385.8569083</v>
      </c>
      <c r="AF481" s="68">
        <v>5603046.8644582741</v>
      </c>
    </row>
    <row r="482" spans="1:32" x14ac:dyDescent="0.2">
      <c r="A482" s="95">
        <v>445</v>
      </c>
      <c r="B482" s="95">
        <v>37</v>
      </c>
      <c r="C482" s="95">
        <v>1</v>
      </c>
      <c r="D482" s="95"/>
      <c r="E482" s="95">
        <v>15.239792485302425</v>
      </c>
      <c r="F482" s="95">
        <v>236.87305402054167</v>
      </c>
      <c r="G482" s="95">
        <v>369.41394576556416</v>
      </c>
      <c r="H482" s="95">
        <v>683.96364701762025</v>
      </c>
      <c r="I482" s="95">
        <v>2400.7148019417</v>
      </c>
      <c r="J482" s="95"/>
      <c r="K482" s="95"/>
      <c r="L482" s="95">
        <v>96.125899750017638</v>
      </c>
      <c r="M482" s="95">
        <v>423.19947724651064</v>
      </c>
      <c r="N482" s="95">
        <v>166.58835480553634</v>
      </c>
      <c r="O482" s="95">
        <v>4595.8836681493422</v>
      </c>
      <c r="P482" s="95">
        <v>1011.9973588178685</v>
      </c>
      <c r="Q482" s="95">
        <v>10000.000000000004</v>
      </c>
      <c r="S482" s="98">
        <v>4595.8836681493422</v>
      </c>
      <c r="T482" s="95">
        <v>3970.4710809923677</v>
      </c>
      <c r="U482" s="99">
        <v>2594.2744978097412</v>
      </c>
      <c r="W482" s="121">
        <v>2855.1491860133783</v>
      </c>
      <c r="X482" s="59">
        <v>44390.31138899349</v>
      </c>
      <c r="Y482" s="59">
        <v>69234.557709136687</v>
      </c>
      <c r="Z482" s="59">
        <v>263940.46541795653</v>
      </c>
      <c r="AA482" s="59">
        <v>1078869.929201036</v>
      </c>
      <c r="AB482" s="59">
        <v>2594402.6115568378</v>
      </c>
      <c r="AC482" s="59">
        <v>1530575.267392888</v>
      </c>
      <c r="AD482" s="59">
        <v>5584268.2918528616</v>
      </c>
      <c r="AE482" s="59">
        <v>2877207654.1487613</v>
      </c>
      <c r="AF482" s="68">
        <v>5584268.2918528616</v>
      </c>
    </row>
    <row r="483" spans="1:32" x14ac:dyDescent="0.2">
      <c r="A483" s="95">
        <v>446</v>
      </c>
      <c r="B483" s="95">
        <v>37</v>
      </c>
      <c r="C483" s="95">
        <v>2</v>
      </c>
      <c r="D483" s="95"/>
      <c r="E483" s="95">
        <v>15.073424750671208</v>
      </c>
      <c r="F483" s="95">
        <v>235.06743930160391</v>
      </c>
      <c r="G483" s="95">
        <v>366.96667417049423</v>
      </c>
      <c r="H483" s="95">
        <v>680.24818029925166</v>
      </c>
      <c r="I483" s="95">
        <v>2393.9224595520291</v>
      </c>
      <c r="J483" s="95"/>
      <c r="K483" s="95"/>
      <c r="L483" s="95">
        <v>95.87572770446144</v>
      </c>
      <c r="M483" s="95">
        <v>422.29547772172504</v>
      </c>
      <c r="N483" s="95">
        <v>166.20991050501186</v>
      </c>
      <c r="O483" s="95">
        <v>4607.2192083750151</v>
      </c>
      <c r="P483" s="95">
        <v>1017.1214976197401</v>
      </c>
      <c r="Q483" s="95">
        <v>10000.000000000004</v>
      </c>
      <c r="S483" s="98">
        <v>4607.2192083750151</v>
      </c>
      <c r="T483" s="95">
        <v>3978.2734040986784</v>
      </c>
      <c r="U483" s="99">
        <v>2600.01817554832</v>
      </c>
      <c r="W483" s="121">
        <v>2821.8391121765558</v>
      </c>
      <c r="X483" s="59">
        <v>44018.63629105618</v>
      </c>
      <c r="Y483" s="59">
        <v>68723.943935441508</v>
      </c>
      <c r="Z483" s="59">
        <v>262308.57239146507</v>
      </c>
      <c r="AA483" s="59">
        <v>1075007.6734114073</v>
      </c>
      <c r="AB483" s="59">
        <v>2586683.229610512</v>
      </c>
      <c r="AC483" s="59">
        <v>1525947.9875253157</v>
      </c>
      <c r="AD483" s="59">
        <v>5565511.8822773742</v>
      </c>
      <c r="AE483" s="59">
        <v>2882773166.0310388</v>
      </c>
      <c r="AF483" s="68">
        <v>5565511.8822773742</v>
      </c>
    </row>
    <row r="484" spans="1:32" x14ac:dyDescent="0.2">
      <c r="A484" s="95">
        <v>447</v>
      </c>
      <c r="B484" s="95">
        <v>37</v>
      </c>
      <c r="C484" s="95">
        <v>3</v>
      </c>
      <c r="D484" s="95"/>
      <c r="E484" s="95">
        <v>14.908873197143047</v>
      </c>
      <c r="F484" s="95">
        <v>233.27509881868471</v>
      </c>
      <c r="G484" s="95">
        <v>364.5339406706434</v>
      </c>
      <c r="H484" s="95">
        <v>676.54849175438142</v>
      </c>
      <c r="I484" s="95">
        <v>2387.1321248957565</v>
      </c>
      <c r="J484" s="95"/>
      <c r="K484" s="95"/>
      <c r="L484" s="95">
        <v>95.625261970995439</v>
      </c>
      <c r="M484" s="95">
        <v>421.38981521606911</v>
      </c>
      <c r="N484" s="95">
        <v>165.83090932751176</v>
      </c>
      <c r="O484" s="95">
        <v>4618.529050686072</v>
      </c>
      <c r="P484" s="95">
        <v>1022.2264334627463</v>
      </c>
      <c r="Q484" s="95">
        <v>10000.000000000004</v>
      </c>
      <c r="S484" s="98">
        <v>4618.529050686072</v>
      </c>
      <c r="T484" s="95">
        <v>3986.0536520922224</v>
      </c>
      <c r="U484" s="99">
        <v>2605.747388581879</v>
      </c>
      <c r="W484" s="121">
        <v>2788.9176558678296</v>
      </c>
      <c r="X484" s="59">
        <v>43649.981495780397</v>
      </c>
      <c r="Y484" s="59">
        <v>68216.782277272476</v>
      </c>
      <c r="Z484" s="59">
        <v>260685.06948934658</v>
      </c>
      <c r="AA484" s="59">
        <v>1071151.5120076456</v>
      </c>
      <c r="AB484" s="59">
        <v>2578964.0260857274</v>
      </c>
      <c r="AC484" s="59">
        <v>1521321.6640507355</v>
      </c>
      <c r="AD484" s="59">
        <v>5546777.953062376</v>
      </c>
      <c r="AE484" s="59">
        <v>2888319943.9841013</v>
      </c>
      <c r="AF484" s="68">
        <v>5546777.953062376</v>
      </c>
    </row>
    <row r="485" spans="1:32" x14ac:dyDescent="0.2">
      <c r="A485" s="95">
        <v>448</v>
      </c>
      <c r="B485" s="95">
        <v>37</v>
      </c>
      <c r="C485" s="95">
        <v>4</v>
      </c>
      <c r="D485" s="95"/>
      <c r="E485" s="95">
        <v>14.746117998074235</v>
      </c>
      <c r="F485" s="95">
        <v>231.4959407671027</v>
      </c>
      <c r="G485" s="95">
        <v>362.11567694978692</v>
      </c>
      <c r="H485" s="95">
        <v>672.86455583374868</v>
      </c>
      <c r="I485" s="95">
        <v>2380.3439392853811</v>
      </c>
      <c r="J485" s="95"/>
      <c r="K485" s="95"/>
      <c r="L485" s="95">
        <v>95.374514984379573</v>
      </c>
      <c r="M485" s="95">
        <v>420.48251716590784</v>
      </c>
      <c r="N485" s="95">
        <v>165.45136299283078</v>
      </c>
      <c r="O485" s="95">
        <v>4629.8131552915529</v>
      </c>
      <c r="P485" s="95">
        <v>1027.3122187312392</v>
      </c>
      <c r="Q485" s="95">
        <v>10000.000000000004</v>
      </c>
      <c r="S485" s="98">
        <v>4629.8131552915529</v>
      </c>
      <c r="T485" s="95">
        <v>3993.8118314981334</v>
      </c>
      <c r="U485" s="99">
        <v>2611.4621281649843</v>
      </c>
      <c r="W485" s="121">
        <v>2756.3802832160382</v>
      </c>
      <c r="X485" s="59">
        <v>43284.323609463077</v>
      </c>
      <c r="Y485" s="59">
        <v>67713.052990730081</v>
      </c>
      <c r="Z485" s="59">
        <v>259069.9305989604</v>
      </c>
      <c r="AA485" s="59">
        <v>1067301.500820826</v>
      </c>
      <c r="AB485" s="59">
        <v>2571245.2216266096</v>
      </c>
      <c r="AC485" s="59">
        <v>1516696.4083357034</v>
      </c>
      <c r="AD485" s="59">
        <v>5528066.8182655089</v>
      </c>
      <c r="AE485" s="59">
        <v>2893848010.8023667</v>
      </c>
      <c r="AF485" s="68">
        <v>5528066.8182655089</v>
      </c>
    </row>
    <row r="486" spans="1:32" x14ac:dyDescent="0.2">
      <c r="A486" s="95">
        <v>449</v>
      </c>
      <c r="B486" s="95">
        <v>37</v>
      </c>
      <c r="C486" s="95">
        <v>5</v>
      </c>
      <c r="D486" s="95"/>
      <c r="E486" s="95">
        <v>14.585139543261924</v>
      </c>
      <c r="F486" s="95">
        <v>229.72987390625534</v>
      </c>
      <c r="G486" s="95">
        <v>359.71181480428129</v>
      </c>
      <c r="H486" s="95">
        <v>669.19634658171424</v>
      </c>
      <c r="I486" s="95">
        <v>2373.5580429974307</v>
      </c>
      <c r="J486" s="95"/>
      <c r="K486" s="95"/>
      <c r="L486" s="95">
        <v>95.123498997011737</v>
      </c>
      <c r="M486" s="95">
        <v>419.5736109321146</v>
      </c>
      <c r="N486" s="95">
        <v>165.07128318086217</v>
      </c>
      <c r="O486" s="95">
        <v>4641.0714832621925</v>
      </c>
      <c r="P486" s="95">
        <v>1032.3789057948793</v>
      </c>
      <c r="Q486" s="95">
        <v>10000.000000000004</v>
      </c>
      <c r="S486" s="98">
        <v>4641.0714832621925</v>
      </c>
      <c r="T486" s="95">
        <v>4001.5479493008111</v>
      </c>
      <c r="U486" s="99">
        <v>2617.1623859430024</v>
      </c>
      <c r="W486" s="121">
        <v>2724.222513245184</v>
      </c>
      <c r="X486" s="59">
        <v>42921.639404739268</v>
      </c>
      <c r="Y486" s="59">
        <v>67212.736401490925</v>
      </c>
      <c r="Z486" s="59">
        <v>257463.12950364532</v>
      </c>
      <c r="AA486" s="59">
        <v>1063457.6950345354</v>
      </c>
      <c r="AB486" s="59">
        <v>2563527.0346226916</v>
      </c>
      <c r="AC486" s="59">
        <v>1512072.3312014784</v>
      </c>
      <c r="AD486" s="59">
        <v>5509378.7886818256</v>
      </c>
      <c r="AE486" s="59">
        <v>2899357389.5910487</v>
      </c>
      <c r="AF486" s="68">
        <v>5509378.7886818256</v>
      </c>
    </row>
    <row r="487" spans="1:32" x14ac:dyDescent="0.2">
      <c r="A487" s="95">
        <v>450</v>
      </c>
      <c r="B487" s="95">
        <v>37</v>
      </c>
      <c r="C487" s="95">
        <v>6</v>
      </c>
      <c r="D487" s="95"/>
      <c r="E487" s="95">
        <v>14.425918436581314</v>
      </c>
      <c r="F487" s="95">
        <v>227.97680755707555</v>
      </c>
      <c r="G487" s="95">
        <v>357.32228614580276</v>
      </c>
      <c r="H487" s="95">
        <v>665.54383764178851</v>
      </c>
      <c r="I487" s="95">
        <v>2366.7745752743181</v>
      </c>
      <c r="J487" s="95"/>
      <c r="K487" s="95"/>
      <c r="L487" s="95">
        <v>94.872226082095665</v>
      </c>
      <c r="M487" s="95">
        <v>418.66312379876888</v>
      </c>
      <c r="N487" s="95">
        <v>164.69068153039422</v>
      </c>
      <c r="O487" s="95">
        <v>4652.303996525533</v>
      </c>
      <c r="P487" s="95">
        <v>1037.4265470076461</v>
      </c>
      <c r="Q487" s="95">
        <v>10000.000000000004</v>
      </c>
      <c r="S487" s="98">
        <v>4652.303996525533</v>
      </c>
      <c r="T487" s="95">
        <v>4009.2620129405527</v>
      </c>
      <c r="U487" s="99">
        <v>2622.848153949431</v>
      </c>
      <c r="W487" s="121">
        <v>2692.4399172573239</v>
      </c>
      <c r="X487" s="59">
        <v>42561.905819600754</v>
      </c>
      <c r="Y487" s="59">
        <v>66715.812905156723</v>
      </c>
      <c r="Z487" s="59">
        <v>255864.63988535682</v>
      </c>
      <c r="AA487" s="59">
        <v>1059620.1491878016</v>
      </c>
      <c r="AB487" s="59">
        <v>2555809.6812339472</v>
      </c>
      <c r="AC487" s="59">
        <v>1507449.5429055307</v>
      </c>
      <c r="AD487" s="59">
        <v>5490714.1718546515</v>
      </c>
      <c r="AE487" s="59">
        <v>2904848103.7629032</v>
      </c>
      <c r="AF487" s="68">
        <v>5490714.1718546515</v>
      </c>
    </row>
    <row r="488" spans="1:32" x14ac:dyDescent="0.2">
      <c r="A488" s="95">
        <v>451</v>
      </c>
      <c r="B488" s="95">
        <v>37</v>
      </c>
      <c r="C488" s="95">
        <v>7</v>
      </c>
      <c r="D488" s="95"/>
      <c r="E488" s="95">
        <v>14.268435493648635</v>
      </c>
      <c r="F488" s="95">
        <v>226.23665159948635</v>
      </c>
      <c r="G488" s="95">
        <v>354.94702300403725</v>
      </c>
      <c r="H488" s="95">
        <v>661.90700226212721</v>
      </c>
      <c r="I488" s="95">
        <v>2359.9936743262406</v>
      </c>
      <c r="J488" s="95"/>
      <c r="K488" s="95"/>
      <c r="L488" s="95">
        <v>94.620708136741968</v>
      </c>
      <c r="M488" s="95">
        <v>417.75108297187791</v>
      </c>
      <c r="N488" s="95">
        <v>164.30956963796382</v>
      </c>
      <c r="O488" s="95">
        <v>4663.510657861023</v>
      </c>
      <c r="P488" s="95">
        <v>1042.4551947068576</v>
      </c>
      <c r="Q488" s="95">
        <v>10000.000000000004</v>
      </c>
      <c r="S488" s="98">
        <v>4663.510657861023</v>
      </c>
      <c r="T488" s="95">
        <v>4016.9540303101944</v>
      </c>
      <c r="U488" s="99">
        <v>2628.5194246032424</v>
      </c>
      <c r="W488" s="121">
        <v>2661.0281182226549</v>
      </c>
      <c r="X488" s="59">
        <v>42205.099956417609</v>
      </c>
      <c r="Y488" s="59">
        <v>66222.262967592455</v>
      </c>
      <c r="Z488" s="59">
        <v>254274.43532728113</v>
      </c>
      <c r="AA488" s="59">
        <v>1055788.9171780362</v>
      </c>
      <c r="AB488" s="59">
        <v>2548093.3754152958</v>
      </c>
      <c r="AC488" s="59">
        <v>1502828.1531240775</v>
      </c>
      <c r="AD488" s="59">
        <v>5472073.272086923</v>
      </c>
      <c r="AE488" s="59">
        <v>2910320177.0349903</v>
      </c>
      <c r="AF488" s="68">
        <v>5472073.272086923</v>
      </c>
    </row>
    <row r="489" spans="1:32" x14ac:dyDescent="0.2">
      <c r="A489" s="95">
        <v>452</v>
      </c>
      <c r="B489" s="95">
        <v>37</v>
      </c>
      <c r="C489" s="95">
        <v>8</v>
      </c>
      <c r="D489" s="95"/>
      <c r="E489" s="95">
        <v>14.112671739509638</v>
      </c>
      <c r="F489" s="95">
        <v>224.50931646985367</v>
      </c>
      <c r="G489" s="95">
        <v>352.58595752932189</v>
      </c>
      <c r="H489" s="95">
        <v>658.2858133009945</v>
      </c>
      <c r="I489" s="95">
        <v>2353.2154773331195</v>
      </c>
      <c r="J489" s="95"/>
      <c r="K489" s="95"/>
      <c r="L489" s="95">
        <v>94.36895688500401</v>
      </c>
      <c r="M489" s="95">
        <v>416.83751557812246</v>
      </c>
      <c r="N489" s="95">
        <v>163.92795905676476</v>
      </c>
      <c r="O489" s="95">
        <v>4674.6914308951191</v>
      </c>
      <c r="P489" s="95">
        <v>1047.4649012121952</v>
      </c>
      <c r="Q489" s="95">
        <v>10000.000000000005</v>
      </c>
      <c r="S489" s="98">
        <v>4674.6914308951191</v>
      </c>
      <c r="T489" s="95">
        <v>4024.6240097517548</v>
      </c>
      <c r="U489" s="99">
        <v>2634.1761907062387</v>
      </c>
      <c r="W489" s="121">
        <v>2629.9827901767239</v>
      </c>
      <c r="X489" s="59">
        <v>41851.19908096252</v>
      </c>
      <c r="Y489" s="59">
        <v>65732.067125253263</v>
      </c>
      <c r="Z489" s="59">
        <v>252692.48931642587</v>
      </c>
      <c r="AA489" s="59">
        <v>1051964.0522639849</v>
      </c>
      <c r="AB489" s="59">
        <v>2540378.3289406095</v>
      </c>
      <c r="AC489" s="59">
        <v>1498208.2709355981</v>
      </c>
      <c r="AD489" s="59">
        <v>5453456.3904530108</v>
      </c>
      <c r="AE489" s="59">
        <v>2915773633.4254432</v>
      </c>
      <c r="AF489" s="68">
        <v>5453456.3904530108</v>
      </c>
    </row>
    <row r="490" spans="1:32" x14ac:dyDescent="0.2">
      <c r="A490" s="95">
        <v>453</v>
      </c>
      <c r="B490" s="95">
        <v>37</v>
      </c>
      <c r="C490" s="95">
        <v>9</v>
      </c>
      <c r="D490" s="95"/>
      <c r="E490" s="95">
        <v>13.958608406353324</v>
      </c>
      <c r="F490" s="95">
        <v>222.79471315843759</v>
      </c>
      <c r="G490" s="95">
        <v>350.23902199523928</v>
      </c>
      <c r="H490" s="95">
        <v>654.68024323219356</v>
      </c>
      <c r="I490" s="95">
        <v>2346.4401204465858</v>
      </c>
      <c r="J490" s="95"/>
      <c r="K490" s="95"/>
      <c r="L490" s="95">
        <v>94.116983880849887</v>
      </c>
      <c r="M490" s="95">
        <v>415.92244866362614</v>
      </c>
      <c r="N490" s="95">
        <v>163.54586129560835</v>
      </c>
      <c r="O490" s="95">
        <v>4685.8462800963744</v>
      </c>
      <c r="P490" s="95">
        <v>1052.4557188247368</v>
      </c>
      <c r="Q490" s="95">
        <v>10000.000000000005</v>
      </c>
      <c r="S490" s="98">
        <v>4685.8462800963744</v>
      </c>
      <c r="T490" s="95">
        <v>4032.2719600530872</v>
      </c>
      <c r="U490" s="99">
        <v>2639.8184454404186</v>
      </c>
      <c r="W490" s="121">
        <v>2599.2996576246624</v>
      </c>
      <c r="X490" s="59">
        <v>41500.180621438085</v>
      </c>
      <c r="Y490" s="59">
        <v>65245.205985500812</v>
      </c>
      <c r="Z490" s="59">
        <v>251118.7752461874</v>
      </c>
      <c r="AA490" s="59">
        <v>1048145.6070686911</v>
      </c>
      <c r="AB490" s="59">
        <v>2532664.7514262218</v>
      </c>
      <c r="AC490" s="59">
        <v>1493590.0048052859</v>
      </c>
      <c r="AD490" s="59">
        <v>5434863.8248109501</v>
      </c>
      <c r="AE490" s="59">
        <v>2921208497.2502542</v>
      </c>
      <c r="AF490" s="68">
        <v>5434863.8248109501</v>
      </c>
    </row>
    <row r="491" spans="1:32" x14ac:dyDescent="0.2">
      <c r="A491" s="95">
        <v>454</v>
      </c>
      <c r="B491" s="95">
        <v>37</v>
      </c>
      <c r="C491" s="95">
        <v>10</v>
      </c>
      <c r="D491" s="95"/>
      <c r="E491" s="95">
        <v>13.806226931250634</v>
      </c>
      <c r="F491" s="95">
        <v>221.09275320684242</v>
      </c>
      <c r="G491" s="95">
        <v>347.9061488011647</v>
      </c>
      <c r="H491" s="95">
        <v>651.0902641504639</v>
      </c>
      <c r="I491" s="95">
        <v>2339.6677387920035</v>
      </c>
      <c r="J491" s="95"/>
      <c r="K491" s="95"/>
      <c r="L491" s="95">
        <v>93.864800511072019</v>
      </c>
      <c r="M491" s="95">
        <v>415.00590919274811</v>
      </c>
      <c r="N491" s="95">
        <v>163.16328781793445</v>
      </c>
      <c r="O491" s="95">
        <v>4696.97517077053</v>
      </c>
      <c r="P491" s="95">
        <v>1057.4276998259957</v>
      </c>
      <c r="Q491" s="95">
        <v>10000.000000000005</v>
      </c>
      <c r="S491" s="98">
        <v>4696.97517077053</v>
      </c>
      <c r="T491" s="95">
        <v>4039.8978904445385</v>
      </c>
      <c r="U491" s="99">
        <v>2645.4461823653583</v>
      </c>
      <c r="W491" s="121">
        <v>2568.9744949523747</v>
      </c>
      <c r="X491" s="59">
        <v>41152.022167506984</v>
      </c>
      <c r="Y491" s="59">
        <v>64761.660226908782</v>
      </c>
      <c r="Z491" s="59">
        <v>249553.26641889504</v>
      </c>
      <c r="AA491" s="59">
        <v>1044333.6335824674</v>
      </c>
      <c r="AB491" s="59">
        <v>2524952.8503539581</v>
      </c>
      <c r="AC491" s="59">
        <v>1488973.4625704023</v>
      </c>
      <c r="AD491" s="59">
        <v>5416295.8698150907</v>
      </c>
      <c r="AE491" s="59">
        <v>2926624793.120069</v>
      </c>
      <c r="AF491" s="68">
        <v>5416295.8698150907</v>
      </c>
    </row>
    <row r="492" spans="1:32" x14ac:dyDescent="0.2">
      <c r="A492" s="95">
        <v>455</v>
      </c>
      <c r="B492" s="95">
        <v>37</v>
      </c>
      <c r="C492" s="95">
        <v>11</v>
      </c>
      <c r="D492" s="95"/>
      <c r="E492" s="95">
        <v>13.655508953917815</v>
      </c>
      <c r="F492" s="95">
        <v>219.40334870546567</v>
      </c>
      <c r="G492" s="95">
        <v>345.58727047476685</v>
      </c>
      <c r="H492" s="95">
        <v>647.51584777684548</v>
      </c>
      <c r="I492" s="95">
        <v>2332.8984664705358</v>
      </c>
      <c r="J492" s="95"/>
      <c r="K492" s="95"/>
      <c r="L492" s="95">
        <v>93.612417998135797</v>
      </c>
      <c r="M492" s="95">
        <v>414.08792404689865</v>
      </c>
      <c r="N492" s="95">
        <v>162.78025004087101</v>
      </c>
      <c r="O492" s="95">
        <v>4708.0780690556021</v>
      </c>
      <c r="P492" s="95">
        <v>1062.3808964769662</v>
      </c>
      <c r="Q492" s="95">
        <v>10000.000000000005</v>
      </c>
      <c r="S492" s="98">
        <v>4708.0780690556021</v>
      </c>
      <c r="T492" s="95">
        <v>4047.5018105956124</v>
      </c>
      <c r="U492" s="99">
        <v>2651.0593954156038</v>
      </c>
      <c r="W492" s="121">
        <v>2539.003125844597</v>
      </c>
      <c r="X492" s="59">
        <v>40806.701469325206</v>
      </c>
      <c r="Y492" s="59">
        <v>64281.410599557967</v>
      </c>
      <c r="Z492" s="59">
        <v>247995.93604833211</v>
      </c>
      <c r="AA492" s="59">
        <v>1040528.1831658788</v>
      </c>
      <c r="AB492" s="59">
        <v>2517242.8310937034</v>
      </c>
      <c r="AC492" s="59">
        <v>1484358.7514264879</v>
      </c>
      <c r="AD492" s="59">
        <v>5397752.8169291299</v>
      </c>
      <c r="AE492" s="59">
        <v>2932022545.9369984</v>
      </c>
      <c r="AF492" s="68">
        <v>5397752.8169291299</v>
      </c>
    </row>
    <row r="493" spans="1:32" x14ac:dyDescent="0.2">
      <c r="A493" s="95">
        <v>456</v>
      </c>
      <c r="B493" s="95">
        <v>38</v>
      </c>
      <c r="C493" s="95">
        <v>0</v>
      </c>
      <c r="D493" s="95"/>
      <c r="E493" s="95">
        <v>13.506436314504212</v>
      </c>
      <c r="F493" s="95">
        <v>217.72641229094629</v>
      </c>
      <c r="G493" s="95">
        <v>343.28231967446231</v>
      </c>
      <c r="H493" s="95">
        <v>643.95696546401064</v>
      </c>
      <c r="I493" s="95">
        <v>2326.1324365612513</v>
      </c>
      <c r="J493" s="95"/>
      <c r="K493" s="95"/>
      <c r="L493" s="95">
        <v>93.359847402968569</v>
      </c>
      <c r="M493" s="95">
        <v>413.16852002337794</v>
      </c>
      <c r="N493" s="95">
        <v>162.39675933433983</v>
      </c>
      <c r="O493" s="95">
        <v>4719.154941916966</v>
      </c>
      <c r="P493" s="95">
        <v>1067.3153610171782</v>
      </c>
      <c r="Q493" s="95">
        <v>10000.000000000005</v>
      </c>
      <c r="S493" s="98">
        <v>4719.154941916966</v>
      </c>
      <c r="T493" s="95">
        <v>4055.0837306116414</v>
      </c>
      <c r="U493" s="99">
        <v>2656.6580788980746</v>
      </c>
      <c r="W493" s="121">
        <v>2509.3814227097432</v>
      </c>
      <c r="X493" s="59">
        <v>40464.196436578262</v>
      </c>
      <c r="Y493" s="59">
        <v>63804.437925320948</v>
      </c>
      <c r="Z493" s="59">
        <v>246446.75726223376</v>
      </c>
      <c r="AA493" s="59">
        <v>1036729.3065527341</v>
      </c>
      <c r="AB493" s="59">
        <v>2509534.8969255057</v>
      </c>
      <c r="AC493" s="59">
        <v>1479745.9779143992</v>
      </c>
      <c r="AD493" s="59">
        <v>5379234.9544394817</v>
      </c>
      <c r="AE493" s="59">
        <v>2937401780.891438</v>
      </c>
      <c r="AF493" s="68">
        <v>5379234.9544394817</v>
      </c>
    </row>
    <row r="494" spans="1:32" x14ac:dyDescent="0.2">
      <c r="A494" s="95">
        <v>457</v>
      </c>
      <c r="B494" s="95">
        <v>38</v>
      </c>
      <c r="C494" s="95">
        <v>1</v>
      </c>
      <c r="D494" s="95"/>
      <c r="E494" s="95">
        <v>13.358991051404207</v>
      </c>
      <c r="F494" s="95">
        <v>216.0618571436124</v>
      </c>
      <c r="G494" s="95">
        <v>340.99122919182503</v>
      </c>
      <c r="H494" s="95">
        <v>640.41358820156177</v>
      </c>
      <c r="I494" s="95">
        <v>2319.3697811232696</v>
      </c>
      <c r="J494" s="95"/>
      <c r="K494" s="95"/>
      <c r="L494" s="95">
        <v>93.107099627690275</v>
      </c>
      <c r="M494" s="95">
        <v>412.24772383423704</v>
      </c>
      <c r="N494" s="95">
        <v>162.01282702020694</v>
      </c>
      <c r="O494" s="95">
        <v>4730.205757142443</v>
      </c>
      <c r="P494" s="95">
        <v>1072.2311456637551</v>
      </c>
      <c r="Q494" s="95">
        <v>10000.000000000005</v>
      </c>
      <c r="S494" s="98">
        <v>4730.205757142443</v>
      </c>
      <c r="T494" s="95">
        <v>4062.6436610304654</v>
      </c>
      <c r="U494" s="99">
        <v>2662.2422274894789</v>
      </c>
      <c r="W494" s="121">
        <v>2480.1053061114631</v>
      </c>
      <c r="X494" s="59">
        <v>40124.485137520482</v>
      </c>
      <c r="Y494" s="59">
        <v>63330.723098136637</v>
      </c>
      <c r="Z494" s="59">
        <v>244905.70310476163</v>
      </c>
      <c r="AA494" s="59">
        <v>1032937.0538530872</v>
      </c>
      <c r="AB494" s="59">
        <v>2501829.2490612464</v>
      </c>
      <c r="AC494" s="59">
        <v>1475135.2479081317</v>
      </c>
      <c r="AD494" s="59">
        <v>5360742.5674689952</v>
      </c>
      <c r="AE494" s="59">
        <v>2942762523.4589071</v>
      </c>
      <c r="AF494" s="68">
        <v>5360742.5674689952</v>
      </c>
    </row>
    <row r="495" spans="1:32" x14ac:dyDescent="0.2">
      <c r="A495" s="95">
        <v>458</v>
      </c>
      <c r="B495" s="95">
        <v>38</v>
      </c>
      <c r="C495" s="95">
        <v>2</v>
      </c>
      <c r="D495" s="95"/>
      <c r="E495" s="95">
        <v>13.213155399093043</v>
      </c>
      <c r="F495" s="95">
        <v>214.40959698492878</v>
      </c>
      <c r="G495" s="95">
        <v>338.71393195395024</v>
      </c>
      <c r="H495" s="95">
        <v>636.88568662129649</v>
      </c>
      <c r="I495" s="95">
        <v>2312.6106311979465</v>
      </c>
      <c r="J495" s="95"/>
      <c r="K495" s="95"/>
      <c r="L495" s="95">
        <v>92.854185418287173</v>
      </c>
      <c r="M495" s="95">
        <v>411.3255621051614</v>
      </c>
      <c r="N495" s="95">
        <v>161.62846437147573</v>
      </c>
      <c r="O495" s="95">
        <v>4741.2304833373846</v>
      </c>
      <c r="P495" s="95">
        <v>1077.1283026104811</v>
      </c>
      <c r="Q495" s="95">
        <v>10000.000000000005</v>
      </c>
      <c r="S495" s="98">
        <v>4741.2304833373846</v>
      </c>
      <c r="T495" s="95">
        <v>4070.1816128191163</v>
      </c>
      <c r="U495" s="99">
        <v>2667.8118362337405</v>
      </c>
      <c r="W495" s="121">
        <v>2451.1707442068296</v>
      </c>
      <c r="X495" s="59">
        <v>39787.545798017381</v>
      </c>
      <c r="Y495" s="59">
        <v>62860.247084274612</v>
      </c>
      <c r="Z495" s="59">
        <v>243372.74653895586</v>
      </c>
      <c r="AA495" s="59">
        <v>1029151.4745562469</v>
      </c>
      <c r="AB495" s="59">
        <v>2494126.0866658743</v>
      </c>
      <c r="AC495" s="59">
        <v>1470526.6666033973</v>
      </c>
      <c r="AD495" s="59">
        <v>5342275.9379909737</v>
      </c>
      <c r="AE495" s="59">
        <v>2948104799.3968983</v>
      </c>
      <c r="AF495" s="68">
        <v>5342275.9379909737</v>
      </c>
    </row>
    <row r="496" spans="1:32" x14ac:dyDescent="0.2">
      <c r="A496" s="95">
        <v>459</v>
      </c>
      <c r="B496" s="95">
        <v>38</v>
      </c>
      <c r="C496" s="95">
        <v>3</v>
      </c>
      <c r="D496" s="95"/>
      <c r="E496" s="95">
        <v>13.068911785986277</v>
      </c>
      <c r="F496" s="95">
        <v>212.76954607494429</v>
      </c>
      <c r="G496" s="95">
        <v>336.45036102577438</v>
      </c>
      <c r="H496" s="95">
        <v>633.37323100243862</v>
      </c>
      <c r="I496" s="95">
        <v>2305.8551168110971</v>
      </c>
      <c r="J496" s="95"/>
      <c r="K496" s="95"/>
      <c r="L496" s="95">
        <v>92.601115367229724</v>
      </c>
      <c r="M496" s="95">
        <v>410.40206137437639</v>
      </c>
      <c r="N496" s="95">
        <v>161.24368261152114</v>
      </c>
      <c r="O496" s="95">
        <v>4752.2290899197615</v>
      </c>
      <c r="P496" s="95">
        <v>1082.0068840268752</v>
      </c>
      <c r="Q496" s="95">
        <v>10000.000000000005</v>
      </c>
      <c r="S496" s="98">
        <v>4752.2290899197615</v>
      </c>
      <c r="T496" s="95">
        <v>4077.6975973705094</v>
      </c>
      <c r="U496" s="99">
        <v>2673.3669005394377</v>
      </c>
      <c r="W496" s="121">
        <v>2422.5737521910833</v>
      </c>
      <c r="X496" s="59">
        <v>39453.356800591246</v>
      </c>
      <c r="Y496" s="59">
        <v>62392.990922589626</v>
      </c>
      <c r="Z496" s="59">
        <v>241847.86044916368</v>
      </c>
      <c r="AA496" s="59">
        <v>1025372.6175337945</v>
      </c>
      <c r="AB496" s="59">
        <v>2486425.6068782182</v>
      </c>
      <c r="AC496" s="59">
        <v>1465920.3385069231</v>
      </c>
      <c r="AD496" s="59">
        <v>5323835.3448434714</v>
      </c>
      <c r="AE496" s="59">
        <v>2953428634.7417417</v>
      </c>
      <c r="AF496" s="68">
        <v>5323835.3448434714</v>
      </c>
    </row>
    <row r="497" spans="1:32" x14ac:dyDescent="0.2">
      <c r="A497" s="95">
        <v>460</v>
      </c>
      <c r="B497" s="95">
        <v>38</v>
      </c>
      <c r="C497" s="95">
        <v>4</v>
      </c>
      <c r="D497" s="95"/>
      <c r="E497" s="95">
        <v>12.926242832322593</v>
      </c>
      <c r="F497" s="95">
        <v>211.14161920973936</v>
      </c>
      <c r="G497" s="95">
        <v>334.20044961235078</v>
      </c>
      <c r="H497" s="95">
        <v>629.87619127683661</v>
      </c>
      <c r="I497" s="95">
        <v>2299.1033669752587</v>
      </c>
      <c r="J497" s="95"/>
      <c r="K497" s="95"/>
      <c r="L497" s="95">
        <v>92.347899916036084</v>
      </c>
      <c r="M497" s="95">
        <v>409.47724809157461</v>
      </c>
      <c r="N497" s="95">
        <v>160.85849291336311</v>
      </c>
      <c r="O497" s="95">
        <v>4763.2015471152517</v>
      </c>
      <c r="P497" s="95">
        <v>1086.8669420572708</v>
      </c>
      <c r="Q497" s="95">
        <v>10000.000000000004</v>
      </c>
      <c r="S497" s="98">
        <v>4763.2015471152517</v>
      </c>
      <c r="T497" s="95">
        <v>4085.1916265001455</v>
      </c>
      <c r="U497" s="99">
        <v>2678.9074161772533</v>
      </c>
      <c r="W497" s="121">
        <v>2394.3103917488543</v>
      </c>
      <c r="X497" s="59">
        <v>39121.896683469786</v>
      </c>
      <c r="Y497" s="59">
        <v>61928.935724766292</v>
      </c>
      <c r="Z497" s="59">
        <v>240331.01764344555</v>
      </c>
      <c r="AA497" s="59">
        <v>1021600.5310426119</v>
      </c>
      <c r="AB497" s="59">
        <v>2478728.0048313956</v>
      </c>
      <c r="AC497" s="59">
        <v>1461316.3674264417</v>
      </c>
      <c r="AD497" s="59">
        <v>5305421.06374388</v>
      </c>
      <c r="AE497" s="59">
        <v>2958734055.8054857</v>
      </c>
      <c r="AF497" s="68">
        <v>5305421.06374388</v>
      </c>
    </row>
    <row r="498" spans="1:32" x14ac:dyDescent="0.2">
      <c r="A498" s="95">
        <v>461</v>
      </c>
      <c r="B498" s="95">
        <v>38</v>
      </c>
      <c r="C498" s="95">
        <v>5</v>
      </c>
      <c r="D498" s="95"/>
      <c r="E498" s="95">
        <v>12.785131348069738</v>
      </c>
      <c r="F498" s="95">
        <v>209.52573171887417</v>
      </c>
      <c r="G498" s="95">
        <v>331.96413106108184</v>
      </c>
      <c r="H498" s="95">
        <v>626.39453703412767</v>
      </c>
      <c r="I498" s="95">
        <v>2292.3555096919895</v>
      </c>
      <c r="J498" s="95"/>
      <c r="K498" s="95"/>
      <c r="L498" s="95">
        <v>92.094549357782242</v>
      </c>
      <c r="M498" s="95">
        <v>408.55114861686479</v>
      </c>
      <c r="N498" s="95">
        <v>160.47290639897795</v>
      </c>
      <c r="O498" s="95">
        <v>4774.1478259523337</v>
      </c>
      <c r="P498" s="95">
        <v>1091.7085288199028</v>
      </c>
      <c r="Q498" s="95">
        <v>10000.000000000004</v>
      </c>
      <c r="S498" s="98">
        <v>4774.1478259523337</v>
      </c>
      <c r="T498" s="95">
        <v>4092.6637124428153</v>
      </c>
      <c r="U498" s="99">
        <v>2684.4333792774341</v>
      </c>
      <c r="W498" s="121">
        <v>2366.3767705117843</v>
      </c>
      <c r="X498" s="59">
        <v>38793.144139638112</v>
      </c>
      <c r="Y498" s="59">
        <v>61468.062675554065</v>
      </c>
      <c r="Z498" s="59">
        <v>238822.19085595809</v>
      </c>
      <c r="AA498" s="59">
        <v>1017835.2627279147</v>
      </c>
      <c r="AB498" s="59">
        <v>2471033.4736728193</v>
      </c>
      <c r="AC498" s="59">
        <v>1456714.8564613401</v>
      </c>
      <c r="AD498" s="59">
        <v>5287033.3673037365</v>
      </c>
      <c r="AE498" s="59">
        <v>2964021089.1727896</v>
      </c>
      <c r="AF498" s="68">
        <v>5287033.3673037365</v>
      </c>
    </row>
    <row r="499" spans="1:32" x14ac:dyDescent="0.2">
      <c r="A499" s="95">
        <v>462</v>
      </c>
      <c r="B499" s="95">
        <v>38</v>
      </c>
      <c r="C499" s="95">
        <v>6</v>
      </c>
      <c r="D499" s="95"/>
      <c r="E499" s="95">
        <v>12.645560330853311</v>
      </c>
      <c r="F499" s="95">
        <v>207.92179946283713</v>
      </c>
      <c r="G499" s="95">
        <v>329.74133886390848</v>
      </c>
      <c r="H499" s="95">
        <v>622.92823752686877</v>
      </c>
      <c r="I499" s="95">
        <v>2285.6116719542056</v>
      </c>
      <c r="J499" s="95"/>
      <c r="K499" s="95"/>
      <c r="L499" s="95">
        <v>91.841073839560138</v>
      </c>
      <c r="M499" s="95">
        <v>407.62378921974198</v>
      </c>
      <c r="N499" s="95">
        <v>160.08693413864583</v>
      </c>
      <c r="O499" s="95">
        <v>4785.0678982573809</v>
      </c>
      <c r="P499" s="95">
        <v>1096.5316964060019</v>
      </c>
      <c r="Q499" s="95">
        <v>10000.000000000004</v>
      </c>
      <c r="S499" s="98">
        <v>4785.0678982573809</v>
      </c>
      <c r="T499" s="95">
        <v>4100.1138678493144</v>
      </c>
      <c r="U499" s="99">
        <v>2689.9447863272644</v>
      </c>
      <c r="W499" s="121">
        <v>2338.7690415224797</v>
      </c>
      <c r="X499" s="59">
        <v>38467.078015893858</v>
      </c>
      <c r="Y499" s="59">
        <v>61010.353032992818</v>
      </c>
      <c r="Z499" s="59">
        <v>237321.35274931448</v>
      </c>
      <c r="AA499" s="59">
        <v>1014076.8596262954</v>
      </c>
      <c r="AB499" s="59">
        <v>2463342.2045838186</v>
      </c>
      <c r="AC499" s="59">
        <v>1452115.9079939392</v>
      </c>
      <c r="AD499" s="59">
        <v>5268672.5250437772</v>
      </c>
      <c r="AE499" s="59">
        <v>2969289761.6978335</v>
      </c>
      <c r="AF499" s="68">
        <v>5268672.5250437772</v>
      </c>
    </row>
    <row r="500" spans="1:32" x14ac:dyDescent="0.2">
      <c r="A500" s="95">
        <v>463</v>
      </c>
      <c r="B500" s="95">
        <v>38</v>
      </c>
      <c r="C500" s="95">
        <v>7</v>
      </c>
      <c r="D500" s="95"/>
      <c r="E500" s="95">
        <v>12.507512963908162</v>
      </c>
      <c r="F500" s="95">
        <v>206.32973883049453</v>
      </c>
      <c r="G500" s="95">
        <v>327.53200665945661</v>
      </c>
      <c r="H500" s="95">
        <v>619.47726167563349</v>
      </c>
      <c r="I500" s="95">
        <v>2278.8719797485542</v>
      </c>
      <c r="J500" s="95"/>
      <c r="K500" s="95"/>
      <c r="L500" s="95">
        <v>91.587483364884818</v>
      </c>
      <c r="M500" s="95">
        <v>406.69519607807899</v>
      </c>
      <c r="N500" s="95">
        <v>159.70058715033321</v>
      </c>
      <c r="O500" s="95">
        <v>4795.961736649765</v>
      </c>
      <c r="P500" s="95">
        <v>1101.3364968788946</v>
      </c>
      <c r="Q500" s="95">
        <v>10000.000000000004</v>
      </c>
      <c r="S500" s="98">
        <v>4795.961736649765</v>
      </c>
      <c r="T500" s="95">
        <v>4107.5421057831654</v>
      </c>
      <c r="U500" s="99">
        <v>2695.4416341685469</v>
      </c>
      <c r="W500" s="121">
        <v>2311.4834027047177</v>
      </c>
      <c r="X500" s="59">
        <v>38143.67731190566</v>
      </c>
      <c r="Y500" s="59">
        <v>60555.788128628905</v>
      </c>
      <c r="Z500" s="59">
        <v>235828.47591692203</v>
      </c>
      <c r="AA500" s="59">
        <v>1010325.3681687717</v>
      </c>
      <c r="AB500" s="59">
        <v>2455654.3867988819</v>
      </c>
      <c r="AC500" s="59">
        <v>1447519.6236813818</v>
      </c>
      <c r="AD500" s="59">
        <v>5250338.8034091964</v>
      </c>
      <c r="AE500" s="59">
        <v>2974540100.5012426</v>
      </c>
      <c r="AF500" s="68">
        <v>5250338.8034091964</v>
      </c>
    </row>
    <row r="501" spans="1:32" x14ac:dyDescent="0.2">
      <c r="A501" s="95">
        <v>464</v>
      </c>
      <c r="B501" s="95">
        <v>38</v>
      </c>
      <c r="C501" s="95">
        <v>8</v>
      </c>
      <c r="D501" s="95"/>
      <c r="E501" s="95">
        <v>12.370972614052166</v>
      </c>
      <c r="F501" s="95">
        <v>204.74946673654105</v>
      </c>
      <c r="G501" s="95">
        <v>325.33606823514202</v>
      </c>
      <c r="H501" s="95">
        <v>616.04157807407535</v>
      </c>
      <c r="I501" s="95">
        <v>2272.1365580578226</v>
      </c>
      <c r="J501" s="95"/>
      <c r="K501" s="95"/>
      <c r="L501" s="95">
        <v>91.33378779605178</v>
      </c>
      <c r="M501" s="95">
        <v>405.7653952771384</v>
      </c>
      <c r="N501" s="95">
        <v>159.31387639910858</v>
      </c>
      <c r="O501" s="95">
        <v>4806.8293145369607</v>
      </c>
      <c r="P501" s="95">
        <v>1106.1229822731111</v>
      </c>
      <c r="Q501" s="95">
        <v>10000.000000000004</v>
      </c>
      <c r="S501" s="98">
        <v>4806.8293145369607</v>
      </c>
      <c r="T501" s="95">
        <v>4114.9484397173483</v>
      </c>
      <c r="U501" s="99">
        <v>2700.9239199950971</v>
      </c>
      <c r="W501" s="121">
        <v>2284.5160963398293</v>
      </c>
      <c r="X501" s="59">
        <v>37822.921179274876</v>
      </c>
      <c r="Y501" s="59">
        <v>60104.349367722083</v>
      </c>
      <c r="Z501" s="59">
        <v>234343.53288529732</v>
      </c>
      <c r="AA501" s="59">
        <v>1006580.834183844</v>
      </c>
      <c r="AB501" s="59">
        <v>2447970.2076245337</v>
      </c>
      <c r="AC501" s="59">
        <v>1442926.1044480917</v>
      </c>
      <c r="AD501" s="59">
        <v>5232032.4657851039</v>
      </c>
      <c r="AE501" s="59">
        <v>2979772132.9670277</v>
      </c>
      <c r="AF501" s="68">
        <v>5232032.4657851039</v>
      </c>
    </row>
    <row r="502" spans="1:32" x14ac:dyDescent="0.2">
      <c r="A502" s="95">
        <v>465</v>
      </c>
      <c r="B502" s="95">
        <v>38</v>
      </c>
      <c r="C502" s="95">
        <v>9</v>
      </c>
      <c r="D502" s="95"/>
      <c r="E502" s="95">
        <v>12.235922829682096</v>
      </c>
      <c r="F502" s="95">
        <v>203.1809006189516</v>
      </c>
      <c r="G502" s="95">
        <v>323.15345752923344</v>
      </c>
      <c r="H502" s="95">
        <v>612.62115499395759</v>
      </c>
      <c r="I502" s="95">
        <v>2265.4055308633824</v>
      </c>
      <c r="J502" s="95"/>
      <c r="K502" s="95"/>
      <c r="L502" s="95">
        <v>91.079996856445746</v>
      </c>
      <c r="M502" s="95">
        <v>404.83441280860546</v>
      </c>
      <c r="N502" s="95">
        <v>158.92681279659021</v>
      </c>
      <c r="O502" s="95">
        <v>4817.6706061096556</v>
      </c>
      <c r="P502" s="95">
        <v>1110.8912045934992</v>
      </c>
      <c r="Q502" s="95">
        <v>10000.000000000004</v>
      </c>
      <c r="S502" s="98">
        <v>4817.6706061096556</v>
      </c>
      <c r="T502" s="95">
        <v>4122.3328835310358</v>
      </c>
      <c r="U502" s="99">
        <v>2706.3916413502461</v>
      </c>
      <c r="W502" s="121">
        <v>2257.8634085491981</v>
      </c>
      <c r="X502" s="59">
        <v>37504.788920600717</v>
      </c>
      <c r="Y502" s="59">
        <v>59656.01822944326</v>
      </c>
      <c r="Z502" s="59">
        <v>232866.49611635847</v>
      </c>
      <c r="AA502" s="59">
        <v>1002843.3029005579</v>
      </c>
      <c r="AB502" s="59">
        <v>2440289.8524578507</v>
      </c>
      <c r="AC502" s="59">
        <v>1438335.450478791</v>
      </c>
      <c r="AD502" s="59">
        <v>5213753.7725121509</v>
      </c>
      <c r="AE502" s="59">
        <v>2984985886.7395396</v>
      </c>
      <c r="AF502" s="68">
        <v>5213753.7725121509</v>
      </c>
    </row>
    <row r="503" spans="1:32" x14ac:dyDescent="0.2">
      <c r="A503" s="95">
        <v>466</v>
      </c>
      <c r="B503" s="95">
        <v>38</v>
      </c>
      <c r="C503" s="95">
        <v>10</v>
      </c>
      <c r="D503" s="95"/>
      <c r="E503" s="95">
        <v>12.1023473387914</v>
      </c>
      <c r="F503" s="95">
        <v>201.62395843643463</v>
      </c>
      <c r="G503" s="95">
        <v>320.98410863287455</v>
      </c>
      <c r="H503" s="95">
        <v>609.21596039014867</v>
      </c>
      <c r="I503" s="95">
        <v>2258.67902114767</v>
      </c>
      <c r="J503" s="95"/>
      <c r="K503" s="95"/>
      <c r="L503" s="95">
        <v>90.826120132801691</v>
      </c>
      <c r="M503" s="95">
        <v>403.90227456964124</v>
      </c>
      <c r="N503" s="95">
        <v>158.53940720042476</v>
      </c>
      <c r="O503" s="95">
        <v>4828.4855863368712</v>
      </c>
      <c r="P503" s="95">
        <v>1115.6412158143455</v>
      </c>
      <c r="Q503" s="95">
        <v>10000.000000000004</v>
      </c>
      <c r="S503" s="98">
        <v>4828.4855863368712</v>
      </c>
      <c r="T503" s="95">
        <v>4129.6954515063417</v>
      </c>
      <c r="U503" s="99">
        <v>2711.8447961243555</v>
      </c>
      <c r="W503" s="121">
        <v>2231.5216687827906</v>
      </c>
      <c r="X503" s="59">
        <v>37189.259988548663</v>
      </c>
      <c r="Y503" s="59">
        <v>59210.776267063316</v>
      </c>
      <c r="Z503" s="59">
        <v>231397.33800969529</v>
      </c>
      <c r="AA503" s="59">
        <v>999112.81895157346</v>
      </c>
      <c r="AB503" s="59">
        <v>2432613.5048046354</v>
      </c>
      <c r="AC503" s="59">
        <v>1433747.7612120414</v>
      </c>
      <c r="AD503" s="59">
        <v>5195502.9809023403</v>
      </c>
      <c r="AE503" s="59">
        <v>2990181389.7204418</v>
      </c>
      <c r="AF503" s="68">
        <v>5195502.9809023403</v>
      </c>
    </row>
    <row r="504" spans="1:32" x14ac:dyDescent="0.2">
      <c r="A504" s="95">
        <v>467</v>
      </c>
      <c r="B504" s="95">
        <v>38</v>
      </c>
      <c r="C504" s="95">
        <v>11</v>
      </c>
      <c r="D504" s="95"/>
      <c r="E504" s="95">
        <v>11.970230047009593</v>
      </c>
      <c r="F504" s="95">
        <v>200.07855866588727</v>
      </c>
      <c r="G504" s="95">
        <v>318.82795579206555</v>
      </c>
      <c r="H504" s="95">
        <v>605.82596190558411</v>
      </c>
      <c r="I504" s="95">
        <v>2251.9571508967001</v>
      </c>
      <c r="J504" s="95"/>
      <c r="K504" s="95"/>
      <c r="L504" s="95">
        <v>90.572167077419508</v>
      </c>
      <c r="M504" s="95">
        <v>402.96900636195585</v>
      </c>
      <c r="N504" s="95">
        <v>158.15167041379527</v>
      </c>
      <c r="O504" s="95">
        <v>4839.274230961084</v>
      </c>
      <c r="P504" s="95">
        <v>1120.3730678785025</v>
      </c>
      <c r="Q504" s="95">
        <v>10000.000000000004</v>
      </c>
      <c r="S504" s="98">
        <v>4839.274230961084</v>
      </c>
      <c r="T504" s="95">
        <v>4137.0361583250715</v>
      </c>
      <c r="U504" s="99">
        <v>2717.2833825523417</v>
      </c>
      <c r="W504" s="121">
        <v>2205.4872493136581</v>
      </c>
      <c r="X504" s="59">
        <v>36876.313984922359</v>
      </c>
      <c r="Y504" s="59">
        <v>58768.60510813303</v>
      </c>
      <c r="Z504" s="59">
        <v>229936.03090481661</v>
      </c>
      <c r="AA504" s="59">
        <v>995389.42637624161</v>
      </c>
      <c r="AB504" s="59">
        <v>2424941.3462972441</v>
      </c>
      <c r="AC504" s="59">
        <v>1429163.135334292</v>
      </c>
      <c r="AD504" s="59">
        <v>5177280.3452549633</v>
      </c>
      <c r="AE504" s="59">
        <v>2995358670.0656967</v>
      </c>
      <c r="AF504" s="68">
        <v>5177280.3452549633</v>
      </c>
    </row>
    <row r="505" spans="1:32" x14ac:dyDescent="0.2">
      <c r="A505" s="95">
        <v>468</v>
      </c>
      <c r="B505" s="95">
        <v>39</v>
      </c>
      <c r="C505" s="95">
        <v>0</v>
      </c>
      <c r="D505" s="95"/>
      <c r="E505" s="95">
        <v>11.839555035663071</v>
      </c>
      <c r="F505" s="95">
        <v>198.54462029985206</v>
      </c>
      <c r="G505" s="95">
        <v>316.68493340960418</v>
      </c>
      <c r="H505" s="95">
        <v>602.45112687619428</v>
      </c>
      <c r="I505" s="95">
        <v>2245.2400411026142</v>
      </c>
      <c r="J505" s="95"/>
      <c r="K505" s="95"/>
      <c r="L505" s="95">
        <v>90.318147010333035</v>
      </c>
      <c r="M505" s="95">
        <v>402.03463389090177</v>
      </c>
      <c r="N505" s="95">
        <v>157.76361318495756</v>
      </c>
      <c r="O505" s="95">
        <v>4850.036516493361</v>
      </c>
      <c r="P505" s="95">
        <v>1125.0868126965231</v>
      </c>
      <c r="Q505" s="95">
        <v>10000.000000000004</v>
      </c>
      <c r="S505" s="98">
        <v>4850.036516493361</v>
      </c>
      <c r="T505" s="95">
        <v>4144.355019065486</v>
      </c>
      <c r="U505" s="99">
        <v>2722.7073992112109</v>
      </c>
      <c r="W505" s="121">
        <v>2179.7565647383321</v>
      </c>
      <c r="X505" s="59">
        <v>36565.930659738864</v>
      </c>
      <c r="Y505" s="59">
        <v>58329.48645465431</v>
      </c>
      <c r="Z505" s="59">
        <v>228482.5470833758</v>
      </c>
      <c r="AA505" s="59">
        <v>991673.16862368514</v>
      </c>
      <c r="AB505" s="59">
        <v>2417273.5567120914</v>
      </c>
      <c r="AC505" s="59">
        <v>1424581.6707744098</v>
      </c>
      <c r="AD505" s="59">
        <v>5159086.1168726934</v>
      </c>
      <c r="AE505" s="59">
        <v>3000517756.1825695</v>
      </c>
      <c r="AF505" s="68">
        <v>5159086.1168726934</v>
      </c>
    </row>
    <row r="506" spans="1:32" x14ac:dyDescent="0.2">
      <c r="A506" s="95">
        <v>469</v>
      </c>
      <c r="B506" s="95">
        <v>39</v>
      </c>
      <c r="C506" s="95">
        <v>1</v>
      </c>
      <c r="D506" s="95"/>
      <c r="E506" s="95">
        <v>11.710306559857083</v>
      </c>
      <c r="F506" s="95">
        <v>197.02206284397599</v>
      </c>
      <c r="G506" s="95">
        <v>314.55497604698758</v>
      </c>
      <c r="H506" s="95">
        <v>599.09142233579826</v>
      </c>
      <c r="I506" s="95">
        <v>2238.527811766261</v>
      </c>
      <c r="J506" s="95"/>
      <c r="K506" s="95"/>
      <c r="L506" s="95">
        <v>90.064069121434684</v>
      </c>
      <c r="M506" s="95">
        <v>401.09918276458671</v>
      </c>
      <c r="N506" s="95">
        <v>157.37524620680375</v>
      </c>
      <c r="O506" s="95">
        <v>4860.7724202084974</v>
      </c>
      <c r="P506" s="95">
        <v>1129.7825021458016</v>
      </c>
      <c r="Q506" s="95">
        <v>10000.000000000004</v>
      </c>
      <c r="S506" s="98">
        <v>4860.7724202084974</v>
      </c>
      <c r="T506" s="95">
        <v>4151.6520491990696</v>
      </c>
      <c r="U506" s="99">
        <v>2728.1168450176042</v>
      </c>
      <c r="W506" s="121">
        <v>2154.3260714830512</v>
      </c>
      <c r="X506" s="59">
        <v>36258.089910307412</v>
      </c>
      <c r="Y506" s="59">
        <v>57893.402083242821</v>
      </c>
      <c r="Z506" s="59">
        <v>227036.85877137349</v>
      </c>
      <c r="AA506" s="59">
        <v>987964.08855588548</v>
      </c>
      <c r="AB506" s="59">
        <v>2409610.313986829</v>
      </c>
      <c r="AC506" s="59">
        <v>1420003.4646986695</v>
      </c>
      <c r="AD506" s="59">
        <v>5140920.5440777903</v>
      </c>
      <c r="AE506" s="59">
        <v>3005658676.7266474</v>
      </c>
      <c r="AF506" s="68">
        <v>5140920.5440777903</v>
      </c>
    </row>
    <row r="507" spans="1:32" x14ac:dyDescent="0.2">
      <c r="A507" s="95">
        <v>470</v>
      </c>
      <c r="B507" s="95">
        <v>39</v>
      </c>
      <c r="C507" s="95">
        <v>2</v>
      </c>
      <c r="D507" s="95"/>
      <c r="E507" s="95">
        <v>11.582469046578643</v>
      </c>
      <c r="F507" s="95">
        <v>195.51080631447178</v>
      </c>
      <c r="G507" s="95">
        <v>312.43801842627437</v>
      </c>
      <c r="H507" s="95">
        <v>595.7468150209636</v>
      </c>
      <c r="I507" s="95">
        <v>2231.8205818998122</v>
      </c>
      <c r="J507" s="95"/>
      <c r="K507" s="95"/>
      <c r="L507" s="95">
        <v>89.8099424725566</v>
      </c>
      <c r="M507" s="95">
        <v>400.16267849300607</v>
      </c>
      <c r="N507" s="95">
        <v>156.98658011645182</v>
      </c>
      <c r="O507" s="95">
        <v>4871.4819201401669</v>
      </c>
      <c r="P507" s="95">
        <v>1134.4601880697214</v>
      </c>
      <c r="Q507" s="95">
        <v>10000.000000000004</v>
      </c>
      <c r="S507" s="98">
        <v>4871.4819201401669</v>
      </c>
      <c r="T507" s="95">
        <v>4158.9272645873098</v>
      </c>
      <c r="U507" s="99">
        <v>2733.5117192253524</v>
      </c>
      <c r="W507" s="121">
        <v>2129.1922673157492</v>
      </c>
      <c r="X507" s="59">
        <v>35952.77178031161</v>
      </c>
      <c r="Y507" s="59">
        <v>57460.333845282192</v>
      </c>
      <c r="Z507" s="59">
        <v>225598.93814133853</v>
      </c>
      <c r="AA507" s="59">
        <v>984262.22845077503</v>
      </c>
      <c r="AB507" s="59">
        <v>2401951.7942372141</v>
      </c>
      <c r="AC507" s="59">
        <v>1415428.6135061856</v>
      </c>
      <c r="AD507" s="59">
        <v>5122783.8722284231</v>
      </c>
      <c r="AE507" s="59">
        <v>3010781460.598876</v>
      </c>
      <c r="AF507" s="68">
        <v>5122783.8722284231</v>
      </c>
    </row>
    <row r="508" spans="1:32" x14ac:dyDescent="0.2">
      <c r="A508" s="95">
        <v>471</v>
      </c>
      <c r="B508" s="95">
        <v>39</v>
      </c>
      <c r="C508" s="95">
        <v>3</v>
      </c>
      <c r="D508" s="95"/>
      <c r="E508" s="95">
        <v>11.456027092820159</v>
      </c>
      <c r="F508" s="95">
        <v>194.01077123558153</v>
      </c>
      <c r="G508" s="95">
        <v>310.33399543190848</v>
      </c>
      <c r="H508" s="95">
        <v>592.41727137583257</v>
      </c>
      <c r="I508" s="95">
        <v>2225.1184695294073</v>
      </c>
      <c r="J508" s="95"/>
      <c r="K508" s="95"/>
      <c r="L508" s="95">
        <v>89.555775999509251</v>
      </c>
      <c r="M508" s="95">
        <v>399.22514648719465</v>
      </c>
      <c r="N508" s="95">
        <v>156.59762549486018</v>
      </c>
      <c r="O508" s="95">
        <v>4882.1649950760793</v>
      </c>
      <c r="P508" s="95">
        <v>1139.11992227681</v>
      </c>
      <c r="Q508" s="95">
        <v>10000.000000000004</v>
      </c>
      <c r="S508" s="98">
        <v>4882.1649950760793</v>
      </c>
      <c r="T508" s="95">
        <v>4166.1806814784841</v>
      </c>
      <c r="U508" s="99">
        <v>2738.8920214230402</v>
      </c>
      <c r="W508" s="121">
        <v>2104.3516908637316</v>
      </c>
      <c r="X508" s="59">
        <v>35649.956458895133</v>
      </c>
      <c r="Y508" s="59">
        <v>57030.26366706979</v>
      </c>
      <c r="Z508" s="59">
        <v>224168.75731448655</v>
      </c>
      <c r="AA508" s="59">
        <v>980567.63000533462</v>
      </c>
      <c r="AB508" s="59">
        <v>2394298.1717736735</v>
      </c>
      <c r="AC508" s="59">
        <v>1410857.2128247642</v>
      </c>
      <c r="AD508" s="59">
        <v>5104676.3437350877</v>
      </c>
      <c r="AE508" s="59">
        <v>3015886136.9426112</v>
      </c>
      <c r="AF508" s="68">
        <v>5104676.3437350877</v>
      </c>
    </row>
    <row r="509" spans="1:32" x14ac:dyDescent="0.2">
      <c r="A509" s="95">
        <v>472</v>
      </c>
      <c r="B509" s="95">
        <v>39</v>
      </c>
      <c r="C509" s="95">
        <v>4</v>
      </c>
      <c r="D509" s="95"/>
      <c r="E509" s="95">
        <v>11.330965463723539</v>
      </c>
      <c r="F509" s="95">
        <v>192.52187863704299</v>
      </c>
      <c r="G509" s="95">
        <v>308.24284211250421</v>
      </c>
      <c r="H509" s="95">
        <v>589.1027575569135</v>
      </c>
      <c r="I509" s="95">
        <v>2218.4215916978346</v>
      </c>
      <c r="J509" s="95"/>
      <c r="K509" s="95"/>
      <c r="L509" s="95">
        <v>89.301578514078486</v>
      </c>
      <c r="M509" s="95">
        <v>398.28661205839717</v>
      </c>
      <c r="N509" s="95">
        <v>156.20839286646637</v>
      </c>
      <c r="O509" s="95">
        <v>4892.8216245531448</v>
      </c>
      <c r="P509" s="95">
        <v>1143.7617565398982</v>
      </c>
      <c r="Q509" s="95">
        <v>10000.000000000004</v>
      </c>
      <c r="S509" s="98">
        <v>4892.8216245531448</v>
      </c>
      <c r="T509" s="95">
        <v>4173.4123165044548</v>
      </c>
      <c r="U509" s="99">
        <v>2744.2577515315825</v>
      </c>
      <c r="W509" s="121">
        <v>2079.8009211369881</v>
      </c>
      <c r="X509" s="59">
        <v>35349.624279750999</v>
      </c>
      <c r="Y509" s="59">
        <v>56603.173549954379</v>
      </c>
      <c r="Z509" s="59">
        <v>222746.28836285695</v>
      </c>
      <c r="AA509" s="59">
        <v>976880.33433869504</v>
      </c>
      <c r="AB509" s="59">
        <v>2386649.619117571</v>
      </c>
      <c r="AC509" s="59">
        <v>1406289.3575071574</v>
      </c>
      <c r="AD509" s="59">
        <v>5086598.1980771227</v>
      </c>
      <c r="AE509" s="59">
        <v>3020972735.1406884</v>
      </c>
      <c r="AF509" s="68">
        <v>5086598.1980771227</v>
      </c>
    </row>
    <row r="510" spans="1:32" x14ac:dyDescent="0.2">
      <c r="A510" s="95">
        <v>473</v>
      </c>
      <c r="B510" s="95">
        <v>39</v>
      </c>
      <c r="C510" s="95">
        <v>5</v>
      </c>
      <c r="D510" s="95"/>
      <c r="E510" s="95">
        <v>11.207269090744557</v>
      </c>
      <c r="F510" s="95">
        <v>191.04405005155868</v>
      </c>
      <c r="G510" s="95">
        <v>306.16449368259362</v>
      </c>
      <c r="H510" s="95">
        <v>585.80323943783867</v>
      </c>
      <c r="I510" s="95">
        <v>2211.7300644672387</v>
      </c>
      <c r="J510" s="95"/>
      <c r="K510" s="95"/>
      <c r="L510" s="95">
        <v>89.047358705981907</v>
      </c>
      <c r="M510" s="95">
        <v>397.34710041725788</v>
      </c>
      <c r="N510" s="95">
        <v>155.81889269884857</v>
      </c>
      <c r="O510" s="95">
        <v>4903.4517888526516</v>
      </c>
      <c r="P510" s="95">
        <v>1148.3857425952897</v>
      </c>
      <c r="Q510" s="95">
        <v>10000.000000000004</v>
      </c>
      <c r="S510" s="98">
        <v>4903.4517888526516</v>
      </c>
      <c r="T510" s="95">
        <v>4180.6221866774731</v>
      </c>
      <c r="U510" s="99">
        <v>2749.6089098018074</v>
      </c>
      <c r="W510" s="121">
        <v>2055.5365770570565</v>
      </c>
      <c r="X510" s="59">
        <v>35051.755720214322</v>
      </c>
      <c r="Y510" s="59">
        <v>56179.045570465663</v>
      </c>
      <c r="Z510" s="59">
        <v>221331.5033114274</v>
      </c>
      <c r="AA510" s="59">
        <v>973200.38199524349</v>
      </c>
      <c r="AB510" s="59">
        <v>2379006.3070171876</v>
      </c>
      <c r="AC510" s="59">
        <v>1401725.141627701</v>
      </c>
      <c r="AD510" s="59">
        <v>5068549.6718192967</v>
      </c>
      <c r="AE510" s="59">
        <v>3026041284.8125076</v>
      </c>
      <c r="AF510" s="68">
        <v>5068549.6718192967</v>
      </c>
    </row>
    <row r="511" spans="1:32" x14ac:dyDescent="0.2">
      <c r="A511" s="95">
        <v>474</v>
      </c>
      <c r="B511" s="95">
        <v>39</v>
      </c>
      <c r="C511" s="95">
        <v>6</v>
      </c>
      <c r="D511" s="95"/>
      <c r="E511" s="95">
        <v>11.084923069837263</v>
      </c>
      <c r="F511" s="95">
        <v>189.57720751226807</v>
      </c>
      <c r="G511" s="95">
        <v>304.09888552433654</v>
      </c>
      <c r="H511" s="95">
        <v>582.51868261408799</v>
      </c>
      <c r="I511" s="95">
        <v>2205.0440029218626</v>
      </c>
      <c r="J511" s="95"/>
      <c r="K511" s="95"/>
      <c r="L511" s="95">
        <v>88.793125144785591</v>
      </c>
      <c r="M511" s="95">
        <v>396.4066366730288</v>
      </c>
      <c r="N511" s="95">
        <v>155.42913540240934</v>
      </c>
      <c r="O511" s="95">
        <v>4914.0554689954542</v>
      </c>
      <c r="P511" s="95">
        <v>1152.9919321419338</v>
      </c>
      <c r="Q511" s="95">
        <v>10000.000000000004</v>
      </c>
      <c r="S511" s="98">
        <v>4914.0554689954542</v>
      </c>
      <c r="T511" s="95">
        <v>4187.8103093869913</v>
      </c>
      <c r="U511" s="99">
        <v>2754.9454968120508</v>
      </c>
      <c r="W511" s="121">
        <v>2031.5553169913912</v>
      </c>
      <c r="X511" s="59">
        <v>34756.3314003587</v>
      </c>
      <c r="Y511" s="59">
        <v>55757.861880435798</v>
      </c>
      <c r="Z511" s="59">
        <v>219924.37414020707</v>
      </c>
      <c r="AA511" s="59">
        <v>969527.81294773333</v>
      </c>
      <c r="AB511" s="59">
        <v>2371368.4044634192</v>
      </c>
      <c r="AC511" s="59">
        <v>1397164.6584793204</v>
      </c>
      <c r="AD511" s="59">
        <v>5050530.9986284655</v>
      </c>
      <c r="AE511" s="59">
        <v>3031091815.8111362</v>
      </c>
      <c r="AF511" s="68">
        <v>5050530.9986284655</v>
      </c>
    </row>
    <row r="512" spans="1:32" x14ac:dyDescent="0.2">
      <c r="A512" s="95">
        <v>475</v>
      </c>
      <c r="B512" s="95">
        <v>39</v>
      </c>
      <c r="C512" s="95">
        <v>7</v>
      </c>
      <c r="D512" s="95"/>
      <c r="E512" s="95">
        <v>10.963912659658206</v>
      </c>
      <c r="F512" s="95">
        <v>188.12127355022278</v>
      </c>
      <c r="G512" s="95">
        <v>302.04595318919337</v>
      </c>
      <c r="H512" s="95">
        <v>579.24905240767873</v>
      </c>
      <c r="I512" s="95">
        <v>2198.3635211708183</v>
      </c>
      <c r="J512" s="95"/>
      <c r="K512" s="95"/>
      <c r="L512" s="95">
        <v>88.538886281781899</v>
      </c>
      <c r="M512" s="95">
        <v>395.46524583279597</v>
      </c>
      <c r="N512" s="95">
        <v>155.03913133008058</v>
      </c>
      <c r="O512" s="95">
        <v>4924.6326467371673</v>
      </c>
      <c r="P512" s="95">
        <v>1157.580376840607</v>
      </c>
      <c r="Q512" s="95">
        <v>10000.000000000004</v>
      </c>
      <c r="S512" s="98">
        <v>4924.6326467371673</v>
      </c>
      <c r="T512" s="95">
        <v>4194.9767023964878</v>
      </c>
      <c r="U512" s="99">
        <v>2760.2675134657607</v>
      </c>
      <c r="W512" s="121">
        <v>2007.8538382931583</v>
      </c>
      <c r="X512" s="59">
        <v>34463.332082096138</v>
      </c>
      <c r="Y512" s="59">
        <v>55339.604707113147</v>
      </c>
      <c r="Z512" s="59">
        <v>218524.87278630768</v>
      </c>
      <c r="AA512" s="59">
        <v>965862.66660039953</v>
      </c>
      <c r="AB512" s="59">
        <v>2363736.0787052037</v>
      </c>
      <c r="AC512" s="59">
        <v>1392608.0005708847</v>
      </c>
      <c r="AD512" s="59">
        <v>5032542.4092902979</v>
      </c>
      <c r="AE512" s="59">
        <v>3036124358.2204266</v>
      </c>
      <c r="AF512" s="68">
        <v>5032542.4092902979</v>
      </c>
    </row>
    <row r="513" spans="1:32" x14ac:dyDescent="0.2">
      <c r="A513" s="95">
        <v>476</v>
      </c>
      <c r="B513" s="95">
        <v>39</v>
      </c>
      <c r="C513" s="95">
        <v>8</v>
      </c>
      <c r="D513" s="95"/>
      <c r="E513" s="95">
        <v>10.84422327979027</v>
      </c>
      <c r="F513" s="95">
        <v>186.67617119186511</v>
      </c>
      <c r="G513" s="95">
        <v>300.00563239956148</v>
      </c>
      <c r="H513" s="95">
        <v>575.99431387182085</v>
      </c>
      <c r="I513" s="95">
        <v>2191.688732350889</v>
      </c>
      <c r="J513" s="95"/>
      <c r="K513" s="95"/>
      <c r="L513" s="95">
        <v>88.284650451829307</v>
      </c>
      <c r="M513" s="95">
        <v>394.52295280072428</v>
      </c>
      <c r="N513" s="95">
        <v>154.64889077704868</v>
      </c>
      <c r="O513" s="95">
        <v>4935.1833045633757</v>
      </c>
      <c r="P513" s="95">
        <v>1162.1511283130994</v>
      </c>
      <c r="Q513" s="95">
        <v>10000.000000000004</v>
      </c>
      <c r="S513" s="98">
        <v>4935.1833045633757</v>
      </c>
      <c r="T513" s="95">
        <v>4202.1213838402928</v>
      </c>
      <c r="U513" s="99">
        <v>2765.5749609891091</v>
      </c>
      <c r="W513" s="121">
        <v>1984.4288768464048</v>
      </c>
      <c r="X513" s="59">
        <v>34172.738668280625</v>
      </c>
      <c r="Y513" s="59">
        <v>54924.256353268225</v>
      </c>
      <c r="Z513" s="59">
        <v>217132.9711459931</v>
      </c>
      <c r="AA513" s="59">
        <v>962204.98179207533</v>
      </c>
      <c r="AB513" s="59">
        <v>2356109.4952646815</v>
      </c>
      <c r="AC513" s="59">
        <v>1388055.2596248961</v>
      </c>
      <c r="AD513" s="59">
        <v>5014584.1317260414</v>
      </c>
      <c r="AE513" s="59">
        <v>3041138942.3521528</v>
      </c>
      <c r="AF513" s="68">
        <v>5014584.1317260414</v>
      </c>
    </row>
    <row r="514" spans="1:32" x14ac:dyDescent="0.2">
      <c r="A514" s="95">
        <v>477</v>
      </c>
      <c r="B514" s="95">
        <v>39</v>
      </c>
      <c r="C514" s="95">
        <v>9</v>
      </c>
      <c r="D514" s="95"/>
      <c r="E514" s="95">
        <v>10.725840508985893</v>
      </c>
      <c r="F514" s="95">
        <v>185.24182395651019</v>
      </c>
      <c r="G514" s="95">
        <v>297.9778590503754</v>
      </c>
      <c r="H514" s="95">
        <v>572.75443179553838</v>
      </c>
      <c r="I514" s="95">
        <v>2185.0197486293573</v>
      </c>
      <c r="J514" s="95"/>
      <c r="K514" s="95"/>
      <c r="L514" s="95">
        <v>88.030425875155132</v>
      </c>
      <c r="M514" s="95">
        <v>393.57978237732021</v>
      </c>
      <c r="N514" s="95">
        <v>154.25842398049932</v>
      </c>
      <c r="O514" s="95">
        <v>4945.7074256848518</v>
      </c>
      <c r="P514" s="95">
        <v>1166.7042381414103</v>
      </c>
      <c r="Q514" s="95">
        <v>10000.000000000004</v>
      </c>
      <c r="S514" s="98">
        <v>4945.7074256848518</v>
      </c>
      <c r="T514" s="95">
        <v>4209.2443722204334</v>
      </c>
      <c r="U514" s="99">
        <v>2770.8678409286163</v>
      </c>
      <c r="W514" s="121">
        <v>1961.2772066165301</v>
      </c>
      <c r="X514" s="59">
        <v>33884.53220181536</v>
      </c>
      <c r="Y514" s="59">
        <v>54511.799197292108</v>
      </c>
      <c r="Z514" s="59">
        <v>215748.64107670754</v>
      </c>
      <c r="AA514" s="59">
        <v>958554.79679931386</v>
      </c>
      <c r="AB514" s="59">
        <v>2348488.8179520955</v>
      </c>
      <c r="AC514" s="59">
        <v>1383506.5265754983</v>
      </c>
      <c r="AD514" s="59">
        <v>4996656.3910093391</v>
      </c>
      <c r="AE514" s="59">
        <v>3046135598.7431622</v>
      </c>
      <c r="AF514" s="68">
        <v>4996656.3910093391</v>
      </c>
    </row>
    <row r="515" spans="1:32" x14ac:dyDescent="0.2">
      <c r="A515" s="95">
        <v>478</v>
      </c>
      <c r="B515" s="95">
        <v>39</v>
      </c>
      <c r="C515" s="95">
        <v>10</v>
      </c>
      <c r="D515" s="95"/>
      <c r="E515" s="95">
        <v>10.608750083429465</v>
      </c>
      <c r="F515" s="95">
        <v>183.8181558538316</v>
      </c>
      <c r="G515" s="95">
        <v>295.96256921067146</v>
      </c>
      <c r="H515" s="95">
        <v>569.52937070825715</v>
      </c>
      <c r="I515" s="95">
        <v>2178.3566812068671</v>
      </c>
      <c r="J515" s="95"/>
      <c r="K515" s="95"/>
      <c r="L515" s="95">
        <v>87.776220659121918</v>
      </c>
      <c r="M515" s="95">
        <v>392.63575925871208</v>
      </c>
      <c r="N515" s="95">
        <v>153.86774111938092</v>
      </c>
      <c r="O515" s="95">
        <v>4956.2049940327861</v>
      </c>
      <c r="P515" s="95">
        <v>1171.2397578669463</v>
      </c>
      <c r="Q515" s="95">
        <v>10000.000000000004</v>
      </c>
      <c r="S515" s="98">
        <v>4956.2049940327861</v>
      </c>
      <c r="T515" s="95">
        <v>4216.3456864034788</v>
      </c>
      <c r="U515" s="99">
        <v>2776.1461551487814</v>
      </c>
      <c r="W515" s="121">
        <v>1938.3956392060038</v>
      </c>
      <c r="X515" s="59">
        <v>33598.693864763532</v>
      </c>
      <c r="Y515" s="59">
        <v>54102.215693287239</v>
      </c>
      <c r="Z515" s="59">
        <v>214371.85439908187</v>
      </c>
      <c r="AA515" s="59">
        <v>954912.14933951257</v>
      </c>
      <c r="AB515" s="59">
        <v>2340874.2088804427</v>
      </c>
      <c r="AC515" s="59">
        <v>1378961.891566789</v>
      </c>
      <c r="AD515" s="59">
        <v>4978759.4093830828</v>
      </c>
      <c r="AE515" s="59">
        <v>3051114358.1525455</v>
      </c>
      <c r="AF515" s="68">
        <v>4978759.4093830828</v>
      </c>
    </row>
    <row r="516" spans="1:32" x14ac:dyDescent="0.2">
      <c r="A516" s="95">
        <v>479</v>
      </c>
      <c r="B516" s="95">
        <v>39</v>
      </c>
      <c r="C516" s="95">
        <v>11</v>
      </c>
      <c r="D516" s="95"/>
      <c r="E516" s="95">
        <v>10.492937895018693</v>
      </c>
      <c r="F516" s="95">
        <v>182.40509138135093</v>
      </c>
      <c r="G516" s="95">
        <v>293.95969912511691</v>
      </c>
      <c r="H516" s="95">
        <v>566.3190948843577</v>
      </c>
      <c r="I516" s="95">
        <v>2171.6996403203084</v>
      </c>
      <c r="J516" s="95"/>
      <c r="K516" s="95"/>
      <c r="L516" s="95">
        <v>87.522042799958328</v>
      </c>
      <c r="M516" s="95">
        <v>391.69090803594815</v>
      </c>
      <c r="N516" s="95">
        <v>153.47685231418609</v>
      </c>
      <c r="O516" s="95">
        <v>4966.6759942540284</v>
      </c>
      <c r="P516" s="95">
        <v>1175.7577389897301</v>
      </c>
      <c r="Q516" s="95">
        <v>10000.000000000004</v>
      </c>
      <c r="S516" s="98">
        <v>4966.6759942540284</v>
      </c>
      <c r="T516" s="95">
        <v>4223.425345617401</v>
      </c>
      <c r="U516" s="99">
        <v>2781.4099058297238</v>
      </c>
      <c r="W516" s="121">
        <v>1915.7810234152671</v>
      </c>
      <c r="X516" s="59">
        <v>33315.204977462919</v>
      </c>
      <c r="Y516" s="59">
        <v>53695.488371150976</v>
      </c>
      <c r="Z516" s="59">
        <v>213002.58289891903</v>
      </c>
      <c r="AA516" s="59">
        <v>951277.07657403953</v>
      </c>
      <c r="AB516" s="59">
        <v>2333265.8284798781</v>
      </c>
      <c r="AC516" s="59">
        <v>1374421.4439514223</v>
      </c>
      <c r="AD516" s="59">
        <v>4960893.4062762884</v>
      </c>
      <c r="AE516" s="59">
        <v>3056075251.5588217</v>
      </c>
      <c r="AF516" s="68">
        <v>4960893.4062762884</v>
      </c>
    </row>
    <row r="517" spans="1:32" x14ac:dyDescent="0.2">
      <c r="A517" s="95">
        <v>480</v>
      </c>
      <c r="B517" s="95">
        <v>40</v>
      </c>
      <c r="C517" s="95">
        <v>0</v>
      </c>
      <c r="D517" s="95"/>
      <c r="E517" s="95">
        <v>10.37838998966474</v>
      </c>
      <c r="F517" s="95">
        <v>181.00255552193121</v>
      </c>
      <c r="G517" s="95">
        <v>291.96918521550435</v>
      </c>
      <c r="H517" s="95">
        <v>563.12356834769503</v>
      </c>
      <c r="I517" s="95">
        <v>2165.0487352457353</v>
      </c>
      <c r="J517" s="95"/>
      <c r="K517" s="95"/>
      <c r="L517" s="95">
        <v>87.267900184455343</v>
      </c>
      <c r="M517" s="95">
        <v>390.74525319431189</v>
      </c>
      <c r="N517" s="95">
        <v>153.08576762675025</v>
      </c>
      <c r="O517" s="95">
        <v>4977.1204117063435</v>
      </c>
      <c r="P517" s="95">
        <v>1180.2582329676125</v>
      </c>
      <c r="Q517" s="95">
        <v>10000.000000000004</v>
      </c>
      <c r="S517" s="98">
        <v>4977.1204117063435</v>
      </c>
      <c r="T517" s="95">
        <v>4230.4833694484423</v>
      </c>
      <c r="U517" s="99">
        <v>2786.6590954648345</v>
      </c>
      <c r="W517" s="121">
        <v>1893.4302448087556</v>
      </c>
      <c r="X517" s="59">
        <v>33034.046997644051</v>
      </c>
      <c r="Y517" s="59">
        <v>53291.599836651782</v>
      </c>
      <c r="Z517" s="59">
        <v>211640.7983291577</v>
      </c>
      <c r="AA517" s="59">
        <v>947649.61511136394</v>
      </c>
      <c r="AB517" s="59">
        <v>2325663.8355118809</v>
      </c>
      <c r="AC517" s="59">
        <v>1369885.2722894903</v>
      </c>
      <c r="AD517" s="59">
        <v>4943058.5983209973</v>
      </c>
      <c r="AE517" s="59">
        <v>3061018310.1571426</v>
      </c>
      <c r="AF517" s="68">
        <v>4943058.5983209973</v>
      </c>
    </row>
    <row r="518" spans="1:32" x14ac:dyDescent="0.2">
      <c r="A518" s="95">
        <v>481</v>
      </c>
      <c r="B518" s="95">
        <v>40</v>
      </c>
      <c r="C518" s="95">
        <v>1</v>
      </c>
      <c r="D518" s="95"/>
      <c r="E518" s="95">
        <v>10.257308773118652</v>
      </c>
      <c r="F518" s="95">
        <v>179.47472182463306</v>
      </c>
      <c r="G518" s="95">
        <v>289.77198719329994</v>
      </c>
      <c r="H518" s="95">
        <v>559.52041219982266</v>
      </c>
      <c r="I518" s="95">
        <v>2156.7802877498734</v>
      </c>
      <c r="J518" s="95"/>
      <c r="K518" s="95"/>
      <c r="L518" s="95">
        <v>86.948349666490174</v>
      </c>
      <c r="M518" s="95">
        <v>389.50576017275887</v>
      </c>
      <c r="N518" s="95">
        <v>152.57968273434682</v>
      </c>
      <c r="O518" s="95">
        <v>4987.5382324536731</v>
      </c>
      <c r="P518" s="95">
        <v>1187.6232572319875</v>
      </c>
      <c r="Q518" s="95">
        <v>10000.000000000004</v>
      </c>
      <c r="S518" s="98">
        <v>4987.5382324536731</v>
      </c>
      <c r="T518" s="95">
        <v>4237.5197778379907</v>
      </c>
      <c r="U518" s="99">
        <v>2791.8937268584341</v>
      </c>
      <c r="W518" s="121">
        <v>1869.1312233337098</v>
      </c>
      <c r="X518" s="59">
        <v>32716.661798054891</v>
      </c>
      <c r="Y518" s="59">
        <v>52828.359238355566</v>
      </c>
      <c r="Z518" s="59">
        <v>210039.55814709788</v>
      </c>
      <c r="AA518" s="59">
        <v>942924.20979255706</v>
      </c>
      <c r="AB518" s="59">
        <v>2315355.1126084272</v>
      </c>
      <c r="AC518" s="59">
        <v>1363755.2648633283</v>
      </c>
      <c r="AD518" s="59">
        <v>4919488.2976711541</v>
      </c>
      <c r="AE518" s="59">
        <v>3065937798.454814</v>
      </c>
      <c r="AF518" s="68">
        <v>4919488.2976711541</v>
      </c>
    </row>
    <row r="519" spans="1:32" x14ac:dyDescent="0.2">
      <c r="A519" s="95">
        <v>482</v>
      </c>
      <c r="B519" s="95">
        <v>40</v>
      </c>
      <c r="C519" s="95">
        <v>2</v>
      </c>
      <c r="D519" s="95"/>
      <c r="E519" s="95">
        <v>10.1376401707656</v>
      </c>
      <c r="F519" s="95">
        <v>177.95945808874927</v>
      </c>
      <c r="G519" s="95">
        <v>287.5901502921709</v>
      </c>
      <c r="H519" s="95">
        <v>555.937020630441</v>
      </c>
      <c r="I519" s="95">
        <v>2148.5293765787223</v>
      </c>
      <c r="J519" s="95"/>
      <c r="K519" s="95"/>
      <c r="L519" s="95">
        <v>86.625252121019713</v>
      </c>
      <c r="M519" s="95">
        <v>388.27117958891461</v>
      </c>
      <c r="N519" s="95">
        <v>152.07409492327275</v>
      </c>
      <c r="O519" s="95">
        <v>4997.9216298958581</v>
      </c>
      <c r="P519" s="95">
        <v>1194.9541977100898</v>
      </c>
      <c r="Q519" s="95">
        <v>10000.000000000004</v>
      </c>
      <c r="S519" s="98">
        <v>4997.9216298958581</v>
      </c>
      <c r="T519" s="95">
        <v>4244.5293137731778</v>
      </c>
      <c r="U519" s="99">
        <v>2797.1098771498982</v>
      </c>
      <c r="W519" s="121">
        <v>1845.144039300927</v>
      </c>
      <c r="X519" s="59">
        <v>32402.2664325355</v>
      </c>
      <c r="Y519" s="59">
        <v>52368.931226056637</v>
      </c>
      <c r="Z519" s="59">
        <v>208449.19647092384</v>
      </c>
      <c r="AA519" s="59">
        <v>938216.22343663988</v>
      </c>
      <c r="AB519" s="59">
        <v>2305073.977909876</v>
      </c>
      <c r="AC519" s="59">
        <v>1357642.1469145215</v>
      </c>
      <c r="AD519" s="59">
        <v>4895997.8864298547</v>
      </c>
      <c r="AE519" s="59">
        <v>3070833796.3412437</v>
      </c>
      <c r="AF519" s="68">
        <v>4895997.8864298547</v>
      </c>
    </row>
    <row r="520" spans="1:32" x14ac:dyDescent="0.2">
      <c r="A520" s="95">
        <v>483</v>
      </c>
      <c r="B520" s="95">
        <v>40</v>
      </c>
      <c r="C520" s="95">
        <v>3</v>
      </c>
      <c r="D520" s="95"/>
      <c r="E520" s="95">
        <v>10.019367702106669</v>
      </c>
      <c r="F520" s="95">
        <v>176.45666495761549</v>
      </c>
      <c r="G520" s="95">
        <v>285.42358049598448</v>
      </c>
      <c r="H520" s="95">
        <v>552.37331831106007</v>
      </c>
      <c r="I520" s="95">
        <v>2140.2960817264848</v>
      </c>
      <c r="J520" s="95"/>
      <c r="K520" s="95"/>
      <c r="L520" s="95">
        <v>86.298733277243016</v>
      </c>
      <c r="M520" s="95">
        <v>387.04144029943984</v>
      </c>
      <c r="N520" s="95">
        <v>151.56901374934816</v>
      </c>
      <c r="O520" s="95">
        <v>5008.2706137735431</v>
      </c>
      <c r="P520" s="95">
        <v>1202.2511857071784</v>
      </c>
      <c r="Q520" s="95">
        <v>10000.000000000004</v>
      </c>
      <c r="S520" s="98">
        <v>5008.2706137735431</v>
      </c>
      <c r="T520" s="95">
        <v>4251.5120342470591</v>
      </c>
      <c r="U520" s="99">
        <v>2802.3075745355964</v>
      </c>
      <c r="W520" s="121">
        <v>1821.464690796565</v>
      </c>
      <c r="X520" s="59">
        <v>32090.833544854573</v>
      </c>
      <c r="Y520" s="59">
        <v>51913.287096412852</v>
      </c>
      <c r="Z520" s="59">
        <v>206869.65309410307</v>
      </c>
      <c r="AA520" s="59">
        <v>933525.64783638436</v>
      </c>
      <c r="AB520" s="59">
        <v>2294820.7043931521</v>
      </c>
      <c r="AC520" s="59">
        <v>1351545.9683637011</v>
      </c>
      <c r="AD520" s="59">
        <v>4872587.5590194045</v>
      </c>
      <c r="AE520" s="59">
        <v>3075706383.9002633</v>
      </c>
      <c r="AF520" s="68">
        <v>4872587.5590194045</v>
      </c>
    </row>
    <row r="521" spans="1:32" x14ac:dyDescent="0.2">
      <c r="A521" s="95">
        <v>484</v>
      </c>
      <c r="B521" s="95">
        <v>40</v>
      </c>
      <c r="C521" s="95">
        <v>4</v>
      </c>
      <c r="D521" s="95"/>
      <c r="E521" s="95">
        <v>9.9024750789154243</v>
      </c>
      <c r="F521" s="95">
        <v>174.96624380809249</v>
      </c>
      <c r="G521" s="95">
        <v>283.27218420519046</v>
      </c>
      <c r="H521" s="95">
        <v>548.82922984558343</v>
      </c>
      <c r="I521" s="95">
        <v>2132.0804819525574</v>
      </c>
      <c r="J521" s="95"/>
      <c r="K521" s="95"/>
      <c r="L521" s="95">
        <v>85.968915981682471</v>
      </c>
      <c r="M521" s="95">
        <v>385.81647264682198</v>
      </c>
      <c r="N521" s="95">
        <v>151.06444881269638</v>
      </c>
      <c r="O521" s="95">
        <v>5018.58519541029</v>
      </c>
      <c r="P521" s="95">
        <v>1209.5143522581736</v>
      </c>
      <c r="Q521" s="95">
        <v>10000.000000000004</v>
      </c>
      <c r="S521" s="98">
        <v>5018.58519541029</v>
      </c>
      <c r="T521" s="95">
        <v>4258.4679965126697</v>
      </c>
      <c r="U521" s="99">
        <v>2807.4868476145452</v>
      </c>
      <c r="W521" s="121">
        <v>1798.0892272646759</v>
      </c>
      <c r="X521" s="59">
        <v>31782.336017883819</v>
      </c>
      <c r="Y521" s="59">
        <v>51461.398327844174</v>
      </c>
      <c r="Z521" s="59">
        <v>205300.86798678528</v>
      </c>
      <c r="AA521" s="59">
        <v>928852.47416850622</v>
      </c>
      <c r="AB521" s="59">
        <v>2284595.5538307102</v>
      </c>
      <c r="AC521" s="59">
        <v>1345466.7798499737</v>
      </c>
      <c r="AD521" s="59">
        <v>4849257.4994089678</v>
      </c>
      <c r="AE521" s="59">
        <v>3080555641.3996725</v>
      </c>
      <c r="AF521" s="68">
        <v>4849257.4994089678</v>
      </c>
    </row>
    <row r="522" spans="1:32" x14ac:dyDescent="0.2">
      <c r="A522" s="95">
        <v>485</v>
      </c>
      <c r="B522" s="95">
        <v>40</v>
      </c>
      <c r="C522" s="95">
        <v>5</v>
      </c>
      <c r="D522" s="95"/>
      <c r="E522" s="95">
        <v>9.7869462029947449</v>
      </c>
      <c r="F522" s="95">
        <v>173.48809674583907</v>
      </c>
      <c r="G522" s="95">
        <v>281.13586823705259</v>
      </c>
      <c r="H522" s="95">
        <v>545.30467977525734</v>
      </c>
      <c r="I522" s="95">
        <v>2123.8826547886983</v>
      </c>
      <c r="J522" s="95"/>
      <c r="K522" s="95"/>
      <c r="L522" s="95">
        <v>85.635920262103781</v>
      </c>
      <c r="M522" s="95">
        <v>384.59620843188782</v>
      </c>
      <c r="N522" s="95">
        <v>150.56040974672644</v>
      </c>
      <c r="O522" s="95">
        <v>5028.8653876843009</v>
      </c>
      <c r="P522" s="95">
        <v>1216.7438281251423</v>
      </c>
      <c r="Q522" s="95">
        <v>10000.000000000004</v>
      </c>
      <c r="S522" s="98">
        <v>5028.8653876843009</v>
      </c>
      <c r="T522" s="95">
        <v>4265.397258079016</v>
      </c>
      <c r="U522" s="99">
        <v>2812.6477253790513</v>
      </c>
      <c r="W522" s="121">
        <v>1775.0137488481125</v>
      </c>
      <c r="X522" s="59">
        <v>31476.746971667828</v>
      </c>
      <c r="Y522" s="59">
        <v>51013.236579848221</v>
      </c>
      <c r="Z522" s="59">
        <v>203742.78129729175</v>
      </c>
      <c r="AA522" s="59">
        <v>924196.69300027459</v>
      </c>
      <c r="AB522" s="59">
        <v>2274398.7771218289</v>
      </c>
      <c r="AC522" s="59">
        <v>1339404.6325716893</v>
      </c>
      <c r="AD522" s="59">
        <v>4826007.8812914491</v>
      </c>
      <c r="AE522" s="59">
        <v>3085381649.2809639</v>
      </c>
      <c r="AF522" s="68">
        <v>4826007.8812914491</v>
      </c>
    </row>
    <row r="523" spans="1:32" x14ac:dyDescent="0.2">
      <c r="A523" s="95">
        <v>486</v>
      </c>
      <c r="B523" s="95">
        <v>40</v>
      </c>
      <c r="C523" s="95">
        <v>6</v>
      </c>
      <c r="D523" s="95"/>
      <c r="E523" s="95">
        <v>9.6727651639598058</v>
      </c>
      <c r="F523" s="95">
        <v>172.02212660060573</v>
      </c>
      <c r="G523" s="95">
        <v>279.01453982584405</v>
      </c>
      <c r="H523" s="95">
        <v>541.7995925835645</v>
      </c>
      <c r="I523" s="95">
        <v>2115.7026765461974</v>
      </c>
      <c r="J523" s="95"/>
      <c r="K523" s="95"/>
      <c r="L523" s="95">
        <v>85.299863389998549</v>
      </c>
      <c r="M523" s="95">
        <v>383.38058088678736</v>
      </c>
      <c r="N523" s="95">
        <v>150.05690620774362</v>
      </c>
      <c r="O523" s="95">
        <v>5039.1112050004613</v>
      </c>
      <c r="P523" s="95">
        <v>1223.9397437948408</v>
      </c>
      <c r="Q523" s="95">
        <v>10000.000000000004</v>
      </c>
      <c r="S523" s="98">
        <v>5039.1112050004613</v>
      </c>
      <c r="T523" s="95">
        <v>4272.2998767070794</v>
      </c>
      <c r="U523" s="99">
        <v>2817.7902372055705</v>
      </c>
      <c r="W523" s="121">
        <v>1752.234405737895</v>
      </c>
      <c r="X523" s="59">
        <v>31174.039761507138</v>
      </c>
      <c r="Y523" s="59">
        <v>50568.773692311188</v>
      </c>
      <c r="Z523" s="59">
        <v>202195.33335357168</v>
      </c>
      <c r="AA523" s="59">
        <v>919558.29429608758</v>
      </c>
      <c r="AB523" s="59">
        <v>2264230.6146145798</v>
      </c>
      <c r="AC523" s="59">
        <v>1333359.5781369789</v>
      </c>
      <c r="AD523" s="59">
        <v>4802838.8682607738</v>
      </c>
      <c r="AE523" s="59">
        <v>3090184488.1492248</v>
      </c>
      <c r="AF523" s="68">
        <v>4802838.8682607738</v>
      </c>
    </row>
    <row r="524" spans="1:32" x14ac:dyDescent="0.2">
      <c r="A524" s="95">
        <v>487</v>
      </c>
      <c r="B524" s="95">
        <v>40</v>
      </c>
      <c r="C524" s="95">
        <v>7</v>
      </c>
      <c r="D524" s="95"/>
      <c r="E524" s="95">
        <v>9.5599162370469415</v>
      </c>
      <c r="F524" s="95">
        <v>170.56823692154887</v>
      </c>
      <c r="G524" s="95">
        <v>276.90810662300703</v>
      </c>
      <c r="H524" s="95">
        <v>538.31389270106331</v>
      </c>
      <c r="I524" s="95">
        <v>2107.5406223230461</v>
      </c>
      <c r="J524" s="95"/>
      <c r="K524" s="95"/>
      <c r="L524" s="95">
        <v>84.960859941662122</v>
      </c>
      <c r="M524" s="95">
        <v>382.16952464844161</v>
      </c>
      <c r="N524" s="95">
        <v>149.55394786515893</v>
      </c>
      <c r="O524" s="95">
        <v>5049.322663262712</v>
      </c>
      <c r="P524" s="95">
        <v>1231.1022294763163</v>
      </c>
      <c r="Q524" s="95">
        <v>10000.000000000004</v>
      </c>
      <c r="S524" s="98">
        <v>5049.322663262712</v>
      </c>
      <c r="T524" s="95">
        <v>4279.1759104058547</v>
      </c>
      <c r="U524" s="99">
        <v>2822.914412845776</v>
      </c>
      <c r="W524" s="121">
        <v>1729.7473975309256</v>
      </c>
      <c r="X524" s="59">
        <v>30874.187976054429</v>
      </c>
      <c r="Y524" s="59">
        <v>50127.981684814127</v>
      </c>
      <c r="Z524" s="59">
        <v>200658.46466462591</v>
      </c>
      <c r="AA524" s="59">
        <v>914937.26742401533</v>
      </c>
      <c r="AB524" s="59">
        <v>2254091.296418733</v>
      </c>
      <c r="AC524" s="59">
        <v>1327331.6684235819</v>
      </c>
      <c r="AD524" s="59">
        <v>4779750.613989356</v>
      </c>
      <c r="AE524" s="59">
        <v>3094964238.7632141</v>
      </c>
      <c r="AF524" s="68">
        <v>4779750.613989356</v>
      </c>
    </row>
    <row r="525" spans="1:32" x14ac:dyDescent="0.2">
      <c r="A525" s="95">
        <v>488</v>
      </c>
      <c r="B525" s="95">
        <v>40</v>
      </c>
      <c r="C525" s="95">
        <v>8</v>
      </c>
      <c r="D525" s="95"/>
      <c r="E525" s="95">
        <v>9.4483838809480609</v>
      </c>
      <c r="F525" s="95">
        <v>169.12633197256613</v>
      </c>
      <c r="G525" s="95">
        <v>274.81647669727715</v>
      </c>
      <c r="H525" s="95">
        <v>534.84750451017271</v>
      </c>
      <c r="I525" s="95">
        <v>2099.3965660111103</v>
      </c>
      <c r="J525" s="95"/>
      <c r="K525" s="95"/>
      <c r="L525" s="95">
        <v>84.619021857898602</v>
      </c>
      <c r="M525" s="95">
        <v>380.96297573244607</v>
      </c>
      <c r="N525" s="95">
        <v>149.05154439226962</v>
      </c>
      <c r="O525" s="95">
        <v>5059.4997798467475</v>
      </c>
      <c r="P525" s="95">
        <v>1238.2314150985665</v>
      </c>
      <c r="Q525" s="95">
        <v>10000.000000000002</v>
      </c>
      <c r="S525" s="98">
        <v>5059.4997798467475</v>
      </c>
      <c r="T525" s="95">
        <v>4286.0254174284046</v>
      </c>
      <c r="U525" s="99">
        <v>2828.02028241783</v>
      </c>
      <c r="W525" s="121">
        <v>1707.5489725959453</v>
      </c>
      <c r="X525" s="59">
        <v>30577.165435423802</v>
      </c>
      <c r="Y525" s="59">
        <v>49690.832755934862</v>
      </c>
      <c r="Z525" s="59">
        <v>199132.11592189813</v>
      </c>
      <c r="AA525" s="59">
        <v>910333.60116231069</v>
      </c>
      <c r="AB525" s="59">
        <v>2243981.042709833</v>
      </c>
      <c r="AC525" s="59">
        <v>1321320.9554475092</v>
      </c>
      <c r="AD525" s="59">
        <v>4756743.2624055054</v>
      </c>
      <c r="AE525" s="59">
        <v>3099720982.0256195</v>
      </c>
      <c r="AF525" s="68">
        <v>4756743.2624055054</v>
      </c>
    </row>
    <row r="526" spans="1:32" x14ac:dyDescent="0.2">
      <c r="A526" s="95">
        <v>489</v>
      </c>
      <c r="B526" s="95">
        <v>40</v>
      </c>
      <c r="C526" s="95">
        <v>9</v>
      </c>
      <c r="D526" s="95"/>
      <c r="E526" s="95">
        <v>9.3381527356703327</v>
      </c>
      <c r="F526" s="95">
        <v>167.69631672765229</v>
      </c>
      <c r="G526" s="95">
        <v>272.73955853477361</v>
      </c>
      <c r="H526" s="95">
        <v>531.40035234990262</v>
      </c>
      <c r="I526" s="95">
        <v>2091.270580303305</v>
      </c>
      <c r="J526" s="95"/>
      <c r="K526" s="95"/>
      <c r="L526" s="95">
        <v>84.274458502384192</v>
      </c>
      <c r="M526" s="95">
        <v>379.76087150742217</v>
      </c>
      <c r="N526" s="95">
        <v>148.54970545758442</v>
      </c>
      <c r="O526" s="95">
        <v>5069.6425735730536</v>
      </c>
      <c r="P526" s="95">
        <v>1245.3274303082546</v>
      </c>
      <c r="Q526" s="95">
        <v>10000.000000000004</v>
      </c>
      <c r="S526" s="98">
        <v>5069.6425735730536</v>
      </c>
      <c r="T526" s="95">
        <v>4292.8484562679405</v>
      </c>
      <c r="U526" s="99">
        <v>2833.1078763978549</v>
      </c>
      <c r="W526" s="121">
        <v>1685.6354274476307</v>
      </c>
      <c r="X526" s="59">
        <v>30282.946189313137</v>
      </c>
      <c r="Y526" s="59">
        <v>49257.299282545631</v>
      </c>
      <c r="Z526" s="59">
        <v>197616.22800063377</v>
      </c>
      <c r="AA526" s="59">
        <v>905747.28370588575</v>
      </c>
      <c r="AB526" s="59">
        <v>2233900.0640246966</v>
      </c>
      <c r="AC526" s="59">
        <v>1315327.4912401112</v>
      </c>
      <c r="AD526" s="59">
        <v>4733816.9478706336</v>
      </c>
      <c r="AE526" s="59">
        <v>3104454798.9734902</v>
      </c>
      <c r="AF526" s="68">
        <v>4733816.9478706336</v>
      </c>
    </row>
    <row r="527" spans="1:32" x14ac:dyDescent="0.2">
      <c r="A527" s="95">
        <v>490</v>
      </c>
      <c r="B527" s="95">
        <v>40</v>
      </c>
      <c r="C527" s="95">
        <v>10</v>
      </c>
      <c r="D527" s="95"/>
      <c r="E527" s="95">
        <v>9.229207620420846</v>
      </c>
      <c r="F527" s="95">
        <v>166.2780968662762</v>
      </c>
      <c r="G527" s="95">
        <v>270.67726103905511</v>
      </c>
      <c r="H527" s="95">
        <v>527.97236052053063</v>
      </c>
      <c r="I527" s="95">
        <v>2083.1627367007663</v>
      </c>
      <c r="J527" s="95"/>
      <c r="K527" s="95"/>
      <c r="L527" s="95">
        <v>83.92727671871927</v>
      </c>
      <c r="M527" s="95">
        <v>378.56315066980972</v>
      </c>
      <c r="N527" s="95">
        <v>148.04844071666776</v>
      </c>
      <c r="O527" s="95">
        <v>5079.7510646802748</v>
      </c>
      <c r="P527" s="95">
        <v>1252.3904044674821</v>
      </c>
      <c r="Q527" s="95">
        <v>10000.000000000004</v>
      </c>
      <c r="S527" s="98">
        <v>5079.7510646802748</v>
      </c>
      <c r="T527" s="95">
        <v>4299.6450856539259</v>
      </c>
      <c r="U527" s="99">
        <v>2838.1772256115978</v>
      </c>
      <c r="W527" s="121">
        <v>1664.0031061287195</v>
      </c>
      <c r="X527" s="59">
        <v>29991.504515139404</v>
      </c>
      <c r="Y527" s="59">
        <v>48827.353819106633</v>
      </c>
      <c r="Z527" s="59">
        <v>196110.7419612075</v>
      </c>
      <c r="AA527" s="59">
        <v>901178.3026727559</v>
      </c>
      <c r="AB527" s="59">
        <v>2223848.561548552</v>
      </c>
      <c r="AC527" s="59">
        <v>1309351.3277331302</v>
      </c>
      <c r="AD527" s="59">
        <v>4710971.7953560203</v>
      </c>
      <c r="AE527" s="59">
        <v>3109165770.768846</v>
      </c>
      <c r="AF527" s="68">
        <v>4710971.7953560203</v>
      </c>
    </row>
    <row r="528" spans="1:32" x14ac:dyDescent="0.2">
      <c r="A528" s="95">
        <v>491</v>
      </c>
      <c r="B528" s="95">
        <v>40</v>
      </c>
      <c r="C528" s="95">
        <v>11</v>
      </c>
      <c r="D528" s="95"/>
      <c r="E528" s="95">
        <v>9.1215335315159365</v>
      </c>
      <c r="F528" s="95">
        <v>164.87157876877882</v>
      </c>
      <c r="G528" s="95">
        <v>268.62949353114249</v>
      </c>
      <c r="H528" s="95">
        <v>524.56345328822499</v>
      </c>
      <c r="I528" s="95">
        <v>2075.0731055200267</v>
      </c>
      <c r="J528" s="95"/>
      <c r="K528" s="95"/>
      <c r="L528" s="95">
        <v>83.577580886199073</v>
      </c>
      <c r="M528" s="95">
        <v>377.36975321909227</v>
      </c>
      <c r="N528" s="95">
        <v>147.5477598044786</v>
      </c>
      <c r="O528" s="95">
        <v>5089.8252747989281</v>
      </c>
      <c r="P528" s="95">
        <v>1259.4204666516155</v>
      </c>
      <c r="Q528" s="95">
        <v>10000.000000000002</v>
      </c>
      <c r="S528" s="98">
        <v>5089.8252747989281</v>
      </c>
      <c r="T528" s="95">
        <v>4306.4153645482038</v>
      </c>
      <c r="U528" s="99">
        <v>2843.2283612262836</v>
      </c>
      <c r="W528" s="121">
        <v>1642.6483996000675</v>
      </c>
      <c r="X528" s="59">
        <v>29702.814916186908</v>
      </c>
      <c r="Y528" s="59">
        <v>48400.96909695556</v>
      </c>
      <c r="Z528" s="59">
        <v>194615.599050419</v>
      </c>
      <c r="AA528" s="59">
        <v>896626.64511044987</v>
      </c>
      <c r="AB528" s="59">
        <v>2213826.7273940565</v>
      </c>
      <c r="AC528" s="59">
        <v>1303392.5166513447</v>
      </c>
      <c r="AD528" s="59">
        <v>4688207.9206190128</v>
      </c>
      <c r="AE528" s="59">
        <v>3113853978.689465</v>
      </c>
      <c r="AF528" s="68">
        <v>4688207.9206190128</v>
      </c>
    </row>
    <row r="529" spans="1:32" x14ac:dyDescent="0.2">
      <c r="A529" s="95">
        <v>492</v>
      </c>
      <c r="B529" s="95">
        <v>41</v>
      </c>
      <c r="C529" s="95">
        <v>0</v>
      </c>
      <c r="D529" s="95"/>
      <c r="E529" s="95">
        <v>9.0151156403149173</v>
      </c>
      <c r="F529" s="95">
        <v>163.4766695117921</v>
      </c>
      <c r="G529" s="95">
        <v>266.59616574950854</v>
      </c>
      <c r="H529" s="95">
        <v>521.17355488961448</v>
      </c>
      <c r="I529" s="95">
        <v>2067.0017559001863</v>
      </c>
      <c r="J529" s="95"/>
      <c r="K529" s="95"/>
      <c r="L529" s="95">
        <v>83.288995188811327</v>
      </c>
      <c r="M529" s="95">
        <v>376.11709821896943</v>
      </c>
      <c r="N529" s="95">
        <v>147.04767232818068</v>
      </c>
      <c r="O529" s="95">
        <v>5099.8652269254562</v>
      </c>
      <c r="P529" s="95">
        <v>1266.4177456471687</v>
      </c>
      <c r="Q529" s="95">
        <v>10000.000000000002</v>
      </c>
      <c r="S529" s="98">
        <v>5099.8652269254562</v>
      </c>
      <c r="T529" s="95">
        <v>4313.1593521411442</v>
      </c>
      <c r="U529" s="99">
        <v>2848.2613147426537</v>
      </c>
      <c r="W529" s="121">
        <v>1621.5677451385332</v>
      </c>
      <c r="X529" s="59">
        <v>29416.852119768442</v>
      </c>
      <c r="Y529" s="59">
        <v>47978.118023593379</v>
      </c>
      <c r="Z529" s="59">
        <v>193130.74070275758</v>
      </c>
      <c r="AA529" s="59">
        <v>892092.2975023865</v>
      </c>
      <c r="AB529" s="59">
        <v>2203834.7448724071</v>
      </c>
      <c r="AC529" s="59">
        <v>1297451.1094124245</v>
      </c>
      <c r="AD529" s="59">
        <v>4665525.4303784762</v>
      </c>
      <c r="AE529" s="59">
        <v>3118519504.1198435</v>
      </c>
      <c r="AF529" s="68">
        <v>4665525.4303784762</v>
      </c>
    </row>
    <row r="530" spans="1:32" x14ac:dyDescent="0.2">
      <c r="A530" s="95">
        <v>493</v>
      </c>
      <c r="B530" s="95">
        <v>41</v>
      </c>
      <c r="C530" s="95">
        <v>1</v>
      </c>
      <c r="D530" s="95"/>
      <c r="E530" s="95">
        <v>8.9099392911779098</v>
      </c>
      <c r="F530" s="95">
        <v>162.09327686367905</v>
      </c>
      <c r="G530" s="95">
        <v>264.57718785003544</v>
      </c>
      <c r="H530" s="95">
        <v>517.80258953630482</v>
      </c>
      <c r="I530" s="95">
        <v>2058.9487558100845</v>
      </c>
      <c r="J530" s="95"/>
      <c r="K530" s="95"/>
      <c r="L530" s="95">
        <v>82.996457355739622</v>
      </c>
      <c r="M530" s="95">
        <v>374.86991953996704</v>
      </c>
      <c r="N530" s="95">
        <v>146.54818786040155</v>
      </c>
      <c r="O530" s="95">
        <v>5109.8713159428744</v>
      </c>
      <c r="P530" s="95">
        <v>1273.3823699497377</v>
      </c>
      <c r="Q530" s="95">
        <v>10000.000000000002</v>
      </c>
      <c r="S530" s="98">
        <v>5109.8713159428744</v>
      </c>
      <c r="T530" s="95">
        <v>4319.8771078478194</v>
      </c>
      <c r="U530" s="99">
        <v>2853.2761179871814</v>
      </c>
      <c r="W530" s="121">
        <v>1600.7576257425887</v>
      </c>
      <c r="X530" s="59">
        <v>29133.591075399228</v>
      </c>
      <c r="Y530" s="59">
        <v>47558.773681966399</v>
      </c>
      <c r="Z530" s="59">
        <v>191656.10854163612</v>
      </c>
      <c r="AA530" s="59">
        <v>887575.24577421846</v>
      </c>
      <c r="AB530" s="59">
        <v>2193869.9814769905</v>
      </c>
      <c r="AC530" s="59">
        <v>1291527.1570336358</v>
      </c>
      <c r="AD530" s="59">
        <v>4642921.6152095888</v>
      </c>
      <c r="AE530" s="59">
        <v>3123162425.7350531</v>
      </c>
      <c r="AF530" s="68">
        <v>4642921.6152095888</v>
      </c>
    </row>
    <row r="531" spans="1:32" x14ac:dyDescent="0.2">
      <c r="A531" s="95">
        <v>494</v>
      </c>
      <c r="B531" s="95">
        <v>41</v>
      </c>
      <c r="C531" s="95">
        <v>2</v>
      </c>
      <c r="D531" s="95"/>
      <c r="E531" s="95">
        <v>8.805989999447501</v>
      </c>
      <c r="F531" s="95">
        <v>160.72130927999493</v>
      </c>
      <c r="G531" s="95">
        <v>262.57247040594024</v>
      </c>
      <c r="H531" s="95">
        <v>514.45048141934296</v>
      </c>
      <c r="I531" s="95">
        <v>2050.9141720554717</v>
      </c>
      <c r="J531" s="95"/>
      <c r="K531" s="95"/>
      <c r="L531" s="95">
        <v>82.703938782398311</v>
      </c>
      <c r="M531" s="95">
        <v>373.62430269263029</v>
      </c>
      <c r="N531" s="95">
        <v>146.04931383315727</v>
      </c>
      <c r="O531" s="95">
        <v>5119.8435544798422</v>
      </c>
      <c r="P531" s="95">
        <v>1280.3144670517768</v>
      </c>
      <c r="Q531" s="95">
        <v>10000.000000000002</v>
      </c>
      <c r="S531" s="98">
        <v>5119.8435544798422</v>
      </c>
      <c r="T531" s="95">
        <v>4326.5686913042018</v>
      </c>
      <c r="U531" s="99">
        <v>2858.2728010047022</v>
      </c>
      <c r="W531" s="121">
        <v>1580.2145695455588</v>
      </c>
      <c r="X531" s="59">
        <v>28853.006952983662</v>
      </c>
      <c r="Y531" s="59">
        <v>47142.909329744747</v>
      </c>
      <c r="Z531" s="59">
        <v>190191.64438059425</v>
      </c>
      <c r="AA531" s="59">
        <v>883075.47530014114</v>
      </c>
      <c r="AB531" s="59">
        <v>2183932.7323094858</v>
      </c>
      <c r="AC531" s="59">
        <v>1285620.6807922684</v>
      </c>
      <c r="AD531" s="59">
        <v>4620396.6636347631</v>
      </c>
      <c r="AE531" s="59">
        <v>3127782822.3986878</v>
      </c>
      <c r="AF531" s="68">
        <v>4620396.6636347631</v>
      </c>
    </row>
    <row r="532" spans="1:32" x14ac:dyDescent="0.2">
      <c r="A532" s="95">
        <v>495</v>
      </c>
      <c r="B532" s="95">
        <v>41</v>
      </c>
      <c r="C532" s="95">
        <v>3</v>
      </c>
      <c r="D532" s="95"/>
      <c r="E532" s="95">
        <v>8.7032534494539462</v>
      </c>
      <c r="F532" s="95">
        <v>159.36067589896959</v>
      </c>
      <c r="G532" s="95">
        <v>260.58192440766942</v>
      </c>
      <c r="H532" s="95">
        <v>511.11715471362834</v>
      </c>
      <c r="I532" s="95">
        <v>2042.8980702861741</v>
      </c>
      <c r="J532" s="95"/>
      <c r="K532" s="95"/>
      <c r="L532" s="95">
        <v>82.411457449767667</v>
      </c>
      <c r="M532" s="95">
        <v>372.38026268992468</v>
      </c>
      <c r="N532" s="95">
        <v>145.55105780017041</v>
      </c>
      <c r="O532" s="95">
        <v>5129.7819791270695</v>
      </c>
      <c r="P532" s="95">
        <v>1287.2141641771746</v>
      </c>
      <c r="Q532" s="95">
        <v>10000.000000000002</v>
      </c>
      <c r="S532" s="98">
        <v>5129.7819791270695</v>
      </c>
      <c r="T532" s="95">
        <v>4333.234162363382</v>
      </c>
      <c r="U532" s="99">
        <v>2863.2513942404589</v>
      </c>
      <c r="W532" s="121">
        <v>1559.9351492363908</v>
      </c>
      <c r="X532" s="59">
        <v>28575.075141014731</v>
      </c>
      <c r="Y532" s="59">
        <v>46730.498398597556</v>
      </c>
      <c r="Z532" s="59">
        <v>188737.29022447174</v>
      </c>
      <c r="AA532" s="59">
        <v>878592.97090916883</v>
      </c>
      <c r="AB532" s="59">
        <v>2174023.1140648886</v>
      </c>
      <c r="AC532" s="59">
        <v>1279731.7038690709</v>
      </c>
      <c r="AD532" s="59">
        <v>4597950.5877564484</v>
      </c>
      <c r="AE532" s="59">
        <v>3132380772.9864445</v>
      </c>
      <c r="AF532" s="68">
        <v>4597950.5877564484</v>
      </c>
    </row>
    <row r="533" spans="1:32" x14ac:dyDescent="0.2">
      <c r="A533" s="95">
        <v>496</v>
      </c>
      <c r="B533" s="95">
        <v>41</v>
      </c>
      <c r="C533" s="95">
        <v>4</v>
      </c>
      <c r="D533" s="95"/>
      <c r="E533" s="95">
        <v>8.6017154925436508</v>
      </c>
      <c r="F533" s="95">
        <v>158.01128653701105</v>
      </c>
      <c r="G533" s="95">
        <v>258.60546126276239</v>
      </c>
      <c r="H533" s="95">
        <v>507.80253358227219</v>
      </c>
      <c r="I533" s="95">
        <v>2034.9005150032601</v>
      </c>
      <c r="J533" s="95"/>
      <c r="K533" s="95"/>
      <c r="L533" s="95">
        <v>82.119030954116269</v>
      </c>
      <c r="M533" s="95">
        <v>371.13781447985269</v>
      </c>
      <c r="N533" s="95">
        <v>145.05342729545615</v>
      </c>
      <c r="O533" s="95">
        <v>5139.6866271568861</v>
      </c>
      <c r="P533" s="95">
        <v>1294.0815882358413</v>
      </c>
      <c r="Q533" s="95">
        <v>10000.000000000002</v>
      </c>
      <c r="S533" s="98">
        <v>5139.6866271568861</v>
      </c>
      <c r="T533" s="95">
        <v>4339.8735810918124</v>
      </c>
      <c r="U533" s="99">
        <v>2868.211928403251</v>
      </c>
      <c r="W533" s="121">
        <v>1539.9159814878572</v>
      </c>
      <c r="X533" s="59">
        <v>28299.771244786138</v>
      </c>
      <c r="Y533" s="59">
        <v>46321.514493464754</v>
      </c>
      <c r="Z533" s="59">
        <v>187292.98827055143</v>
      </c>
      <c r="AA533" s="59">
        <v>874127.71689137642</v>
      </c>
      <c r="AB533" s="59">
        <v>2164141.2399994731</v>
      </c>
      <c r="AC533" s="59">
        <v>1273860.2494025901</v>
      </c>
      <c r="AD533" s="59">
        <v>4575583.3962837299</v>
      </c>
      <c r="AE533" s="59">
        <v>3136956356.3827281</v>
      </c>
      <c r="AF533" s="68">
        <v>4575583.3962837299</v>
      </c>
    </row>
    <row r="534" spans="1:32" x14ac:dyDescent="0.2">
      <c r="A534" s="95">
        <v>497</v>
      </c>
      <c r="B534" s="95">
        <v>41</v>
      </c>
      <c r="C534" s="95">
        <v>5</v>
      </c>
      <c r="D534" s="95"/>
      <c r="E534" s="95">
        <v>8.501362145130642</v>
      </c>
      <c r="F534" s="95">
        <v>156.67305168423024</v>
      </c>
      <c r="G534" s="95">
        <v>256.64299279568496</v>
      </c>
      <c r="H534" s="95">
        <v>504.50654218090517</v>
      </c>
      <c r="I534" s="95">
        <v>2026.9215695662015</v>
      </c>
      <c r="J534" s="95"/>
      <c r="K534" s="95"/>
      <c r="L534" s="95">
        <v>81.826676514937304</v>
      </c>
      <c r="M534" s="95">
        <v>369.89697294363526</v>
      </c>
      <c r="N534" s="95">
        <v>144.55642983017285</v>
      </c>
      <c r="O534" s="95">
        <v>5149.5575365160985</v>
      </c>
      <c r="P534" s="95">
        <v>1300.9168658230051</v>
      </c>
      <c r="Q534" s="95">
        <v>10000.000000000002</v>
      </c>
      <c r="S534" s="98">
        <v>5149.5575365160985</v>
      </c>
      <c r="T534" s="95">
        <v>4346.4870077655733</v>
      </c>
      <c r="U534" s="99">
        <v>2873.1544344615472</v>
      </c>
      <c r="W534" s="121">
        <v>1520.1537263920961</v>
      </c>
      <c r="X534" s="59">
        <v>28027.071084616986</v>
      </c>
      <c r="Y534" s="59">
        <v>45915.931391825834</v>
      </c>
      <c r="Z534" s="59">
        <v>185858.68090967325</v>
      </c>
      <c r="AA534" s="59">
        <v>869679.69700410753</v>
      </c>
      <c r="AB534" s="59">
        <v>2154287.2199941264</v>
      </c>
      <c r="AC534" s="59">
        <v>1268006.3404421143</v>
      </c>
      <c r="AD534" s="59">
        <v>4553295.0945528559</v>
      </c>
      <c r="AE534" s="59">
        <v>3141509651.4772811</v>
      </c>
      <c r="AF534" s="68">
        <v>4553295.0945528559</v>
      </c>
    </row>
    <row r="535" spans="1:32" x14ac:dyDescent="0.2">
      <c r="A535" s="95">
        <v>498</v>
      </c>
      <c r="B535" s="95">
        <v>41</v>
      </c>
      <c r="C535" s="95">
        <v>6</v>
      </c>
      <c r="D535" s="95"/>
      <c r="E535" s="95">
        <v>8.4021795867707851</v>
      </c>
      <c r="F535" s="95">
        <v>155.3458824999872</v>
      </c>
      <c r="G535" s="95">
        <v>254.69443124763302</v>
      </c>
      <c r="H535" s="95">
        <v>501.22910466193321</v>
      </c>
      <c r="I535" s="95">
        <v>2018.961296200031</v>
      </c>
      <c r="J535" s="95"/>
      <c r="K535" s="95"/>
      <c r="L535" s="95">
        <v>81.534410982710639</v>
      </c>
      <c r="M535" s="95">
        <v>368.65775289394077</v>
      </c>
      <c r="N535" s="95">
        <v>144.06007288963383</v>
      </c>
      <c r="O535" s="95">
        <v>5159.3947458188395</v>
      </c>
      <c r="P535" s="95">
        <v>1307.7201232185218</v>
      </c>
      <c r="Q535" s="95">
        <v>10000.000000000002</v>
      </c>
      <c r="S535" s="98">
        <v>5159.3947458188395</v>
      </c>
      <c r="T535" s="95">
        <v>4353.0745028666634</v>
      </c>
      <c r="U535" s="99">
        <v>2878.0789436396399</v>
      </c>
      <c r="W535" s="121">
        <v>1500.6450869033977</v>
      </c>
      <c r="X535" s="59">
        <v>27756.950694089035</v>
      </c>
      <c r="Y535" s="59">
        <v>45513.723042965481</v>
      </c>
      <c r="Z535" s="59">
        <v>184434.31072731837</v>
      </c>
      <c r="AA535" s="59">
        <v>865248.8944781482</v>
      </c>
      <c r="AB535" s="59">
        <v>2144461.1606162889</v>
      </c>
      <c r="AC535" s="59">
        <v>1262169.9999032442</v>
      </c>
      <c r="AD535" s="59">
        <v>4531085.6845489573</v>
      </c>
      <c r="AE535" s="59">
        <v>3146040737.1618299</v>
      </c>
      <c r="AF535" s="68">
        <v>4531085.6845489573</v>
      </c>
    </row>
    <row r="536" spans="1:32" x14ac:dyDescent="0.2">
      <c r="A536" s="95">
        <v>499</v>
      </c>
      <c r="B536" s="95">
        <v>41</v>
      </c>
      <c r="C536" s="95">
        <v>7</v>
      </c>
      <c r="D536" s="95"/>
      <c r="E536" s="95">
        <v>8.3041541582584593</v>
      </c>
      <c r="F536" s="95">
        <v>154.02969080845833</v>
      </c>
      <c r="G536" s="95">
        <v>252.75968927630697</v>
      </c>
      <c r="H536" s="95">
        <v>497.97014517874214</v>
      </c>
      <c r="I536" s="95">
        <v>2011.0197560024963</v>
      </c>
      <c r="J536" s="95"/>
      <c r="K536" s="95"/>
      <c r="L536" s="95">
        <v>81.242250846494542</v>
      </c>
      <c r="M536" s="95">
        <v>367.42016907316111</v>
      </c>
      <c r="N536" s="95">
        <v>143.56436393047363</v>
      </c>
      <c r="O536" s="95">
        <v>5169.1982943394105</v>
      </c>
      <c r="P536" s="95">
        <v>1314.4914863862002</v>
      </c>
      <c r="Q536" s="95">
        <v>10000.000000000002</v>
      </c>
      <c r="S536" s="98">
        <v>5169.1982943394105</v>
      </c>
      <c r="T536" s="95">
        <v>4359.6361270793132</v>
      </c>
      <c r="U536" s="99">
        <v>2882.9854874138409</v>
      </c>
      <c r="W536" s="121">
        <v>1481.3868082881374</v>
      </c>
      <c r="X536" s="59">
        <v>27489.386318296441</v>
      </c>
      <c r="Y536" s="59">
        <v>45114.863567236476</v>
      </c>
      <c r="Z536" s="59">
        <v>183019.82050466497</v>
      </c>
      <c r="AA536" s="59">
        <v>860835.2920238669</v>
      </c>
      <c r="AB536" s="59">
        <v>2134663.1651805388</v>
      </c>
      <c r="AC536" s="59">
        <v>1256351.2505259749</v>
      </c>
      <c r="AD536" s="59">
        <v>4508955.1649288666</v>
      </c>
      <c r="AE536" s="59">
        <v>3150549692.3267589</v>
      </c>
      <c r="AF536" s="68">
        <v>4508955.1649288666</v>
      </c>
    </row>
    <row r="537" spans="1:32" x14ac:dyDescent="0.2">
      <c r="A537" s="95">
        <v>500</v>
      </c>
      <c r="B537" s="95">
        <v>41</v>
      </c>
      <c r="C537" s="95">
        <v>8</v>
      </c>
      <c r="D537" s="95"/>
      <c r="E537" s="95">
        <v>8.2072723597454438</v>
      </c>
      <c r="F537" s="95">
        <v>152.72438909422522</v>
      </c>
      <c r="G537" s="95">
        <v>250.83867995565757</v>
      </c>
      <c r="H537" s="95">
        <v>494.72958788985147</v>
      </c>
      <c r="I537" s="95">
        <v>2003.0970089512082</v>
      </c>
      <c r="J537" s="95"/>
      <c r="K537" s="95"/>
      <c r="L537" s="95">
        <v>80.950212241351124</v>
      </c>
      <c r="M537" s="95">
        <v>366.1842361517339</v>
      </c>
      <c r="N537" s="95">
        <v>143.06931037796184</v>
      </c>
      <c r="O537" s="95">
        <v>5178.9682220051245</v>
      </c>
      <c r="P537" s="95">
        <v>1321.2310809731428</v>
      </c>
      <c r="Q537" s="95">
        <v>10000.000000000002</v>
      </c>
      <c r="S537" s="98">
        <v>5178.9682220051245</v>
      </c>
      <c r="T537" s="95">
        <v>4366.1719412863213</v>
      </c>
      <c r="U537" s="99">
        <v>2887.8740975087221</v>
      </c>
      <c r="W537" s="121">
        <v>1462.3756775817731</v>
      </c>
      <c r="X537" s="59">
        <v>27224.354412107899</v>
      </c>
      <c r="Y537" s="59">
        <v>44719.327255319731</v>
      </c>
      <c r="Z537" s="59">
        <v>181615.15321961476</v>
      </c>
      <c r="AA537" s="59">
        <v>856438.87183732016</v>
      </c>
      <c r="AB537" s="59">
        <v>2124893.3338078507</v>
      </c>
      <c r="AC537" s="59">
        <v>1250550.1148351771</v>
      </c>
      <c r="AD537" s="59">
        <v>4486903.5310449721</v>
      </c>
      <c r="AE537" s="59">
        <v>3155036595.8578038</v>
      </c>
      <c r="AF537" s="68">
        <v>4486903.5310449721</v>
      </c>
    </row>
    <row r="538" spans="1:32" x14ac:dyDescent="0.2">
      <c r="A538" s="95">
        <v>501</v>
      </c>
      <c r="B538" s="95">
        <v>41</v>
      </c>
      <c r="C538" s="95">
        <v>9</v>
      </c>
      <c r="D538" s="95"/>
      <c r="E538" s="95">
        <v>8.1115208488817476</v>
      </c>
      <c r="F538" s="95">
        <v>151.42989049788471</v>
      </c>
      <c r="G538" s="95">
        <v>248.93131677560342</v>
      </c>
      <c r="H538" s="95">
        <v>491.50735696301729</v>
      </c>
      <c r="I538" s="95">
        <v>1995.1931139107858</v>
      </c>
      <c r="J538" s="95"/>
      <c r="K538" s="95"/>
      <c r="L538" s="95">
        <v>80.658310955609068</v>
      </c>
      <c r="M538" s="95">
        <v>364.94996872650984</v>
      </c>
      <c r="N538" s="95">
        <v>142.57491962345884</v>
      </c>
      <c r="O538" s="95">
        <v>5188.7045693891505</v>
      </c>
      <c r="P538" s="95">
        <v>1327.9390323091011</v>
      </c>
      <c r="Q538" s="95">
        <v>10000.000000000002</v>
      </c>
      <c r="S538" s="98">
        <v>5188.7045693891505</v>
      </c>
      <c r="T538" s="95">
        <v>4372.6820065654128</v>
      </c>
      <c r="U538" s="99">
        <v>2892.7448058933928</v>
      </c>
      <c r="W538" s="121">
        <v>1443.608523052807</v>
      </c>
      <c r="X538" s="59">
        <v>26961.831638441228</v>
      </c>
      <c r="Y538" s="59">
        <v>44327.088567481725</v>
      </c>
      <c r="Z538" s="59">
        <v>180220.25204779184</v>
      </c>
      <c r="AA538" s="59">
        <v>852059.61560632382</v>
      </c>
      <c r="AB538" s="59">
        <v>2115151.7634835625</v>
      </c>
      <c r="AC538" s="59">
        <v>1244766.6151033673</v>
      </c>
      <c r="AD538" s="59">
        <v>4464930.7749700211</v>
      </c>
      <c r="AE538" s="59">
        <v>3159501526.6327739</v>
      </c>
      <c r="AF538" s="68">
        <v>4464930.7749700211</v>
      </c>
    </row>
    <row r="539" spans="1:32" x14ac:dyDescent="0.2">
      <c r="A539" s="95">
        <v>502</v>
      </c>
      <c r="B539" s="95">
        <v>41</v>
      </c>
      <c r="C539" s="95">
        <v>10</v>
      </c>
      <c r="D539" s="95"/>
      <c r="E539" s="95">
        <v>8.016886438978128</v>
      </c>
      <c r="F539" s="95">
        <v>150.14610881168034</v>
      </c>
      <c r="G539" s="95">
        <v>247.03751364172084</v>
      </c>
      <c r="H539" s="95">
        <v>488.30337657928504</v>
      </c>
      <c r="I539" s="95">
        <v>1987.3081286399934</v>
      </c>
      <c r="J539" s="95"/>
      <c r="K539" s="95"/>
      <c r="L539" s="95">
        <v>80.366562437967389</v>
      </c>
      <c r="M539" s="95">
        <v>363.7173813191647</v>
      </c>
      <c r="N539" s="95">
        <v>142.08119902200707</v>
      </c>
      <c r="O539" s="95">
        <v>5198.4073777033591</v>
      </c>
      <c r="P539" s="95">
        <v>1334.6154654058462</v>
      </c>
      <c r="Q539" s="95">
        <v>10000.000000000002</v>
      </c>
      <c r="S539" s="98">
        <v>5198.4073777033591</v>
      </c>
      <c r="T539" s="95">
        <v>4379.1663841856225</v>
      </c>
      <c r="U539" s="99">
        <v>2897.5976447778207</v>
      </c>
      <c r="W539" s="121">
        <v>1425.0822136736294</v>
      </c>
      <c r="X539" s="59">
        <v>26701.794866550172</v>
      </c>
      <c r="Y539" s="59">
        <v>43938.122132829463</v>
      </c>
      <c r="Z539" s="59">
        <v>178835.06036351301</v>
      </c>
      <c r="AA539" s="59">
        <v>847697.5045164905</v>
      </c>
      <c r="AB539" s="59">
        <v>2105438.548114086</v>
      </c>
      <c r="AC539" s="59">
        <v>1239000.773315669</v>
      </c>
      <c r="AD539" s="59">
        <v>4443036.8855228117</v>
      </c>
      <c r="AE539" s="59">
        <v>3163944563.5182967</v>
      </c>
      <c r="AF539" s="68">
        <v>4443036.8855228117</v>
      </c>
    </row>
    <row r="540" spans="1:32" x14ac:dyDescent="0.2">
      <c r="A540" s="95">
        <v>503</v>
      </c>
      <c r="B540" s="95">
        <v>41</v>
      </c>
      <c r="C540" s="95">
        <v>11</v>
      </c>
      <c r="D540" s="95"/>
      <c r="E540" s="95">
        <v>7.9233560971900499</v>
      </c>
      <c r="F540" s="95">
        <v>148.87295847515526</v>
      </c>
      <c r="G540" s="95">
        <v>245.15718487490639</v>
      </c>
      <c r="H540" s="95">
        <v>485.11757093699219</v>
      </c>
      <c r="I540" s="95">
        <v>1979.4421097988732</v>
      </c>
      <c r="J540" s="95"/>
      <c r="K540" s="95"/>
      <c r="L540" s="95">
        <v>80.07498180444388</v>
      </c>
      <c r="M540" s="95">
        <v>362.48648837465521</v>
      </c>
      <c r="N540" s="95">
        <v>141.58815589005221</v>
      </c>
      <c r="O540" s="95">
        <v>5208.0766887911805</v>
      </c>
      <c r="P540" s="95">
        <v>1341.2605049565534</v>
      </c>
      <c r="Q540" s="95">
        <v>10000.000000000002</v>
      </c>
      <c r="S540" s="98">
        <v>5208.0766887911805</v>
      </c>
      <c r="T540" s="95">
        <v>4385.6251356037028</v>
      </c>
      <c r="U540" s="99">
        <v>2902.4326466091911</v>
      </c>
      <c r="W540" s="121">
        <v>1406.7936585981511</v>
      </c>
      <c r="X540" s="59">
        <v>26444.221170323563</v>
      </c>
      <c r="Y540" s="59">
        <v>43552.402748563007</v>
      </c>
      <c r="Z540" s="59">
        <v>177459.52174073059</v>
      </c>
      <c r="AA540" s="59">
        <v>843352.51925723185</v>
      </c>
      <c r="AB540" s="59">
        <v>2095753.7785823876</v>
      </c>
      <c r="AC540" s="59">
        <v>1233252.6111368623</v>
      </c>
      <c r="AD540" s="59">
        <v>4421221.8482946968</v>
      </c>
      <c r="AE540" s="59">
        <v>3168365785.3665915</v>
      </c>
      <c r="AF540" s="68">
        <v>4421221.8482946968</v>
      </c>
    </row>
    <row r="541" spans="1:32" x14ac:dyDescent="0.2">
      <c r="A541" s="95">
        <v>504</v>
      </c>
      <c r="B541" s="95">
        <v>42</v>
      </c>
      <c r="C541" s="95">
        <v>0</v>
      </c>
      <c r="D541" s="95"/>
      <c r="E541" s="95">
        <v>7.8309169427228325</v>
      </c>
      <c r="F541" s="95">
        <v>147.61035457082647</v>
      </c>
      <c r="G541" s="95">
        <v>243.29024521101277</v>
      </c>
      <c r="H541" s="95">
        <v>481.94986425572108</v>
      </c>
      <c r="I541" s="95">
        <v>1971.5951129558712</v>
      </c>
      <c r="J541" s="95"/>
      <c r="K541" s="95"/>
      <c r="L541" s="95">
        <v>79.783583845171677</v>
      </c>
      <c r="M541" s="95">
        <v>361.25730425971807</v>
      </c>
      <c r="N541" s="95">
        <v>141.09579750328882</v>
      </c>
      <c r="O541" s="95">
        <v>5217.7125451204656</v>
      </c>
      <c r="P541" s="95">
        <v>1347.8742753352037</v>
      </c>
      <c r="Q541" s="95">
        <v>10000.000000000002</v>
      </c>
      <c r="S541" s="98">
        <v>5217.7125451204656</v>
      </c>
      <c r="T541" s="95">
        <v>4392.0583224605489</v>
      </c>
      <c r="U541" s="99">
        <v>2907.2498440683048</v>
      </c>
      <c r="W541" s="121">
        <v>1388.7398066461415</v>
      </c>
      <c r="X541" s="59">
        <v>26189.087826596606</v>
      </c>
      <c r="Y541" s="59">
        <v>43169.905379225769</v>
      </c>
      <c r="Z541" s="59">
        <v>176093.57995394786</v>
      </c>
      <c r="AA541" s="59">
        <v>839024.64002772747</v>
      </c>
      <c r="AB541" s="59">
        <v>2086097.5428022726</v>
      </c>
      <c r="AC541" s="59">
        <v>1227522.1498804286</v>
      </c>
      <c r="AD541" s="59">
        <v>4399485.6456768448</v>
      </c>
      <c r="AE541" s="59">
        <v>3172765271.0122681</v>
      </c>
      <c r="AF541" s="68">
        <v>4399485.6456768448</v>
      </c>
    </row>
    <row r="542" spans="1:32" x14ac:dyDescent="0.2">
      <c r="A542" s="95">
        <v>505</v>
      </c>
      <c r="B542" s="95">
        <v>42</v>
      </c>
      <c r="C542" s="95">
        <v>1</v>
      </c>
      <c r="D542" s="95"/>
      <c r="E542" s="95">
        <v>7.7395562450577327</v>
      </c>
      <c r="F542" s="95">
        <v>146.35821281988058</v>
      </c>
      <c r="G542" s="95">
        <v>241.43660980045823</v>
      </c>
      <c r="H542" s="95">
        <v>478.80018078020242</v>
      </c>
      <c r="I542" s="95">
        <v>1963.767192594956</v>
      </c>
      <c r="J542" s="95"/>
      <c r="K542" s="95"/>
      <c r="L542" s="95">
        <v>79.492383031047439</v>
      </c>
      <c r="M542" s="95">
        <v>360.02984326141097</v>
      </c>
      <c r="N542" s="95">
        <v>140.60413109462505</v>
      </c>
      <c r="O542" s="95">
        <v>5227.3149897763669</v>
      </c>
      <c r="P542" s="95">
        <v>1354.456900595997</v>
      </c>
      <c r="Q542" s="95">
        <v>10000.000000000002</v>
      </c>
      <c r="S542" s="98">
        <v>5227.3149897763669</v>
      </c>
      <c r="T542" s="95">
        <v>4398.4660065776552</v>
      </c>
      <c r="U542" s="99">
        <v>2912.0492700660143</v>
      </c>
      <c r="W542" s="121">
        <v>1370.9176457941828</v>
      </c>
      <c r="X542" s="59">
        <v>25936.372313474341</v>
      </c>
      <c r="Y542" s="59">
        <v>42790.605155952624</v>
      </c>
      <c r="Z542" s="59">
        <v>174737.17897910732</v>
      </c>
      <c r="AA542" s="59">
        <v>834713.84654285829</v>
      </c>
      <c r="AB542" s="59">
        <v>2076469.925771506</v>
      </c>
      <c r="AC542" s="59">
        <v>1221809.4104795011</v>
      </c>
      <c r="AD542" s="59">
        <v>4377828.256888194</v>
      </c>
      <c r="AE542" s="59">
        <v>3177143099.2691565</v>
      </c>
      <c r="AF542" s="68">
        <v>4377828.256888194</v>
      </c>
    </row>
    <row r="543" spans="1:32" x14ac:dyDescent="0.2">
      <c r="A543" s="95">
        <v>506</v>
      </c>
      <c r="B543" s="95">
        <v>42</v>
      </c>
      <c r="C543" s="95">
        <v>2</v>
      </c>
      <c r="D543" s="95"/>
      <c r="E543" s="95">
        <v>7.6492614221987258</v>
      </c>
      <c r="F543" s="95">
        <v>145.11644957789096</v>
      </c>
      <c r="G543" s="95">
        <v>239.59619420781024</v>
      </c>
      <c r="H543" s="95">
        <v>475.66844478416965</v>
      </c>
      <c r="I543" s="95">
        <v>1955.9584021227299</v>
      </c>
      <c r="J543" s="95"/>
      <c r="K543" s="95"/>
      <c r="L543" s="95">
        <v>79.201393520234447</v>
      </c>
      <c r="M543" s="95">
        <v>358.80411958569573</v>
      </c>
      <c r="N543" s="95">
        <v>140.11316385226132</v>
      </c>
      <c r="O543" s="95">
        <v>5236.8840664542276</v>
      </c>
      <c r="P543" s="95">
        <v>1361.0085044727834</v>
      </c>
      <c r="Q543" s="95">
        <v>10000.000000000002</v>
      </c>
      <c r="S543" s="98">
        <v>5236.8840664542276</v>
      </c>
      <c r="T543" s="95">
        <v>4404.8482499535885</v>
      </c>
      <c r="U543" s="99">
        <v>2916.830957739699</v>
      </c>
      <c r="W543" s="121">
        <v>1353.3242026731575</v>
      </c>
      <c r="X543" s="59">
        <v>25686.052308667178</v>
      </c>
      <c r="Y543" s="59">
        <v>42414.477375716022</v>
      </c>
      <c r="Z543" s="59">
        <v>173390.26299445215</v>
      </c>
      <c r="AA543" s="59">
        <v>830420.11803910648</v>
      </c>
      <c r="AB543" s="59">
        <v>2066871.0096237916</v>
      </c>
      <c r="AC543" s="59">
        <v>1216114.4134596337</v>
      </c>
      <c r="AD543" s="59">
        <v>4356249.6580040399</v>
      </c>
      <c r="AE543" s="59">
        <v>3181499348.9271603</v>
      </c>
      <c r="AF543" s="68">
        <v>4356249.6580040399</v>
      </c>
    </row>
    <row r="544" spans="1:32" x14ac:dyDescent="0.2">
      <c r="A544" s="95">
        <v>507</v>
      </c>
      <c r="B544" s="95">
        <v>42</v>
      </c>
      <c r="C544" s="95">
        <v>3</v>
      </c>
      <c r="D544" s="95"/>
      <c r="E544" s="95">
        <v>7.5600200389397409</v>
      </c>
      <c r="F544" s="95">
        <v>143.88498183055637</v>
      </c>
      <c r="G544" s="95">
        <v>237.7689144113439</v>
      </c>
      <c r="H544" s="95">
        <v>472.55458057416445</v>
      </c>
      <c r="I544" s="95">
        <v>1948.1687938755329</v>
      </c>
      <c r="J544" s="95"/>
      <c r="K544" s="95"/>
      <c r="L544" s="95">
        <v>78.910629164523925</v>
      </c>
      <c r="M544" s="95">
        <v>357.58014735606179</v>
      </c>
      <c r="N544" s="95">
        <v>139.62290291787832</v>
      </c>
      <c r="O544" s="95">
        <v>5246.4198194524943</v>
      </c>
      <c r="P544" s="95">
        <v>1367.5292103785066</v>
      </c>
      <c r="Q544" s="95">
        <v>10000.000000000002</v>
      </c>
      <c r="S544" s="98">
        <v>5246.4198194524943</v>
      </c>
      <c r="T544" s="95">
        <v>4411.205114760487</v>
      </c>
      <c r="U544" s="99">
        <v>2921.594940449776</v>
      </c>
      <c r="W544" s="121">
        <v>1335.9565420721851</v>
      </c>
      <c r="X544" s="59">
        <v>25438.105687838459</v>
      </c>
      <c r="Y544" s="59">
        <v>42041.497500570127</v>
      </c>
      <c r="Z544" s="59">
        <v>172052.77638136112</v>
      </c>
      <c r="AA544" s="59">
        <v>826143.43328041979</v>
      </c>
      <c r="AB544" s="59">
        <v>2057300.8736796447</v>
      </c>
      <c r="AC544" s="59">
        <v>1210437.1789133046</v>
      </c>
      <c r="AD544" s="59">
        <v>4334749.8219852112</v>
      </c>
      <c r="AE544" s="59">
        <v>3185834098.7491455</v>
      </c>
      <c r="AF544" s="68">
        <v>4334749.8219852112</v>
      </c>
    </row>
    <row r="545" spans="1:32" x14ac:dyDescent="0.2">
      <c r="A545" s="95">
        <v>508</v>
      </c>
      <c r="B545" s="95">
        <v>42</v>
      </c>
      <c r="C545" s="95">
        <v>4</v>
      </c>
      <c r="D545" s="95"/>
      <c r="E545" s="95">
        <v>7.4718198051521103</v>
      </c>
      <c r="F545" s="95">
        <v>142.66372718946101</v>
      </c>
      <c r="G545" s="95">
        <v>235.95468680257517</v>
      </c>
      <c r="H545" s="95">
        <v>469.45851249329382</v>
      </c>
      <c r="I545" s="95">
        <v>1940.3984191265381</v>
      </c>
      <c r="J545" s="95"/>
      <c r="K545" s="95"/>
      <c r="L545" s="95">
        <v>78.62010351555783</v>
      </c>
      <c r="M545" s="95">
        <v>356.35794061219042</v>
      </c>
      <c r="N545" s="95">
        <v>139.13335538492933</v>
      </c>
      <c r="O545" s="95">
        <v>5255.9222936656406</v>
      </c>
      <c r="P545" s="95">
        <v>1374.0191414046637</v>
      </c>
      <c r="Q545" s="95">
        <v>10000.000000000002</v>
      </c>
      <c r="S545" s="98">
        <v>5255.9222936656406</v>
      </c>
      <c r="T545" s="95">
        <v>4417.5366633405829</v>
      </c>
      <c r="U545" s="99">
        <v>2926.3412517762476</v>
      </c>
      <c r="W545" s="121">
        <v>1318.8117664489255</v>
      </c>
      <c r="X545" s="59">
        <v>25192.51052296397</v>
      </c>
      <c r="Y545" s="59">
        <v>41671.641156893194</v>
      </c>
      <c r="Z545" s="59">
        <v>170724.66372515756</v>
      </c>
      <c r="AA545" s="59">
        <v>821883.77056404215</v>
      </c>
      <c r="AB545" s="59">
        <v>2047759.5944961824</v>
      </c>
      <c r="AC545" s="59">
        <v>1204777.7264760749</v>
      </c>
      <c r="AD545" s="59">
        <v>4313328.7187077627</v>
      </c>
      <c r="AE545" s="59">
        <v>3190147427.4678531</v>
      </c>
      <c r="AF545" s="68">
        <v>4313328.7187077627</v>
      </c>
    </row>
    <row r="546" spans="1:32" x14ac:dyDescent="0.2">
      <c r="A546" s="95">
        <v>509</v>
      </c>
      <c r="B546" s="95">
        <v>42</v>
      </c>
      <c r="C546" s="95">
        <v>5</v>
      </c>
      <c r="D546" s="95"/>
      <c r="E546" s="95">
        <v>7.3846485740920027</v>
      </c>
      <c r="F546" s="95">
        <v>141.4526038878561</v>
      </c>
      <c r="G546" s="95">
        <v>234.15342818576983</v>
      </c>
      <c r="H546" s="95">
        <v>466.38016492493892</v>
      </c>
      <c r="I546" s="95">
        <v>1932.6473280928385</v>
      </c>
      <c r="J546" s="95"/>
      <c r="K546" s="95"/>
      <c r="L546" s="95">
        <v>78.329829830916182</v>
      </c>
      <c r="M546" s="95">
        <v>355.13751330865813</v>
      </c>
      <c r="N546" s="95">
        <v>138.64452829703268</v>
      </c>
      <c r="O546" s="95">
        <v>5265.3915345771211</v>
      </c>
      <c r="P546" s="95">
        <v>1380.4784203207789</v>
      </c>
      <c r="Q546" s="95">
        <v>10000.000000000002</v>
      </c>
      <c r="S546" s="98">
        <v>5265.3915345771211</v>
      </c>
      <c r="T546" s="95">
        <v>4423.8429582027438</v>
      </c>
      <c r="U546" s="99">
        <v>2931.0699255152858</v>
      </c>
      <c r="W546" s="121">
        <v>1301.8870154461642</v>
      </c>
      <c r="X546" s="59">
        <v>24949.245080703382</v>
      </c>
      <c r="Y546" s="59">
        <v>41304.88413462817</v>
      </c>
      <c r="Z546" s="59">
        <v>169405.86981589196</v>
      </c>
      <c r="AA546" s="59">
        <v>817641.10772630898</v>
      </c>
      <c r="AB546" s="59">
        <v>2038247.245915859</v>
      </c>
      <c r="AC546" s="59">
        <v>1199136.0753043296</v>
      </c>
      <c r="AD546" s="59">
        <v>4291986.3149931673</v>
      </c>
      <c r="AE546" s="59">
        <v>3194439413.7828465</v>
      </c>
      <c r="AF546" s="68">
        <v>4291986.3149931673</v>
      </c>
    </row>
    <row r="547" spans="1:32" x14ac:dyDescent="0.2">
      <c r="A547" s="95">
        <v>510</v>
      </c>
      <c r="B547" s="95">
        <v>42</v>
      </c>
      <c r="C547" s="95">
        <v>6</v>
      </c>
      <c r="D547" s="95"/>
      <c r="E547" s="95">
        <v>7.2984943407275962</v>
      </c>
      <c r="F547" s="95">
        <v>140.2515307764628</v>
      </c>
      <c r="G547" s="95">
        <v>232.36505577742838</v>
      </c>
      <c r="H547" s="95">
        <v>463.31946229641608</v>
      </c>
      <c r="I547" s="95">
        <v>1924.9155699425251</v>
      </c>
      <c r="J547" s="95"/>
      <c r="K547" s="95"/>
      <c r="L547" s="95">
        <v>78.039821080072016</v>
      </c>
      <c r="M547" s="95">
        <v>353.91887931367921</v>
      </c>
      <c r="N547" s="95">
        <v>138.15642864645986</v>
      </c>
      <c r="O547" s="95">
        <v>5274.8275882523403</v>
      </c>
      <c r="P547" s="95">
        <v>1386.9071695738912</v>
      </c>
      <c r="Q547" s="95">
        <v>10000.000000000002</v>
      </c>
      <c r="S547" s="98">
        <v>5274.8275882523403</v>
      </c>
      <c r="T547" s="95">
        <v>4430.1240620190456</v>
      </c>
      <c r="U547" s="99">
        <v>2935.780995675852</v>
      </c>
      <c r="W547" s="121">
        <v>1285.1794654146051</v>
      </c>
      <c r="X547" s="59">
        <v>24708.287820783498</v>
      </c>
      <c r="Y547" s="59">
        <v>40941.202386521763</v>
      </c>
      <c r="Z547" s="59">
        <v>168096.33964909933</v>
      </c>
      <c r="AA547" s="59">
        <v>813415.4221484086</v>
      </c>
      <c r="AB547" s="59">
        <v>2028763.8991141736</v>
      </c>
      <c r="AC547" s="59">
        <v>1193512.2440545238</v>
      </c>
      <c r="AD547" s="59">
        <v>4270722.5746389255</v>
      </c>
      <c r="AE547" s="59">
        <v>3198710136.3574853</v>
      </c>
      <c r="AF547" s="68">
        <v>4270722.5746389255</v>
      </c>
    </row>
    <row r="548" spans="1:32" x14ac:dyDescent="0.2">
      <c r="A548" s="95">
        <v>511</v>
      </c>
      <c r="B548" s="95">
        <v>42</v>
      </c>
      <c r="C548" s="95">
        <v>7</v>
      </c>
      <c r="D548" s="95"/>
      <c r="E548" s="95">
        <v>7.2133452400857738</v>
      </c>
      <c r="F548" s="95">
        <v>139.06042731929674</v>
      </c>
      <c r="G548" s="95">
        <v>230.5894872057473</v>
      </c>
      <c r="H548" s="95">
        <v>460.27632908259022</v>
      </c>
      <c r="I548" s="95">
        <v>1917.2031928017543</v>
      </c>
      <c r="J548" s="95"/>
      <c r="K548" s="95"/>
      <c r="L548" s="95">
        <v>77.75008995021696</v>
      </c>
      <c r="M548" s="95">
        <v>352.70205240788607</v>
      </c>
      <c r="N548" s="95">
        <v>137.66906337271516</v>
      </c>
      <c r="O548" s="95">
        <v>5284.2305013316527</v>
      </c>
      <c r="P548" s="95">
        <v>1393.3055112880577</v>
      </c>
      <c r="Q548" s="95">
        <v>10000.000000000004</v>
      </c>
      <c r="S548" s="98">
        <v>5284.2305013316527</v>
      </c>
      <c r="T548" s="95">
        <v>4436.3800376213585</v>
      </c>
      <c r="U548" s="99">
        <v>2940.4744964763495</v>
      </c>
      <c r="W548" s="121">
        <v>1268.6863289417843</v>
      </c>
      <c r="X548" s="59">
        <v>24469.617394393325</v>
      </c>
      <c r="Y548" s="59">
        <v>40580.572027361988</v>
      </c>
      <c r="Z548" s="59">
        <v>166796.01842653111</v>
      </c>
      <c r="AA548" s="59">
        <v>809206.69076210808</v>
      </c>
      <c r="AB548" s="59">
        <v>2019309.6226463751</v>
      </c>
      <c r="AC548" s="59">
        <v>1187906.2508638641</v>
      </c>
      <c r="AD548" s="59">
        <v>4249537.4584495751</v>
      </c>
      <c r="AE548" s="59">
        <v>3202959673.8159347</v>
      </c>
      <c r="AF548" s="68">
        <v>4249537.4584495751</v>
      </c>
    </row>
    <row r="549" spans="1:32" x14ac:dyDescent="0.2">
      <c r="A549" s="95">
        <v>512</v>
      </c>
      <c r="B549" s="95">
        <v>42</v>
      </c>
      <c r="C549" s="95">
        <v>8</v>
      </c>
      <c r="D549" s="95"/>
      <c r="E549" s="95">
        <v>7.1291895456181065</v>
      </c>
      <c r="F549" s="95">
        <v>137.87921358951391</v>
      </c>
      <c r="G549" s="95">
        <v>228.82664051005716</v>
      </c>
      <c r="H549" s="95">
        <v>457.25068980944104</v>
      </c>
      <c r="I549" s="95">
        <v>1909.5102437618082</v>
      </c>
      <c r="J549" s="95"/>
      <c r="K549" s="95"/>
      <c r="L549" s="95">
        <v>77.460648851960329</v>
      </c>
      <c r="M549" s="95">
        <v>351.48704628314755</v>
      </c>
      <c r="N549" s="95">
        <v>137.18243936120297</v>
      </c>
      <c r="O549" s="95">
        <v>5293.6003210233839</v>
      </c>
      <c r="P549" s="95">
        <v>1399.6735672638699</v>
      </c>
      <c r="Q549" s="95">
        <v>10000.000000000004</v>
      </c>
      <c r="S549" s="98">
        <v>5293.6003210233839</v>
      </c>
      <c r="T549" s="95">
        <v>4442.6109479979641</v>
      </c>
      <c r="U549" s="99">
        <v>2945.1504623413143</v>
      </c>
      <c r="W549" s="121">
        <v>1252.4048543870313</v>
      </c>
      <c r="X549" s="59">
        <v>24233.212642590843</v>
      </c>
      <c r="Y549" s="59">
        <v>40222.969333214285</v>
      </c>
      <c r="Z549" s="59">
        <v>165504.85155686206</v>
      </c>
      <c r="AA549" s="59">
        <v>805014.89005544514</v>
      </c>
      <c r="AB549" s="59">
        <v>2009884.4824931889</v>
      </c>
      <c r="AC549" s="59">
        <v>1182318.113332364</v>
      </c>
      <c r="AD549" s="59">
        <v>4228430.924268052</v>
      </c>
      <c r="AE549" s="59">
        <v>3207188104.7402029</v>
      </c>
      <c r="AF549" s="68">
        <v>4228430.924268052</v>
      </c>
    </row>
    <row r="550" spans="1:32" x14ac:dyDescent="0.2">
      <c r="A550" s="95">
        <v>513</v>
      </c>
      <c r="B550" s="95">
        <v>42</v>
      </c>
      <c r="C550" s="95">
        <v>9</v>
      </c>
      <c r="D550" s="95"/>
      <c r="E550" s="95">
        <v>7.0460156675858956</v>
      </c>
      <c r="F550" s="95">
        <v>136.70781026527806</v>
      </c>
      <c r="G550" s="95">
        <v>227.07643414023804</v>
      </c>
      <c r="H550" s="95">
        <v>454.24246905758224</v>
      </c>
      <c r="I550" s="95">
        <v>1901.8367688861413</v>
      </c>
      <c r="J550" s="95"/>
      <c r="K550" s="95"/>
      <c r="L550" s="95">
        <v>77.17150992490464</v>
      </c>
      <c r="M550" s="95">
        <v>350.27387454142377</v>
      </c>
      <c r="N550" s="95">
        <v>136.69656344197892</v>
      </c>
      <c r="O550" s="95">
        <v>5302.9370950968841</v>
      </c>
      <c r="P550" s="95">
        <v>1406.0114589779862</v>
      </c>
      <c r="Q550" s="95">
        <v>10000.000000000004</v>
      </c>
      <c r="S550" s="98">
        <v>5302.9370950968841</v>
      </c>
      <c r="T550" s="95">
        <v>4448.8168562901901</v>
      </c>
      <c r="U550" s="99">
        <v>2949.8089278981352</v>
      </c>
      <c r="W550" s="121">
        <v>1236.3323254223976</v>
      </c>
      <c r="X550" s="59">
        <v>23999.052594721445</v>
      </c>
      <c r="Y550" s="59">
        <v>39868.370740656421</v>
      </c>
      <c r="Z550" s="59">
        <v>164222.78465637236</v>
      </c>
      <c r="AA550" s="59">
        <v>800839.99607838481</v>
      </c>
      <c r="AB550" s="59">
        <v>2000488.5421055914</v>
      </c>
      <c r="AC550" s="59">
        <v>1176747.8485062029</v>
      </c>
      <c r="AD550" s="59">
        <v>4207402.927007352</v>
      </c>
      <c r="AE550" s="59">
        <v>3211395507.6672101</v>
      </c>
      <c r="AF550" s="68">
        <v>4207402.927007352</v>
      </c>
    </row>
    <row r="551" spans="1:32" x14ac:dyDescent="0.2">
      <c r="A551" s="95">
        <v>514</v>
      </c>
      <c r="B551" s="95">
        <v>42</v>
      </c>
      <c r="C551" s="95">
        <v>10</v>
      </c>
      <c r="D551" s="95"/>
      <c r="E551" s="95">
        <v>6.9638121514640599</v>
      </c>
      <c r="F551" s="95">
        <v>135.54613862564952</v>
      </c>
      <c r="G551" s="95">
        <v>225.33878695611259</v>
      </c>
      <c r="H551" s="95">
        <v>451.25159146573429</v>
      </c>
      <c r="I551" s="95">
        <v>1894.1828132174189</v>
      </c>
      <c r="J551" s="95"/>
      <c r="K551" s="95"/>
      <c r="L551" s="95">
        <v>76.882685043100309</v>
      </c>
      <c r="M551" s="95">
        <v>349.06255069365739</v>
      </c>
      <c r="N551" s="95">
        <v>136.21144238858108</v>
      </c>
      <c r="O551" s="95">
        <v>5312.2408718756087</v>
      </c>
      <c r="P551" s="95">
        <v>1412.3193075826762</v>
      </c>
      <c r="Q551" s="95">
        <v>10000.000000000004</v>
      </c>
      <c r="S551" s="98">
        <v>5312.2408718756087</v>
      </c>
      <c r="T551" s="95">
        <v>4454.9978257890698</v>
      </c>
      <c r="U551" s="99">
        <v>2954.4499279738116</v>
      </c>
      <c r="W551" s="121">
        <v>1220.4660605794768</v>
      </c>
      <c r="X551" s="59">
        <v>23767.116466847976</v>
      </c>
      <c r="Y551" s="59">
        <v>39516.75284601211</v>
      </c>
      <c r="Z551" s="59">
        <v>162949.76354960538</v>
      </c>
      <c r="AA551" s="59">
        <v>796681.9844484413</v>
      </c>
      <c r="AB551" s="59">
        <v>1991121.8624486513</v>
      </c>
      <c r="AC551" s="59">
        <v>1171195.4728623303</v>
      </c>
      <c r="AD551" s="59">
        <v>4186453.4186824677</v>
      </c>
      <c r="AE551" s="59">
        <v>3215581961.0858927</v>
      </c>
      <c r="AF551" s="68">
        <v>4186453.4186824677</v>
      </c>
    </row>
    <row r="552" spans="1:32" x14ac:dyDescent="0.2">
      <c r="A552" s="95">
        <v>515</v>
      </c>
      <c r="B552" s="95">
        <v>42</v>
      </c>
      <c r="C552" s="95">
        <v>11</v>
      </c>
      <c r="D552" s="95"/>
      <c r="E552" s="95">
        <v>6.8825676763636459</v>
      </c>
      <c r="F552" s="95">
        <v>134.39412054649546</v>
      </c>
      <c r="G552" s="95">
        <v>223.61361822681727</v>
      </c>
      <c r="H552" s="95">
        <v>448.27798173415067</v>
      </c>
      <c r="I552" s="95">
        <v>1886.5484207845441</v>
      </c>
      <c r="J552" s="95"/>
      <c r="K552" s="95"/>
      <c r="L552" s="95">
        <v>76.594185820382251</v>
      </c>
      <c r="M552" s="95">
        <v>347.85308815870047</v>
      </c>
      <c r="N552" s="95">
        <v>135.72708291693789</v>
      </c>
      <c r="O552" s="95">
        <v>5321.5117002302304</v>
      </c>
      <c r="P552" s="95">
        <v>1418.5972339053812</v>
      </c>
      <c r="Q552" s="95">
        <v>10000.000000000004</v>
      </c>
      <c r="S552" s="98">
        <v>5321.5117002302304</v>
      </c>
      <c r="T552" s="95">
        <v>4461.1539199320268</v>
      </c>
      <c r="U552" s="99">
        <v>2959.0734975917403</v>
      </c>
      <c r="W552" s="121">
        <v>1204.8034128020404</v>
      </c>
      <c r="X552" s="59">
        <v>23537.383660192339</v>
      </c>
      <c r="Y552" s="59">
        <v>39168.092404583622</v>
      </c>
      <c r="Z552" s="59">
        <v>161685.73427000109</v>
      </c>
      <c r="AA552" s="59">
        <v>792540.83035626612</v>
      </c>
      <c r="AB552" s="59">
        <v>1981784.5020444696</v>
      </c>
      <c r="AC552" s="59">
        <v>1165661.0022942571</v>
      </c>
      <c r="AD552" s="59">
        <v>4165582.3484425717</v>
      </c>
      <c r="AE552" s="59">
        <v>3219747543.4343352</v>
      </c>
      <c r="AF552" s="68">
        <v>4165582.3484425717</v>
      </c>
    </row>
    <row r="553" spans="1:32" x14ac:dyDescent="0.2">
      <c r="A553" s="95">
        <v>516</v>
      </c>
      <c r="B553" s="95">
        <v>43</v>
      </c>
      <c r="C553" s="95">
        <v>0</v>
      </c>
      <c r="D553" s="95"/>
      <c r="E553" s="95">
        <v>6.8022710534727366</v>
      </c>
      <c r="F553" s="95">
        <v>133.25167849642153</v>
      </c>
      <c r="G553" s="95">
        <v>221.90084763015204</v>
      </c>
      <c r="H553" s="95">
        <v>445.32156462799827</v>
      </c>
      <c r="I553" s="95">
        <v>1878.933634609672</v>
      </c>
      <c r="J553" s="95"/>
      <c r="K553" s="95"/>
      <c r="L553" s="95">
        <v>76.306023615591045</v>
      </c>
      <c r="M553" s="95">
        <v>346.64550026227641</v>
      </c>
      <c r="N553" s="95">
        <v>135.24349168434949</v>
      </c>
      <c r="O553" s="95">
        <v>5330.749629571782</v>
      </c>
      <c r="P553" s="95">
        <v>1424.8453584482882</v>
      </c>
      <c r="Q553" s="95">
        <v>10000.000000000004</v>
      </c>
      <c r="S553" s="98">
        <v>5330.749629571782</v>
      </c>
      <c r="T553" s="95">
        <v>4467.2852022995767</v>
      </c>
      <c r="U553" s="99">
        <v>2963.6796719685371</v>
      </c>
      <c r="W553" s="121">
        <v>1189.3417690044141</v>
      </c>
      <c r="X553" s="59">
        <v>23309.833759588539</v>
      </c>
      <c r="Y553" s="59">
        <v>38822.366329883349</v>
      </c>
      <c r="Z553" s="59">
        <v>160430.64306050588</v>
      </c>
      <c r="AA553" s="59">
        <v>788416.50857119949</v>
      </c>
      <c r="AB553" s="59">
        <v>1972476.5170142285</v>
      </c>
      <c r="AC553" s="59">
        <v>1160144.4520989759</v>
      </c>
      <c r="AD553" s="59">
        <v>4144789.6626033862</v>
      </c>
      <c r="AE553" s="59">
        <v>3223892333.0969386</v>
      </c>
      <c r="AF553" s="68">
        <v>4144789.6626033862</v>
      </c>
    </row>
    <row r="554" spans="1:32" x14ac:dyDescent="0.2">
      <c r="A554" s="95">
        <v>517</v>
      </c>
      <c r="B554" s="95">
        <v>43</v>
      </c>
      <c r="C554" s="95">
        <v>1</v>
      </c>
      <c r="D554" s="95"/>
      <c r="E554" s="95">
        <v>6.7229112245155545</v>
      </c>
      <c r="F554" s="95">
        <v>132.11873553272511</v>
      </c>
      <c r="G554" s="95">
        <v>220.20039525190904</v>
      </c>
      <c r="H554" s="95">
        <v>442.38226498069213</v>
      </c>
      <c r="I554" s="95">
        <v>1871.3384967152147</v>
      </c>
      <c r="J554" s="95"/>
      <c r="K554" s="95"/>
      <c r="L554" s="95">
        <v>76.018209537681301</v>
      </c>
      <c r="M554" s="95">
        <v>345.43980023597607</v>
      </c>
      <c r="N554" s="95">
        <v>134.76067528853892</v>
      </c>
      <c r="O554" s="95">
        <v>5339.9547098448347</v>
      </c>
      <c r="P554" s="95">
        <v>1431.0638013879163</v>
      </c>
      <c r="Q554" s="95">
        <v>10000.000000000004</v>
      </c>
      <c r="S554" s="98">
        <v>5339.9547098448347</v>
      </c>
      <c r="T554" s="95">
        <v>4473.3917366120577</v>
      </c>
      <c r="U554" s="99">
        <v>2968.2684865108895</v>
      </c>
      <c r="W554" s="121">
        <v>1174.078549635524</v>
      </c>
      <c r="X554" s="59">
        <v>23084.446531947182</v>
      </c>
      <c r="Y554" s="59">
        <v>38479.551692864457</v>
      </c>
      <c r="Z554" s="59">
        <v>159184.43637415851</v>
      </c>
      <c r="AA554" s="59">
        <v>784308.99344678945</v>
      </c>
      <c r="AB554" s="59">
        <v>1963197.9611193847</v>
      </c>
      <c r="AC554" s="59">
        <v>1154645.8369649595</v>
      </c>
      <c r="AD554" s="59">
        <v>4124075.3046797393</v>
      </c>
      <c r="AE554" s="59">
        <v>3228016408.4016185</v>
      </c>
      <c r="AF554" s="68">
        <v>4124075.3046797393</v>
      </c>
    </row>
    <row r="555" spans="1:32" x14ac:dyDescent="0.2">
      <c r="A555" s="95">
        <v>518</v>
      </c>
      <c r="B555" s="95">
        <v>43</v>
      </c>
      <c r="C555" s="95">
        <v>2</v>
      </c>
      <c r="D555" s="95"/>
      <c r="E555" s="95">
        <v>6.6444772602295394</v>
      </c>
      <c r="F555" s="95">
        <v>130.99521529736961</v>
      </c>
      <c r="G555" s="95">
        <v>218.5121815851806</v>
      </c>
      <c r="H555" s="95">
        <v>439.46000769718489</v>
      </c>
      <c r="I555" s="95">
        <v>1863.7630481308317</v>
      </c>
      <c r="J555" s="95"/>
      <c r="K555" s="95"/>
      <c r="L555" s="95">
        <v>75.730754450719758</v>
      </c>
      <c r="M555" s="95">
        <v>344.23600121628789</v>
      </c>
      <c r="N555" s="95">
        <v>134.27864026677051</v>
      </c>
      <c r="O555" s="95">
        <v>5349.1269915207095</v>
      </c>
      <c r="P555" s="95">
        <v>1437.2526825747202</v>
      </c>
      <c r="Q555" s="95">
        <v>10000.000000000004</v>
      </c>
      <c r="S555" s="98">
        <v>5349.1269915207095</v>
      </c>
      <c r="T555" s="95">
        <v>4479.4735867263826</v>
      </c>
      <c r="U555" s="99">
        <v>2972.8399768124414</v>
      </c>
      <c r="W555" s="121">
        <v>1159.0112082485348</v>
      </c>
      <c r="X555" s="59">
        <v>22861.201924731333</v>
      </c>
      <c r="Y555" s="59">
        <v>38139.625721150776</v>
      </c>
      <c r="Z555" s="59">
        <v>157947.06087465285</v>
      </c>
      <c r="AA555" s="59">
        <v>780218.25892627332</v>
      </c>
      <c r="AB555" s="59">
        <v>1953948.8858020157</v>
      </c>
      <c r="AC555" s="59">
        <v>1149165.1709611816</v>
      </c>
      <c r="AD555" s="59">
        <v>4103439.215418254</v>
      </c>
      <c r="AE555" s="59">
        <v>3232119847.6170368</v>
      </c>
      <c r="AF555" s="68">
        <v>4103439.215418254</v>
      </c>
    </row>
    <row r="556" spans="1:32" x14ac:dyDescent="0.2">
      <c r="A556" s="95">
        <v>519</v>
      </c>
      <c r="B556" s="95">
        <v>43</v>
      </c>
      <c r="C556" s="95">
        <v>3</v>
      </c>
      <c r="D556" s="95"/>
      <c r="E556" s="95">
        <v>6.5669583588601945</v>
      </c>
      <c r="F556" s="95">
        <v>129.88104201298052</v>
      </c>
      <c r="G556" s="95">
        <v>216.83612752964689</v>
      </c>
      <c r="H556" s="95">
        <v>436.55471775721099</v>
      </c>
      <c r="I556" s="95">
        <v>1856.2073289004093</v>
      </c>
      <c r="J556" s="95"/>
      <c r="K556" s="95"/>
      <c r="L556" s="95">
        <v>75.443668978775605</v>
      </c>
      <c r="M556" s="95">
        <v>343.03411624366117</v>
      </c>
      <c r="N556" s="95">
        <v>133.79739309503231</v>
      </c>
      <c r="O556" s="95">
        <v>5358.2665255907232</v>
      </c>
      <c r="P556" s="95">
        <v>1443.4121215327041</v>
      </c>
      <c r="Q556" s="95">
        <v>10000.000000000004</v>
      </c>
      <c r="S556" s="98">
        <v>5358.2665255907232</v>
      </c>
      <c r="T556" s="95">
        <v>4485.5308166328077</v>
      </c>
      <c r="U556" s="99">
        <v>2977.3941786507071</v>
      </c>
      <c r="W556" s="121">
        <v>1144.1372310760121</v>
      </c>
      <c r="X556" s="59">
        <v>22640.080064443653</v>
      </c>
      <c r="Y556" s="59">
        <v>37802.565798265903</v>
      </c>
      <c r="Z556" s="59">
        <v>156718.46343687768</v>
      </c>
      <c r="AA556" s="59">
        <v>776144.27854802739</v>
      </c>
      <c r="AB556" s="59">
        <v>1944729.3402243492</v>
      </c>
      <c r="AC556" s="59">
        <v>1143702.4675271162</v>
      </c>
      <c r="AD556" s="59">
        <v>4082881.3328301562</v>
      </c>
      <c r="AE556" s="59">
        <v>3236202728.9498668</v>
      </c>
      <c r="AF556" s="68">
        <v>4082881.3328301562</v>
      </c>
    </row>
    <row r="557" spans="1:32" x14ac:dyDescent="0.2">
      <c r="A557" s="95">
        <v>520</v>
      </c>
      <c r="B557" s="95">
        <v>43</v>
      </c>
      <c r="C557" s="95">
        <v>4</v>
      </c>
      <c r="D557" s="95"/>
      <c r="E557" s="95">
        <v>6.4903438446734922</v>
      </c>
      <c r="F557" s="95">
        <v>128.77614047886257</v>
      </c>
      <c r="G557" s="95">
        <v>215.17215439084387</v>
      </c>
      <c r="H557" s="95">
        <v>433.66632021848642</v>
      </c>
      <c r="I557" s="95">
        <v>1848.6713780890263</v>
      </c>
      <c r="J557" s="95"/>
      <c r="K557" s="95"/>
      <c r="L557" s="95">
        <v>75.156963510705367</v>
      </c>
      <c r="M557" s="95">
        <v>341.834158261602</v>
      </c>
      <c r="N557" s="95">
        <v>133.31694018727956</v>
      </c>
      <c r="O557" s="95">
        <v>5367.3733635594735</v>
      </c>
      <c r="P557" s="95">
        <v>1449.5422374590507</v>
      </c>
      <c r="Q557" s="95">
        <v>10000.000000000004</v>
      </c>
      <c r="S557" s="98">
        <v>5367.3733635594735</v>
      </c>
      <c r="T557" s="95">
        <v>4491.5634904517337</v>
      </c>
      <c r="U557" s="99">
        <v>2981.9311279840181</v>
      </c>
      <c r="W557" s="121">
        <v>1129.4541366105364</v>
      </c>
      <c r="X557" s="59">
        <v>22421.061255124805</v>
      </c>
      <c r="Y557" s="59">
        <v>37468.349462861734</v>
      </c>
      <c r="Z557" s="59">
        <v>155498.59114743353</v>
      </c>
      <c r="AA557" s="59">
        <v>772087.02545097936</v>
      </c>
      <c r="AB557" s="59">
        <v>1935539.3713074909</v>
      </c>
      <c r="AC557" s="59">
        <v>1138257.7394636627</v>
      </c>
      <c r="AD557" s="59">
        <v>4062401.5922241635</v>
      </c>
      <c r="AE557" s="59">
        <v>3240265130.5420909</v>
      </c>
      <c r="AF557" s="68">
        <v>4062401.5922241635</v>
      </c>
    </row>
    <row r="558" spans="1:32" x14ac:dyDescent="0.2">
      <c r="A558" s="95">
        <v>521</v>
      </c>
      <c r="B558" s="95">
        <v>43</v>
      </c>
      <c r="C558" s="95">
        <v>5</v>
      </c>
      <c r="D558" s="95"/>
      <c r="E558" s="95">
        <v>6.4146231664856348</v>
      </c>
      <c r="F558" s="95">
        <v>127.68043606703837</v>
      </c>
      <c r="G558" s="95">
        <v>213.5201838794116</v>
      </c>
      <c r="H558" s="95">
        <v>430.79474021986408</v>
      </c>
      <c r="I558" s="95">
        <v>1841.1552337899079</v>
      </c>
      <c r="J558" s="95"/>
      <c r="K558" s="95"/>
      <c r="L558" s="95">
        <v>74.870648204834936</v>
      </c>
      <c r="M558" s="95">
        <v>340.63614011580114</v>
      </c>
      <c r="N558" s="95">
        <v>132.83728789473685</v>
      </c>
      <c r="O558" s="95">
        <v>5376.4475574381586</v>
      </c>
      <c r="P558" s="95">
        <v>1455.6431492237652</v>
      </c>
      <c r="Q558" s="95">
        <v>10000.000000000004</v>
      </c>
      <c r="S558" s="98">
        <v>5376.4475574381586</v>
      </c>
      <c r="T558" s="95">
        <v>4497.571672430523</v>
      </c>
      <c r="U558" s="99">
        <v>2986.4508609484983</v>
      </c>
      <c r="W558" s="121">
        <v>1114.9594751907011</v>
      </c>
      <c r="X558" s="59">
        <v>22204.12597686299</v>
      </c>
      <c r="Y558" s="59">
        <v>37136.954407946432</v>
      </c>
      <c r="Z558" s="59">
        <v>154287.39130512738</v>
      </c>
      <c r="AA558" s="59">
        <v>768046.47237998736</v>
      </c>
      <c r="AB558" s="59">
        <v>1926379.0237693719</v>
      </c>
      <c r="AC558" s="59">
        <v>1132830.9989249576</v>
      </c>
      <c r="AD558" s="59">
        <v>4041999.9262394444</v>
      </c>
      <c r="AE558" s="59">
        <v>3244307130.4683304</v>
      </c>
      <c r="AF558" s="68">
        <v>4041999.9262394444</v>
      </c>
    </row>
    <row r="559" spans="1:32" x14ac:dyDescent="0.2">
      <c r="A559" s="95">
        <v>522</v>
      </c>
      <c r="B559" s="95">
        <v>43</v>
      </c>
      <c r="C559" s="95">
        <v>6</v>
      </c>
      <c r="D559" s="95"/>
      <c r="E559" s="95">
        <v>6.3397858962099694</v>
      </c>
      <c r="F559" s="95">
        <v>126.59385471830826</v>
      </c>
      <c r="G559" s="95">
        <v>211.88013811032346</v>
      </c>
      <c r="H559" s="95">
        <v>427.93990298444476</v>
      </c>
      <c r="I559" s="95">
        <v>1833.6589331313639</v>
      </c>
      <c r="J559" s="95"/>
      <c r="K559" s="95"/>
      <c r="L559" s="95">
        <v>74.584732993540783</v>
      </c>
      <c r="M559" s="95">
        <v>339.44007455329353</v>
      </c>
      <c r="N559" s="95">
        <v>132.35844250525605</v>
      </c>
      <c r="O559" s="95">
        <v>5385.4891597379337</v>
      </c>
      <c r="P559" s="95">
        <v>1461.71497536933</v>
      </c>
      <c r="Q559" s="95">
        <v>10000.000000000004</v>
      </c>
      <c r="S559" s="98">
        <v>5385.4891597379337</v>
      </c>
      <c r="T559" s="95">
        <v>4503.5554269403401</v>
      </c>
      <c r="U559" s="99">
        <v>2990.9534138550703</v>
      </c>
      <c r="W559" s="121">
        <v>1100.6508285924206</v>
      </c>
      <c r="X559" s="59">
        <v>21989.254884314658</v>
      </c>
      <c r="Y559" s="59">
        <v>36808.358480111914</v>
      </c>
      <c r="Z559" s="59">
        <v>153084.81142144473</v>
      </c>
      <c r="AA559" s="59">
        <v>764022.59169118339</v>
      </c>
      <c r="AB559" s="59">
        <v>1917248.3401619354</v>
      </c>
      <c r="AC559" s="59">
        <v>1127422.2574110231</v>
      </c>
      <c r="AD559" s="59">
        <v>4021676.2648786055</v>
      </c>
      <c r="AE559" s="59">
        <v>3248328806.7332091</v>
      </c>
      <c r="AF559" s="68">
        <v>4021676.2648786055</v>
      </c>
    </row>
    <row r="560" spans="1:32" x14ac:dyDescent="0.2">
      <c r="A560" s="95">
        <v>523</v>
      </c>
      <c r="B560" s="95">
        <v>43</v>
      </c>
      <c r="C560" s="95">
        <v>7</v>
      </c>
      <c r="D560" s="95"/>
      <c r="E560" s="95">
        <v>6.2658217274208532</v>
      </c>
      <c r="F560" s="95">
        <v>125.51632293833154</v>
      </c>
      <c r="G560" s="95">
        <v>210.2519396020968</v>
      </c>
      <c r="H560" s="95">
        <v>425.10173382264486</v>
      </c>
      <c r="I560" s="95">
        <v>1826.1825122837149</v>
      </c>
      <c r="J560" s="95"/>
      <c r="K560" s="95"/>
      <c r="L560" s="95">
        <v>74.299227587732958</v>
      </c>
      <c r="M560" s="95">
        <v>338.24597422164868</v>
      </c>
      <c r="N560" s="95">
        <v>131.88041024272761</v>
      </c>
      <c r="O560" s="95">
        <v>5394.4982234633117</v>
      </c>
      <c r="P560" s="95">
        <v>1467.7578341103745</v>
      </c>
      <c r="Q560" s="95">
        <v>10000.000000000004</v>
      </c>
      <c r="S560" s="98">
        <v>5394.4982234633117</v>
      </c>
      <c r="T560" s="95">
        <v>4509.5148184730169</v>
      </c>
      <c r="U560" s="99">
        <v>2995.4388231864891</v>
      </c>
      <c r="W560" s="121">
        <v>1086.5258096254845</v>
      </c>
      <c r="X560" s="59">
        <v>21776.428805236232</v>
      </c>
      <c r="Y560" s="59">
        <v>36482.539678761008</v>
      </c>
      <c r="Z560" s="59">
        <v>151890.79922100008</v>
      </c>
      <c r="AA560" s="59">
        <v>760015.35535728326</v>
      </c>
      <c r="AB560" s="59">
        <v>1908147.3609075798</v>
      </c>
      <c r="AC560" s="59">
        <v>1122031.5257612187</v>
      </c>
      <c r="AD560" s="59">
        <v>4001430.5355407046</v>
      </c>
      <c r="AE560" s="59">
        <v>3252330237.2687497</v>
      </c>
      <c r="AF560" s="68">
        <v>4001430.5355407046</v>
      </c>
    </row>
    <row r="561" spans="1:32" x14ac:dyDescent="0.2">
      <c r="A561" s="95">
        <v>524</v>
      </c>
      <c r="B561" s="95">
        <v>43</v>
      </c>
      <c r="C561" s="95">
        <v>8</v>
      </c>
      <c r="D561" s="95"/>
      <c r="E561" s="95">
        <v>6.1927204739342763</v>
      </c>
      <c r="F561" s="95">
        <v>124.44776779372891</v>
      </c>
      <c r="G561" s="95">
        <v>208.63551127598498</v>
      </c>
      <c r="H561" s="95">
        <v>422.28015813522018</v>
      </c>
      <c r="I561" s="95">
        <v>1818.7260064662037</v>
      </c>
      <c r="J561" s="95"/>
      <c r="K561" s="95"/>
      <c r="L561" s="95">
        <v>74.014141481241751</v>
      </c>
      <c r="M561" s="95">
        <v>337.05385166819144</v>
      </c>
      <c r="N561" s="95">
        <v>131.4031972665428</v>
      </c>
      <c r="O561" s="95">
        <v>5403.4748021055984</v>
      </c>
      <c r="P561" s="95">
        <v>1473.7718433333582</v>
      </c>
      <c r="Q561" s="95">
        <v>10000.000000000005</v>
      </c>
      <c r="S561" s="98">
        <v>5403.4748021055984</v>
      </c>
      <c r="T561" s="95">
        <v>4515.4499116379393</v>
      </c>
      <c r="U561" s="99">
        <v>2999.9071255944068</v>
      </c>
      <c r="W561" s="121">
        <v>1072.5820617352906</v>
      </c>
      <c r="X561" s="59">
        <v>21565.628739026848</v>
      </c>
      <c r="Y561" s="59">
        <v>36159.476155334305</v>
      </c>
      <c r="Z561" s="59">
        <v>150705.30264196562</v>
      </c>
      <c r="AA561" s="59">
        <v>756024.73497285997</v>
      </c>
      <c r="AB561" s="59">
        <v>1899076.1243348781</v>
      </c>
      <c r="AC561" s="59">
        <v>1116658.8141484491</v>
      </c>
      <c r="AD561" s="59">
        <v>3981262.6630542492</v>
      </c>
      <c r="AE561" s="59">
        <v>3256311499.9318042</v>
      </c>
      <c r="AF561" s="68">
        <v>3981262.6630542492</v>
      </c>
    </row>
    <row r="562" spans="1:32" x14ac:dyDescent="0.2">
      <c r="A562" s="95">
        <v>525</v>
      </c>
      <c r="B562" s="95">
        <v>43</v>
      </c>
      <c r="C562" s="95">
        <v>9</v>
      </c>
      <c r="D562" s="95"/>
      <c r="E562" s="95">
        <v>6.1204720684050429</v>
      </c>
      <c r="F562" s="95">
        <v>123.38811690820621</v>
      </c>
      <c r="G562" s="95">
        <v>207.03077645515174</v>
      </c>
      <c r="H562" s="95">
        <v>419.47510141624707</v>
      </c>
      <c r="I562" s="95">
        <v>1811.2894499538916</v>
      </c>
      <c r="J562" s="95"/>
      <c r="K562" s="95"/>
      <c r="L562" s="95">
        <v>73.729483955110453</v>
      </c>
      <c r="M562" s="95">
        <v>335.86371933925273</v>
      </c>
      <c r="N562" s="95">
        <v>130.92680967110482</v>
      </c>
      <c r="O562" s="95">
        <v>5412.4189496363679</v>
      </c>
      <c r="P562" s="95">
        <v>1479.757120596267</v>
      </c>
      <c r="Q562" s="95">
        <v>10000.000000000004</v>
      </c>
      <c r="S562" s="98">
        <v>5412.4189496363679</v>
      </c>
      <c r="T562" s="95">
        <v>4521.3607711589548</v>
      </c>
      <c r="U562" s="99">
        <v>3004.358357896464</v>
      </c>
      <c r="W562" s="121">
        <v>1058.8172586096878</v>
      </c>
      <c r="X562" s="59">
        <v>21356.835855281992</v>
      </c>
      <c r="Y562" s="59">
        <v>35839.146212536791</v>
      </c>
      <c r="Z562" s="59">
        <v>149528.26983647863</v>
      </c>
      <c r="AA562" s="59">
        <v>752050.70175958402</v>
      </c>
      <c r="AB562" s="59">
        <v>1890034.6667135903</v>
      </c>
      <c r="AC562" s="59">
        <v>1111304.1320740955</v>
      </c>
      <c r="AD562" s="59">
        <v>3961172.5697101769</v>
      </c>
      <c r="AE562" s="59">
        <v>3260272672.5015144</v>
      </c>
      <c r="AF562" s="68">
        <v>3961172.5697101769</v>
      </c>
    </row>
    <row r="563" spans="1:32" x14ac:dyDescent="0.2">
      <c r="A563" s="95">
        <v>526</v>
      </c>
      <c r="B563" s="95">
        <v>43</v>
      </c>
      <c r="C563" s="95">
        <v>10</v>
      </c>
      <c r="D563" s="95"/>
      <c r="E563" s="95">
        <v>6.0490665609403171</v>
      </c>
      <c r="F563" s="95">
        <v>122.33729845869931</v>
      </c>
      <c r="G563" s="95">
        <v>205.43765886382764</v>
      </c>
      <c r="H563" s="95">
        <v>416.68648925606038</v>
      </c>
      <c r="I563" s="95">
        <v>1803.8728760845406</v>
      </c>
      <c r="J563" s="95"/>
      <c r="K563" s="95"/>
      <c r="L563" s="95">
        <v>73.445264081796111</v>
      </c>
      <c r="M563" s="95">
        <v>334.67558957944942</v>
      </c>
      <c r="N563" s="95">
        <v>130.45125348538599</v>
      </c>
      <c r="O563" s="95">
        <v>5421.3307205009833</v>
      </c>
      <c r="P563" s="95">
        <v>1485.713783128321</v>
      </c>
      <c r="Q563" s="95">
        <v>10000.000000000004</v>
      </c>
      <c r="S563" s="98">
        <v>5421.3307205009833</v>
      </c>
      <c r="T563" s="95">
        <v>4527.2474618713049</v>
      </c>
      <c r="U563" s="99">
        <v>3008.7925570734114</v>
      </c>
      <c r="W563" s="121">
        <v>1045.2291037908635</v>
      </c>
      <c r="X563" s="59">
        <v>21150.03149235807</v>
      </c>
      <c r="Y563" s="59">
        <v>35521.528303564352</v>
      </c>
      <c r="Z563" s="59">
        <v>148359.6491710275</v>
      </c>
      <c r="AA563" s="59">
        <v>748093.22657142766</v>
      </c>
      <c r="AB563" s="59">
        <v>1881023.0222889869</v>
      </c>
      <c r="AC563" s="59">
        <v>1105967.4883636336</v>
      </c>
      <c r="AD563" s="59">
        <v>3941160.175294789</v>
      </c>
      <c r="AE563" s="59">
        <v>3264213832.6768093</v>
      </c>
      <c r="AF563" s="68">
        <v>3941160.175294789</v>
      </c>
    </row>
    <row r="564" spans="1:32" x14ac:dyDescent="0.2">
      <c r="A564" s="95">
        <v>527</v>
      </c>
      <c r="B564" s="95">
        <v>43</v>
      </c>
      <c r="C564" s="95">
        <v>11</v>
      </c>
      <c r="D564" s="95"/>
      <c r="E564" s="95">
        <v>5.9784941177293467</v>
      </c>
      <c r="F564" s="95">
        <v>121.29524117154018</v>
      </c>
      <c r="G564" s="95">
        <v>203.85608262644948</v>
      </c>
      <c r="H564" s="95">
        <v>413.91424734414932</v>
      </c>
      <c r="I564" s="95">
        <v>1796.4763172654805</v>
      </c>
      <c r="J564" s="95"/>
      <c r="K564" s="95"/>
      <c r="L564" s="95">
        <v>73.161490729280544</v>
      </c>
      <c r="M564" s="95">
        <v>333.48947463099319</v>
      </c>
      <c r="N564" s="95">
        <v>129.97653467252971</v>
      </c>
      <c r="O564" s="95">
        <v>5430.2101696121535</v>
      </c>
      <c r="P564" s="95">
        <v>1491.6419478296982</v>
      </c>
      <c r="Q564" s="95">
        <v>10000.000000000004</v>
      </c>
      <c r="S564" s="98">
        <v>5430.2101696121535</v>
      </c>
      <c r="T564" s="95">
        <v>4533.1100487185795</v>
      </c>
      <c r="U564" s="99">
        <v>3013.209760266257</v>
      </c>
      <c r="W564" s="121">
        <v>1031.8153302922142</v>
      </c>
      <c r="X564" s="59">
        <v>20945.197155947724</v>
      </c>
      <c r="Y564" s="59">
        <v>35206.601031330254</v>
      </c>
      <c r="Z564" s="59">
        <v>147199.38922681735</v>
      </c>
      <c r="AA564" s="59">
        <v>744152.27989983582</v>
      </c>
      <c r="AB564" s="59">
        <v>1872041.2233154986</v>
      </c>
      <c r="AC564" s="59">
        <v>1100648.891162901</v>
      </c>
      <c r="AD564" s="59">
        <v>3921225.3971226229</v>
      </c>
      <c r="AE564" s="59">
        <v>3268135058.0739322</v>
      </c>
      <c r="AF564" s="68">
        <v>3921225.3971226229</v>
      </c>
    </row>
    <row r="565" spans="1:32" x14ac:dyDescent="0.2">
      <c r="A565" s="95">
        <v>528</v>
      </c>
      <c r="B565" s="95">
        <v>44</v>
      </c>
      <c r="C565" s="95">
        <v>0</v>
      </c>
      <c r="D565" s="95"/>
      <c r="E565" s="95">
        <v>5.9087450196891709</v>
      </c>
      <c r="F565" s="95">
        <v>120.26187431864419</v>
      </c>
      <c r="G565" s="95">
        <v>202.28597226678269</v>
      </c>
      <c r="H565" s="95">
        <v>411.15830147201075</v>
      </c>
      <c r="I565" s="95">
        <v>1789.0998049804591</v>
      </c>
      <c r="J565" s="95"/>
      <c r="K565" s="95"/>
      <c r="L565" s="95">
        <v>72.878172565093536</v>
      </c>
      <c r="M565" s="95">
        <v>332.30538663302758</v>
      </c>
      <c r="N565" s="95">
        <v>129.50265912949445</v>
      </c>
      <c r="O565" s="95">
        <v>5439.0573523435341</v>
      </c>
      <c r="P565" s="95">
        <v>1497.541731271268</v>
      </c>
      <c r="Q565" s="95">
        <v>10000.000000000004</v>
      </c>
      <c r="S565" s="98">
        <v>5439.0573523435341</v>
      </c>
      <c r="T565" s="95">
        <v>4538.9485967496921</v>
      </c>
      <c r="U565" s="99">
        <v>3017.6100047734417</v>
      </c>
      <c r="W565" s="121">
        <v>1018.5737002201306</v>
      </c>
      <c r="X565" s="59">
        <v>20742.314517665938</v>
      </c>
      <c r="Y565" s="59">
        <v>34894.343147691645</v>
      </c>
      <c r="Z565" s="59">
        <v>146047.43880011459</v>
      </c>
      <c r="AA565" s="59">
        <v>740227.8318788613</v>
      </c>
      <c r="AB565" s="59">
        <v>1863089.3000897104</v>
      </c>
      <c r="AC565" s="59">
        <v>1095348.3479349841</v>
      </c>
      <c r="AD565" s="59">
        <v>3901368.1500692479</v>
      </c>
      <c r="AE565" s="59">
        <v>3272036426.2240014</v>
      </c>
      <c r="AF565" s="68">
        <v>3901368.1500692479</v>
      </c>
    </row>
    <row r="566" spans="1:32" x14ac:dyDescent="0.2">
      <c r="A566" s="95">
        <v>529</v>
      </c>
      <c r="B566" s="95">
        <v>44</v>
      </c>
      <c r="C566" s="95">
        <v>1</v>
      </c>
      <c r="D566" s="95"/>
      <c r="E566" s="95">
        <v>5.8398096611261305</v>
      </c>
      <c r="F566" s="95">
        <v>119.23712771371837</v>
      </c>
      <c r="G566" s="95">
        <v>200.72725270702728</v>
      </c>
      <c r="H566" s="95">
        <v>408.41857753596111</v>
      </c>
      <c r="I566" s="95">
        <v>1781.7433697964789</v>
      </c>
      <c r="J566" s="95"/>
      <c r="K566" s="95"/>
      <c r="L566" s="95">
        <v>72.59531806025015</v>
      </c>
      <c r="M566" s="95">
        <v>331.12333762099286</v>
      </c>
      <c r="N566" s="95">
        <v>129.0296326867383</v>
      </c>
      <c r="O566" s="95">
        <v>5447.8723245233705</v>
      </c>
      <c r="P566" s="95">
        <v>1503.4132496943396</v>
      </c>
      <c r="Q566" s="95">
        <v>10000.000000000004</v>
      </c>
      <c r="S566" s="98">
        <v>5447.8723245233705</v>
      </c>
      <c r="T566" s="95">
        <v>4544.7631711158783</v>
      </c>
      <c r="U566" s="99">
        <v>3021.9933280480418</v>
      </c>
      <c r="W566" s="121">
        <v>1005.502004400639</v>
      </c>
      <c r="X566" s="59">
        <v>20541.365413646814</v>
      </c>
      <c r="Y566" s="59">
        <v>34584.733552676145</v>
      </c>
      <c r="Z566" s="59">
        <v>144903.74690257147</v>
      </c>
      <c r="AA566" s="59">
        <v>736319.85229026549</v>
      </c>
      <c r="AB566" s="59">
        <v>1854167.2809827176</v>
      </c>
      <c r="AC566" s="59">
        <v>1090065.8654576913</v>
      </c>
      <c r="AD566" s="59">
        <v>3881588.3466039696</v>
      </c>
      <c r="AE566" s="59">
        <v>3275918014.5706053</v>
      </c>
      <c r="AF566" s="68">
        <v>3881588.3466039696</v>
      </c>
    </row>
    <row r="567" spans="1:32" x14ac:dyDescent="0.2">
      <c r="A567" s="95">
        <v>530</v>
      </c>
      <c r="B567" s="95">
        <v>44</v>
      </c>
      <c r="C567" s="95">
        <v>2</v>
      </c>
      <c r="D567" s="95"/>
      <c r="E567" s="95">
        <v>5.771678548412992</v>
      </c>
      <c r="F567" s="95">
        <v>118.22093170849088</v>
      </c>
      <c r="G567" s="95">
        <v>199.17984926690738</v>
      </c>
      <c r="H567" s="95">
        <v>405.69500153990651</v>
      </c>
      <c r="I567" s="95">
        <v>1774.4070413706154</v>
      </c>
      <c r="J567" s="95"/>
      <c r="K567" s="95"/>
      <c r="L567" s="95">
        <v>72.312935493104135</v>
      </c>
      <c r="M567" s="95">
        <v>329.94333952601829</v>
      </c>
      <c r="N567" s="95">
        <v>128.55746110794189</v>
      </c>
      <c r="O567" s="95">
        <v>5456.6551424281834</v>
      </c>
      <c r="P567" s="95">
        <v>1509.2566190104221</v>
      </c>
      <c r="Q567" s="95">
        <v>10000.000000000004</v>
      </c>
      <c r="S567" s="98">
        <v>5456.6551424281834</v>
      </c>
      <c r="T567" s="95">
        <v>4550.5538370677168</v>
      </c>
      <c r="U567" s="99">
        <v>3026.359767694998</v>
      </c>
      <c r="W567" s="121">
        <v>992.59806201083086</v>
      </c>
      <c r="X567" s="59">
        <v>20342.331843150976</v>
      </c>
      <c r="Y567" s="59">
        <v>34277.751293708629</v>
      </c>
      <c r="Z567" s="59">
        <v>143768.26276153055</v>
      </c>
      <c r="AA567" s="59">
        <v>732428.31056858483</v>
      </c>
      <c r="AB567" s="59">
        <v>1845275.1924718532</v>
      </c>
      <c r="AC567" s="59">
        <v>1084801.449821583</v>
      </c>
      <c r="AD567" s="59">
        <v>3861885.8968224218</v>
      </c>
      <c r="AE567" s="59">
        <v>3279779900.4674277</v>
      </c>
      <c r="AF567" s="68">
        <v>3861885.8968224218</v>
      </c>
    </row>
    <row r="568" spans="1:32" x14ac:dyDescent="0.2">
      <c r="A568" s="95">
        <v>531</v>
      </c>
      <c r="B568" s="95">
        <v>44</v>
      </c>
      <c r="C568" s="95">
        <v>3</v>
      </c>
      <c r="D568" s="95"/>
      <c r="E568" s="95">
        <v>5.7043422986815067</v>
      </c>
      <c r="F568" s="95">
        <v>117.21321718896149</v>
      </c>
      <c r="G568" s="95">
        <v>197.64368766274521</v>
      </c>
      <c r="H568" s="95">
        <v>402.98749959807168</v>
      </c>
      <c r="I568" s="95">
        <v>1767.0908484568206</v>
      </c>
      <c r="J568" s="95"/>
      <c r="K568" s="95"/>
      <c r="L568" s="95">
        <v>72.031032953119393</v>
      </c>
      <c r="M568" s="95">
        <v>328.76540417434092</v>
      </c>
      <c r="N568" s="95">
        <v>128.08615008976815</v>
      </c>
      <c r="O568" s="95">
        <v>5465.4058627764962</v>
      </c>
      <c r="P568" s="95">
        <v>1515.0719548009981</v>
      </c>
      <c r="Q568" s="95">
        <v>10000.000000000004</v>
      </c>
      <c r="S568" s="98">
        <v>5465.4058627764962</v>
      </c>
      <c r="T568" s="95">
        <v>4556.3206599521709</v>
      </c>
      <c r="U568" s="99">
        <v>3030.7093614683722</v>
      </c>
      <c r="W568" s="121">
        <v>979.85972021502516</v>
      </c>
      <c r="X568" s="59">
        <v>20145.195967183547</v>
      </c>
      <c r="Y568" s="59">
        <v>33973.375564838265</v>
      </c>
      <c r="Z568" s="59">
        <v>142640.93582030918</v>
      </c>
      <c r="AA568" s="59">
        <v>728553.17580616265</v>
      </c>
      <c r="AB568" s="59">
        <v>1836413.0591718084</v>
      </c>
      <c r="AC568" s="59">
        <v>1079555.1064285291</v>
      </c>
      <c r="AD568" s="59">
        <v>3842260.7084790464</v>
      </c>
      <c r="AE568" s="59">
        <v>3283622161.1759067</v>
      </c>
      <c r="AF568" s="68">
        <v>3842260.7084790464</v>
      </c>
    </row>
    <row r="569" spans="1:32" x14ac:dyDescent="0.2">
      <c r="A569" s="95">
        <v>532</v>
      </c>
      <c r="B569" s="95">
        <v>44</v>
      </c>
      <c r="C569" s="95">
        <v>4</v>
      </c>
      <c r="D569" s="95"/>
      <c r="E569" s="95">
        <v>5.6377916385302225</v>
      </c>
      <c r="F569" s="95">
        <v>116.21391557167298</v>
      </c>
      <c r="G569" s="95">
        <v>196.11869400651929</v>
      </c>
      <c r="H569" s="95">
        <v>400.29599793768813</v>
      </c>
      <c r="I569" s="95">
        <v>1759.7948189127087</v>
      </c>
      <c r="J569" s="95"/>
      <c r="K569" s="95"/>
      <c r="L569" s="95">
        <v>71.749618344561156</v>
      </c>
      <c r="M569" s="95">
        <v>327.58954328675111</v>
      </c>
      <c r="N569" s="95">
        <v>127.61570526165708</v>
      </c>
      <c r="O569" s="95">
        <v>5474.1245427226067</v>
      </c>
      <c r="P569" s="95">
        <v>1520.8593723173078</v>
      </c>
      <c r="Q569" s="95">
        <v>10000.000000000004</v>
      </c>
      <c r="S569" s="98">
        <v>5474.1245427226067</v>
      </c>
      <c r="T569" s="95">
        <v>4562.0637052096554</v>
      </c>
      <c r="U569" s="99">
        <v>3035.0421472686276</v>
      </c>
      <c r="W569" s="121">
        <v>967.28485380559891</v>
      </c>
      <c r="X569" s="59">
        <v>19949.940107122609</v>
      </c>
      <c r="Y569" s="59">
        <v>33671.585705965845</v>
      </c>
      <c r="Z569" s="59">
        <v>141521.71573846453</v>
      </c>
      <c r="AA569" s="59">
        <v>724694.41675814649</v>
      </c>
      <c r="AB569" s="59">
        <v>1827580.9038651583</v>
      </c>
      <c r="AC569" s="59">
        <v>1074326.8399907665</v>
      </c>
      <c r="AD569" s="59">
        <v>3822712.6870194301</v>
      </c>
      <c r="AE569" s="59">
        <v>3287444873.862926</v>
      </c>
      <c r="AF569" s="68">
        <v>3822712.6870194301</v>
      </c>
    </row>
    <row r="570" spans="1:32" x14ac:dyDescent="0.2">
      <c r="A570" s="95">
        <v>533</v>
      </c>
      <c r="B570" s="95">
        <v>44</v>
      </c>
      <c r="C570" s="95">
        <v>5</v>
      </c>
      <c r="D570" s="95"/>
      <c r="E570" s="95">
        <v>5.5720174027473695</v>
      </c>
      <c r="F570" s="95">
        <v>115.2229588000036</v>
      </c>
      <c r="G570" s="95">
        <v>194.60479480490761</v>
      </c>
      <c r="H570" s="95">
        <v>397.62042290164175</v>
      </c>
      <c r="I570" s="95">
        <v>1752.5189797063258</v>
      </c>
      <c r="J570" s="95"/>
      <c r="K570" s="95"/>
      <c r="L570" s="95">
        <v>71.468699390108853</v>
      </c>
      <c r="M570" s="95">
        <v>326.4157684780634</v>
      </c>
      <c r="N570" s="95">
        <v>127.14613218565387</v>
      </c>
      <c r="O570" s="95">
        <v>5482.8112398504027</v>
      </c>
      <c r="P570" s="95">
        <v>1526.6189864801481</v>
      </c>
      <c r="Q570" s="95">
        <v>10000.000000000004</v>
      </c>
      <c r="S570" s="98">
        <v>5482.8112398504027</v>
      </c>
      <c r="T570" s="95">
        <v>4567.7830383711216</v>
      </c>
      <c r="U570" s="99">
        <v>3039.3581631399366</v>
      </c>
      <c r="W570" s="121">
        <v>954.87136484842699</v>
      </c>
      <c r="X570" s="59">
        <v>19756.546743358136</v>
      </c>
      <c r="Y570" s="59">
        <v>33372.361202071574</v>
      </c>
      <c r="Z570" s="59">
        <v>140410.55239203959</v>
      </c>
      <c r="AA570" s="59">
        <v>720852.00184745016</v>
      </c>
      <c r="AB570" s="59">
        <v>1818778.7475323062</v>
      </c>
      <c r="AC570" s="59">
        <v>1069116.6545304295</v>
      </c>
      <c r="AD570" s="59">
        <v>3803241.7356125037</v>
      </c>
      <c r="AE570" s="59">
        <v>3291248115.5985384</v>
      </c>
      <c r="AF570" s="68">
        <v>3803241.7356125037</v>
      </c>
    </row>
    <row r="571" spans="1:32" x14ac:dyDescent="0.2">
      <c r="A571" s="95">
        <v>534</v>
      </c>
      <c r="B571" s="95">
        <v>44</v>
      </c>
      <c r="C571" s="95">
        <v>6</v>
      </c>
      <c r="D571" s="95"/>
      <c r="E571" s="95">
        <v>5.5070105330486498</v>
      </c>
      <c r="F571" s="95">
        <v>114.24027934048036</v>
      </c>
      <c r="G571" s="95">
        <v>193.10191695831583</v>
      </c>
      <c r="H571" s="95">
        <v>394.96070095108013</v>
      </c>
      <c r="I571" s="95">
        <v>1745.2633569229017</v>
      </c>
      <c r="J571" s="95"/>
      <c r="K571" s="95"/>
      <c r="L571" s="95">
        <v>71.188283634392334</v>
      </c>
      <c r="M571" s="95">
        <v>325.24409125661327</v>
      </c>
      <c r="N571" s="95">
        <v>126.67743635626887</v>
      </c>
      <c r="O571" s="95">
        <v>5491.4660121672205</v>
      </c>
      <c r="P571" s="95">
        <v>1532.3509118796812</v>
      </c>
      <c r="Q571" s="95">
        <v>10000.000000000004</v>
      </c>
      <c r="S571" s="98">
        <v>5491.4660121672205</v>
      </c>
      <c r="T571" s="95">
        <v>4573.4787250551672</v>
      </c>
      <c r="U571" s="99">
        <v>3043.6574472675134</v>
      </c>
      <c r="W571" s="121">
        <v>942.61718233287229</v>
      </c>
      <c r="X571" s="59">
        <v>19564.998513941267</v>
      </c>
      <c r="Y571" s="59">
        <v>33075.681682443261</v>
      </c>
      <c r="Z571" s="59">
        <v>139307.39587378962</v>
      </c>
      <c r="AA571" s="59">
        <v>717025.89916968276</v>
      </c>
      <c r="AB571" s="59">
        <v>1810006.6093808627</v>
      </c>
      <c r="AC571" s="59">
        <v>1063924.553379531</v>
      </c>
      <c r="AD571" s="59">
        <v>3783847.7551825834</v>
      </c>
      <c r="AE571" s="59">
        <v>3295031963.3537211</v>
      </c>
      <c r="AF571" s="68">
        <v>3783847.7551825834</v>
      </c>
    </row>
    <row r="572" spans="1:32" x14ac:dyDescent="0.2">
      <c r="A572" s="95">
        <v>535</v>
      </c>
      <c r="B572" s="95">
        <v>44</v>
      </c>
      <c r="C572" s="95">
        <v>7</v>
      </c>
      <c r="D572" s="95"/>
      <c r="E572" s="95">
        <v>5.4427620768297489</v>
      </c>
      <c r="F572" s="95">
        <v>113.26581017911326</v>
      </c>
      <c r="G572" s="95">
        <v>191.60998775989097</v>
      </c>
      <c r="H572" s="95">
        <v>392.31675866797997</v>
      </c>
      <c r="I572" s="95">
        <v>1738.0279757715839</v>
      </c>
      <c r="J572" s="95"/>
      <c r="K572" s="95"/>
      <c r="L572" s="95">
        <v>70.908378447453202</v>
      </c>
      <c r="M572" s="95">
        <v>324.07452302377834</v>
      </c>
      <c r="N572" s="95">
        <v>126.20962320036787</v>
      </c>
      <c r="O572" s="95">
        <v>5500.0889180977474</v>
      </c>
      <c r="P572" s="95">
        <v>1538.0552627752579</v>
      </c>
      <c r="Q572" s="95">
        <v>10000.000000000002</v>
      </c>
      <c r="S572" s="98">
        <v>5500.0889180977474</v>
      </c>
      <c r="T572" s="95">
        <v>4579.1508309651663</v>
      </c>
      <c r="U572" s="99">
        <v>3047.9400379749723</v>
      </c>
      <c r="W572" s="121">
        <v>930.52026182626696</v>
      </c>
      <c r="X572" s="59">
        <v>19375.278213243942</v>
      </c>
      <c r="Y572" s="59">
        <v>32781.526919905045</v>
      </c>
      <c r="Z572" s="59">
        <v>138212.19649339028</v>
      </c>
      <c r="AA572" s="59">
        <v>713216.07649804209</v>
      </c>
      <c r="AB572" s="59">
        <v>1801264.5068744705</v>
      </c>
      <c r="AC572" s="59">
        <v>1058750.5391803663</v>
      </c>
      <c r="AD572" s="59">
        <v>3764530.6444412447</v>
      </c>
      <c r="AE572" s="59">
        <v>3298796493.9981623</v>
      </c>
      <c r="AF572" s="68">
        <v>3764530.6444412447</v>
      </c>
    </row>
    <row r="573" spans="1:32" x14ac:dyDescent="0.2">
      <c r="A573" s="95">
        <v>536</v>
      </c>
      <c r="B573" s="95">
        <v>44</v>
      </c>
      <c r="C573" s="95">
        <v>8</v>
      </c>
      <c r="D573" s="95"/>
      <c r="E573" s="95">
        <v>5.3792631859334019</v>
      </c>
      <c r="F573" s="95">
        <v>112.29948481775033</v>
      </c>
      <c r="G573" s="95">
        <v>190.128934894521</v>
      </c>
      <c r="H573" s="95">
        <v>389.68852275767478</v>
      </c>
      <c r="I573" s="95">
        <v>1730.8128605921543</v>
      </c>
      <c r="J573" s="95"/>
      <c r="K573" s="95"/>
      <c r="L573" s="95">
        <v>70.62899102813293</v>
      </c>
      <c r="M573" s="95">
        <v>322.90707507352442</v>
      </c>
      <c r="N573" s="95">
        <v>125.74269807709123</v>
      </c>
      <c r="O573" s="95">
        <v>5508.6800164779688</v>
      </c>
      <c r="P573" s="95">
        <v>1543.7321530952513</v>
      </c>
      <c r="Q573" s="95">
        <v>10000.000000000002</v>
      </c>
      <c r="S573" s="98">
        <v>5508.6800164779688</v>
      </c>
      <c r="T573" s="95">
        <v>4584.7994218864242</v>
      </c>
      <c r="U573" s="99">
        <v>3052.2059737217096</v>
      </c>
      <c r="W573" s="121">
        <v>918.57858513282986</v>
      </c>
      <c r="X573" s="59">
        <v>19187.368790628767</v>
      </c>
      <c r="Y573" s="59">
        <v>32489.876830046767</v>
      </c>
      <c r="Z573" s="59">
        <v>137124.904777627</v>
      </c>
      <c r="AA573" s="59">
        <v>709422.50128817407</v>
      </c>
      <c r="AB573" s="59">
        <v>1792552.455761092</v>
      </c>
      <c r="AC573" s="59">
        <v>1053594.6138863184</v>
      </c>
      <c r="AD573" s="59">
        <v>3745290.2999190199</v>
      </c>
      <c r="AE573" s="59">
        <v>3302541784.2980814</v>
      </c>
      <c r="AF573" s="68">
        <v>3745290.2999190199</v>
      </c>
    </row>
    <row r="574" spans="1:32" x14ac:dyDescent="0.2">
      <c r="A574" s="95">
        <v>537</v>
      </c>
      <c r="B574" s="95">
        <v>44</v>
      </c>
      <c r="C574" s="95">
        <v>9</v>
      </c>
      <c r="D574" s="95"/>
      <c r="E574" s="95">
        <v>5.3165051154308456</v>
      </c>
      <c r="F574" s="95">
        <v>111.34123727045342</v>
      </c>
      <c r="G574" s="95">
        <v>188.65868643782036</v>
      </c>
      <c r="H574" s="95">
        <v>387.07592005134359</v>
      </c>
      <c r="I574" s="95">
        <v>1723.6180348617281</v>
      </c>
      <c r="J574" s="95"/>
      <c r="K574" s="95"/>
      <c r="L574" s="95">
        <v>70.350128407389391</v>
      </c>
      <c r="M574" s="95">
        <v>321.74175859197533</v>
      </c>
      <c r="N574" s="95">
        <v>125.27666627780054</v>
      </c>
      <c r="O574" s="95">
        <v>5517.2393665491581</v>
      </c>
      <c r="P574" s="95">
        <v>1549.3816964369025</v>
      </c>
      <c r="Q574" s="95">
        <v>10000.000000000002</v>
      </c>
      <c r="S574" s="98">
        <v>5517.2393665491581</v>
      </c>
      <c r="T574" s="95">
        <v>4590.4245636833484</v>
      </c>
      <c r="U574" s="99">
        <v>3056.45529310031</v>
      </c>
      <c r="W574" s="121">
        <v>906.79015995695852</v>
      </c>
      <c r="X574" s="59">
        <v>19001.253349129089</v>
      </c>
      <c r="Y574" s="59">
        <v>32200.711470453945</v>
      </c>
      <c r="Z574" s="59">
        <v>136045.47147056618</v>
      </c>
      <c r="AA574" s="59">
        <v>705645.14068299811</v>
      </c>
      <c r="AB574" s="59">
        <v>1783870.4701007681</v>
      </c>
      <c r="AC574" s="59">
        <v>1048456.7787630436</v>
      </c>
      <c r="AD574" s="59">
        <v>3726126.6159969158</v>
      </c>
      <c r="AE574" s="59">
        <v>3306267910.9140782</v>
      </c>
      <c r="AF574" s="68">
        <v>3726126.6159969158</v>
      </c>
    </row>
    <row r="575" spans="1:32" x14ac:dyDescent="0.2">
      <c r="A575" s="95">
        <v>538</v>
      </c>
      <c r="B575" s="95">
        <v>44</v>
      </c>
      <c r="C575" s="95">
        <v>10</v>
      </c>
      <c r="D575" s="95"/>
      <c r="E575" s="95">
        <v>5.2544792224174861</v>
      </c>
      <c r="F575" s="95">
        <v>110.39100205989479</v>
      </c>
      <c r="G575" s="95">
        <v>187.19917085510204</v>
      </c>
      <c r="H575" s="95">
        <v>384.47887750846041</v>
      </c>
      <c r="I575" s="95">
        <v>1716.4435212014334</v>
      </c>
      <c r="J575" s="95"/>
      <c r="K575" s="95"/>
      <c r="L575" s="95">
        <v>70.071797451543347</v>
      </c>
      <c r="M575" s="95">
        <v>320.57858465700627</v>
      </c>
      <c r="N575" s="95">
        <v>124.81153302605144</v>
      </c>
      <c r="O575" s="95">
        <v>5525.7670279519134</v>
      </c>
      <c r="P575" s="95">
        <v>1555.0040060661793</v>
      </c>
      <c r="Q575" s="95">
        <v>10000.000000000002</v>
      </c>
      <c r="S575" s="98">
        <v>5525.7670279519134</v>
      </c>
      <c r="T575" s="95">
        <v>4596.0263222966487</v>
      </c>
      <c r="U575" s="99">
        <v>3060.6880348339782</v>
      </c>
      <c r="W575" s="121">
        <v>895.15301957084421</v>
      </c>
      <c r="X575" s="59">
        <v>18816.915144139188</v>
      </c>
      <c r="Y575" s="59">
        <v>31914.011039938501</v>
      </c>
      <c r="Z575" s="59">
        <v>134973.84753370815</v>
      </c>
      <c r="AA575" s="59">
        <v>701883.96151749778</v>
      </c>
      <c r="AB575" s="59">
        <v>1775218.5622928652</v>
      </c>
      <c r="AC575" s="59">
        <v>1043337.0343900152</v>
      </c>
      <c r="AD575" s="59">
        <v>3707039.4849377349</v>
      </c>
      <c r="AE575" s="59">
        <v>3309974950.3990159</v>
      </c>
      <c r="AF575" s="68">
        <v>3707039.4849377349</v>
      </c>
    </row>
    <row r="576" spans="1:32" x14ac:dyDescent="0.2">
      <c r="A576" s="95">
        <v>539</v>
      </c>
      <c r="B576" s="95">
        <v>44</v>
      </c>
      <c r="C576" s="95">
        <v>11</v>
      </c>
      <c r="D576" s="95"/>
      <c r="E576" s="95">
        <v>5.1931769648226158</v>
      </c>
      <c r="F576" s="95">
        <v>109.44871421377431</v>
      </c>
      <c r="G576" s="95">
        <v>185.75031700033634</v>
      </c>
      <c r="H576" s="95">
        <v>381.89732221920508</v>
      </c>
      <c r="I576" s="95">
        <v>1709.2893413830727</v>
      </c>
      <c r="J576" s="95"/>
      <c r="K576" s="95"/>
      <c r="L576" s="95">
        <v>69.794004865456657</v>
      </c>
      <c r="M576" s="95">
        <v>319.41756423786069</v>
      </c>
      <c r="N576" s="95">
        <v>124.3473034775913</v>
      </c>
      <c r="O576" s="95">
        <v>5534.2630607202373</v>
      </c>
      <c r="P576" s="95">
        <v>1560.5991949176446</v>
      </c>
      <c r="Q576" s="95">
        <v>10000.000000000002</v>
      </c>
      <c r="S576" s="98">
        <v>5534.2630607202373</v>
      </c>
      <c r="T576" s="95">
        <v>4601.6047637405536</v>
      </c>
      <c r="U576" s="99">
        <v>3064.9042377739952</v>
      </c>
      <c r="W576" s="121">
        <v>883.66522248635169</v>
      </c>
      <c r="X576" s="59">
        <v>18634.337582114589</v>
      </c>
      <c r="Y576" s="59">
        <v>31629.755877770291</v>
      </c>
      <c r="Z576" s="59">
        <v>133909.98414612268</v>
      </c>
      <c r="AA576" s="59">
        <v>698138.93032347818</v>
      </c>
      <c r="AB576" s="59">
        <v>1766596.7431028185</v>
      </c>
      <c r="AC576" s="59">
        <v>1038235.3806624061</v>
      </c>
      <c r="AD576" s="59">
        <v>3688028.7969171968</v>
      </c>
      <c r="AE576" s="59">
        <v>3313662979.1959329</v>
      </c>
      <c r="AF576" s="68">
        <v>3688028.7969171968</v>
      </c>
    </row>
    <row r="577" spans="1:32" x14ac:dyDescent="0.2">
      <c r="A577" s="95">
        <v>540</v>
      </c>
      <c r="B577" s="95">
        <v>45</v>
      </c>
      <c r="C577" s="95">
        <v>0</v>
      </c>
      <c r="D577" s="95"/>
      <c r="E577" s="95">
        <v>5.1325899002330182</v>
      </c>
      <c r="F577" s="95">
        <v>108.51430926125737</v>
      </c>
      <c r="G577" s="95">
        <v>184.31205411509657</v>
      </c>
      <c r="H577" s="95">
        <v>379.33118140683598</v>
      </c>
      <c r="I577" s="95">
        <v>1702.1555163357655</v>
      </c>
      <c r="J577" s="95"/>
      <c r="K577" s="95"/>
      <c r="L577" s="95">
        <v>69.516757195643493</v>
      </c>
      <c r="M577" s="95">
        <v>318.25870819478922</v>
      </c>
      <c r="N577" s="95">
        <v>123.88398272038067</v>
      </c>
      <c r="O577" s="95">
        <v>5542.7275252756608</v>
      </c>
      <c r="P577" s="95">
        <v>1566.1673755943386</v>
      </c>
      <c r="Q577" s="95">
        <v>10000.000000000002</v>
      </c>
      <c r="S577" s="98">
        <v>5542.7275252756608</v>
      </c>
      <c r="T577" s="95">
        <v>4607.1599541000487</v>
      </c>
      <c r="U577" s="99">
        <v>3069.1039408971942</v>
      </c>
      <c r="W577" s="121">
        <v>872.32485213111022</v>
      </c>
      <c r="X577" s="59">
        <v>18453.504219282331</v>
      </c>
      <c r="Y577" s="59">
        <v>31347.926462909443</v>
      </c>
      <c r="Z577" s="59">
        <v>132853.83270456665</v>
      </c>
      <c r="AA577" s="59">
        <v>694410.0133342871</v>
      </c>
      <c r="AB577" s="59">
        <v>1758005.0216883882</v>
      </c>
      <c r="AC577" s="59">
        <v>1033151.8167932901</v>
      </c>
      <c r="AD577" s="59">
        <v>3669094.4400548548</v>
      </c>
      <c r="AE577" s="59">
        <v>3317332073.6359878</v>
      </c>
      <c r="AF577" s="68">
        <v>3669094.4400548548</v>
      </c>
    </row>
    <row r="578" spans="1:32" x14ac:dyDescent="0.2">
      <c r="A578" s="95">
        <v>541</v>
      </c>
      <c r="B578" s="95">
        <v>45</v>
      </c>
      <c r="C578" s="95">
        <v>1</v>
      </c>
      <c r="D578" s="95"/>
      <c r="E578" s="95">
        <v>5.0667216631800276</v>
      </c>
      <c r="F578" s="95">
        <v>107.46112320196185</v>
      </c>
      <c r="G578" s="95">
        <v>182.66928109769131</v>
      </c>
      <c r="H578" s="95">
        <v>376.33782938504982</v>
      </c>
      <c r="I578" s="95">
        <v>1693.05621805018</v>
      </c>
      <c r="J578" s="95"/>
      <c r="K578" s="95"/>
      <c r="L578" s="95">
        <v>69.158957949921344</v>
      </c>
      <c r="M578" s="95">
        <v>316.73072545248436</v>
      </c>
      <c r="N578" s="95">
        <v>123.27704446146346</v>
      </c>
      <c r="O578" s="95">
        <v>5551.1604824214128</v>
      </c>
      <c r="P578" s="95">
        <v>1575.0816163166562</v>
      </c>
      <c r="Q578" s="95">
        <v>10000.000000000002</v>
      </c>
      <c r="S578" s="98">
        <v>5551.1604824214128</v>
      </c>
      <c r="T578" s="95">
        <v>4612.6919595281397</v>
      </c>
      <c r="U578" s="99">
        <v>3073.2871833034651</v>
      </c>
      <c r="W578" s="121">
        <v>859.09459187378843</v>
      </c>
      <c r="X578" s="59">
        <v>18231.340583849578</v>
      </c>
      <c r="Y578" s="59">
        <v>30995.358251492838</v>
      </c>
      <c r="Z578" s="59">
        <v>131495.35254727385</v>
      </c>
      <c r="AA578" s="59">
        <v>689076.88645839156</v>
      </c>
      <c r="AB578" s="59">
        <v>1745341.3939081617</v>
      </c>
      <c r="AC578" s="59">
        <v>1025675.653743627</v>
      </c>
      <c r="AD578" s="59">
        <v>3641675.0800846703</v>
      </c>
      <c r="AE578" s="59">
        <v>3320973748.7160726</v>
      </c>
      <c r="AF578" s="68">
        <v>3641675.0800846703</v>
      </c>
    </row>
    <row r="579" spans="1:32" x14ac:dyDescent="0.2">
      <c r="A579" s="95">
        <v>542</v>
      </c>
      <c r="B579" s="95">
        <v>45</v>
      </c>
      <c r="C579" s="95">
        <v>2</v>
      </c>
      <c r="D579" s="95"/>
      <c r="E579" s="95">
        <v>5.0016987351692173</v>
      </c>
      <c r="F579" s="95">
        <v>106.41800231895792</v>
      </c>
      <c r="G579" s="95">
        <v>181.04054095934376</v>
      </c>
      <c r="H579" s="95">
        <v>373.36621487136733</v>
      </c>
      <c r="I579" s="95">
        <v>1683.9962287655258</v>
      </c>
      <c r="J579" s="95"/>
      <c r="K579" s="95"/>
      <c r="L579" s="95">
        <v>68.797524767295513</v>
      </c>
      <c r="M579" s="95">
        <v>315.21299231420522</v>
      </c>
      <c r="N579" s="95">
        <v>122.67227253595905</v>
      </c>
      <c r="O579" s="95">
        <v>5559.55215488663</v>
      </c>
      <c r="P579" s="95">
        <v>1583.9423698455471</v>
      </c>
      <c r="Q579" s="95">
        <v>10000</v>
      </c>
      <c r="S579" s="98">
        <v>5559.55215488663</v>
      </c>
      <c r="T579" s="95">
        <v>4618.1943922368027</v>
      </c>
      <c r="U579" s="99">
        <v>3077.449123763804</v>
      </c>
      <c r="W579" s="121">
        <v>846.06499056370262</v>
      </c>
      <c r="X579" s="59">
        <v>18011.824998822231</v>
      </c>
      <c r="Y579" s="59">
        <v>30646.651807584592</v>
      </c>
      <c r="Z579" s="59">
        <v>130150.10404172636</v>
      </c>
      <c r="AA579" s="59">
        <v>683780.91262605309</v>
      </c>
      <c r="AB579" s="59">
        <v>1732757.4030676512</v>
      </c>
      <c r="AC579" s="59">
        <v>1018246.8407658319</v>
      </c>
      <c r="AD579" s="59">
        <v>3614439.8022982329</v>
      </c>
      <c r="AE579" s="59">
        <v>3324588188.5183706</v>
      </c>
      <c r="AF579" s="68">
        <v>3614439.8022982329</v>
      </c>
    </row>
    <row r="580" spans="1:32" x14ac:dyDescent="0.2">
      <c r="A580" s="95">
        <v>543</v>
      </c>
      <c r="B580" s="95">
        <v>45</v>
      </c>
      <c r="C580" s="95">
        <v>3</v>
      </c>
      <c r="D580" s="95"/>
      <c r="E580" s="95">
        <v>4.9375102680678786</v>
      </c>
      <c r="F580" s="95">
        <v>105.38485252471641</v>
      </c>
      <c r="G580" s="95">
        <v>179.42572139821829</v>
      </c>
      <c r="H580" s="95">
        <v>370.41620104135086</v>
      </c>
      <c r="I580" s="95">
        <v>1674.9754637935409</v>
      </c>
      <c r="J580" s="95"/>
      <c r="K580" s="95"/>
      <c r="L580" s="95">
        <v>68.432624806433907</v>
      </c>
      <c r="M580" s="95">
        <v>313.70537094018846</v>
      </c>
      <c r="N580" s="95">
        <v>122.06966652825692</v>
      </c>
      <c r="O580" s="95">
        <v>5567.9026603049379</v>
      </c>
      <c r="P580" s="95">
        <v>1592.7499283942896</v>
      </c>
      <c r="Q580" s="95">
        <v>10000.000000000002</v>
      </c>
      <c r="S580" s="98">
        <v>5567.9026603049379</v>
      </c>
      <c r="T580" s="95">
        <v>4623.6673799802911</v>
      </c>
      <c r="U580" s="99">
        <v>3081.5898456274922</v>
      </c>
      <c r="W580" s="121">
        <v>833.23300487348649</v>
      </c>
      <c r="X580" s="59">
        <v>17794.926319994946</v>
      </c>
      <c r="Y580" s="59">
        <v>30301.766352625986</v>
      </c>
      <c r="Z580" s="59">
        <v>128817.96711748843</v>
      </c>
      <c r="AA580" s="59">
        <v>678521.87541809981</v>
      </c>
      <c r="AB580" s="59">
        <v>1720252.9402885458</v>
      </c>
      <c r="AC580" s="59">
        <v>1010865.1525781215</v>
      </c>
      <c r="AD580" s="59">
        <v>3587387.8610797501</v>
      </c>
      <c r="AE580" s="59">
        <v>3328175576.3794503</v>
      </c>
      <c r="AF580" s="68">
        <v>3587387.8610797501</v>
      </c>
    </row>
    <row r="581" spans="1:32" x14ac:dyDescent="0.2">
      <c r="A581" s="95">
        <v>544</v>
      </c>
      <c r="B581" s="95">
        <v>45</v>
      </c>
      <c r="C581" s="95">
        <v>4</v>
      </c>
      <c r="D581" s="95"/>
      <c r="E581" s="95">
        <v>4.8741455529610072</v>
      </c>
      <c r="F581" s="95">
        <v>104.36158058249545</v>
      </c>
      <c r="G581" s="95">
        <v>177.82471091530834</v>
      </c>
      <c r="H581" s="95">
        <v>367.48765169205581</v>
      </c>
      <c r="I581" s="95">
        <v>1665.993837758489</v>
      </c>
      <c r="J581" s="95"/>
      <c r="K581" s="95"/>
      <c r="L581" s="95">
        <v>68.064420884951019</v>
      </c>
      <c r="M581" s="95">
        <v>312.20772605121141</v>
      </c>
      <c r="N581" s="95">
        <v>121.46922610615431</v>
      </c>
      <c r="O581" s="95">
        <v>5576.2121175439079</v>
      </c>
      <c r="P581" s="95">
        <v>1601.504582912467</v>
      </c>
      <c r="Q581" s="95">
        <v>10000.000000000002</v>
      </c>
      <c r="S581" s="98">
        <v>5576.2121175439079</v>
      </c>
      <c r="T581" s="95">
        <v>4629.1110502376205</v>
      </c>
      <c r="U581" s="99">
        <v>3085.7094323111487</v>
      </c>
      <c r="W581" s="121">
        <v>820.59563763290532</v>
      </c>
      <c r="X581" s="59">
        <v>17580.613762792527</v>
      </c>
      <c r="Y581" s="59">
        <v>29960.661516122967</v>
      </c>
      <c r="Z581" s="59">
        <v>127498.82267562821</v>
      </c>
      <c r="AA581" s="59">
        <v>673299.55919211789</v>
      </c>
      <c r="AB581" s="59">
        <v>1707827.8811534471</v>
      </c>
      <c r="AC581" s="59">
        <v>1003530.366838376</v>
      </c>
      <c r="AD581" s="59">
        <v>3560518.5007761177</v>
      </c>
      <c r="AE581" s="59">
        <v>3331736094.8802266</v>
      </c>
      <c r="AF581" s="68">
        <v>3560518.5007761177</v>
      </c>
    </row>
    <row r="582" spans="1:32" x14ac:dyDescent="0.2">
      <c r="A582" s="95">
        <v>545</v>
      </c>
      <c r="B582" s="95">
        <v>45</v>
      </c>
      <c r="C582" s="95">
        <v>5</v>
      </c>
      <c r="D582" s="95"/>
      <c r="E582" s="95">
        <v>4.8115940183646746</v>
      </c>
      <c r="F582" s="95">
        <v>103.34809409904811</v>
      </c>
      <c r="G582" s="95">
        <v>176.23739880995907</v>
      </c>
      <c r="H582" s="95">
        <v>364.58043124213521</v>
      </c>
      <c r="I582" s="95">
        <v>1657.0512646083234</v>
      </c>
      <c r="J582" s="95"/>
      <c r="K582" s="95"/>
      <c r="L582" s="95">
        <v>67.693071583115028</v>
      </c>
      <c r="M582" s="95">
        <v>310.71992488017133</v>
      </c>
      <c r="N582" s="95">
        <v>120.8709510067395</v>
      </c>
      <c r="O582" s="95">
        <v>5584.4806466660848</v>
      </c>
      <c r="P582" s="95">
        <v>1610.2066230860598</v>
      </c>
      <c r="Q582" s="95">
        <v>10000.000000000002</v>
      </c>
      <c r="S582" s="98">
        <v>5584.4806466660848</v>
      </c>
      <c r="T582" s="95">
        <v>4634.525530210336</v>
      </c>
      <c r="U582" s="99">
        <v>3089.8079672878384</v>
      </c>
      <c r="W582" s="121">
        <v>808.1499371288063</v>
      </c>
      <c r="X582" s="59">
        <v>17368.856898224542</v>
      </c>
      <c r="Y582" s="59">
        <v>29623.297331902519</v>
      </c>
      <c r="Z582" s="59">
        <v>126192.55258246551</v>
      </c>
      <c r="AA582" s="59">
        <v>668113.74908574705</v>
      </c>
      <c r="AB582" s="59">
        <v>1695482.0863531374</v>
      </c>
      <c r="AC582" s="59">
        <v>996242.26388021791</v>
      </c>
      <c r="AD582" s="59">
        <v>3533830.9560688236</v>
      </c>
      <c r="AE582" s="59">
        <v>3335269925.8362956</v>
      </c>
      <c r="AF582" s="68">
        <v>3533830.9560688236</v>
      </c>
    </row>
    <row r="583" spans="1:32" x14ac:dyDescent="0.2">
      <c r="A583" s="95">
        <v>546</v>
      </c>
      <c r="B583" s="95">
        <v>45</v>
      </c>
      <c r="C583" s="95">
        <v>6</v>
      </c>
      <c r="D583" s="95"/>
      <c r="E583" s="95">
        <v>4.7498452284623278</v>
      </c>
      <c r="F583" s="95">
        <v>102.34430151738684</v>
      </c>
      <c r="G583" s="95">
        <v>174.66367517539703</v>
      </c>
      <c r="H583" s="95">
        <v>361.69440473189758</v>
      </c>
      <c r="I583" s="95">
        <v>1648.1476576257683</v>
      </c>
      <c r="J583" s="95"/>
      <c r="K583" s="95"/>
      <c r="L583" s="95">
        <v>67.31873134509479</v>
      </c>
      <c r="M583" s="95">
        <v>309.24183712455601</v>
      </c>
      <c r="N583" s="95">
        <v>120.27484102314725</v>
      </c>
      <c r="O583" s="95">
        <v>5592.7083688906332</v>
      </c>
      <c r="P583" s="95">
        <v>1618.8563373376574</v>
      </c>
      <c r="Q583" s="95">
        <v>10000</v>
      </c>
      <c r="S583" s="98">
        <v>5592.7083688906332</v>
      </c>
      <c r="T583" s="95">
        <v>4639.9109468203133</v>
      </c>
      <c r="U583" s="99">
        <v>3093.8855340765067</v>
      </c>
      <c r="W583" s="121">
        <v>795.89299641568607</v>
      </c>
      <c r="X583" s="59">
        <v>17159.625648883739</v>
      </c>
      <c r="Y583" s="59">
        <v>29289.634234398112</v>
      </c>
      <c r="Z583" s="59">
        <v>124899.03966333679</v>
      </c>
      <c r="AA583" s="59">
        <v>662964.23101987375</v>
      </c>
      <c r="AB583" s="59">
        <v>1683215.4023126075</v>
      </c>
      <c r="AC583" s="59">
        <v>989000.62646673678</v>
      </c>
      <c r="AD583" s="59">
        <v>3507324.4523422522</v>
      </c>
      <c r="AE583" s="59">
        <v>3338777250.2886376</v>
      </c>
      <c r="AF583" s="68">
        <v>3507324.4523422522</v>
      </c>
    </row>
    <row r="584" spans="1:32" x14ac:dyDescent="0.2">
      <c r="A584" s="95">
        <v>547</v>
      </c>
      <c r="B584" s="95">
        <v>45</v>
      </c>
      <c r="C584" s="95">
        <v>7</v>
      </c>
      <c r="D584" s="95"/>
      <c r="E584" s="95">
        <v>4.6888888813637282</v>
      </c>
      <c r="F584" s="95">
        <v>101.35011210960425</v>
      </c>
      <c r="G584" s="95">
        <v>173.10343089426706</v>
      </c>
      <c r="H584" s="95">
        <v>358.82943782331984</v>
      </c>
      <c r="I584" s="95">
        <v>1639.2829294393166</v>
      </c>
      <c r="J584" s="95"/>
      <c r="K584" s="95"/>
      <c r="L584" s="95">
        <v>66.94155057780543</v>
      </c>
      <c r="M584" s="95">
        <v>307.77333489978986</v>
      </c>
      <c r="N584" s="95">
        <v>119.68089599214363</v>
      </c>
      <c r="O584" s="95">
        <v>5600.8954065556036</v>
      </c>
      <c r="P584" s="95">
        <v>1627.4540128267868</v>
      </c>
      <c r="Q584" s="95">
        <v>10000</v>
      </c>
      <c r="S584" s="98">
        <v>5600.8954065556036</v>
      </c>
      <c r="T584" s="95">
        <v>4645.2674267075972</v>
      </c>
      <c r="U584" s="99">
        <v>3097.9422162317314</v>
      </c>
      <c r="W584" s="121">
        <v>783.82195263671485</v>
      </c>
      <c r="X584" s="59">
        <v>16952.890284987745</v>
      </c>
      <c r="Y584" s="59">
        <v>28959.63305496407</v>
      </c>
      <c r="Z584" s="59">
        <v>123618.1676963779</v>
      </c>
      <c r="AA584" s="59">
        <v>657850.79170172254</v>
      </c>
      <c r="AB584" s="59">
        <v>1671027.6617964949</v>
      </c>
      <c r="AC584" s="59">
        <v>981805.23956090887</v>
      </c>
      <c r="AD584" s="59">
        <v>3480998.2060480928</v>
      </c>
      <c r="AE584" s="59">
        <v>3342258248.4946856</v>
      </c>
      <c r="AF584" s="68">
        <v>3480998.2060480928</v>
      </c>
    </row>
    <row r="585" spans="1:32" x14ac:dyDescent="0.2">
      <c r="A585" s="95">
        <v>548</v>
      </c>
      <c r="B585" s="95">
        <v>45</v>
      </c>
      <c r="C585" s="95">
        <v>8</v>
      </c>
      <c r="D585" s="95"/>
      <c r="E585" s="95">
        <v>4.6287148073862268</v>
      </c>
      <c r="F585" s="95">
        <v>100.36543596974991</v>
      </c>
      <c r="G585" s="95">
        <v>171.55655763417676</v>
      </c>
      <c r="H585" s="95">
        <v>355.98539680001517</v>
      </c>
      <c r="I585" s="95">
        <v>1630.4569920341471</v>
      </c>
      <c r="J585" s="95"/>
      <c r="K585" s="95"/>
      <c r="L585" s="95">
        <v>66.561675747409723</v>
      </c>
      <c r="M585" s="95">
        <v>306.31429269343965</v>
      </c>
      <c r="N585" s="95">
        <v>119.08911578249966</v>
      </c>
      <c r="O585" s="95">
        <v>5609.0418830808185</v>
      </c>
      <c r="P585" s="95">
        <v>1635.9999354503577</v>
      </c>
      <c r="Q585" s="95">
        <v>10000</v>
      </c>
      <c r="S585" s="98">
        <v>5609.0418830808185</v>
      </c>
      <c r="T585" s="95">
        <v>4650.595096228275</v>
      </c>
      <c r="U585" s="99">
        <v>3101.9780973337838</v>
      </c>
      <c r="W585" s="121">
        <v>771.93398635505798</v>
      </c>
      <c r="X585" s="59">
        <v>16748.621420463605</v>
      </c>
      <c r="Y585" s="59">
        <v>28633.255018218701</v>
      </c>
      <c r="Z585" s="59">
        <v>122349.82140632444</v>
      </c>
      <c r="AA585" s="59">
        <v>652773.21862784796</v>
      </c>
      <c r="AB585" s="59">
        <v>1658918.684494552</v>
      </c>
      <c r="AC585" s="59">
        <v>974655.89011181414</v>
      </c>
      <c r="AD585" s="59">
        <v>3454851.4250655761</v>
      </c>
      <c r="AE585" s="59">
        <v>3345713099.9197512</v>
      </c>
      <c r="AF585" s="68">
        <v>3454851.4250655761</v>
      </c>
    </row>
    <row r="586" spans="1:32" x14ac:dyDescent="0.2">
      <c r="A586" s="95">
        <v>549</v>
      </c>
      <c r="B586" s="95">
        <v>45</v>
      </c>
      <c r="C586" s="95">
        <v>9</v>
      </c>
      <c r="D586" s="95"/>
      <c r="E586" s="95">
        <v>4.5693129673581039</v>
      </c>
      <c r="F586" s="95">
        <v>99.390184006762809</v>
      </c>
      <c r="G586" s="95">
        <v>170.02294784324866</v>
      </c>
      <c r="H586" s="95">
        <v>353.16214856715675</v>
      </c>
      <c r="I586" s="95">
        <v>1621.6697567629578</v>
      </c>
      <c r="J586" s="95"/>
      <c r="K586" s="95"/>
      <c r="L586" s="95">
        <v>66.179249473531044</v>
      </c>
      <c r="M586" s="95">
        <v>304.86458732026409</v>
      </c>
      <c r="N586" s="95">
        <v>118.49950028411432</v>
      </c>
      <c r="O586" s="95">
        <v>5617.1479229313873</v>
      </c>
      <c r="P586" s="95">
        <v>1644.4943898432198</v>
      </c>
      <c r="Q586" s="95">
        <v>10000</v>
      </c>
      <c r="S586" s="98">
        <v>5617.1479229313873</v>
      </c>
      <c r="T586" s="95">
        <v>4655.8940814523858</v>
      </c>
      <c r="U586" s="99">
        <v>3105.9932609789885</v>
      </c>
      <c r="W586" s="121">
        <v>760.22632089533954</v>
      </c>
      <c r="X586" s="59">
        <v>16546.790009074768</v>
      </c>
      <c r="Y586" s="59">
        <v>28310.461738416117</v>
      </c>
      <c r="Z586" s="59">
        <v>121093.8864583306</v>
      </c>
      <c r="AA586" s="59">
        <v>647731.30008702574</v>
      </c>
      <c r="AB586" s="59">
        <v>1646888.2775877549</v>
      </c>
      <c r="AC586" s="59">
        <v>967552.36685578933</v>
      </c>
      <c r="AD586" s="59">
        <v>3428883.3090572869</v>
      </c>
      <c r="AE586" s="59">
        <v>3349141983.2288084</v>
      </c>
      <c r="AF586" s="68">
        <v>3428883.3090572869</v>
      </c>
    </row>
    <row r="587" spans="1:32" x14ac:dyDescent="0.2">
      <c r="A587" s="95">
        <v>550</v>
      </c>
      <c r="B587" s="95">
        <v>45</v>
      </c>
      <c r="C587" s="95">
        <v>10</v>
      </c>
      <c r="D587" s="95"/>
      <c r="E587" s="95">
        <v>4.510673450943675</v>
      </c>
      <c r="F587" s="95">
        <v>98.424267937459135</v>
      </c>
      <c r="G587" s="95">
        <v>168.50249474568074</v>
      </c>
      <c r="H587" s="95">
        <v>350.35956065135798</v>
      </c>
      <c r="I587" s="95">
        <v>1612.9211343567181</v>
      </c>
      <c r="J587" s="95"/>
      <c r="K587" s="95"/>
      <c r="L587" s="95">
        <v>65.794410621232487</v>
      </c>
      <c r="M587" s="95">
        <v>303.4240978780922</v>
      </c>
      <c r="N587" s="95">
        <v>117.91204939785018</v>
      </c>
      <c r="O587" s="95">
        <v>5625.2136515818347</v>
      </c>
      <c r="P587" s="95">
        <v>1652.9376593788315</v>
      </c>
      <c r="Q587" s="95">
        <v>10000</v>
      </c>
      <c r="S587" s="98">
        <v>5625.2136515818347</v>
      </c>
      <c r="T587" s="95">
        <v>4661.1645081618653</v>
      </c>
      <c r="U587" s="99">
        <v>3109.9877907703767</v>
      </c>
      <c r="W587" s="121">
        <v>748.69622169509353</v>
      </c>
      <c r="X587" s="59">
        <v>16347.367340590063</v>
      </c>
      <c r="Y587" s="59">
        <v>27991.215215846481</v>
      </c>
      <c r="Z587" s="59">
        <v>119850.24945180642</v>
      </c>
      <c r="AA587" s="59">
        <v>642724.82516304753</v>
      </c>
      <c r="AB587" s="59">
        <v>1634936.2362956391</v>
      </c>
      <c r="AC587" s="59">
        <v>960494.46013170201</v>
      </c>
      <c r="AD587" s="59">
        <v>3403093.0498203267</v>
      </c>
      <c r="AE587" s="59">
        <v>3352545076.2786288</v>
      </c>
      <c r="AF587" s="68">
        <v>3403093.0498203267</v>
      </c>
    </row>
    <row r="588" spans="1:32" x14ac:dyDescent="0.2">
      <c r="A588" s="95">
        <v>551</v>
      </c>
      <c r="B588" s="95">
        <v>45</v>
      </c>
      <c r="C588" s="95">
        <v>11</v>
      </c>
      <c r="D588" s="95"/>
      <c r="E588" s="95">
        <v>4.4527864749898978</v>
      </c>
      <c r="F588" s="95">
        <v>97.467600279574995</v>
      </c>
      <c r="G588" s="95">
        <v>166.99509233731507</v>
      </c>
      <c r="H588" s="95">
        <v>347.57750120050997</v>
      </c>
      <c r="I588" s="95">
        <v>1604.2110349353391</v>
      </c>
      <c r="J588" s="95"/>
      <c r="K588" s="95"/>
      <c r="L588" s="95">
        <v>65.407294390815323</v>
      </c>
      <c r="M588" s="95">
        <v>301.9927057045154</v>
      </c>
      <c r="N588" s="95">
        <v>117.32676302604565</v>
      </c>
      <c r="O588" s="95">
        <v>5633.2391954808591</v>
      </c>
      <c r="P588" s="95">
        <v>1661.330026170036</v>
      </c>
      <c r="Q588" s="95">
        <v>10000</v>
      </c>
      <c r="S588" s="98">
        <v>5633.2391954808591</v>
      </c>
      <c r="T588" s="95">
        <v>4666.4065018485244</v>
      </c>
      <c r="U588" s="99">
        <v>3113.9617703086224</v>
      </c>
      <c r="W588" s="121">
        <v>737.3409956660513</v>
      </c>
      <c r="X588" s="59">
        <v>16150.325036994216</v>
      </c>
      <c r="Y588" s="59">
        <v>27675.477833264693</v>
      </c>
      <c r="Z588" s="59">
        <v>118618.7979142738</v>
      </c>
      <c r="AA588" s="59">
        <v>637753.58373741724</v>
      </c>
      <c r="AB588" s="59">
        <v>1623062.3444054362</v>
      </c>
      <c r="AC588" s="59">
        <v>953481.96170956851</v>
      </c>
      <c r="AD588" s="59">
        <v>3377479.8316326207</v>
      </c>
      <c r="AE588" s="59">
        <v>3355922556.1102614</v>
      </c>
      <c r="AF588" s="68">
        <v>3377479.8316326207</v>
      </c>
    </row>
    <row r="589" spans="1:32" x14ac:dyDescent="0.2">
      <c r="A589" s="95">
        <v>552</v>
      </c>
      <c r="B589" s="95">
        <v>46</v>
      </c>
      <c r="C589" s="95">
        <v>0</v>
      </c>
      <c r="D589" s="95"/>
      <c r="E589" s="95">
        <v>4.3956423818941941</v>
      </c>
      <c r="F589" s="95">
        <v>96.520094344863807</v>
      </c>
      <c r="G589" s="95">
        <v>165.50063538121552</v>
      </c>
      <c r="H589" s="95">
        <v>344.81583898357661</v>
      </c>
      <c r="I589" s="95">
        <v>1595.5393680182622</v>
      </c>
      <c r="J589" s="95"/>
      <c r="K589" s="95"/>
      <c r="L589" s="95">
        <v>65.095805070521592</v>
      </c>
      <c r="M589" s="95">
        <v>300.49252166934536</v>
      </c>
      <c r="N589" s="95">
        <v>116.74364106367</v>
      </c>
      <c r="O589" s="95">
        <v>5641.2246820167056</v>
      </c>
      <c r="P589" s="95">
        <v>1669.6717710699459</v>
      </c>
      <c r="Q589" s="95">
        <v>10000</v>
      </c>
      <c r="S589" s="98">
        <v>5641.2246820167056</v>
      </c>
      <c r="T589" s="95">
        <v>4671.6201877120639</v>
      </c>
      <c r="U589" s="99">
        <v>3117.9152831832539</v>
      </c>
      <c r="W589" s="121">
        <v>726.15799056511628</v>
      </c>
      <c r="X589" s="59">
        <v>15955.635048739532</v>
      </c>
      <c r="Y589" s="59">
        <v>27363.212352347233</v>
      </c>
      <c r="Z589" s="59">
        <v>117399.42029524191</v>
      </c>
      <c r="AA589" s="59">
        <v>632817.36649195361</v>
      </c>
      <c r="AB589" s="59">
        <v>1611266.3747835648</v>
      </c>
      <c r="AC589" s="59">
        <v>946514.66463177674</v>
      </c>
      <c r="AD589" s="59">
        <v>3352042.8315941892</v>
      </c>
      <c r="AE589" s="59">
        <v>3359274598.9418554</v>
      </c>
      <c r="AF589" s="68">
        <v>3352042.8315941892</v>
      </c>
    </row>
    <row r="590" spans="1:32" x14ac:dyDescent="0.2">
      <c r="A590" s="95">
        <v>553</v>
      </c>
      <c r="B590" s="95">
        <v>46</v>
      </c>
      <c r="C590" s="95">
        <v>1</v>
      </c>
      <c r="D590" s="95"/>
      <c r="E590" s="95">
        <v>4.339231637993219</v>
      </c>
      <c r="F590" s="95">
        <v>95.581664232247832</v>
      </c>
      <c r="G590" s="95">
        <v>164.01901940325408</v>
      </c>
      <c r="H590" s="95">
        <v>342.07444339034816</v>
      </c>
      <c r="I590" s="95">
        <v>1586.9060425349664</v>
      </c>
      <c r="J590" s="95"/>
      <c r="K590" s="95"/>
      <c r="L590" s="95">
        <v>64.780113475081919</v>
      </c>
      <c r="M590" s="95">
        <v>299.00293510605377</v>
      </c>
      <c r="N590" s="95">
        <v>116.16268339008865</v>
      </c>
      <c r="O590" s="95">
        <v>5649.1706931570379</v>
      </c>
      <c r="P590" s="95">
        <v>1677.9631736729289</v>
      </c>
      <c r="Q590" s="95">
        <v>10000</v>
      </c>
      <c r="S590" s="98">
        <v>5649.1706931570379</v>
      </c>
      <c r="T590" s="95">
        <v>4676.8056906581232</v>
      </c>
      <c r="U590" s="99">
        <v>3121.8484129641342</v>
      </c>
      <c r="W590" s="121">
        <v>715.14459437487858</v>
      </c>
      <c r="X590" s="59">
        <v>15763.269651038298</v>
      </c>
      <c r="Y590" s="59">
        <v>27054.381910177119</v>
      </c>
      <c r="Z590" s="59">
        <v>116192.0059601017</v>
      </c>
      <c r="AA590" s="59">
        <v>627915.96491129615</v>
      </c>
      <c r="AB590" s="59">
        <v>1599543.9693643444</v>
      </c>
      <c r="AC590" s="59">
        <v>939592.36306621076</v>
      </c>
      <c r="AD590" s="59">
        <v>3326777.0994575433</v>
      </c>
      <c r="AE590" s="59">
        <v>3362601376.0413132</v>
      </c>
      <c r="AF590" s="68">
        <v>3326777.0994575433</v>
      </c>
    </row>
    <row r="591" spans="1:32" x14ac:dyDescent="0.2">
      <c r="A591" s="95">
        <v>554</v>
      </c>
      <c r="B591" s="95">
        <v>46</v>
      </c>
      <c r="C591" s="95">
        <v>2</v>
      </c>
      <c r="D591" s="95"/>
      <c r="E591" s="95">
        <v>4.2835448319723062</v>
      </c>
      <c r="F591" s="95">
        <v>94.652224821023751</v>
      </c>
      <c r="G591" s="95">
        <v>162.5501406877066</v>
      </c>
      <c r="H591" s="95">
        <v>339.35318443115375</v>
      </c>
      <c r="I591" s="95">
        <v>1578.3109668353943</v>
      </c>
      <c r="J591" s="95"/>
      <c r="K591" s="95"/>
      <c r="L591" s="95">
        <v>64.464999211431405</v>
      </c>
      <c r="M591" s="95">
        <v>297.51919988416273</v>
      </c>
      <c r="N591" s="95">
        <v>115.58388729058912</v>
      </c>
      <c r="O591" s="95">
        <v>5657.0773410896973</v>
      </c>
      <c r="P591" s="95">
        <v>1686.2045109168698</v>
      </c>
      <c r="Q591" s="95">
        <v>10000.000000000002</v>
      </c>
      <c r="S591" s="98">
        <v>5657.0773410896973</v>
      </c>
      <c r="T591" s="95">
        <v>4681.9631352963615</v>
      </c>
      <c r="U591" s="99">
        <v>3125.7612406223848</v>
      </c>
      <c r="W591" s="121">
        <v>704.2982346935263</v>
      </c>
      <c r="X591" s="59">
        <v>15573.201440195473</v>
      </c>
      <c r="Y591" s="59">
        <v>26748.950015756742</v>
      </c>
      <c r="Z591" s="59">
        <v>114996.44518404048</v>
      </c>
      <c r="AA591" s="59">
        <v>623049.17128531926</v>
      </c>
      <c r="AB591" s="59">
        <v>1587895.0949379553</v>
      </c>
      <c r="AC591" s="59">
        <v>932714.80923358025</v>
      </c>
      <c r="AD591" s="59">
        <v>3301681.9703315408</v>
      </c>
      <c r="AE591" s="59">
        <v>3365903058.0116448</v>
      </c>
      <c r="AF591" s="68">
        <v>3301681.9703315408</v>
      </c>
    </row>
    <row r="592" spans="1:32" x14ac:dyDescent="0.2">
      <c r="A592" s="95">
        <v>555</v>
      </c>
      <c r="B592" s="95">
        <v>46</v>
      </c>
      <c r="C592" s="95">
        <v>3</v>
      </c>
      <c r="D592" s="95"/>
      <c r="E592" s="95">
        <v>4.2285726732953286</v>
      </c>
      <c r="F592" s="95">
        <v>93.731691764121734</v>
      </c>
      <c r="G592" s="95">
        <v>161.09389627285802</v>
      </c>
      <c r="H592" s="95">
        <v>336.65193273653358</v>
      </c>
      <c r="I592" s="95">
        <v>1569.7540487002966</v>
      </c>
      <c r="J592" s="95"/>
      <c r="K592" s="95"/>
      <c r="L592" s="95">
        <v>64.15048169473279</v>
      </c>
      <c r="M592" s="95">
        <v>296.04130128069772</v>
      </c>
      <c r="N592" s="95">
        <v>115.00725023820267</v>
      </c>
      <c r="O592" s="95">
        <v>5664.9447660994128</v>
      </c>
      <c r="P592" s="95">
        <v>1694.3960585398495</v>
      </c>
      <c r="Q592" s="95">
        <v>10000</v>
      </c>
      <c r="S592" s="98">
        <v>5664.9447660994128</v>
      </c>
      <c r="T592" s="95">
        <v>4687.0926459385764</v>
      </c>
      <c r="U592" s="99">
        <v>3129.6538472119009</v>
      </c>
      <c r="W592" s="121">
        <v>693.61637813400785</v>
      </c>
      <c r="X592" s="59">
        <v>15385.403329981289</v>
      </c>
      <c r="Y592" s="59">
        <v>26446.880546548542</v>
      </c>
      <c r="Z592" s="59">
        <v>113812.62914597619</v>
      </c>
      <c r="AA592" s="59">
        <v>618216.77871145401</v>
      </c>
      <c r="AB592" s="59">
        <v>1576319.466964622</v>
      </c>
      <c r="AC592" s="59">
        <v>925881.76021288696</v>
      </c>
      <c r="AD592" s="59">
        <v>3276756.5352896028</v>
      </c>
      <c r="AE592" s="59">
        <v>3369179814.5469346</v>
      </c>
      <c r="AF592" s="68">
        <v>3276756.5352896028</v>
      </c>
    </row>
    <row r="593" spans="1:32" x14ac:dyDescent="0.2">
      <c r="A593" s="95">
        <v>556</v>
      </c>
      <c r="B593" s="95">
        <v>46</v>
      </c>
      <c r="C593" s="95">
        <v>4</v>
      </c>
      <c r="D593" s="95"/>
      <c r="E593" s="95">
        <v>4.1743059906547053</v>
      </c>
      <c r="F593" s="95">
        <v>92.819981481417798</v>
      </c>
      <c r="G593" s="95">
        <v>159.65018394661732</v>
      </c>
      <c r="H593" s="95">
        <v>333.97055955687136</v>
      </c>
      <c r="I593" s="95">
        <v>1561.2351953514976</v>
      </c>
      <c r="J593" s="95"/>
      <c r="K593" s="95"/>
      <c r="L593" s="95">
        <v>63.83657977233414</v>
      </c>
      <c r="M593" s="95">
        <v>294.56922464268069</v>
      </c>
      <c r="N593" s="95">
        <v>114.43276972266996</v>
      </c>
      <c r="O593" s="95">
        <v>5672.7731085380456</v>
      </c>
      <c r="P593" s="95">
        <v>1702.5380909972116</v>
      </c>
      <c r="Q593" s="95">
        <v>10000</v>
      </c>
      <c r="S593" s="98">
        <v>5672.7731085380456</v>
      </c>
      <c r="T593" s="95">
        <v>4692.1943465968525</v>
      </c>
      <c r="U593" s="99">
        <v>3133.5263137055786</v>
      </c>
      <c r="W593" s="121">
        <v>683.09652973230868</v>
      </c>
      <c r="X593" s="59">
        <v>15199.84854804333</v>
      </c>
      <c r="Y593" s="59">
        <v>26148.137745043288</v>
      </c>
      <c r="Z593" s="59">
        <v>112640.44992251214</v>
      </c>
      <c r="AA593" s="59">
        <v>613418.58109691762</v>
      </c>
      <c r="AB593" s="59">
        <v>1564816.7981957046</v>
      </c>
      <c r="AC593" s="59">
        <v>919092.97514255694</v>
      </c>
      <c r="AD593" s="59">
        <v>3251999.8871805104</v>
      </c>
      <c r="AE593" s="59">
        <v>3372431814.4341149</v>
      </c>
      <c r="AF593" s="68">
        <v>3251999.8871805104</v>
      </c>
    </row>
    <row r="594" spans="1:32" x14ac:dyDescent="0.2">
      <c r="A594" s="95">
        <v>557</v>
      </c>
      <c r="B594" s="95">
        <v>46</v>
      </c>
      <c r="C594" s="95">
        <v>5</v>
      </c>
      <c r="D594" s="95"/>
      <c r="E594" s="95">
        <v>4.1207357304413037</v>
      </c>
      <c r="F594" s="95">
        <v>91.91701115309894</v>
      </c>
      <c r="G594" s="95">
        <v>158.21890224214246</v>
      </c>
      <c r="H594" s="95">
        <v>331.30893676198741</v>
      </c>
      <c r="I594" s="95">
        <v>1552.7543134620778</v>
      </c>
      <c r="J594" s="95"/>
      <c r="K594" s="95"/>
      <c r="L594" s="95">
        <v>63.523311737125667</v>
      </c>
      <c r="M594" s="95">
        <v>293.10295538427141</v>
      </c>
      <c r="N594" s="95">
        <v>113.86044324632189</v>
      </c>
      <c r="O594" s="95">
        <v>5680.5625088172228</v>
      </c>
      <c r="P594" s="95">
        <v>1710.6308814653112</v>
      </c>
      <c r="Q594" s="95">
        <v>10000</v>
      </c>
      <c r="S594" s="98">
        <v>5680.5625088172228</v>
      </c>
      <c r="T594" s="95">
        <v>4697.268360981745</v>
      </c>
      <c r="U594" s="99">
        <v>3137.3787209918405</v>
      </c>
      <c r="W594" s="121">
        <v>672.736232364702</v>
      </c>
      <c r="X594" s="59">
        <v>15016.510632357677</v>
      </c>
      <c r="Y594" s="59">
        <v>25852.686215355843</v>
      </c>
      <c r="Z594" s="59">
        <v>111479.8004819122</v>
      </c>
      <c r="AA594" s="59">
        <v>608654.37316085445</v>
      </c>
      <c r="AB594" s="59">
        <v>1553386.7987979748</v>
      </c>
      <c r="AC594" s="59">
        <v>912348.2151270929</v>
      </c>
      <c r="AD594" s="59">
        <v>3227411.1206479124</v>
      </c>
      <c r="AE594" s="59">
        <v>3375659225.5547628</v>
      </c>
      <c r="AF594" s="68">
        <v>3227411.1206479124</v>
      </c>
    </row>
    <row r="595" spans="1:32" x14ac:dyDescent="0.2">
      <c r="A595" s="95">
        <v>558</v>
      </c>
      <c r="B595" s="95">
        <v>46</v>
      </c>
      <c r="C595" s="95">
        <v>6</v>
      </c>
      <c r="D595" s="95"/>
      <c r="E595" s="95">
        <v>4.0678529552339739</v>
      </c>
      <c r="F595" s="95">
        <v>91.022698713080899</v>
      </c>
      <c r="G595" s="95">
        <v>156.79995043347554</v>
      </c>
      <c r="H595" s="95">
        <v>328.6669368406935</v>
      </c>
      <c r="I595" s="95">
        <v>1544.3113091664782</v>
      </c>
      <c r="J595" s="95"/>
      <c r="K595" s="95"/>
      <c r="L595" s="95">
        <v>63.210695340584188</v>
      </c>
      <c r="M595" s="95">
        <v>291.64247898398617</v>
      </c>
      <c r="N595" s="95">
        <v>113.29026832019112</v>
      </c>
      <c r="O595" s="95">
        <v>5688.3131074010043</v>
      </c>
      <c r="P595" s="95">
        <v>1718.6747018452734</v>
      </c>
      <c r="Q595" s="95">
        <v>10000.000000000002</v>
      </c>
      <c r="S595" s="98">
        <v>5688.3131074010043</v>
      </c>
      <c r="T595" s="95">
        <v>4702.3148125004964</v>
      </c>
      <c r="U595" s="99">
        <v>3141.2111498712343</v>
      </c>
      <c r="W595" s="121">
        <v>662.53306617383737</v>
      </c>
      <c r="X595" s="59">
        <v>14835.363427718763</v>
      </c>
      <c r="Y595" s="59">
        <v>25560.490919848307</v>
      </c>
      <c r="Z595" s="59">
        <v>110330.57467809676</v>
      </c>
      <c r="AA595" s="59">
        <v>603923.95043638698</v>
      </c>
      <c r="AB595" s="59">
        <v>1542029.1764743323</v>
      </c>
      <c r="AC595" s="59">
        <v>905647.24314889987</v>
      </c>
      <c r="AD595" s="59">
        <v>3202989.3321514567</v>
      </c>
      <c r="AE595" s="59">
        <v>3378862214.8869143</v>
      </c>
      <c r="AF595" s="68">
        <v>3202989.3321514567</v>
      </c>
    </row>
    <row r="596" spans="1:32" x14ac:dyDescent="0.2">
      <c r="A596" s="95">
        <v>559</v>
      </c>
      <c r="B596" s="95">
        <v>46</v>
      </c>
      <c r="C596" s="95">
        <v>7</v>
      </c>
      <c r="D596" s="95"/>
      <c r="E596" s="95">
        <v>4.0156488423084715</v>
      </c>
      <c r="F596" s="95">
        <v>90.136962842478113</v>
      </c>
      <c r="G596" s="95">
        <v>155.39322853118856</v>
      </c>
      <c r="H596" s="95">
        <v>326.0444329003094</v>
      </c>
      <c r="I596" s="95">
        <v>1535.9060880705229</v>
      </c>
      <c r="J596" s="95"/>
      <c r="K596" s="95"/>
      <c r="L596" s="95">
        <v>62.898747805512961</v>
      </c>
      <c r="M596" s="95">
        <v>290.18778098199238</v>
      </c>
      <c r="N596" s="95">
        <v>112.72224246034385</v>
      </c>
      <c r="O596" s="95">
        <v>5696.0250447985809</v>
      </c>
      <c r="P596" s="95">
        <v>1726.6698227667639</v>
      </c>
      <c r="Q596" s="95">
        <v>10000.000000000002</v>
      </c>
      <c r="S596" s="98">
        <v>5696.0250447985809</v>
      </c>
      <c r="T596" s="95">
        <v>4707.3338242552873</v>
      </c>
      <c r="U596" s="99">
        <v>3145.023681053101</v>
      </c>
      <c r="W596" s="121">
        <v>652.48464800353418</v>
      </c>
      <c r="X596" s="59">
        <v>14656.381082267475</v>
      </c>
      <c r="Y596" s="59">
        <v>25271.517175780322</v>
      </c>
      <c r="Z596" s="59">
        <v>109192.66724465981</v>
      </c>
      <c r="AA596" s="59">
        <v>599227.10927258001</v>
      </c>
      <c r="AB596" s="59">
        <v>1530743.636581057</v>
      </c>
      <c r="AC596" s="59">
        <v>898989.82398503309</v>
      </c>
      <c r="AD596" s="59">
        <v>3178733.6199893812</v>
      </c>
      <c r="AE596" s="59">
        <v>3382040948.5069036</v>
      </c>
      <c r="AF596" s="68">
        <v>3178733.6199893812</v>
      </c>
    </row>
    <row r="597" spans="1:32" x14ac:dyDescent="0.2">
      <c r="A597" s="95">
        <v>560</v>
      </c>
      <c r="B597" s="95">
        <v>46</v>
      </c>
      <c r="C597" s="95">
        <v>8</v>
      </c>
      <c r="D597" s="95"/>
      <c r="E597" s="95">
        <v>3.9641146821655129</v>
      </c>
      <c r="F597" s="95">
        <v>89.259722963125427</v>
      </c>
      <c r="G597" s="95">
        <v>153.99863727803972</v>
      </c>
      <c r="H597" s="95">
        <v>323.44129866614236</v>
      </c>
      <c r="I597" s="95">
        <v>1527.5385552613636</v>
      </c>
      <c r="J597" s="95"/>
      <c r="K597" s="95"/>
      <c r="L597" s="95">
        <v>62.587485838483715</v>
      </c>
      <c r="M597" s="95">
        <v>288.73884697747792</v>
      </c>
      <c r="N597" s="95">
        <v>112.15636318442203</v>
      </c>
      <c r="O597" s="95">
        <v>5703.69846155701</v>
      </c>
      <c r="P597" s="95">
        <v>1734.6165135917706</v>
      </c>
      <c r="Q597" s="95">
        <v>10000.000000000002</v>
      </c>
      <c r="S597" s="98">
        <v>5703.69846155701</v>
      </c>
      <c r="T597" s="95">
        <v>4712.3255190415166</v>
      </c>
      <c r="U597" s="99">
        <v>3148.8163951523125</v>
      </c>
      <c r="W597" s="121">
        <v>642.58863084214727</v>
      </c>
      <c r="X597" s="59">
        <v>14479.538044057166</v>
      </c>
      <c r="Y597" s="59">
        <v>24985.730651986436</v>
      </c>
      <c r="Z597" s="59">
        <v>108065.97378890715</v>
      </c>
      <c r="AA597" s="59">
        <v>594563.64683631761</v>
      </c>
      <c r="AB597" s="59">
        <v>1519529.8822416961</v>
      </c>
      <c r="AC597" s="59">
        <v>892375.72412862815</v>
      </c>
      <c r="AD597" s="59">
        <v>3154643.0843224349</v>
      </c>
      <c r="AE597" s="59">
        <v>3385195591.5912261</v>
      </c>
      <c r="AF597" s="68">
        <v>3154643.0843224349</v>
      </c>
    </row>
    <row r="598" spans="1:32" x14ac:dyDescent="0.2">
      <c r="A598" s="95">
        <v>561</v>
      </c>
      <c r="B598" s="95">
        <v>46</v>
      </c>
      <c r="C598" s="95">
        <v>9</v>
      </c>
      <c r="D598" s="95"/>
      <c r="E598" s="95">
        <v>3.9132418770777222</v>
      </c>
      <c r="F598" s="95">
        <v>88.390899231151437</v>
      </c>
      <c r="G598" s="95">
        <v>152.61607814464085</v>
      </c>
      <c r="H598" s="95">
        <v>320.85740848092945</v>
      </c>
      <c r="I598" s="95">
        <v>1519.2086153173427</v>
      </c>
      <c r="J598" s="95"/>
      <c r="K598" s="95"/>
      <c r="L598" s="95">
        <v>62.276925641988285</v>
      </c>
      <c r="M598" s="95">
        <v>287.29566262609296</v>
      </c>
      <c r="N598" s="95">
        <v>111.59262800838643</v>
      </c>
      <c r="O598" s="95">
        <v>5711.3334982539955</v>
      </c>
      <c r="P598" s="95">
        <v>1742.5150424183953</v>
      </c>
      <c r="Q598" s="95">
        <v>10000</v>
      </c>
      <c r="S598" s="98">
        <v>5711.3334982539955</v>
      </c>
      <c r="T598" s="95">
        <v>4717.2900193461164</v>
      </c>
      <c r="U598" s="99">
        <v>3152.5893726860745</v>
      </c>
      <c r="W598" s="121">
        <v>632.84270327437457</v>
      </c>
      <c r="X598" s="59">
        <v>14304.809057657161</v>
      </c>
      <c r="Y598" s="59">
        <v>24703.097365580383</v>
      </c>
      <c r="Z598" s="59">
        <v>106950.39078591634</v>
      </c>
      <c r="AA598" s="59">
        <v>589933.36111409415</v>
      </c>
      <c r="AB598" s="59">
        <v>1508387.6144576776</v>
      </c>
      <c r="AC598" s="59">
        <v>885804.71171478357</v>
      </c>
      <c r="AD598" s="59">
        <v>3130716.8271989836</v>
      </c>
      <c r="AE598" s="59">
        <v>3388326308.4184251</v>
      </c>
      <c r="AF598" s="68">
        <v>3130716.8271989836</v>
      </c>
    </row>
    <row r="599" spans="1:32" x14ac:dyDescent="0.2">
      <c r="A599" s="95">
        <v>562</v>
      </c>
      <c r="B599" s="95">
        <v>46</v>
      </c>
      <c r="C599" s="95">
        <v>10</v>
      </c>
      <c r="D599" s="95"/>
      <c r="E599" s="95">
        <v>3.8630219396552246</v>
      </c>
      <c r="F599" s="95">
        <v>87.530412530602902</v>
      </c>
      <c r="G599" s="95">
        <v>151.2454533251358</v>
      </c>
      <c r="H599" s="95">
        <v>318.29263730424401</v>
      </c>
      <c r="I599" s="95">
        <v>1510.9161723177783</v>
      </c>
      <c r="J599" s="95"/>
      <c r="K599" s="95"/>
      <c r="L599" s="95">
        <v>61.967082926306468</v>
      </c>
      <c r="M599" s="95">
        <v>285.85821363746339</v>
      </c>
      <c r="N599" s="95">
        <v>111.03103444345152</v>
      </c>
      <c r="O599" s="95">
        <v>5718.930295490708</v>
      </c>
      <c r="P599" s="95">
        <v>1750.3656760846554</v>
      </c>
      <c r="Q599" s="95">
        <v>10000.000000000002</v>
      </c>
      <c r="S599" s="98">
        <v>5718.930295490708</v>
      </c>
      <c r="T599" s="95">
        <v>4722.2274473458974</v>
      </c>
      <c r="U599" s="99">
        <v>3156.3426940707973</v>
      </c>
      <c r="W599" s="121">
        <v>623.2445889413799</v>
      </c>
      <c r="X599" s="59">
        <v>14132.169160793374</v>
      </c>
      <c r="Y599" s="59">
        <v>24423.583678686093</v>
      </c>
      <c r="Z599" s="59">
        <v>105845.81557261817</v>
      </c>
      <c r="AA599" s="59">
        <v>585336.05091372237</v>
      </c>
      <c r="AB599" s="59">
        <v>1497316.5322157377</v>
      </c>
      <c r="AC599" s="59">
        <v>879276.55645067722</v>
      </c>
      <c r="AD599" s="59">
        <v>3106953.9525811765</v>
      </c>
      <c r="AE599" s="59">
        <v>3391433262.3710065</v>
      </c>
      <c r="AF599" s="68">
        <v>3106953.9525811765</v>
      </c>
    </row>
    <row r="600" spans="1:32" x14ac:dyDescent="0.2">
      <c r="A600" s="95">
        <v>563</v>
      </c>
      <c r="B600" s="95">
        <v>46</v>
      </c>
      <c r="C600" s="95">
        <v>11</v>
      </c>
      <c r="D600" s="95"/>
      <c r="E600" s="95">
        <v>3.8134464914296493</v>
      </c>
      <c r="F600" s="95">
        <v>86.678184467120076</v>
      </c>
      <c r="G600" s="95">
        <v>149.88666573289038</v>
      </c>
      <c r="H600" s="95">
        <v>315.74686071186625</v>
      </c>
      <c r="I600" s="95">
        <v>1502.6611298526693</v>
      </c>
      <c r="J600" s="95"/>
      <c r="K600" s="95"/>
      <c r="L600" s="95">
        <v>61.657972921096977</v>
      </c>
      <c r="M600" s="95">
        <v>284.42648577277402</v>
      </c>
      <c r="N600" s="95">
        <v>110.47157999320349</v>
      </c>
      <c r="O600" s="95">
        <v>5726.4889938846527</v>
      </c>
      <c r="P600" s="95">
        <v>1758.1686801722981</v>
      </c>
      <c r="Q600" s="95">
        <v>10000.000000000002</v>
      </c>
      <c r="S600" s="98">
        <v>5726.4889938846527</v>
      </c>
      <c r="T600" s="95">
        <v>4727.13792490593</v>
      </c>
      <c r="U600" s="99">
        <v>3160.0764396190293</v>
      </c>
      <c r="W600" s="121">
        <v>613.79204600910236</v>
      </c>
      <c r="X600" s="59">
        <v>13961.593681025633</v>
      </c>
      <c r="Y600" s="59">
        <v>24147.156295195302</v>
      </c>
      <c r="Z600" s="59">
        <v>104752.14634190021</v>
      </c>
      <c r="AA600" s="59">
        <v>580771.51586595585</v>
      </c>
      <c r="AB600" s="59">
        <v>1486316.3325922568</v>
      </c>
      <c r="AC600" s="59">
        <v>872791.02954970906</v>
      </c>
      <c r="AD600" s="59">
        <v>3083353.5663720518</v>
      </c>
      <c r="AE600" s="59">
        <v>3394516615.9373784</v>
      </c>
      <c r="AF600" s="68">
        <v>3083353.5663720518</v>
      </c>
    </row>
    <row r="601" spans="1:32" x14ac:dyDescent="0.2">
      <c r="A601" s="95">
        <v>564</v>
      </c>
      <c r="B601" s="95">
        <v>47</v>
      </c>
      <c r="C601" s="95">
        <v>0</v>
      </c>
      <c r="D601" s="95"/>
      <c r="E601" s="95">
        <v>3.764507261456302</v>
      </c>
      <c r="F601" s="95">
        <v>85.834137361662457</v>
      </c>
      <c r="G601" s="95">
        <v>148.53961899619384</v>
      </c>
      <c r="H601" s="95">
        <v>313.21995489511886</v>
      </c>
      <c r="I601" s="95">
        <v>1494.4433910323223</v>
      </c>
      <c r="J601" s="95"/>
      <c r="K601" s="95"/>
      <c r="L601" s="95">
        <v>61.349610386717998</v>
      </c>
      <c r="M601" s="95">
        <v>283.00046484242029</v>
      </c>
      <c r="N601" s="95">
        <v>109.91426215089301</v>
      </c>
      <c r="O601" s="95">
        <v>5734.0097340625935</v>
      </c>
      <c r="P601" s="95">
        <v>1765.9243190106224</v>
      </c>
      <c r="Q601" s="95">
        <v>10000.000000000002</v>
      </c>
      <c r="S601" s="98">
        <v>5734.0097340625935</v>
      </c>
      <c r="T601" s="95">
        <v>4732.0215735779511</v>
      </c>
      <c r="U601" s="99">
        <v>3163.7906895364558</v>
      </c>
      <c r="W601" s="121">
        <v>604.48286664463103</v>
      </c>
      <c r="X601" s="59">
        <v>13793.058232461402</v>
      </c>
      <c r="Y601" s="59">
        <v>23873.782257551637</v>
      </c>
      <c r="Z601" s="59">
        <v>103669.28213673252</v>
      </c>
      <c r="AA601" s="59">
        <v>576239.55642603152</v>
      </c>
      <c r="AB601" s="59">
        <v>1475386.7108545834</v>
      </c>
      <c r="AC601" s="59">
        <v>866347.90366946964</v>
      </c>
      <c r="AD601" s="59">
        <v>3059914.7764434749</v>
      </c>
      <c r="AE601" s="59">
        <v>3397576530.7138219</v>
      </c>
      <c r="AF601" s="68">
        <v>3059914.7764434749</v>
      </c>
    </row>
    <row r="602" spans="1:32" x14ac:dyDescent="0.2">
      <c r="A602" s="95">
        <v>565</v>
      </c>
      <c r="B602" s="95">
        <v>47</v>
      </c>
      <c r="C602" s="95">
        <v>1</v>
      </c>
      <c r="D602" s="95"/>
      <c r="E602" s="95">
        <v>3.7161960849342797</v>
      </c>
      <c r="F602" s="95">
        <v>84.998194244284747</v>
      </c>
      <c r="G602" s="95">
        <v>147.20421745397206</v>
      </c>
      <c r="H602" s="95">
        <v>310.71179666016803</v>
      </c>
      <c r="I602" s="95">
        <v>1486.2628584968993</v>
      </c>
      <c r="J602" s="95"/>
      <c r="K602" s="95"/>
      <c r="L602" s="95">
        <v>61.042009625283718</v>
      </c>
      <c r="M602" s="95">
        <v>281.58013670372685</v>
      </c>
      <c r="N602" s="95">
        <v>109.35907839689465</v>
      </c>
      <c r="O602" s="95">
        <v>5741.4926566535241</v>
      </c>
      <c r="P602" s="95">
        <v>1773.6328556803132</v>
      </c>
      <c r="Q602" s="95">
        <v>10000.000000000002</v>
      </c>
      <c r="S602" s="98">
        <v>5741.4926566535241</v>
      </c>
      <c r="T602" s="95">
        <v>4736.8785145988059</v>
      </c>
      <c r="U602" s="99">
        <v>3167.4855239189587</v>
      </c>
      <c r="W602" s="121">
        <v>595.31487650052077</v>
      </c>
      <c r="X602" s="59">
        <v>13626.53871250542</v>
      </c>
      <c r="Y602" s="59">
        <v>23603.428943560983</v>
      </c>
      <c r="Z602" s="59">
        <v>102597.12284431582</v>
      </c>
      <c r="AA602" s="59">
        <v>571739.97387512866</v>
      </c>
      <c r="AB602" s="59">
        <v>1464527.3605594314</v>
      </c>
      <c r="AC602" s="59">
        <v>859946.9528533438</v>
      </c>
      <c r="AD602" s="59">
        <v>3036636.6926647867</v>
      </c>
      <c r="AE602" s="59">
        <v>3400613167.4064865</v>
      </c>
      <c r="AF602" s="68">
        <v>3036636.6926647867</v>
      </c>
    </row>
    <row r="603" spans="1:32" x14ac:dyDescent="0.2">
      <c r="A603" s="95">
        <v>566</v>
      </c>
      <c r="B603" s="95">
        <v>47</v>
      </c>
      <c r="C603" s="95">
        <v>2</v>
      </c>
      <c r="D603" s="95"/>
      <c r="E603" s="95">
        <v>3.6685049018442899</v>
      </c>
      <c r="F603" s="95">
        <v>84.170278847962635</v>
      </c>
      <c r="G603" s="95">
        <v>145.88036615151296</v>
      </c>
      <c r="H603" s="95">
        <v>308.22226342729061</v>
      </c>
      <c r="I603" s="95">
        <v>1478.1194344258874</v>
      </c>
      <c r="J603" s="95"/>
      <c r="K603" s="95"/>
      <c r="L603" s="95">
        <v>60.735184491463123</v>
      </c>
      <c r="M603" s="95">
        <v>280.16548725873196</v>
      </c>
      <c r="N603" s="95">
        <v>108.80602619632549</v>
      </c>
      <c r="O603" s="95">
        <v>5748.9379022816984</v>
      </c>
      <c r="P603" s="95">
        <v>1781.2945520172839</v>
      </c>
      <c r="Q603" s="95">
        <v>10000</v>
      </c>
      <c r="S603" s="98">
        <v>5748.9379022816984</v>
      </c>
      <c r="T603" s="95">
        <v>4741.7088688889207</v>
      </c>
      <c r="U603" s="99">
        <v>3171.1610227497363</v>
      </c>
      <c r="W603" s="121">
        <v>586.28593420692948</v>
      </c>
      <c r="X603" s="59">
        <v>13462.011298644982</v>
      </c>
      <c r="Y603" s="59">
        <v>23336.064063228001</v>
      </c>
      <c r="Z603" s="59">
        <v>101535.56919025206</v>
      </c>
      <c r="AA603" s="59">
        <v>567272.57032174955</v>
      </c>
      <c r="AB603" s="59">
        <v>1453737.9736484324</v>
      </c>
      <c r="AC603" s="59">
        <v>853587.95247556933</v>
      </c>
      <c r="AD603" s="59">
        <v>3013518.4269320834</v>
      </c>
      <c r="AE603" s="59">
        <v>3403626685.8334184</v>
      </c>
      <c r="AF603" s="68">
        <v>3013518.4269320834</v>
      </c>
    </row>
    <row r="604" spans="1:32" x14ac:dyDescent="0.2">
      <c r="A604" s="95">
        <v>567</v>
      </c>
      <c r="B604" s="95">
        <v>47</v>
      </c>
      <c r="C604" s="95">
        <v>3</v>
      </c>
      <c r="D604" s="95"/>
      <c r="E604" s="95">
        <v>3.6214257556039549</v>
      </c>
      <c r="F604" s="95">
        <v>83.350315602468001</v>
      </c>
      <c r="G604" s="95">
        <v>144.56797083620373</v>
      </c>
      <c r="H604" s="95">
        <v>305.7512332301078</v>
      </c>
      <c r="I604" s="95">
        <v>1470.0130205474904</v>
      </c>
      <c r="J604" s="95"/>
      <c r="K604" s="95"/>
      <c r="L604" s="95">
        <v>60.429148403027106</v>
      </c>
      <c r="M604" s="95">
        <v>278.75650245203587</v>
      </c>
      <c r="N604" s="95">
        <v>108.25510299681555</v>
      </c>
      <c r="O604" s="95">
        <v>5756.3456115597201</v>
      </c>
      <c r="P604" s="95">
        <v>1788.9096686165285</v>
      </c>
      <c r="Q604" s="95">
        <v>10000.000000000002</v>
      </c>
      <c r="S604" s="98">
        <v>5756.3456115597201</v>
      </c>
      <c r="T604" s="95">
        <v>4746.5127570508048</v>
      </c>
      <c r="U604" s="99">
        <v>3174.8172658964841</v>
      </c>
      <c r="W604" s="121">
        <v>577.39393087145777</v>
      </c>
      <c r="X604" s="59">
        <v>13299.452445270437</v>
      </c>
      <c r="Y604" s="59">
        <v>23071.655655618637</v>
      </c>
      <c r="Z604" s="59">
        <v>100484.5227327381</v>
      </c>
      <c r="AA604" s="59">
        <v>562837.14870301983</v>
      </c>
      <c r="AB604" s="59">
        <v>1443018.240540921</v>
      </c>
      <c r="AC604" s="59">
        <v>847270.67918957747</v>
      </c>
      <c r="AD604" s="59">
        <v>2990559.0931980168</v>
      </c>
      <c r="AE604" s="59">
        <v>3406617244.9266162</v>
      </c>
      <c r="AF604" s="68">
        <v>2990559.0931980168</v>
      </c>
    </row>
    <row r="605" spans="1:32" x14ac:dyDescent="0.2">
      <c r="A605" s="95">
        <v>568</v>
      </c>
      <c r="B605" s="95">
        <v>47</v>
      </c>
      <c r="C605" s="95">
        <v>4</v>
      </c>
      <c r="D605" s="95"/>
      <c r="E605" s="95">
        <v>3.5749507917403709</v>
      </c>
      <c r="F605" s="95">
        <v>82.538229628293379</v>
      </c>
      <c r="G605" s="95">
        <v>143.26693795328089</v>
      </c>
      <c r="H605" s="95">
        <v>303.29858471478599</v>
      </c>
      <c r="I605" s="95">
        <v>1461.9435181479419</v>
      </c>
      <c r="J605" s="95"/>
      <c r="K605" s="95"/>
      <c r="L605" s="95">
        <v>60.123914351149956</v>
      </c>
      <c r="M605" s="95">
        <v>277.3531682687123</v>
      </c>
      <c r="N605" s="95">
        <v>107.70630622642278</v>
      </c>
      <c r="O605" s="95">
        <v>5763.7159250816885</v>
      </c>
      <c r="P605" s="95">
        <v>1796.4784648359851</v>
      </c>
      <c r="Q605" s="95">
        <v>10000.000000000002</v>
      </c>
      <c r="S605" s="98">
        <v>5763.7159250816885</v>
      </c>
      <c r="T605" s="95">
        <v>4751.2902993675843</v>
      </c>
      <c r="U605" s="99">
        <v>3178.4543331086347</v>
      </c>
      <c r="W605" s="121">
        <v>568.63678958657397</v>
      </c>
      <c r="X605" s="59">
        <v>13138.838880530553</v>
      </c>
      <c r="Y605" s="59">
        <v>22810.172085748516</v>
      </c>
      <c r="Z605" s="59">
        <v>99443.885856782043</v>
      </c>
      <c r="AA605" s="59">
        <v>558433.51278591075</v>
      </c>
      <c r="AB605" s="59">
        <v>1432367.8502240286</v>
      </c>
      <c r="AC605" s="59">
        <v>840994.91087944782</v>
      </c>
      <c r="AD605" s="59">
        <v>2967757.8075020351</v>
      </c>
      <c r="AE605" s="59">
        <v>3409585002.7341185</v>
      </c>
      <c r="AF605" s="68">
        <v>2967757.8075020351</v>
      </c>
    </row>
    <row r="606" spans="1:32" x14ac:dyDescent="0.2">
      <c r="A606" s="95">
        <v>569</v>
      </c>
      <c r="B606" s="95">
        <v>47</v>
      </c>
      <c r="C606" s="95">
        <v>5</v>
      </c>
      <c r="D606" s="95"/>
      <c r="E606" s="95">
        <v>3.5290722565797026</v>
      </c>
      <c r="F606" s="95">
        <v>81.733946730625192</v>
      </c>
      <c r="G606" s="95">
        <v>141.97717464159254</v>
      </c>
      <c r="H606" s="95">
        <v>300.86419713920526</v>
      </c>
      <c r="I606" s="95">
        <v>1453.9108280807418</v>
      </c>
      <c r="J606" s="95"/>
      <c r="K606" s="95"/>
      <c r="L606" s="95">
        <v>59.819494910470837</v>
      </c>
      <c r="M606" s="95">
        <v>275.95547073228136</v>
      </c>
      <c r="N606" s="95">
        <v>107.15963329168625</v>
      </c>
      <c r="O606" s="95">
        <v>5771.0489834164127</v>
      </c>
      <c r="P606" s="95">
        <v>1804.0011988004055</v>
      </c>
      <c r="Q606" s="95">
        <v>10000.000000000002</v>
      </c>
      <c r="S606" s="98">
        <v>5771.0489834164127</v>
      </c>
      <c r="T606" s="95">
        <v>4756.0416158015651</v>
      </c>
      <c r="U606" s="99">
        <v>3182.0723040146531</v>
      </c>
      <c r="W606" s="121">
        <v>560.01246494451095</v>
      </c>
      <c r="X606" s="59">
        <v>12980.147603222391</v>
      </c>
      <c r="Y606" s="59">
        <v>22551.582041496986</v>
      </c>
      <c r="Z606" s="59">
        <v>98413.561768442945</v>
      </c>
      <c r="AA606" s="59">
        <v>554061.46716838505</v>
      </c>
      <c r="AB606" s="59">
        <v>1421786.49034016</v>
      </c>
      <c r="AC606" s="59">
        <v>834760.42661432305</v>
      </c>
      <c r="AD606" s="59">
        <v>2945113.6880009747</v>
      </c>
      <c r="AE606" s="59">
        <v>3412530116.4221196</v>
      </c>
      <c r="AF606" s="68">
        <v>2945113.6880009747</v>
      </c>
    </row>
    <row r="607" spans="1:32" x14ac:dyDescent="0.2">
      <c r="A607" s="95">
        <v>570</v>
      </c>
      <c r="B607" s="95">
        <v>47</v>
      </c>
      <c r="C607" s="95">
        <v>6</v>
      </c>
      <c r="D607" s="95"/>
      <c r="E607" s="95">
        <v>3.4837824959535966</v>
      </c>
      <c r="F607" s="95">
        <v>80.937393393365483</v>
      </c>
      <c r="G607" s="95">
        <v>140.69858872937363</v>
      </c>
      <c r="H607" s="95">
        <v>298.44795037209633</v>
      </c>
      <c r="I607" s="95">
        <v>1445.9148507758152</v>
      </c>
      <c r="J607" s="95"/>
      <c r="K607" s="95"/>
      <c r="L607" s="95">
        <v>59.515902248921158</v>
      </c>
      <c r="M607" s="95">
        <v>274.56339590274263</v>
      </c>
      <c r="N607" s="95">
        <v>106.61508157581085</v>
      </c>
      <c r="O607" s="95">
        <v>5778.3449271006857</v>
      </c>
      <c r="P607" s="95">
        <v>1811.4781274052368</v>
      </c>
      <c r="Q607" s="95">
        <v>10000.000000000002</v>
      </c>
      <c r="S607" s="98">
        <v>5778.3449271006857</v>
      </c>
      <c r="T607" s="95">
        <v>4760.7668259928278</v>
      </c>
      <c r="U607" s="99">
        <v>3185.6712581193897</v>
      </c>
      <c r="W607" s="121">
        <v>551.51894255951925</v>
      </c>
      <c r="X607" s="59">
        <v>12823.35587971532</v>
      </c>
      <c r="Y607" s="59">
        <v>22295.854530546734</v>
      </c>
      <c r="Z607" s="59">
        <v>97393.454489093871</v>
      </c>
      <c r="AA607" s="59">
        <v>549720.81728046597</v>
      </c>
      <c r="AB607" s="59">
        <v>1411273.847271929</v>
      </c>
      <c r="AC607" s="59">
        <v>828567.00660563039</v>
      </c>
      <c r="AD607" s="59">
        <v>2922625.8549999408</v>
      </c>
      <c r="AE607" s="59">
        <v>3415452742.2771196</v>
      </c>
      <c r="AF607" s="68">
        <v>2922625.8549999408</v>
      </c>
    </row>
    <row r="608" spans="1:32" x14ac:dyDescent="0.2">
      <c r="A608" s="95">
        <v>571</v>
      </c>
      <c r="B608" s="95">
        <v>47</v>
      </c>
      <c r="C608" s="95">
        <v>7</v>
      </c>
      <c r="D608" s="95"/>
      <c r="E608" s="95">
        <v>3.439073953922192</v>
      </c>
      <c r="F608" s="95">
        <v>80.148496773201813</v>
      </c>
      <c r="G608" s="95">
        <v>139.43108873003399</v>
      </c>
      <c r="H608" s="95">
        <v>296.04972489214583</v>
      </c>
      <c r="I608" s="95">
        <v>1437.9554862485936</v>
      </c>
      <c r="J608" s="95"/>
      <c r="K608" s="95"/>
      <c r="L608" s="95">
        <v>59.213148137323174</v>
      </c>
      <c r="M608" s="95">
        <v>273.17692987466739</v>
      </c>
      <c r="N608" s="95">
        <v>106.07264843697737</v>
      </c>
      <c r="O608" s="95">
        <v>5785.6038966326259</v>
      </c>
      <c r="P608" s="95">
        <v>1818.9095063205102</v>
      </c>
      <c r="Q608" s="95">
        <v>10000.000000000002</v>
      </c>
      <c r="S608" s="98">
        <v>5785.6038966326259</v>
      </c>
      <c r="T608" s="95">
        <v>4765.4660492578496</v>
      </c>
      <c r="U608" s="99">
        <v>3189.2512748014874</v>
      </c>
      <c r="W608" s="121">
        <v>543.15423859736654</v>
      </c>
      <c r="X608" s="59">
        <v>12668.441240908833</v>
      </c>
      <c r="Y608" s="59">
        <v>22042.958877348789</v>
      </c>
      <c r="Z608" s="59">
        <v>96383.468849708355</v>
      </c>
      <c r="AA608" s="59">
        <v>545411.36938523175</v>
      </c>
      <c r="AB608" s="59">
        <v>1400829.6062246165</v>
      </c>
      <c r="AC608" s="59">
        <v>822414.43216696824</v>
      </c>
      <c r="AD608" s="59">
        <v>2900293.4309833799</v>
      </c>
      <c r="AE608" s="59">
        <v>3418353035.7081032</v>
      </c>
      <c r="AF608" s="68">
        <v>2900293.4309833799</v>
      </c>
    </row>
    <row r="609" spans="1:32" x14ac:dyDescent="0.2">
      <c r="A609" s="95">
        <v>572</v>
      </c>
      <c r="B609" s="95">
        <v>47</v>
      </c>
      <c r="C609" s="95">
        <v>8</v>
      </c>
      <c r="D609" s="95"/>
      <c r="E609" s="95">
        <v>3.3949391715135238</v>
      </c>
      <c r="F609" s="95">
        <v>79.367184693725008</v>
      </c>
      <c r="G609" s="95">
        <v>138.17458383795955</v>
      </c>
      <c r="H609" s="95">
        <v>293.66940178707131</v>
      </c>
      <c r="I609" s="95">
        <v>1430.0326341090199</v>
      </c>
      <c r="J609" s="95"/>
      <c r="K609" s="95"/>
      <c r="L609" s="95">
        <v>58.911243958765375</v>
      </c>
      <c r="M609" s="95">
        <v>271.79605877534857</v>
      </c>
      <c r="N609" s="95">
        <v>105.53233120677223</v>
      </c>
      <c r="O609" s="95">
        <v>5792.8260324650882</v>
      </c>
      <c r="P609" s="95">
        <v>1826.2955899947381</v>
      </c>
      <c r="Q609" s="95">
        <v>10000.000000000002</v>
      </c>
      <c r="S609" s="98">
        <v>5792.8260324650882</v>
      </c>
      <c r="T609" s="95">
        <v>4770.139404588158</v>
      </c>
      <c r="U609" s="99">
        <v>3192.8124333108453</v>
      </c>
      <c r="W609" s="121">
        <v>534.91639931197312</v>
      </c>
      <c r="X609" s="59">
        <v>12515.381479223797</v>
      </c>
      <c r="Y609" s="59">
        <v>21792.864720112764</v>
      </c>
      <c r="Z609" s="59">
        <v>95383.510485170671</v>
      </c>
      <c r="AA609" s="59">
        <v>541132.93057973543</v>
      </c>
      <c r="AB609" s="59">
        <v>1390453.4513062243</v>
      </c>
      <c r="AC609" s="59">
        <v>816302.48567652039</v>
      </c>
      <c r="AD609" s="59">
        <v>2878115.5406462993</v>
      </c>
      <c r="AE609" s="59">
        <v>3421231151.2487493</v>
      </c>
      <c r="AF609" s="68">
        <v>2878115.5406462993</v>
      </c>
    </row>
    <row r="610" spans="1:32" x14ac:dyDescent="0.2">
      <c r="A610" s="95">
        <v>573</v>
      </c>
      <c r="B610" s="95">
        <v>47</v>
      </c>
      <c r="C610" s="95">
        <v>9</v>
      </c>
      <c r="D610" s="95"/>
      <c r="E610" s="95">
        <v>3.3513707854791002</v>
      </c>
      <c r="F610" s="95">
        <v>78.593385639594388</v>
      </c>
      <c r="G610" s="95">
        <v>136.92898392432679</v>
      </c>
      <c r="H610" s="95">
        <v>291.30686275266572</v>
      </c>
      <c r="I610" s="95">
        <v>1422.1461935704772</v>
      </c>
      <c r="J610" s="95"/>
      <c r="K610" s="95"/>
      <c r="L610" s="95">
        <v>58.610200717759824</v>
      </c>
      <c r="M610" s="95">
        <v>270.42076876300706</v>
      </c>
      <c r="N610" s="95">
        <v>104.99412718873087</v>
      </c>
      <c r="O610" s="95">
        <v>5800.0114749991408</v>
      </c>
      <c r="P610" s="95">
        <v>1833.6366316588203</v>
      </c>
      <c r="Q610" s="95">
        <v>10000.000000000002</v>
      </c>
      <c r="S610" s="98">
        <v>5800.0114749991408</v>
      </c>
      <c r="T610" s="95">
        <v>4774.7870106490127</v>
      </c>
      <c r="U610" s="99">
        <v>3196.3548127661325</v>
      </c>
      <c r="W610" s="121">
        <v>526.80350058907493</v>
      </c>
      <c r="X610" s="59">
        <v>12364.154645626792</v>
      </c>
      <c r="Y610" s="59">
        <v>21545.542007822194</v>
      </c>
      <c r="Z610" s="59">
        <v>94393.485828609904</v>
      </c>
      <c r="AA610" s="59">
        <v>536885.30879585235</v>
      </c>
      <c r="AB610" s="59">
        <v>1380145.0656051915</v>
      </c>
      <c r="AC610" s="59">
        <v>810230.95054186683</v>
      </c>
      <c r="AD610" s="59">
        <v>2856091.3109255587</v>
      </c>
      <c r="AE610" s="59">
        <v>3424087242.5596747</v>
      </c>
      <c r="AF610" s="68">
        <v>2856091.3109255587</v>
      </c>
    </row>
    <row r="611" spans="1:32" x14ac:dyDescent="0.2">
      <c r="A611" s="95">
        <v>574</v>
      </c>
      <c r="B611" s="95">
        <v>47</v>
      </c>
      <c r="C611" s="95">
        <v>10</v>
      </c>
      <c r="D611" s="95"/>
      <c r="E611" s="95">
        <v>3.3083615270654518</v>
      </c>
      <c r="F611" s="95">
        <v>77.827028750750273</v>
      </c>
      <c r="G611" s="95">
        <v>135.69419953293064</v>
      </c>
      <c r="H611" s="95">
        <v>288.96199009181248</v>
      </c>
      <c r="I611" s="95">
        <v>1414.2960634586411</v>
      </c>
      <c r="J611" s="95"/>
      <c r="K611" s="95"/>
      <c r="L611" s="95">
        <v>58.310029049186667</v>
      </c>
      <c r="M611" s="95">
        <v>269.05104602505344</v>
      </c>
      <c r="N611" s="95">
        <v>104.45803365698984</v>
      </c>
      <c r="O611" s="95">
        <v>5807.160364577614</v>
      </c>
      <c r="P611" s="95">
        <v>1840.9328833299583</v>
      </c>
      <c r="Q611" s="95">
        <v>10000.000000000002</v>
      </c>
      <c r="S611" s="98">
        <v>5807.160364577614</v>
      </c>
      <c r="T611" s="95">
        <v>4779.4089857781164</v>
      </c>
      <c r="U611" s="99">
        <v>3199.8784921523556</v>
      </c>
      <c r="W611" s="121">
        <v>518.81364749680722</v>
      </c>
      <c r="X611" s="59">
        <v>12214.7390466872</v>
      </c>
      <c r="Y611" s="59">
        <v>21300.960997274793</v>
      </c>
      <c r="Z611" s="59">
        <v>93413.302105758048</v>
      </c>
      <c r="AA611" s="59">
        <v>532668.31280105468</v>
      </c>
      <c r="AB611" s="59">
        <v>1369904.1312658323</v>
      </c>
      <c r="AC611" s="59">
        <v>804199.61116706755</v>
      </c>
      <c r="AD611" s="59">
        <v>2834219.8710311716</v>
      </c>
      <c r="AE611" s="59">
        <v>3426921462.430706</v>
      </c>
      <c r="AF611" s="68">
        <v>2834219.8710311716</v>
      </c>
    </row>
    <row r="612" spans="1:32" x14ac:dyDescent="0.2">
      <c r="A612" s="95">
        <v>575</v>
      </c>
      <c r="B612" s="95">
        <v>47</v>
      </c>
      <c r="C612" s="95">
        <v>11</v>
      </c>
      <c r="D612" s="95"/>
      <c r="E612" s="95">
        <v>3.265904220801445</v>
      </c>
      <c r="F612" s="95">
        <v>77.068043816673196</v>
      </c>
      <c r="G612" s="95">
        <v>134.47014187602593</v>
      </c>
      <c r="H612" s="95">
        <v>286.63466671347118</v>
      </c>
      <c r="I612" s="95">
        <v>1406.4821422202556</v>
      </c>
      <c r="J612" s="95"/>
      <c r="K612" s="95"/>
      <c r="L612" s="95">
        <v>58.010739227030832</v>
      </c>
      <c r="M612" s="95">
        <v>267.68687677640378</v>
      </c>
      <c r="N612" s="95">
        <v>103.92404785504201</v>
      </c>
      <c r="O612" s="95">
        <v>5814.2728414787216</v>
      </c>
      <c r="P612" s="95">
        <v>1848.1845958155766</v>
      </c>
      <c r="Q612" s="95">
        <v>10000.000000000002</v>
      </c>
      <c r="S612" s="98">
        <v>5814.2728414787216</v>
      </c>
      <c r="T612" s="95">
        <v>4784.0054479843566</v>
      </c>
      <c r="U612" s="99">
        <v>3203.3835503184782</v>
      </c>
      <c r="W612" s="121">
        <v>510.94497384310563</v>
      </c>
      <c r="X612" s="59">
        <v>12067.113241666704</v>
      </c>
      <c r="Y612" s="59">
        <v>21059.092250147507</v>
      </c>
      <c r="Z612" s="59">
        <v>92442.867329332235</v>
      </c>
      <c r="AA612" s="59">
        <v>528481.75219911546</v>
      </c>
      <c r="AB612" s="59">
        <v>1359730.3295615665</v>
      </c>
      <c r="AC612" s="59">
        <v>798208.25292190129</v>
      </c>
      <c r="AD612" s="59">
        <v>2812500.3524775729</v>
      </c>
      <c r="AE612" s="59">
        <v>3429733962.7831836</v>
      </c>
      <c r="AF612" s="68">
        <v>2812500.3524775729</v>
      </c>
    </row>
    <row r="613" spans="1:32" x14ac:dyDescent="0.2">
      <c r="A613" s="95">
        <v>576</v>
      </c>
      <c r="B613" s="95">
        <v>48</v>
      </c>
      <c r="C613" s="95">
        <v>0</v>
      </c>
      <c r="D613" s="95"/>
      <c r="E613" s="95">
        <v>3.2239917833011598</v>
      </c>
      <c r="F613" s="95">
        <v>76.316361270689839</v>
      </c>
      <c r="G613" s="95">
        <v>133.2567228301827</v>
      </c>
      <c r="H613" s="95">
        <v>284.32477613163468</v>
      </c>
      <c r="I613" s="95">
        <v>1398.7043279318339</v>
      </c>
      <c r="J613" s="95"/>
      <c r="K613" s="95"/>
      <c r="L613" s="95">
        <v>57.71234117291575</v>
      </c>
      <c r="M613" s="95">
        <v>266.32824725784826</v>
      </c>
      <c r="N613" s="95">
        <v>103.39216699459014</v>
      </c>
      <c r="O613" s="95">
        <v>5821.3490459097529</v>
      </c>
      <c r="P613" s="95">
        <v>1855.3920187172525</v>
      </c>
      <c r="Q613" s="95">
        <v>10000.000000000002</v>
      </c>
      <c r="S613" s="98">
        <v>5821.3490459097529</v>
      </c>
      <c r="T613" s="95">
        <v>4788.5765149465724</v>
      </c>
      <c r="U613" s="99">
        <v>3206.870065975088</v>
      </c>
      <c r="W613" s="121">
        <v>503.19564173981854</v>
      </c>
      <c r="X613" s="59">
        <v>11921.256039640841</v>
      </c>
      <c r="Y613" s="59">
        <v>20819.906630086207</v>
      </c>
      <c r="Z613" s="59">
        <v>91482.090293441375</v>
      </c>
      <c r="AA613" s="59">
        <v>524325.43743074266</v>
      </c>
      <c r="AB613" s="59">
        <v>1349623.3409659949</v>
      </c>
      <c r="AC613" s="59">
        <v>792256.66211314395</v>
      </c>
      <c r="AD613" s="59">
        <v>2790931.8891147897</v>
      </c>
      <c r="AE613" s="59">
        <v>3432524894.6722984</v>
      </c>
      <c r="AF613" s="68">
        <v>2790931.8891147897</v>
      </c>
    </row>
    <row r="614" spans="1:32" x14ac:dyDescent="0.2">
      <c r="A614" s="95">
        <v>577</v>
      </c>
      <c r="B614" s="95">
        <v>48</v>
      </c>
      <c r="C614" s="95">
        <v>1</v>
      </c>
      <c r="D614" s="95"/>
      <c r="E614" s="95">
        <v>3.1826172220821283</v>
      </c>
      <c r="F614" s="95">
        <v>75.571912184325015</v>
      </c>
      <c r="G614" s="95">
        <v>132.05385493215519</v>
      </c>
      <c r="H614" s="95">
        <v>282.03220246425815</v>
      </c>
      <c r="I614" s="95">
        <v>1390.9625183082842</v>
      </c>
      <c r="J614" s="95"/>
      <c r="K614" s="95"/>
      <c r="L614" s="95">
        <v>57.414844464438993</v>
      </c>
      <c r="M614" s="95">
        <v>264.97514373447183</v>
      </c>
      <c r="N614" s="95">
        <v>102.86238825449412</v>
      </c>
      <c r="O614" s="95">
        <v>5828.3891180008395</v>
      </c>
      <c r="P614" s="95">
        <v>1862.5554004346527</v>
      </c>
      <c r="Q614" s="95">
        <v>10000.000000000002</v>
      </c>
      <c r="S614" s="98">
        <v>5828.3891180008395</v>
      </c>
      <c r="T614" s="95">
        <v>4793.1223040123505</v>
      </c>
      <c r="U614" s="99">
        <v>3210.3381176921162</v>
      </c>
      <c r="W614" s="121">
        <v>495.56384117343129</v>
      </c>
      <c r="X614" s="59">
        <v>11777.146496652294</v>
      </c>
      <c r="Y614" s="59">
        <v>20583.375299819832</v>
      </c>
      <c r="Z614" s="59">
        <v>90530.880568017077</v>
      </c>
      <c r="AA614" s="59">
        <v>520199.17977414292</v>
      </c>
      <c r="AB614" s="59">
        <v>1339582.8452218866</v>
      </c>
      <c r="AC614" s="59">
        <v>786344.62595778191</v>
      </c>
      <c r="AD614" s="59">
        <v>2769513.6171594742</v>
      </c>
      <c r="AE614" s="59">
        <v>3435294408.2894578</v>
      </c>
      <c r="AF614" s="68">
        <v>2769513.6171594742</v>
      </c>
    </row>
    <row r="615" spans="1:32" x14ac:dyDescent="0.2">
      <c r="A615" s="95">
        <v>578</v>
      </c>
      <c r="B615" s="95">
        <v>48</v>
      </c>
      <c r="C615" s="95">
        <v>2</v>
      </c>
      <c r="D615" s="95"/>
      <c r="E615" s="95">
        <v>3.1417736343987408</v>
      </c>
      <c r="F615" s="95">
        <v>74.834628261699677</v>
      </c>
      <c r="G615" s="95">
        <v>130.86145137476512</v>
      </c>
      <c r="H615" s="95">
        <v>279.75683043216043</v>
      </c>
      <c r="I615" s="95">
        <v>1383.2566107114599</v>
      </c>
      <c r="J615" s="95"/>
      <c r="K615" s="95"/>
      <c r="L615" s="95">
        <v>57.11825834331448</v>
      </c>
      <c r="M615" s="95">
        <v>263.62755249412538</v>
      </c>
      <c r="N615" s="95">
        <v>102.33470877980717</v>
      </c>
      <c r="O615" s="95">
        <v>5835.3931977987941</v>
      </c>
      <c r="P615" s="95">
        <v>1869.6749881694766</v>
      </c>
      <c r="Q615" s="95">
        <v>10000.000000000002</v>
      </c>
      <c r="S615" s="98">
        <v>5835.3931977987941</v>
      </c>
      <c r="T615" s="95">
        <v>4797.6429321968526</v>
      </c>
      <c r="U615" s="99">
        <v>3213.7877838966028</v>
      </c>
      <c r="W615" s="121">
        <v>488.04778958230094</v>
      </c>
      <c r="X615" s="59">
        <v>11634.763912895582</v>
      </c>
      <c r="Y615" s="59">
        <v>20349.469718298897</v>
      </c>
      <c r="Z615" s="59">
        <v>89589.148493269298</v>
      </c>
      <c r="AA615" s="59">
        <v>516102.79134551861</v>
      </c>
      <c r="AB615" s="59">
        <v>1329608.5214081313</v>
      </c>
      <c r="AC615" s="59">
        <v>780471.93255805434</v>
      </c>
      <c r="AD615" s="59">
        <v>2748244.6752257505</v>
      </c>
      <c r="AE615" s="59">
        <v>3438042652.9646835</v>
      </c>
      <c r="AF615" s="68">
        <v>2748244.6752257505</v>
      </c>
    </row>
    <row r="616" spans="1:32" x14ac:dyDescent="0.2">
      <c r="A616" s="95">
        <v>579</v>
      </c>
      <c r="B616" s="95">
        <v>48</v>
      </c>
      <c r="C616" s="95">
        <v>3</v>
      </c>
      <c r="D616" s="95"/>
      <c r="E616" s="95">
        <v>3.1014542060906236</v>
      </c>
      <c r="F616" s="95">
        <v>74.104441833974448</v>
      </c>
      <c r="G616" s="95">
        <v>129.67942600279898</v>
      </c>
      <c r="H616" s="95">
        <v>277.49854535789802</v>
      </c>
      <c r="I616" s="95">
        <v>1375.5865021586349</v>
      </c>
      <c r="J616" s="95"/>
      <c r="K616" s="95"/>
      <c r="L616" s="95">
        <v>56.822591723325729</v>
      </c>
      <c r="M616" s="95">
        <v>262.28545984594666</v>
      </c>
      <c r="N616" s="95">
        <v>101.80912568089683</v>
      </c>
      <c r="O616" s="95">
        <v>5842.3614252610278</v>
      </c>
      <c r="P616" s="95">
        <v>1876.7510279294077</v>
      </c>
      <c r="Q616" s="95">
        <v>10000.000000000002</v>
      </c>
      <c r="S616" s="98">
        <v>5842.3614252610278</v>
      </c>
      <c r="T616" s="95">
        <v>4802.1385161816652</v>
      </c>
      <c r="U616" s="99">
        <v>3217.2191428705119</v>
      </c>
      <c r="W616" s="121">
        <v>480.64573144030271</v>
      </c>
      <c r="X616" s="59">
        <v>11494.087829932816</v>
      </c>
      <c r="Y616" s="59">
        <v>20118.161637858135</v>
      </c>
      <c r="Z616" s="59">
        <v>88656.805174166686</v>
      </c>
      <c r="AA616" s="59">
        <v>512036.08509949647</v>
      </c>
      <c r="AB616" s="59">
        <v>1319700.0480047124</v>
      </c>
      <c r="AC616" s="59">
        <v>774638.37087822985</v>
      </c>
      <c r="AD616" s="59">
        <v>2727124.2043558368</v>
      </c>
      <c r="AE616" s="59">
        <v>3440769777.1690392</v>
      </c>
      <c r="AF616" s="68">
        <v>2727124.2043558368</v>
      </c>
    </row>
    <row r="617" spans="1:32" x14ac:dyDescent="0.2">
      <c r="A617" s="95">
        <v>580</v>
      </c>
      <c r="B617" s="95">
        <v>48</v>
      </c>
      <c r="C617" s="95">
        <v>4</v>
      </c>
      <c r="D617" s="95"/>
      <c r="E617" s="95">
        <v>3.0616522104457937</v>
      </c>
      <c r="F617" s="95">
        <v>73.381285853838421</v>
      </c>
      <c r="G617" s="95">
        <v>128.50769330891967</v>
      </c>
      <c r="H617" s="95">
        <v>275.25723316461284</v>
      </c>
      <c r="I617" s="95">
        <v>1367.9520893309048</v>
      </c>
      <c r="J617" s="95"/>
      <c r="K617" s="95"/>
      <c r="L617" s="95">
        <v>56.527853198094746</v>
      </c>
      <c r="M617" s="95">
        <v>260.94885211892944</v>
      </c>
      <c r="N617" s="95">
        <v>101.28563603264644</v>
      </c>
      <c r="O617" s="95">
        <v>5849.2939402495385</v>
      </c>
      <c r="P617" s="95">
        <v>1883.7837645320703</v>
      </c>
      <c r="Q617" s="95">
        <v>10000.000000000002</v>
      </c>
      <c r="S617" s="98">
        <v>5849.2939402495385</v>
      </c>
      <c r="T617" s="95">
        <v>4806.6091723136806</v>
      </c>
      <c r="U617" s="99">
        <v>3220.6322727485895</v>
      </c>
      <c r="W617" s="121">
        <v>473.35593784679139</v>
      </c>
      <c r="X617" s="59">
        <v>11355.098027940199</v>
      </c>
      <c r="Y617" s="59">
        <v>19889.423101403179</v>
      </c>
      <c r="Z617" s="59">
        <v>87733.762474941657</v>
      </c>
      <c r="AA617" s="59">
        <v>507998.8748294902</v>
      </c>
      <c r="AB617" s="59">
        <v>1309857.10295576</v>
      </c>
      <c r="AC617" s="59">
        <v>768843.73072302085</v>
      </c>
      <c r="AD617" s="59">
        <v>2706151.3480504029</v>
      </c>
      <c r="AE617" s="59">
        <v>3443475928.5170898</v>
      </c>
      <c r="AF617" s="68">
        <v>2706151.3480504029</v>
      </c>
    </row>
    <row r="618" spans="1:32" x14ac:dyDescent="0.2">
      <c r="A618" s="95">
        <v>581</v>
      </c>
      <c r="B618" s="95">
        <v>48</v>
      </c>
      <c r="C618" s="95">
        <v>5</v>
      </c>
      <c r="D618" s="95"/>
      <c r="E618" s="95">
        <v>3.0223610070784059</v>
      </c>
      <c r="F618" s="95">
        <v>72.665093890042911</v>
      </c>
      <c r="G618" s="95">
        <v>127.34616842959267</v>
      </c>
      <c r="H618" s="95">
        <v>273.03278037485325</v>
      </c>
      <c r="I618" s="95">
        <v>1360.3532685815142</v>
      </c>
      <c r="J618" s="95"/>
      <c r="K618" s="95"/>
      <c r="L618" s="95">
        <v>56.234051048670771</v>
      </c>
      <c r="M618" s="95">
        <v>259.61771566054045</v>
      </c>
      <c r="N618" s="95">
        <v>100.7642368737333</v>
      </c>
      <c r="O618" s="95">
        <v>5856.1908825249811</v>
      </c>
      <c r="P618" s="95">
        <v>1890.7734416089936</v>
      </c>
      <c r="Q618" s="95">
        <v>10000</v>
      </c>
      <c r="S618" s="98">
        <v>5856.1908825249811</v>
      </c>
      <c r="T618" s="95">
        <v>4811.0550166040057</v>
      </c>
      <c r="U618" s="99">
        <v>3224.0272515162719</v>
      </c>
      <c r="W618" s="121">
        <v>466.1767061227817</v>
      </c>
      <c r="X618" s="59">
        <v>11217.774522984953</v>
      </c>
      <c r="Y618" s="59">
        <v>19663.226439621125</v>
      </c>
      <c r="Z618" s="59">
        <v>86819.933013620554</v>
      </c>
      <c r="AA618" s="59">
        <v>503990.97516799794</v>
      </c>
      <c r="AB618" s="59">
        <v>1300079.3637307305</v>
      </c>
      <c r="AC618" s="59">
        <v>763087.80271755042</v>
      </c>
      <c r="AD618" s="59">
        <v>2685325.2522986284</v>
      </c>
      <c r="AE618" s="59">
        <v>3446161253.7693887</v>
      </c>
      <c r="AF618" s="68">
        <v>2685325.2522986284</v>
      </c>
    </row>
    <row r="619" spans="1:32" x14ac:dyDescent="0.2">
      <c r="A619" s="95">
        <v>582</v>
      </c>
      <c r="B619" s="95">
        <v>48</v>
      </c>
      <c r="C619" s="95">
        <v>6</v>
      </c>
      <c r="D619" s="95"/>
      <c r="E619" s="95">
        <v>2.9835740408208999</v>
      </c>
      <c r="F619" s="95">
        <v>71.95580012197982</v>
      </c>
      <c r="G619" s="95">
        <v>126.19476714102663</v>
      </c>
      <c r="H619" s="95">
        <v>270.82507410936978</v>
      </c>
      <c r="I619" s="95">
        <v>1352.7899359441096</v>
      </c>
      <c r="J619" s="95"/>
      <c r="K619" s="95"/>
      <c r="L619" s="95">
        <v>55.941193250943215</v>
      </c>
      <c r="M619" s="95">
        <v>258.29203683538242</v>
      </c>
      <c r="N619" s="95">
        <v>100.24492520597957</v>
      </c>
      <c r="O619" s="95">
        <v>5863.0523917408082</v>
      </c>
      <c r="P619" s="95">
        <v>1897.7203016095805</v>
      </c>
      <c r="Q619" s="95">
        <v>10000</v>
      </c>
      <c r="S619" s="98">
        <v>5863.0523917408082</v>
      </c>
      <c r="T619" s="95">
        <v>4815.4761647268961</v>
      </c>
      <c r="U619" s="99">
        <v>3227.4041570076361</v>
      </c>
      <c r="W619" s="121">
        <v>459.10635941325279</v>
      </c>
      <c r="X619" s="59">
        <v>11082.097564332336</v>
      </c>
      <c r="Y619" s="59">
        <v>19439.544268214777</v>
      </c>
      <c r="Z619" s="59">
        <v>85915.23015657888</v>
      </c>
      <c r="AA619" s="59">
        <v>500012.20158683497</v>
      </c>
      <c r="AB619" s="59">
        <v>1290366.5073837703</v>
      </c>
      <c r="AC619" s="59">
        <v>757370.37828878395</v>
      </c>
      <c r="AD619" s="59">
        <v>2664645.0656079287</v>
      </c>
      <c r="AE619" s="59">
        <v>3448825898.8349967</v>
      </c>
      <c r="AF619" s="68">
        <v>2664645.0656079287</v>
      </c>
    </row>
    <row r="620" spans="1:32" x14ac:dyDescent="0.2">
      <c r="A620" s="95">
        <v>583</v>
      </c>
      <c r="B620" s="95">
        <v>48</v>
      </c>
      <c r="C620" s="95">
        <v>7</v>
      </c>
      <c r="D620" s="95"/>
      <c r="E620" s="95">
        <v>2.9452848406303649</v>
      </c>
      <c r="F620" s="95">
        <v>71.253339334304357</v>
      </c>
      <c r="G620" s="95">
        <v>125.05340585512889</v>
      </c>
      <c r="H620" s="95">
        <v>268.63400208588558</v>
      </c>
      <c r="I620" s="95">
        <v>1345.2619871409195</v>
      </c>
      <c r="J620" s="95"/>
      <c r="K620" s="95"/>
      <c r="L620" s="95">
        <v>55.649287482882926</v>
      </c>
      <c r="M620" s="95">
        <v>256.97180202390285</v>
      </c>
      <c r="N620" s="95">
        <v>99.727697993772338</v>
      </c>
      <c r="O620" s="95">
        <v>5869.8786074374902</v>
      </c>
      <c r="P620" s="95">
        <v>1904.6245858050834</v>
      </c>
      <c r="Q620" s="95">
        <v>10000</v>
      </c>
      <c r="S620" s="98">
        <v>5869.8786074374902</v>
      </c>
      <c r="T620" s="95">
        <v>4819.8727320187145</v>
      </c>
      <c r="U620" s="99">
        <v>3230.7630669033933</v>
      </c>
      <c r="W620" s="121">
        <v>452.1432462954852</v>
      </c>
      <c r="X620" s="59">
        <v>10948.047631782461</v>
      </c>
      <c r="Y620" s="59">
        <v>19218.349485160485</v>
      </c>
      <c r="Z620" s="59">
        <v>85019.568013121578</v>
      </c>
      <c r="AA620" s="59">
        <v>496062.3703973029</v>
      </c>
      <c r="AB620" s="59">
        <v>1280718.2106113106</v>
      </c>
      <c r="AC620" s="59">
        <v>751691.24964834645</v>
      </c>
      <c r="AD620" s="59">
        <v>2644109.9390333197</v>
      </c>
      <c r="AE620" s="59">
        <v>3451470008.7740302</v>
      </c>
      <c r="AF620" s="68">
        <v>2644109.9390333197</v>
      </c>
    </row>
    <row r="621" spans="1:32" x14ac:dyDescent="0.2">
      <c r="A621" s="95">
        <v>584</v>
      </c>
      <c r="B621" s="95">
        <v>48</v>
      </c>
      <c r="C621" s="95">
        <v>8</v>
      </c>
      <c r="D621" s="95"/>
      <c r="E621" s="95">
        <v>2.9074870185089421</v>
      </c>
      <c r="F621" s="95">
        <v>70.557646911601736</v>
      </c>
      <c r="G621" s="95">
        <v>123.92200161547561</v>
      </c>
      <c r="H621" s="95">
        <v>266.45945261784181</v>
      </c>
      <c r="I621" s="95">
        <v>1337.7693175908594</v>
      </c>
      <c r="J621" s="95"/>
      <c r="K621" s="95"/>
      <c r="L621" s="95">
        <v>55.358341131615745</v>
      </c>
      <c r="M621" s="95">
        <v>255.65699762114684</v>
      </c>
      <c r="N621" s="95">
        <v>99.212552163549333</v>
      </c>
      <c r="O621" s="95">
        <v>5876.6696690368153</v>
      </c>
      <c r="P621" s="95">
        <v>1911.4865342925852</v>
      </c>
      <c r="Q621" s="95">
        <v>10000</v>
      </c>
      <c r="S621" s="98">
        <v>5876.6696690368153</v>
      </c>
      <c r="T621" s="95">
        <v>4824.2448334769224</v>
      </c>
      <c r="U621" s="99">
        <v>3234.1040587289294</v>
      </c>
      <c r="W621" s="121">
        <v>445.28574039333699</v>
      </c>
      <c r="X621" s="59">
        <v>10815.605433036562</v>
      </c>
      <c r="Y621" s="59">
        <v>18999.615267989386</v>
      </c>
      <c r="Z621" s="59">
        <v>84132.861430088728</v>
      </c>
      <c r="AA621" s="59">
        <v>492141.29875029612</v>
      </c>
      <c r="AB621" s="59">
        <v>1271134.1498079405</v>
      </c>
      <c r="AC621" s="59">
        <v>746050.20977664855</v>
      </c>
      <c r="AD621" s="59">
        <v>2623719.0262063933</v>
      </c>
      <c r="AE621" s="59">
        <v>3454093727.8002367</v>
      </c>
      <c r="AF621" s="68">
        <v>2623719.0262063933</v>
      </c>
    </row>
    <row r="622" spans="1:32" x14ac:dyDescent="0.2">
      <c r="A622" s="95">
        <v>585</v>
      </c>
      <c r="B622" s="95">
        <v>48</v>
      </c>
      <c r="C622" s="95">
        <v>9</v>
      </c>
      <c r="D622" s="95"/>
      <c r="E622" s="95">
        <v>2.8701742684380775</v>
      </c>
      <c r="F622" s="95">
        <v>69.868658833097584</v>
      </c>
      <c r="G622" s="95">
        <v>122.80047209329697</v>
      </c>
      <c r="H622" s="95">
        <v>264.30131461311908</v>
      </c>
      <c r="I622" s="95">
        <v>1330.3118224175671</v>
      </c>
      <c r="J622" s="95"/>
      <c r="K622" s="95"/>
      <c r="L622" s="95">
        <v>55.068361300332441</v>
      </c>
      <c r="M622" s="95">
        <v>254.34761003555357</v>
      </c>
      <c r="N622" s="95">
        <v>98.699484603347088</v>
      </c>
      <c r="O622" s="95">
        <v>5883.4257158362616</v>
      </c>
      <c r="P622" s="95">
        <v>1918.3063859989863</v>
      </c>
      <c r="Q622" s="95">
        <v>10000</v>
      </c>
      <c r="S622" s="98">
        <v>5883.4257158362616</v>
      </c>
      <c r="T622" s="95">
        <v>4828.592583759093</v>
      </c>
      <c r="U622" s="99">
        <v>3237.4272098523843</v>
      </c>
      <c r="W622" s="121">
        <v>438.53223999737133</v>
      </c>
      <c r="X622" s="59">
        <v>10684.751901092441</v>
      </c>
      <c r="Y622" s="59">
        <v>18783.315071091893</v>
      </c>
      <c r="Z622" s="59">
        <v>83255.025986486624</v>
      </c>
      <c r="AA622" s="59">
        <v>488248.80463634682</v>
      </c>
      <c r="AB622" s="59">
        <v>1261614.0011206097</v>
      </c>
      <c r="AC622" s="59">
        <v>740447.0524082483</v>
      </c>
      <c r="AD622" s="59">
        <v>2603471.4833638733</v>
      </c>
      <c r="AE622" s="59">
        <v>3456697199.2836008</v>
      </c>
      <c r="AF622" s="68">
        <v>2603471.4833638733</v>
      </c>
    </row>
    <row r="623" spans="1:32" x14ac:dyDescent="0.2">
      <c r="A623" s="95">
        <v>586</v>
      </c>
      <c r="B623" s="95">
        <v>48</v>
      </c>
      <c r="C623" s="95">
        <v>10</v>
      </c>
      <c r="D623" s="95"/>
      <c r="E623" s="95">
        <v>2.8333403653264555</v>
      </c>
      <c r="F623" s="95">
        <v>69.186311667411701</v>
      </c>
      <c r="G623" s="95">
        <v>121.68873558347745</v>
      </c>
      <c r="H623" s="95">
        <v>262.15947757273477</v>
      </c>
      <c r="I623" s="95">
        <v>1322.8893964573622</v>
      </c>
      <c r="J623" s="95"/>
      <c r="K623" s="95"/>
      <c r="L623" s="95">
        <v>54.779354815038722</v>
      </c>
      <c r="M623" s="95">
        <v>253.04362568779516</v>
      </c>
      <c r="N623" s="95">
        <v>98.188492162408181</v>
      </c>
      <c r="O623" s="95">
        <v>5890.1468870034505</v>
      </c>
      <c r="P623" s="95">
        <v>1925.0843786849944</v>
      </c>
      <c r="Q623" s="95">
        <v>10000</v>
      </c>
      <c r="S623" s="98">
        <v>5890.1468870034505</v>
      </c>
      <c r="T623" s="95">
        <v>4832.9160971819501</v>
      </c>
      <c r="U623" s="99">
        <v>3240.732597482775</v>
      </c>
      <c r="W623" s="121">
        <v>431.88116769074463</v>
      </c>
      <c r="X623" s="59">
        <v>10555.468191668759</v>
      </c>
      <c r="Y623" s="59">
        <v>18569.422623045295</v>
      </c>
      <c r="Z623" s="59">
        <v>82385.977988144296</v>
      </c>
      <c r="AA623" s="59">
        <v>484384.70688560873</v>
      </c>
      <c r="AB623" s="59">
        <v>1252157.4405012061</v>
      </c>
      <c r="AC623" s="59">
        <v>734881.57201837911</v>
      </c>
      <c r="AD623" s="59">
        <v>2583366.4693757431</v>
      </c>
      <c r="AE623" s="59">
        <v>3459280565.7529764</v>
      </c>
      <c r="AF623" s="68">
        <v>2583366.4693757431</v>
      </c>
    </row>
    <row r="624" spans="1:32" x14ac:dyDescent="0.2">
      <c r="A624" s="95">
        <v>587</v>
      </c>
      <c r="B624" s="95">
        <v>48</v>
      </c>
      <c r="C624" s="95">
        <v>11</v>
      </c>
      <c r="D624" s="95"/>
      <c r="E624" s="95">
        <v>2.7969791639714328</v>
      </c>
      <c r="F624" s="95">
        <v>68.510542567354946</v>
      </c>
      <c r="G624" s="95">
        <v>120.58671100057113</v>
      </c>
      <c r="H624" s="95">
        <v>260.03383158951721</v>
      </c>
      <c r="I624" s="95">
        <v>1315.5019342671351</v>
      </c>
      <c r="J624" s="95"/>
      <c r="K624" s="95"/>
      <c r="L624" s="95">
        <v>54.491328231149268</v>
      </c>
      <c r="M624" s="95">
        <v>251.74503100965705</v>
      </c>
      <c r="N624" s="95">
        <v>97.679571650844707</v>
      </c>
      <c r="O624" s="95">
        <v>5896.8333215706771</v>
      </c>
      <c r="P624" s="95">
        <v>1931.8207489491217</v>
      </c>
      <c r="Q624" s="95">
        <v>10000</v>
      </c>
      <c r="S624" s="98">
        <v>5896.8333215706771</v>
      </c>
      <c r="T624" s="95">
        <v>4837.2154877204366</v>
      </c>
      <c r="U624" s="99">
        <v>3244.0202986681579</v>
      </c>
      <c r="W624" s="121">
        <v>425.33096998076826</v>
      </c>
      <c r="X624" s="59">
        <v>10427.735680657883</v>
      </c>
      <c r="Y624" s="59">
        <v>18357.911923964333</v>
      </c>
      <c r="Z624" s="59">
        <v>81525.634462395625</v>
      </c>
      <c r="AA624" s="59">
        <v>480548.82516778109</v>
      </c>
      <c r="AB624" s="59">
        <v>1242764.1437575484</v>
      </c>
      <c r="AC624" s="59">
        <v>729353.56381057715</v>
      </c>
      <c r="AD624" s="59">
        <v>2563403.1457729051</v>
      </c>
      <c r="AE624" s="59">
        <v>3461843968.8987494</v>
      </c>
      <c r="AF624" s="68">
        <v>2563403.1457729051</v>
      </c>
    </row>
    <row r="625" spans="1:32" x14ac:dyDescent="0.2">
      <c r="A625" s="95">
        <v>588</v>
      </c>
      <c r="B625" s="95">
        <v>49</v>
      </c>
      <c r="C625" s="95">
        <v>0</v>
      </c>
      <c r="D625" s="95"/>
      <c r="E625" s="95">
        <v>2.7610845980337992</v>
      </c>
      <c r="F625" s="95">
        <v>67.841289264768889</v>
      </c>
      <c r="G625" s="95">
        <v>119.49431787483242</v>
      </c>
      <c r="H625" s="95">
        <v>257.92426734675655</v>
      </c>
      <c r="I625" s="95">
        <v>1308.1493301321636</v>
      </c>
      <c r="J625" s="95"/>
      <c r="K625" s="95"/>
      <c r="L625" s="95">
        <v>54.20428783992925</v>
      </c>
      <c r="M625" s="95">
        <v>250.45181244295898</v>
      </c>
      <c r="N625" s="95">
        <v>97.17271983935494</v>
      </c>
      <c r="O625" s="95">
        <v>5903.4851584295156</v>
      </c>
      <c r="P625" s="95">
        <v>1938.5157322316857</v>
      </c>
      <c r="Q625" s="95">
        <v>10000</v>
      </c>
      <c r="S625" s="98">
        <v>5903.4851584295156</v>
      </c>
      <c r="T625" s="95">
        <v>4841.490869006805</v>
      </c>
      <c r="U625" s="99">
        <v>3247.2903902938342</v>
      </c>
      <c r="W625" s="121">
        <v>418.88011693606001</v>
      </c>
      <c r="X625" s="59">
        <v>10301.535961606973</v>
      </c>
      <c r="Y625" s="59">
        <v>18148.757242874544</v>
      </c>
      <c r="Z625" s="59">
        <v>80673.913152787092</v>
      </c>
      <c r="AA625" s="59">
        <v>476740.97999197355</v>
      </c>
      <c r="AB625" s="59">
        <v>1233433.7866028443</v>
      </c>
      <c r="AC625" s="59">
        <v>723862.82370534551</v>
      </c>
      <c r="AD625" s="59">
        <v>2543580.6767743682</v>
      </c>
      <c r="AE625" s="59">
        <v>3464387549.5755239</v>
      </c>
      <c r="AF625" s="68">
        <v>2543580.6767743682</v>
      </c>
    </row>
    <row r="626" spans="1:32" x14ac:dyDescent="0.2">
      <c r="A626" s="95">
        <v>589</v>
      </c>
      <c r="B626" s="95">
        <v>49</v>
      </c>
      <c r="C626" s="95">
        <v>1</v>
      </c>
      <c r="D626" s="95"/>
      <c r="E626" s="95">
        <v>2.7256506790256987</v>
      </c>
      <c r="F626" s="95">
        <v>67.1784900654079</v>
      </c>
      <c r="G626" s="95">
        <v>118.41147634826214</v>
      </c>
      <c r="H626" s="95">
        <v>255.83067611683373</v>
      </c>
      <c r="I626" s="95">
        <v>1300.8314780738576</v>
      </c>
      <c r="J626" s="95"/>
      <c r="K626" s="95"/>
      <c r="L626" s="95">
        <v>53.918239674787102</v>
      </c>
      <c r="M626" s="95">
        <v>249.16395643851553</v>
      </c>
      <c r="N626" s="95">
        <v>96.667933458990447</v>
      </c>
      <c r="O626" s="95">
        <v>5910.1025363255058</v>
      </c>
      <c r="P626" s="95">
        <v>1945.1695628188136</v>
      </c>
      <c r="Q626" s="95">
        <v>10000</v>
      </c>
      <c r="S626" s="98">
        <v>5910.1025363255058</v>
      </c>
      <c r="T626" s="95">
        <v>4845.7423543297346</v>
      </c>
      <c r="U626" s="99">
        <v>3250.5429490805914</v>
      </c>
      <c r="W626" s="121">
        <v>412.52710182919645</v>
      </c>
      <c r="X626" s="59">
        <v>10176.850843227012</v>
      </c>
      <c r="Y626" s="59">
        <v>17941.933115108277</v>
      </c>
      <c r="Z626" s="59">
        <v>79830.732513811337</v>
      </c>
      <c r="AA626" s="59">
        <v>472960.99270651251</v>
      </c>
      <c r="AB626" s="59">
        <v>1224166.0447036512</v>
      </c>
      <c r="AC626" s="59">
        <v>718409.14832979569</v>
      </c>
      <c r="AD626" s="59">
        <v>2523898.2293139352</v>
      </c>
      <c r="AE626" s="59">
        <v>3466911447.8048377</v>
      </c>
      <c r="AF626" s="68">
        <v>2523898.2293139352</v>
      </c>
    </row>
    <row r="627" spans="1:32" x14ac:dyDescent="0.2">
      <c r="A627" s="95">
        <v>590</v>
      </c>
      <c r="B627" s="95">
        <v>49</v>
      </c>
      <c r="C627" s="95">
        <v>2</v>
      </c>
      <c r="D627" s="95"/>
      <c r="E627" s="95">
        <v>2.6906714953115354</v>
      </c>
      <c r="F627" s="95">
        <v>66.522083843863413</v>
      </c>
      <c r="G627" s="95">
        <v>117.33810717066902</v>
      </c>
      <c r="H627" s="95">
        <v>253.75294975982672</v>
      </c>
      <c r="I627" s="95">
        <v>1293.5482718574331</v>
      </c>
      <c r="J627" s="95"/>
      <c r="K627" s="95"/>
      <c r="L627" s="95">
        <v>53.633189517421947</v>
      </c>
      <c r="M627" s="95">
        <v>247.88144945513557</v>
      </c>
      <c r="N627" s="95">
        <v>96.165209200971034</v>
      </c>
      <c r="O627" s="95">
        <v>5916.6855938529152</v>
      </c>
      <c r="P627" s="95">
        <v>1951.7824738464519</v>
      </c>
      <c r="Q627" s="95">
        <v>10000</v>
      </c>
      <c r="S627" s="98">
        <v>5916.6855938529152</v>
      </c>
      <c r="T627" s="95">
        <v>4849.970056633475</v>
      </c>
      <c r="U627" s="99">
        <v>3253.7780515829863</v>
      </c>
      <c r="W627" s="121">
        <v>406.27044078478696</v>
      </c>
      <c r="X627" s="59">
        <v>10053.662346929508</v>
      </c>
      <c r="Y627" s="59">
        <v>17737.414339723218</v>
      </c>
      <c r="Z627" s="59">
        <v>78996.011705666533</v>
      </c>
      <c r="AA627" s="59">
        <v>469208.68549869081</v>
      </c>
      <c r="AB627" s="59">
        <v>1214960.5937263828</v>
      </c>
      <c r="AC627" s="59">
        <v>712992.33500820899</v>
      </c>
      <c r="AD627" s="59">
        <v>2504354.9730663868</v>
      </c>
      <c r="AE627" s="59">
        <v>3469415802.777904</v>
      </c>
      <c r="AF627" s="68">
        <v>2504354.9730663868</v>
      </c>
    </row>
    <row r="628" spans="1:32" x14ac:dyDescent="0.2">
      <c r="A628" s="95">
        <v>591</v>
      </c>
      <c r="B628" s="95">
        <v>49</v>
      </c>
      <c r="C628" s="95">
        <v>3</v>
      </c>
      <c r="D628" s="95"/>
      <c r="E628" s="95">
        <v>2.656141211121704</v>
      </c>
      <c r="F628" s="95">
        <v>65.872010038530092</v>
      </c>
      <c r="G628" s="95">
        <v>116.2741316957468</v>
      </c>
      <c r="H628" s="95">
        <v>251.69098072209562</v>
      </c>
      <c r="I628" s="95">
        <v>1286.299604999514</v>
      </c>
      <c r="J628" s="95"/>
      <c r="K628" s="95"/>
      <c r="L628" s="95">
        <v>53.349142903829133</v>
      </c>
      <c r="M628" s="95">
        <v>246.60427795865965</v>
      </c>
      <c r="N628" s="95">
        <v>95.664543716544983</v>
      </c>
      <c r="O628" s="95">
        <v>5923.2344694495787</v>
      </c>
      <c r="P628" s="95">
        <v>1958.354697304379</v>
      </c>
      <c r="Q628" s="95">
        <v>10000</v>
      </c>
      <c r="S628" s="98">
        <v>5923.2344694495787</v>
      </c>
      <c r="T628" s="95">
        <v>4854.174088517012</v>
      </c>
      <c r="U628" s="99">
        <v>3256.9957741876647</v>
      </c>
      <c r="W628" s="121">
        <v>400.10867243288436</v>
      </c>
      <c r="X628" s="59">
        <v>9931.95270439054</v>
      </c>
      <c r="Y628" s="59">
        <v>17535.175976943236</v>
      </c>
      <c r="Z628" s="59">
        <v>78169.670589041547</v>
      </c>
      <c r="AA628" s="59">
        <v>465483.8813944601</v>
      </c>
      <c r="AB628" s="59">
        <v>1205817.1093824033</v>
      </c>
      <c r="AC628" s="59">
        <v>707612.18175346276</v>
      </c>
      <c r="AD628" s="59">
        <v>2484950.0804731343</v>
      </c>
      <c r="AE628" s="59">
        <v>3471900752.858377</v>
      </c>
      <c r="AF628" s="68">
        <v>2484950.0804731343</v>
      </c>
    </row>
    <row r="629" spans="1:32" x14ac:dyDescent="0.2">
      <c r="A629" s="95">
        <v>592</v>
      </c>
      <c r="B629" s="95">
        <v>49</v>
      </c>
      <c r="C629" s="95">
        <v>4</v>
      </c>
      <c r="D629" s="95"/>
      <c r="E629" s="95">
        <v>2.6220540655789755</v>
      </c>
      <c r="F629" s="95">
        <v>65.228208646613467</v>
      </c>
      <c r="G629" s="95">
        <v>115.21947187716704</v>
      </c>
      <c r="H629" s="95">
        <v>249.64466203484636</v>
      </c>
      <c r="I629" s="95">
        <v>1279.0853707756646</v>
      </c>
      <c r="J629" s="95"/>
      <c r="K629" s="95"/>
      <c r="L629" s="95">
        <v>53.066105130167209</v>
      </c>
      <c r="M629" s="95">
        <v>245.33242842103431</v>
      </c>
      <c r="N629" s="95">
        <v>95.165933616892119</v>
      </c>
      <c r="O629" s="95">
        <v>5929.7493013918147</v>
      </c>
      <c r="P629" s="95">
        <v>1964.886464040221</v>
      </c>
      <c r="Q629" s="95">
        <v>10000</v>
      </c>
      <c r="S629" s="98">
        <v>5929.7493013918147</v>
      </c>
      <c r="T629" s="95">
        <v>4858.3545622332604</v>
      </c>
      <c r="U629" s="99">
        <v>3260.196193111718</v>
      </c>
      <c r="W629" s="121">
        <v>394.04035756765228</v>
      </c>
      <c r="X629" s="59">
        <v>9811.7043551418792</v>
      </c>
      <c r="Y629" s="59">
        <v>17335.193345621461</v>
      </c>
      <c r="Z629" s="59">
        <v>77351.629719927238</v>
      </c>
      <c r="AA629" s="59">
        <v>461786.40425806784</v>
      </c>
      <c r="AB629" s="59">
        <v>1196735.2674717426</v>
      </c>
      <c r="AC629" s="59">
        <v>702268.4872592719</v>
      </c>
      <c r="AD629" s="59">
        <v>2465682.7267673407</v>
      </c>
      <c r="AE629" s="59">
        <v>3474366435.5851445</v>
      </c>
      <c r="AF629" s="68">
        <v>2465682.7267673407</v>
      </c>
    </row>
    <row r="630" spans="1:32" x14ac:dyDescent="0.2">
      <c r="A630" s="95">
        <v>593</v>
      </c>
      <c r="B630" s="95">
        <v>49</v>
      </c>
      <c r="C630" s="95">
        <v>5</v>
      </c>
      <c r="D630" s="95"/>
      <c r="E630" s="95">
        <v>2.5884043717373788</v>
      </c>
      <c r="F630" s="95">
        <v>64.590620219178959</v>
      </c>
      <c r="G630" s="95">
        <v>114.17405026468761</v>
      </c>
      <c r="H630" s="95">
        <v>247.61388731267374</v>
      </c>
      <c r="I630" s="95">
        <v>1271.9054622278506</v>
      </c>
      <c r="J630" s="95"/>
      <c r="K630" s="95"/>
      <c r="L630" s="95">
        <v>52.784081258489586</v>
      </c>
      <c r="M630" s="95">
        <v>244.06588731942264</v>
      </c>
      <c r="N630" s="95">
        <v>94.669375473067376</v>
      </c>
      <c r="O630" s="95">
        <v>5936.2302277894196</v>
      </c>
      <c r="P630" s="95">
        <v>1971.3780037634722</v>
      </c>
      <c r="Q630" s="95">
        <v>10000</v>
      </c>
      <c r="S630" s="98">
        <v>5936.2302277894196</v>
      </c>
      <c r="T630" s="95">
        <v>4862.5115896882817</v>
      </c>
      <c r="U630" s="99">
        <v>3263.3793844010797</v>
      </c>
      <c r="W630" s="121">
        <v>388.06407881120953</v>
      </c>
      <c r="X630" s="59">
        <v>9692.89994418889</v>
      </c>
      <c r="Y630" s="59">
        <v>17137.442020725386</v>
      </c>
      <c r="Z630" s="59">
        <v>76541.810344453683</v>
      </c>
      <c r="AA630" s="59">
        <v>458116.07879163994</v>
      </c>
      <c r="AB630" s="59">
        <v>1187714.7439254774</v>
      </c>
      <c r="AC630" s="59">
        <v>696961.05089319404</v>
      </c>
      <c r="AD630" s="59">
        <v>2446552.0899984906</v>
      </c>
      <c r="AE630" s="59">
        <v>3476812987.6751432</v>
      </c>
      <c r="AF630" s="68">
        <v>2446552.0899984906</v>
      </c>
    </row>
    <row r="631" spans="1:32" x14ac:dyDescent="0.2">
      <c r="A631" s="95">
        <v>594</v>
      </c>
      <c r="B631" s="95">
        <v>49</v>
      </c>
      <c r="C631" s="95">
        <v>6</v>
      </c>
      <c r="D631" s="95"/>
      <c r="E631" s="95">
        <v>2.5551865156334159</v>
      </c>
      <c r="F631" s="95">
        <v>63.959185856241746</v>
      </c>
      <c r="G631" s="95">
        <v>113.13779000027714</v>
      </c>
      <c r="H631" s="95">
        <v>245.59855075208404</v>
      </c>
      <c r="I631" s="95">
        <v>1264.7597721718309</v>
      </c>
      <c r="J631" s="95"/>
      <c r="K631" s="95"/>
      <c r="L631" s="95">
        <v>52.503076122344041</v>
      </c>
      <c r="M631" s="95">
        <v>242.80464113535027</v>
      </c>
      <c r="N631" s="95">
        <v>94.17486581598277</v>
      </c>
      <c r="O631" s="95">
        <v>5942.6773865807381</v>
      </c>
      <c r="P631" s="95">
        <v>1977.8295450495175</v>
      </c>
      <c r="Q631" s="95">
        <v>10000</v>
      </c>
      <c r="S631" s="98">
        <v>5942.6773865807381</v>
      </c>
      <c r="T631" s="95">
        <v>4866.6452824405224</v>
      </c>
      <c r="U631" s="99">
        <v>3266.5454239289538</v>
      </c>
      <c r="W631" s="121">
        <v>382.17844028257286</v>
      </c>
      <c r="X631" s="59">
        <v>9575.5223196549377</v>
      </c>
      <c r="Y631" s="59">
        <v>16941.897830843875</v>
      </c>
      <c r="Z631" s="59">
        <v>75740.134393753498</v>
      </c>
      <c r="AA631" s="59">
        <v>454472.73053470842</v>
      </c>
      <c r="AB631" s="59">
        <v>1178755.2148468099</v>
      </c>
      <c r="AC631" s="59">
        <v>691689.67269035429</v>
      </c>
      <c r="AD631" s="59">
        <v>2427557.3510564077</v>
      </c>
      <c r="AE631" s="59">
        <v>3479240545.0261998</v>
      </c>
      <c r="AF631" s="68">
        <v>2427557.3510564077</v>
      </c>
    </row>
    <row r="632" spans="1:32" x14ac:dyDescent="0.2">
      <c r="A632" s="95">
        <v>595</v>
      </c>
      <c r="B632" s="95">
        <v>49</v>
      </c>
      <c r="C632" s="95">
        <v>7</v>
      </c>
      <c r="D632" s="95"/>
      <c r="E632" s="95">
        <v>2.5223949553494536</v>
      </c>
      <c r="F632" s="95">
        <v>63.333847201897377</v>
      </c>
      <c r="G632" s="95">
        <v>112.11061481425523</v>
      </c>
      <c r="H632" s="95">
        <v>243.59854712999774</v>
      </c>
      <c r="I632" s="95">
        <v>1257.648193204479</v>
      </c>
      <c r="J632" s="95"/>
      <c r="K632" s="95"/>
      <c r="L632" s="95">
        <v>52.223094332243278</v>
      </c>
      <c r="M632" s="95">
        <v>241.54867635388584</v>
      </c>
      <c r="N632" s="95">
        <v>93.682401136425511</v>
      </c>
      <c r="O632" s="95">
        <v>5949.0909155278086</v>
      </c>
      <c r="P632" s="95">
        <v>1984.2413153436576</v>
      </c>
      <c r="Q632" s="95">
        <v>10000</v>
      </c>
      <c r="S632" s="98">
        <v>5949.0909155278086</v>
      </c>
      <c r="T632" s="95">
        <v>4870.7557517000805</v>
      </c>
      <c r="U632" s="99">
        <v>3269.6943873942814</v>
      </c>
      <c r="W632" s="121">
        <v>376.38206727162049</v>
      </c>
      <c r="X632" s="59">
        <v>9459.5545304520056</v>
      </c>
      <c r="Y632" s="59">
        <v>16748.53685571592</v>
      </c>
      <c r="Z632" s="59">
        <v>74946.524478851366</v>
      </c>
      <c r="AA632" s="59">
        <v>450856.18586368684</v>
      </c>
      <c r="AB632" s="59">
        <v>1169856.3565508814</v>
      </c>
      <c r="AC632" s="59">
        <v>686454.15334784344</v>
      </c>
      <c r="AD632" s="59">
        <v>2408697.6936947028</v>
      </c>
      <c r="AE632" s="59">
        <v>3481649242.7198944</v>
      </c>
      <c r="AF632" s="68">
        <v>2408697.6936947028</v>
      </c>
    </row>
    <row r="633" spans="1:32" x14ac:dyDescent="0.2">
      <c r="A633" s="95">
        <v>596</v>
      </c>
      <c r="B633" s="95">
        <v>49</v>
      </c>
      <c r="C633" s="95">
        <v>8</v>
      </c>
      <c r="D633" s="95"/>
      <c r="E633" s="95">
        <v>2.4900242200891354</v>
      </c>
      <c r="F633" s="95">
        <v>62.714546439492743</v>
      </c>
      <c r="G633" s="95">
        <v>111.09244902144883</v>
      </c>
      <c r="H633" s="95">
        <v>241.61377180223283</v>
      </c>
      <c r="I633" s="95">
        <v>1250.5706177110353</v>
      </c>
      <c r="J633" s="95"/>
      <c r="K633" s="95"/>
      <c r="L633" s="95">
        <v>51.944140281009382</v>
      </c>
      <c r="M633" s="95">
        <v>240.29797946285535</v>
      </c>
      <c r="N633" s="95">
        <v>93.191977885110347</v>
      </c>
      <c r="O633" s="95">
        <v>5955.4709522115882</v>
      </c>
      <c r="P633" s="95">
        <v>1990.6135409651372</v>
      </c>
      <c r="Q633" s="95">
        <v>10000</v>
      </c>
      <c r="S633" s="98">
        <v>5955.4709522115882</v>
      </c>
      <c r="T633" s="95">
        <v>4874.8431083279947</v>
      </c>
      <c r="U633" s="99">
        <v>3272.8263503202415</v>
      </c>
      <c r="W633" s="121">
        <v>370.67360591800093</v>
      </c>
      <c r="X633" s="59">
        <v>9344.9798239772554</v>
      </c>
      <c r="Y633" s="59">
        <v>16557.335423781002</v>
      </c>
      <c r="Z633" s="59">
        <v>74160.903885579697</v>
      </c>
      <c r="AA633" s="59">
        <v>447266.27199129277</v>
      </c>
      <c r="AB633" s="59">
        <v>1161017.8456033564</v>
      </c>
      <c r="AC633" s="59">
        <v>681254.29421974823</v>
      </c>
      <c r="AD633" s="59">
        <v>2389972.3045536531</v>
      </c>
      <c r="AE633" s="59">
        <v>3484039215.0244479</v>
      </c>
      <c r="AF633" s="68">
        <v>2389972.3045536531</v>
      </c>
    </row>
    <row r="634" spans="1:32" x14ac:dyDescent="0.2">
      <c r="A634" s="95">
        <v>597</v>
      </c>
      <c r="B634" s="95">
        <v>49</v>
      </c>
      <c r="C634" s="95">
        <v>9</v>
      </c>
      <c r="D634" s="95"/>
      <c r="E634" s="95">
        <v>2.4580689092646582</v>
      </c>
      <c r="F634" s="95">
        <v>62.101226286837104</v>
      </c>
      <c r="G634" s="95">
        <v>110.08321751736462</v>
      </c>
      <c r="H634" s="95">
        <v>239.64412070196886</v>
      </c>
      <c r="I634" s="95">
        <v>1243.5269378722908</v>
      </c>
      <c r="J634" s="95"/>
      <c r="K634" s="95"/>
      <c r="L634" s="95">
        <v>51.666218148995348</v>
      </c>
      <c r="M634" s="95">
        <v>239.05253695208947</v>
      </c>
      <c r="N634" s="95">
        <v>92.703592472764186</v>
      </c>
      <c r="O634" s="95">
        <v>5961.8176340272485</v>
      </c>
      <c r="P634" s="95">
        <v>1996.9464471111758</v>
      </c>
      <c r="Q634" s="95">
        <v>10000</v>
      </c>
      <c r="S634" s="98">
        <v>5961.8176340272485</v>
      </c>
      <c r="T634" s="95">
        <v>4878.9074628355556</v>
      </c>
      <c r="U634" s="99">
        <v>3275.9413880527864</v>
      </c>
      <c r="W634" s="121">
        <v>365.05172289491122</v>
      </c>
      <c r="X634" s="59">
        <v>9231.7816438352402</v>
      </c>
      <c r="Y634" s="59">
        <v>16368.270109750885</v>
      </c>
      <c r="Z634" s="59">
        <v>73383.196569520645</v>
      </c>
      <c r="AA634" s="59">
        <v>443702.81696591922</v>
      </c>
      <c r="AB634" s="59">
        <v>1152239.3588578096</v>
      </c>
      <c r="AC634" s="59">
        <v>676089.89731277409</v>
      </c>
      <c r="AD634" s="59">
        <v>2371380.3731825044</v>
      </c>
      <c r="AE634" s="59">
        <v>3486410595.3976302</v>
      </c>
      <c r="AF634" s="68">
        <v>2371380.3731825044</v>
      </c>
    </row>
    <row r="635" spans="1:32" x14ac:dyDescent="0.2">
      <c r="A635" s="95">
        <v>598</v>
      </c>
      <c r="B635" s="95">
        <v>49</v>
      </c>
      <c r="C635" s="95">
        <v>10</v>
      </c>
      <c r="D635" s="95"/>
      <c r="E635" s="95">
        <v>2.4265236915957615</v>
      </c>
      <c r="F635" s="95">
        <v>61.493829991452927</v>
      </c>
      <c r="G635" s="95">
        <v>109.08284577437753</v>
      </c>
      <c r="H635" s="95">
        <v>237.6894903381924</v>
      </c>
      <c r="I635" s="95">
        <v>1236.517045671701</v>
      </c>
      <c r="J635" s="95"/>
      <c r="K635" s="95"/>
      <c r="L635" s="95">
        <v>51.389331909186382</v>
      </c>
      <c r="M635" s="95">
        <v>237.81233531270297</v>
      </c>
      <c r="N635" s="95">
        <v>92.217241270241118</v>
      </c>
      <c r="O635" s="95">
        <v>5968.1310981795505</v>
      </c>
      <c r="P635" s="95">
        <v>2003.240257860999</v>
      </c>
      <c r="Q635" s="95">
        <v>10000</v>
      </c>
      <c r="S635" s="98">
        <v>5968.1310981795505</v>
      </c>
      <c r="T635" s="95">
        <v>4882.9489253836409</v>
      </c>
      <c r="U635" s="99">
        <v>3279.03957575921</v>
      </c>
      <c r="W635" s="121">
        <v>359.51510509767178</v>
      </c>
      <c r="X635" s="59">
        <v>9119.9436275855242</v>
      </c>
      <c r="Y635" s="59">
        <v>16181.317732202726</v>
      </c>
      <c r="Z635" s="59">
        <v>72613.327150974263</v>
      </c>
      <c r="AA635" s="59">
        <v>440165.64967095462</v>
      </c>
      <c r="AB635" s="59">
        <v>1143520.5734919503</v>
      </c>
      <c r="AC635" s="59">
        <v>670960.76528242149</v>
      </c>
      <c r="AD635" s="59">
        <v>2352921.0920611867</v>
      </c>
      <c r="AE635" s="59">
        <v>3488763516.4896913</v>
      </c>
      <c r="AF635" s="68">
        <v>2352921.0920611867</v>
      </c>
    </row>
    <row r="636" spans="1:32" x14ac:dyDescent="0.2">
      <c r="A636" s="95">
        <v>599</v>
      </c>
      <c r="B636" s="95">
        <v>49</v>
      </c>
      <c r="C636" s="95">
        <v>11</v>
      </c>
      <c r="D636" s="95"/>
      <c r="E636" s="95">
        <v>2.3953833042202826</v>
      </c>
      <c r="F636" s="95">
        <v>60.892301325866214</v>
      </c>
      <c r="G636" s="95">
        <v>108.09125983793555</v>
      </c>
      <c r="H636" s="95">
        <v>235.74977779412421</v>
      </c>
      <c r="I636" s="95">
        <v>1229.5408329024324</v>
      </c>
      <c r="J636" s="95"/>
      <c r="K636" s="95"/>
      <c r="L636" s="95">
        <v>51.113485332183878</v>
      </c>
      <c r="M636" s="95">
        <v>236.57736103640573</v>
      </c>
      <c r="N636" s="95">
        <v>91.732920608666149</v>
      </c>
      <c r="O636" s="95">
        <v>5974.4114816782912</v>
      </c>
      <c r="P636" s="95">
        <v>2009.4951961798738</v>
      </c>
      <c r="Q636" s="95">
        <v>10000</v>
      </c>
      <c r="S636" s="98">
        <v>5974.4114816782912</v>
      </c>
      <c r="T636" s="95">
        <v>4886.9676057820743</v>
      </c>
      <c r="U636" s="99">
        <v>3282.120988426751</v>
      </c>
      <c r="W636" s="121">
        <v>354.06245933702377</v>
      </c>
      <c r="X636" s="59">
        <v>9009.4496045154083</v>
      </c>
      <c r="Y636" s="59">
        <v>15996.455351193334</v>
      </c>
      <c r="Z636" s="59">
        <v>71851.220909953205</v>
      </c>
      <c r="AA636" s="59">
        <v>436654.5998240537</v>
      </c>
      <c r="AB636" s="59">
        <v>1134861.1670427145</v>
      </c>
      <c r="AC636" s="59">
        <v>665866.70142967999</v>
      </c>
      <c r="AD636" s="59">
        <v>2334593.6566214473</v>
      </c>
      <c r="AE636" s="59">
        <v>3491098110.1463127</v>
      </c>
      <c r="AF636" s="68">
        <v>2334593.6566214473</v>
      </c>
    </row>
    <row r="637" spans="1:32" x14ac:dyDescent="0.2">
      <c r="A637" s="95">
        <v>600</v>
      </c>
      <c r="B637" s="95">
        <v>50</v>
      </c>
      <c r="C637" s="95">
        <v>0</v>
      </c>
      <c r="D637" s="95"/>
      <c r="E637" s="95">
        <v>2.3646425518161225</v>
      </c>
      <c r="F637" s="95">
        <v>60.296584582936056</v>
      </c>
      <c r="G637" s="95">
        <v>107.10838632278079</v>
      </c>
      <c r="H637" s="95">
        <v>233.82488072562847</v>
      </c>
      <c r="I637" s="95">
        <v>1222.5981911743406</v>
      </c>
      <c r="J637" s="95"/>
      <c r="K637" s="95"/>
      <c r="L637" s="95">
        <v>50.838681991074864</v>
      </c>
      <c r="M637" s="95">
        <v>235.34760061484459</v>
      </c>
      <c r="N637" s="95">
        <v>91.250626779605909</v>
      </c>
      <c r="O637" s="95">
        <v>5980.6589213338275</v>
      </c>
      <c r="P637" s="95">
        <v>2015.7114839231444</v>
      </c>
      <c r="Q637" s="95">
        <v>10000</v>
      </c>
      <c r="S637" s="98">
        <v>5980.6589213338275</v>
      </c>
      <c r="T637" s="95">
        <v>4890.963613489007</v>
      </c>
      <c r="U637" s="99">
        <v>3285.185700861226</v>
      </c>
      <c r="W637" s="121">
        <v>348.69251203707887</v>
      </c>
      <c r="X637" s="59">
        <v>8900.2835934375016</v>
      </c>
      <c r="Y637" s="59">
        <v>15813.660265894419</v>
      </c>
      <c r="Z637" s="59">
        <v>71096.80378120362</v>
      </c>
      <c r="AA637" s="59">
        <v>433169.49797635851</v>
      </c>
      <c r="AB637" s="59">
        <v>1126260.8174402567</v>
      </c>
      <c r="AC637" s="59">
        <v>660807.50969820737</v>
      </c>
      <c r="AD637" s="59">
        <v>2316397.2652673954</v>
      </c>
      <c r="AE637" s="59">
        <v>3493414507.4115801</v>
      </c>
      <c r="AF637" s="68">
        <v>2316397.2652673954</v>
      </c>
    </row>
    <row r="638" spans="1:32" x14ac:dyDescent="0.2">
      <c r="A638" s="95">
        <v>601</v>
      </c>
      <c r="B638" s="95">
        <v>50</v>
      </c>
      <c r="C638" s="95">
        <v>1</v>
      </c>
      <c r="D638" s="95"/>
      <c r="E638" s="95">
        <v>2.3287788064469113</v>
      </c>
      <c r="F638" s="95">
        <v>59.565932540529559</v>
      </c>
      <c r="G638" s="95">
        <v>105.88423284110038</v>
      </c>
      <c r="H638" s="95">
        <v>231.36910597124472</v>
      </c>
      <c r="I638" s="95">
        <v>1212.8362828081406</v>
      </c>
      <c r="J638" s="95"/>
      <c r="K638" s="95"/>
      <c r="L638" s="95">
        <v>50.446301674876999</v>
      </c>
      <c r="M638" s="95">
        <v>233.57389613754026</v>
      </c>
      <c r="N638" s="95">
        <v>90.557437906112341</v>
      </c>
      <c r="O638" s="95">
        <v>5986.8735537526718</v>
      </c>
      <c r="P638" s="95">
        <v>2026.5644775613359</v>
      </c>
      <c r="Q638" s="95">
        <v>10000</v>
      </c>
      <c r="S638" s="98">
        <v>5986.8735537526718</v>
      </c>
      <c r="T638" s="95">
        <v>4894.9370576103238</v>
      </c>
      <c r="U638" s="99">
        <v>3288.2337876856964</v>
      </c>
      <c r="W638" s="121"/>
      <c r="X638" s="59"/>
      <c r="Y638" s="59"/>
      <c r="Z638" s="59"/>
      <c r="AA638" s="59"/>
      <c r="AB638" s="59"/>
      <c r="AC638" s="59"/>
      <c r="AD638" s="59"/>
      <c r="AE638" s="59"/>
      <c r="AF638" s="68"/>
    </row>
    <row r="639" spans="1:32" x14ac:dyDescent="0.2">
      <c r="A639" s="95">
        <v>602</v>
      </c>
      <c r="B639" s="95">
        <v>50</v>
      </c>
      <c r="C639" s="95">
        <v>2</v>
      </c>
      <c r="D639" s="95"/>
      <c r="E639" s="95">
        <v>2.293458994549133</v>
      </c>
      <c r="F639" s="95">
        <v>58.844063977135797</v>
      </c>
      <c r="G639" s="95">
        <v>104.67377627362883</v>
      </c>
      <c r="H639" s="95">
        <v>228.93813095125611</v>
      </c>
      <c r="I639" s="95">
        <v>1203.146627384916</v>
      </c>
      <c r="J639" s="95"/>
      <c r="K639" s="95"/>
      <c r="L639" s="95">
        <v>50.049452432471291</v>
      </c>
      <c r="M639" s="95">
        <v>231.81944750063212</v>
      </c>
      <c r="N639" s="95">
        <v>89.869006402841592</v>
      </c>
      <c r="O639" s="95">
        <v>5993.041014524184</v>
      </c>
      <c r="P639" s="95">
        <v>2037.3250215583851</v>
      </c>
      <c r="Q639" s="95">
        <v>10000</v>
      </c>
      <c r="S639" s="98">
        <v>5993.041014524184</v>
      </c>
      <c r="T639" s="95">
        <v>4898.8787755294506</v>
      </c>
      <c r="U639" s="99">
        <v>3291.2582111365764</v>
      </c>
      <c r="W639" s="121"/>
      <c r="X639" s="59"/>
      <c r="Y639" s="59"/>
      <c r="Z639" s="59"/>
      <c r="AA639" s="59"/>
      <c r="AB639" s="59"/>
      <c r="AC639" s="59"/>
      <c r="AD639" s="59"/>
      <c r="AE639" s="59"/>
      <c r="AF639" s="68"/>
    </row>
    <row r="640" spans="1:32" x14ac:dyDescent="0.2">
      <c r="A640" s="95">
        <v>603</v>
      </c>
      <c r="B640" s="95">
        <v>50</v>
      </c>
      <c r="C640" s="95">
        <v>3</v>
      </c>
      <c r="D640" s="95"/>
      <c r="E640" s="95">
        <v>2.2586748664651379</v>
      </c>
      <c r="F640" s="95">
        <v>58.130874402618453</v>
      </c>
      <c r="G640" s="95">
        <v>103.4768676759151</v>
      </c>
      <c r="H640" s="95">
        <v>226.53171857214429</v>
      </c>
      <c r="I640" s="95">
        <v>1193.5287541481598</v>
      </c>
      <c r="J640" s="95"/>
      <c r="K640" s="95"/>
      <c r="L640" s="95">
        <v>49.648406112158263</v>
      </c>
      <c r="M640" s="95">
        <v>230.08394184712253</v>
      </c>
      <c r="N640" s="95">
        <v>89.185305305228411</v>
      </c>
      <c r="O640" s="95">
        <v>5999.1615848739166</v>
      </c>
      <c r="P640" s="95">
        <v>2047.9938721962712</v>
      </c>
      <c r="Q640" s="95">
        <v>10000</v>
      </c>
      <c r="S640" s="98">
        <v>5999.1615848739166</v>
      </c>
      <c r="T640" s="95">
        <v>4902.7890020684517</v>
      </c>
      <c r="U640" s="99">
        <v>3294.2591393014795</v>
      </c>
      <c r="W640" s="121"/>
      <c r="X640" s="59"/>
      <c r="Y640" s="59"/>
      <c r="Z640" s="59"/>
      <c r="AA640" s="59"/>
      <c r="AB640" s="59"/>
      <c r="AC640" s="59"/>
      <c r="AD640" s="59"/>
      <c r="AE640" s="59"/>
      <c r="AF640" s="68"/>
    </row>
    <row r="641" spans="1:32" x14ac:dyDescent="0.2">
      <c r="A641" s="95">
        <v>604</v>
      </c>
      <c r="B641" s="95">
        <v>50</v>
      </c>
      <c r="C641" s="95">
        <v>4</v>
      </c>
      <c r="D641" s="95"/>
      <c r="E641" s="95">
        <v>2.2244182976570834</v>
      </c>
      <c r="F641" s="95">
        <v>57.426260552533755</v>
      </c>
      <c r="G641" s="95">
        <v>102.29335965959662</v>
      </c>
      <c r="H641" s="95">
        <v>224.14963382710692</v>
      </c>
      <c r="I641" s="95">
        <v>1183.9821946785669</v>
      </c>
      <c r="J641" s="95"/>
      <c r="K641" s="95"/>
      <c r="L641" s="95">
        <v>49.243426143010502</v>
      </c>
      <c r="M641" s="95">
        <v>228.36707246076224</v>
      </c>
      <c r="N641" s="95">
        <v>88.50630797265616</v>
      </c>
      <c r="O641" s="95">
        <v>6005.2355462709684</v>
      </c>
      <c r="P641" s="95">
        <v>2058.5717801371406</v>
      </c>
      <c r="Q641" s="95">
        <v>10000</v>
      </c>
      <c r="S641" s="98">
        <v>6005.2355462709684</v>
      </c>
      <c r="T641" s="95">
        <v>4906.6679705194329</v>
      </c>
      <c r="U641" s="99">
        <v>3297.2367394864218</v>
      </c>
      <c r="W641" s="121"/>
      <c r="X641" s="59"/>
      <c r="Y641" s="59"/>
      <c r="Z641" s="59"/>
      <c r="AA641" s="59"/>
      <c r="AB641" s="59"/>
      <c r="AC641" s="59"/>
      <c r="AD641" s="59"/>
      <c r="AE641" s="59"/>
      <c r="AF641" s="68"/>
    </row>
    <row r="642" spans="1:32" x14ac:dyDescent="0.2">
      <c r="A642" s="95">
        <v>605</v>
      </c>
      <c r="B642" s="95">
        <v>50</v>
      </c>
      <c r="C642" s="95">
        <v>5</v>
      </c>
      <c r="D642" s="95"/>
      <c r="E642" s="95">
        <v>2.1906812868092844</v>
      </c>
      <c r="F642" s="95">
        <v>56.730120374029241</v>
      </c>
      <c r="G642" s="95">
        <v>101.12310637709162</v>
      </c>
      <c r="H642" s="95">
        <v>221.79164378014403</v>
      </c>
      <c r="I642" s="95">
        <v>1174.506482891223</v>
      </c>
      <c r="J642" s="95"/>
      <c r="K642" s="95"/>
      <c r="L642" s="95">
        <v>48.834767764031909</v>
      </c>
      <c r="M642" s="95">
        <v>226.66853864011827</v>
      </c>
      <c r="N642" s="95">
        <v>87.831988064990298</v>
      </c>
      <c r="O642" s="95">
        <v>6011.2631803691311</v>
      </c>
      <c r="P642" s="95">
        <v>2069.0594904524301</v>
      </c>
      <c r="Q642" s="95">
        <v>9999.9999999999982</v>
      </c>
      <c r="S642" s="98">
        <v>6011.2631803691311</v>
      </c>
      <c r="T642" s="95">
        <v>4910.5159126521385</v>
      </c>
      <c r="U642" s="99">
        <v>3300.191178205635</v>
      </c>
      <c r="W642" s="121"/>
      <c r="X642" s="59"/>
      <c r="Y642" s="59"/>
      <c r="Z642" s="59"/>
      <c r="AA642" s="59"/>
      <c r="AB642" s="59"/>
      <c r="AC642" s="59"/>
      <c r="AD642" s="59"/>
      <c r="AE642" s="59"/>
      <c r="AF642" s="68"/>
    </row>
    <row r="643" spans="1:32" x14ac:dyDescent="0.2">
      <c r="A643" s="95">
        <v>606</v>
      </c>
      <c r="B643" s="95">
        <v>50</v>
      </c>
      <c r="C643" s="95">
        <v>6</v>
      </c>
      <c r="D643" s="95"/>
      <c r="E643" s="95">
        <v>2.1574559539593436</v>
      </c>
      <c r="F643" s="95">
        <v>56.042353011900268</v>
      </c>
      <c r="G643" s="95">
        <v>99.965963506427499</v>
      </c>
      <c r="H643" s="95">
        <v>219.4575175502311</v>
      </c>
      <c r="I643" s="95">
        <v>1165.1011550326673</v>
      </c>
      <c r="J643" s="95"/>
      <c r="K643" s="95"/>
      <c r="L643" s="95">
        <v>48.422678247275059</v>
      </c>
      <c r="M643" s="95">
        <v>224.98804557523002</v>
      </c>
      <c r="N643" s="95">
        <v>87.162319520655643</v>
      </c>
      <c r="O643" s="95">
        <v>6017.2447689495057</v>
      </c>
      <c r="P643" s="95">
        <v>2079.4577426521469</v>
      </c>
      <c r="Q643" s="95">
        <v>9999.9999999999982</v>
      </c>
      <c r="S643" s="98">
        <v>6017.2447689495057</v>
      </c>
      <c r="T643" s="95">
        <v>4914.3330587215351</v>
      </c>
      <c r="U643" s="99">
        <v>3303.122621171965</v>
      </c>
      <c r="W643" s="121"/>
      <c r="X643" s="59"/>
      <c r="Y643" s="59"/>
      <c r="Z643" s="59"/>
      <c r="AA643" s="59"/>
      <c r="AB643" s="59"/>
      <c r="AC643" s="59"/>
      <c r="AD643" s="59"/>
      <c r="AE643" s="59"/>
      <c r="AF643" s="68"/>
    </row>
    <row r="644" spans="1:32" x14ac:dyDescent="0.2">
      <c r="A644" s="95">
        <v>607</v>
      </c>
      <c r="B644" s="95">
        <v>50</v>
      </c>
      <c r="C644" s="95">
        <v>7</v>
      </c>
      <c r="D644" s="95"/>
      <c r="E644" s="95">
        <v>2.1247345386576271</v>
      </c>
      <c r="F644" s="95">
        <v>55.362858794802619</v>
      </c>
      <c r="G644" s="95">
        <v>98.82178823620437</v>
      </c>
      <c r="H644" s="95">
        <v>217.14702629557939</v>
      </c>
      <c r="I644" s="95">
        <v>1155.7657496778315</v>
      </c>
      <c r="J644" s="95"/>
      <c r="K644" s="95"/>
      <c r="L644" s="95">
        <v>48.007397115075086</v>
      </c>
      <c r="M644" s="95">
        <v>223.32530422680091</v>
      </c>
      <c r="N644" s="95">
        <v>86.497276536174397</v>
      </c>
      <c r="O644" s="95">
        <v>6023.1805938645684</v>
      </c>
      <c r="P644" s="95">
        <v>2089.7672707143047</v>
      </c>
      <c r="Q644" s="95">
        <v>9999.9999999999982</v>
      </c>
      <c r="S644" s="98">
        <v>6023.1805938645684</v>
      </c>
      <c r="T644" s="95">
        <v>4918.1196374753908</v>
      </c>
      <c r="U644" s="99">
        <v>3306.0312332878307</v>
      </c>
      <c r="W644" s="121"/>
      <c r="X644" s="59"/>
      <c r="Y644" s="59"/>
      <c r="Z644" s="59"/>
      <c r="AA644" s="59"/>
      <c r="AB644" s="59"/>
      <c r="AC644" s="59"/>
      <c r="AD644" s="59"/>
      <c r="AE644" s="59"/>
      <c r="AF644" s="68"/>
    </row>
    <row r="645" spans="1:32" x14ac:dyDescent="0.2">
      <c r="A645" s="95">
        <v>608</v>
      </c>
      <c r="B645" s="95">
        <v>50</v>
      </c>
      <c r="C645" s="95">
        <v>8</v>
      </c>
      <c r="D645" s="95"/>
      <c r="E645" s="95">
        <v>2.092509398154653</v>
      </c>
      <c r="F645" s="95">
        <v>54.6915392216195</v>
      </c>
      <c r="G645" s="95">
        <v>97.690439250692734</v>
      </c>
      <c r="H645" s="95">
        <v>214.85994319798311</v>
      </c>
      <c r="I645" s="95">
        <v>1146.4998077268567</v>
      </c>
      <c r="J645" s="95"/>
      <c r="K645" s="95"/>
      <c r="L645" s="95">
        <v>47.589156351554237</v>
      </c>
      <c r="M645" s="95">
        <v>221.68003120787347</v>
      </c>
      <c r="N645" s="95">
        <v>85.836833547086016</v>
      </c>
      <c r="O645" s="95">
        <v>6029.0709369836759</v>
      </c>
      <c r="P645" s="95">
        <v>2099.9888031145024</v>
      </c>
      <c r="Q645" s="95">
        <v>9999.9999999999982</v>
      </c>
      <c r="S645" s="98">
        <v>6029.0709369836759</v>
      </c>
      <c r="T645" s="95">
        <v>4921.8758761618437</v>
      </c>
      <c r="U645" s="99">
        <v>3308.9171786367256</v>
      </c>
      <c r="W645" s="121"/>
      <c r="X645" s="59"/>
      <c r="Y645" s="59"/>
      <c r="Z645" s="59"/>
      <c r="AA645" s="59"/>
      <c r="AB645" s="59"/>
      <c r="AC645" s="59"/>
      <c r="AD645" s="59"/>
      <c r="AE645" s="59"/>
      <c r="AF645" s="68"/>
    </row>
    <row r="646" spans="1:32" x14ac:dyDescent="0.2">
      <c r="A646" s="95">
        <v>609</v>
      </c>
      <c r="B646" s="95">
        <v>50</v>
      </c>
      <c r="C646" s="95">
        <v>9</v>
      </c>
      <c r="D646" s="95"/>
      <c r="E646" s="95">
        <v>2.0607730056159741</v>
      </c>
      <c r="F646" s="95">
        <v>54.028296947981268</v>
      </c>
      <c r="G646" s="95">
        <v>96.57177671506436</v>
      </c>
      <c r="H646" s="95">
        <v>212.59604344725381</v>
      </c>
      <c r="I646" s="95">
        <v>1137.3028724017897</v>
      </c>
      <c r="J646" s="95"/>
      <c r="K646" s="95"/>
      <c r="L646" s="95">
        <v>47.168180608547331</v>
      </c>
      <c r="M646" s="95">
        <v>220.05194866793695</v>
      </c>
      <c r="N646" s="95">
        <v>85.180965210173582</v>
      </c>
      <c r="O646" s="95">
        <v>6034.9160801399985</v>
      </c>
      <c r="P646" s="95">
        <v>2110.1230628556373</v>
      </c>
      <c r="Q646" s="95">
        <v>9999.9999999999982</v>
      </c>
      <c r="S646" s="98">
        <v>6034.9160801399985</v>
      </c>
      <c r="T646" s="95">
        <v>4925.6020005369564</v>
      </c>
      <c r="U646" s="99">
        <v>3311.7806204752437</v>
      </c>
      <c r="W646" s="121"/>
      <c r="X646" s="59"/>
      <c r="Y646" s="59"/>
      <c r="Z646" s="59"/>
      <c r="AA646" s="59"/>
      <c r="AB646" s="59"/>
      <c r="AC646" s="59"/>
      <c r="AD646" s="59"/>
      <c r="AE646" s="59"/>
      <c r="AF646" s="68"/>
    </row>
    <row r="647" spans="1:32" x14ac:dyDescent="0.2">
      <c r="A647" s="95">
        <v>610</v>
      </c>
      <c r="B647" s="95">
        <v>50</v>
      </c>
      <c r="C647" s="95">
        <v>10</v>
      </c>
      <c r="D647" s="95"/>
      <c r="E647" s="95">
        <v>2.0295179483641319</v>
      </c>
      <c r="F647" s="95">
        <v>53.373035772936255</v>
      </c>
      <c r="G647" s="95">
        <v>95.465662260755323</v>
      </c>
      <c r="H647" s="95">
        <v>210.35510422574171</v>
      </c>
      <c r="I647" s="95">
        <v>1128.1744892431623</v>
      </c>
      <c r="J647" s="95"/>
      <c r="K647" s="95"/>
      <c r="L647" s="95">
        <v>46.744687406094215</v>
      </c>
      <c r="M647" s="95">
        <v>218.44078417941782</v>
      </c>
      <c r="N647" s="95">
        <v>84.529646386925293</v>
      </c>
      <c r="O647" s="95">
        <v>6040.7163050788577</v>
      </c>
      <c r="P647" s="95">
        <v>2120.1707674977442</v>
      </c>
      <c r="Q647" s="95">
        <v>9999.9999999999982</v>
      </c>
      <c r="S647" s="98">
        <v>6040.7163050788577</v>
      </c>
      <c r="T647" s="95">
        <v>4929.2982348722626</v>
      </c>
      <c r="U647" s="99">
        <v>3314.6217212256124</v>
      </c>
      <c r="W647" s="121"/>
      <c r="X647" s="59"/>
      <c r="Y647" s="59"/>
      <c r="Z647" s="59"/>
      <c r="AA647" s="59"/>
      <c r="AB647" s="59"/>
      <c r="AC647" s="59"/>
      <c r="AD647" s="59"/>
      <c r="AE647" s="59"/>
      <c r="AF647" s="68"/>
    </row>
    <row r="648" spans="1:32" x14ac:dyDescent="0.2">
      <c r="A648" s="95">
        <v>611</v>
      </c>
      <c r="B648" s="95">
        <v>50</v>
      </c>
      <c r="C648" s="95">
        <v>11</v>
      </c>
      <c r="D648" s="95"/>
      <c r="E648" s="95">
        <v>1.9987369261472758</v>
      </c>
      <c r="F648" s="95">
        <v>52.725660625771106</v>
      </c>
      <c r="G648" s="95">
        <v>94.371958970960307</v>
      </c>
      <c r="H648" s="95">
        <v>208.13690469294434</v>
      </c>
      <c r="I648" s="95">
        <v>1119.1142061064534</v>
      </c>
      <c r="J648" s="95"/>
      <c r="K648" s="95"/>
      <c r="L648" s="95">
        <v>46.318887327641775</v>
      </c>
      <c r="M648" s="95">
        <v>216.84627062650412</v>
      </c>
      <c r="N648" s="95">
        <v>83.882852128162952</v>
      </c>
      <c r="O648" s="95">
        <v>6046.471893407459</v>
      </c>
      <c r="P648" s="95">
        <v>2130.1326291879545</v>
      </c>
      <c r="Q648" s="95">
        <v>9999.9999999999982</v>
      </c>
      <c r="S648" s="98">
        <v>6046.471893407459</v>
      </c>
      <c r="T648" s="95">
        <v>4932.9648019623028</v>
      </c>
      <c r="U648" s="99">
        <v>3317.440642468714</v>
      </c>
      <c r="W648" s="121"/>
      <c r="X648" s="59"/>
      <c r="Y648" s="59"/>
      <c r="Z648" s="59"/>
      <c r="AA648" s="59"/>
      <c r="AB648" s="59"/>
      <c r="AC648" s="59"/>
      <c r="AD648" s="59"/>
      <c r="AE648" s="59"/>
      <c r="AF648" s="68"/>
    </row>
    <row r="649" spans="1:32" x14ac:dyDescent="0.2">
      <c r="A649" s="95">
        <v>612</v>
      </c>
      <c r="B649" s="95">
        <v>51</v>
      </c>
      <c r="C649" s="95">
        <v>0</v>
      </c>
      <c r="D649" s="95"/>
      <c r="E649" s="95">
        <v>1.9684227494340421</v>
      </c>
      <c r="F649" s="95">
        <v>52.0860775529789</v>
      </c>
      <c r="G649" s="95">
        <v>93.290531366257213</v>
      </c>
      <c r="H649" s="95">
        <v>205.94122597020203</v>
      </c>
      <c r="I649" s="95">
        <v>1110.1215731584384</v>
      </c>
      <c r="J649" s="95"/>
      <c r="K649" s="95"/>
      <c r="L649" s="95">
        <v>46.002872425888114</v>
      </c>
      <c r="M649" s="95">
        <v>215.15625788046205</v>
      </c>
      <c r="N649" s="95">
        <v>83.240557659772634</v>
      </c>
      <c r="O649" s="95">
        <v>6052.1831265460023</v>
      </c>
      <c r="P649" s="95">
        <v>2140.0093546905628</v>
      </c>
      <c r="Q649" s="95">
        <v>9999.9999999999982</v>
      </c>
      <c r="S649" s="98">
        <v>6052.1831265460023</v>
      </c>
      <c r="T649" s="95">
        <v>4936.6019231321488</v>
      </c>
      <c r="U649" s="99">
        <v>3320.2375449375786</v>
      </c>
      <c r="W649" s="121"/>
      <c r="X649" s="59"/>
      <c r="Y649" s="59"/>
      <c r="Z649" s="59"/>
      <c r="AA649" s="59"/>
      <c r="AB649" s="59"/>
      <c r="AC649" s="59"/>
      <c r="AD649" s="59"/>
      <c r="AE649" s="59"/>
      <c r="AF649" s="68"/>
    </row>
    <row r="650" spans="1:32" x14ac:dyDescent="0.2">
      <c r="A650" s="95">
        <v>613</v>
      </c>
      <c r="B650" s="95">
        <v>51</v>
      </c>
      <c r="C650" s="95">
        <v>1</v>
      </c>
      <c r="D650" s="95"/>
      <c r="E650" s="95">
        <v>1.9385683377342924</v>
      </c>
      <c r="F650" s="95">
        <v>51.454193705373648</v>
      </c>
      <c r="G650" s="95">
        <v>92.22124539036102</v>
      </c>
      <c r="H650" s="95">
        <v>203.76785112548072</v>
      </c>
      <c r="I650" s="95">
        <v>1101.1961428734257</v>
      </c>
      <c r="J650" s="95"/>
      <c r="K650" s="95"/>
      <c r="L650" s="95">
        <v>45.681382914371596</v>
      </c>
      <c r="M650" s="95">
        <v>213.48529350517117</v>
      </c>
      <c r="N650" s="95">
        <v>82.602738369476114</v>
      </c>
      <c r="O650" s="95">
        <v>6057.8509383614064</v>
      </c>
      <c r="P650" s="95">
        <v>2149.801645417198</v>
      </c>
      <c r="Q650" s="95">
        <v>9999.9999999999982</v>
      </c>
      <c r="S650" s="98">
        <v>6057.8509383614064</v>
      </c>
      <c r="T650" s="95">
        <v>4940.2098182449135</v>
      </c>
      <c r="U650" s="99">
        <v>3323.012588511333</v>
      </c>
      <c r="W650" s="121"/>
      <c r="X650" s="59"/>
      <c r="Y650" s="59"/>
      <c r="Z650" s="59"/>
      <c r="AA650" s="59"/>
      <c r="AB650" s="59"/>
      <c r="AC650" s="59"/>
      <c r="AD650" s="59"/>
      <c r="AE650" s="59"/>
      <c r="AF650" s="68"/>
    </row>
    <row r="651" spans="1:32" x14ac:dyDescent="0.2">
      <c r="A651" s="95">
        <v>614</v>
      </c>
      <c r="B651" s="95">
        <v>51</v>
      </c>
      <c r="C651" s="95">
        <v>2</v>
      </c>
      <c r="D651" s="95"/>
      <c r="E651" s="95">
        <v>1.9091667179453222</v>
      </c>
      <c r="F651" s="95">
        <v>50.829917325349385</v>
      </c>
      <c r="G651" s="95">
        <v>91.163968396006013</v>
      </c>
      <c r="H651" s="95">
        <v>201.61656515824166</v>
      </c>
      <c r="I651" s="95">
        <v>1092.3374700293834</v>
      </c>
      <c r="J651" s="95"/>
      <c r="K651" s="95"/>
      <c r="L651" s="95">
        <v>45.361057302606355</v>
      </c>
      <c r="M651" s="95">
        <v>211.82671220404222</v>
      </c>
      <c r="N651" s="95">
        <v>81.969366096057328</v>
      </c>
      <c r="O651" s="95">
        <v>6063.4755828486368</v>
      </c>
      <c r="P651" s="95">
        <v>2159.5101939217307</v>
      </c>
      <c r="Q651" s="95">
        <v>10000</v>
      </c>
      <c r="S651" s="98">
        <v>6063.4755828486368</v>
      </c>
      <c r="T651" s="95">
        <v>4943.7887057092521</v>
      </c>
      <c r="U651" s="99">
        <v>3325.7659285110626</v>
      </c>
      <c r="W651" s="121"/>
      <c r="X651" s="59"/>
      <c r="Y651" s="59"/>
      <c r="Z651" s="59"/>
      <c r="AA651" s="59"/>
      <c r="AB651" s="59"/>
      <c r="AC651" s="59"/>
      <c r="AD651" s="59"/>
      <c r="AE651" s="59"/>
      <c r="AF651" s="68"/>
    </row>
    <row r="652" spans="1:32" x14ac:dyDescent="0.2">
      <c r="A652" s="95">
        <v>615</v>
      </c>
      <c r="B652" s="95">
        <v>51</v>
      </c>
      <c r="C652" s="95">
        <v>3</v>
      </c>
      <c r="D652" s="95"/>
      <c r="E652" s="95">
        <v>1.8802110227231514</v>
      </c>
      <c r="F652" s="95">
        <v>50.213157734282483</v>
      </c>
      <c r="G652" s="95">
        <v>90.118569130955478</v>
      </c>
      <c r="H652" s="95">
        <v>199.48715498439825</v>
      </c>
      <c r="I652" s="95">
        <v>1083.5451117039574</v>
      </c>
      <c r="J652" s="95"/>
      <c r="K652" s="95"/>
      <c r="L652" s="95">
        <v>45.041921146792767</v>
      </c>
      <c r="M652" s="95">
        <v>210.18042200909204</v>
      </c>
      <c r="N652" s="95">
        <v>81.340413161690932</v>
      </c>
      <c r="O652" s="95">
        <v>6069.057351475215</v>
      </c>
      <c r="P652" s="95">
        <v>2169.135687630891</v>
      </c>
      <c r="Q652" s="95">
        <v>9999.9999999999982</v>
      </c>
      <c r="S652" s="98">
        <v>6069.057351475215</v>
      </c>
      <c r="T652" s="95">
        <v>4947.3388024868473</v>
      </c>
      <c r="U652" s="99">
        <v>3328.4977195866345</v>
      </c>
      <c r="W652" s="121"/>
      <c r="X652" s="59"/>
      <c r="Y652" s="59"/>
      <c r="Z652" s="59"/>
      <c r="AA652" s="59"/>
      <c r="AB652" s="59"/>
      <c r="AC652" s="59"/>
      <c r="AD652" s="59"/>
      <c r="AE652" s="59"/>
      <c r="AF652" s="68"/>
    </row>
    <row r="653" spans="1:32" x14ac:dyDescent="0.2">
      <c r="A653" s="95">
        <v>616</v>
      </c>
      <c r="B653" s="95">
        <v>51</v>
      </c>
      <c r="C653" s="95">
        <v>4</v>
      </c>
      <c r="D653" s="95"/>
      <c r="E653" s="95">
        <v>1.851694488878517</v>
      </c>
      <c r="F653" s="95">
        <v>49.603825320075501</v>
      </c>
      <c r="G653" s="95">
        <v>89.084917724137753</v>
      </c>
      <c r="H653" s="95">
        <v>197.37940942135978</v>
      </c>
      <c r="I653" s="95">
        <v>1074.8186272703845</v>
      </c>
      <c r="J653" s="95"/>
      <c r="K653" s="95"/>
      <c r="L653" s="95">
        <v>44.723998940804975</v>
      </c>
      <c r="M653" s="95">
        <v>208.54633178199541</v>
      </c>
      <c r="N653" s="95">
        <v>80.715852130266242</v>
      </c>
      <c r="O653" s="95">
        <v>6074.5965342530299</v>
      </c>
      <c r="P653" s="95">
        <v>2178.6788086690663</v>
      </c>
      <c r="Q653" s="95">
        <v>9999.9999999999982</v>
      </c>
      <c r="S653" s="98">
        <v>6074.5965342530299</v>
      </c>
      <c r="T653" s="95">
        <v>4950.8603240998855</v>
      </c>
      <c r="U653" s="99">
        <v>3331.2081154948391</v>
      </c>
      <c r="W653" s="121"/>
      <c r="X653" s="59"/>
      <c r="Y653" s="59"/>
      <c r="Z653" s="59"/>
      <c r="AA653" s="59"/>
      <c r="AB653" s="59"/>
      <c r="AC653" s="59"/>
      <c r="AD653" s="59"/>
      <c r="AE653" s="59"/>
      <c r="AF653" s="68"/>
    </row>
    <row r="654" spans="1:32" x14ac:dyDescent="0.2">
      <c r="A654" s="95">
        <v>617</v>
      </c>
      <c r="B654" s="95">
        <v>51</v>
      </c>
      <c r="C654" s="95">
        <v>5</v>
      </c>
      <c r="D654" s="95"/>
      <c r="E654" s="95">
        <v>1.8236104557971928</v>
      </c>
      <c r="F654" s="95">
        <v>49.001831524841123</v>
      </c>
      <c r="G654" s="95">
        <v>88.062885671907836</v>
      </c>
      <c r="H654" s="95">
        <v>195.29311917316232</v>
      </c>
      <c r="I654" s="95">
        <v>1066.1575783932988</v>
      </c>
      <c r="J654" s="95"/>
      <c r="K654" s="95"/>
      <c r="L654" s="95">
        <v>44.407314146334436</v>
      </c>
      <c r="M654" s="95">
        <v>206.9243512023495</v>
      </c>
      <c r="N654" s="95">
        <v>80.095655798836646</v>
      </c>
      <c r="O654" s="95">
        <v>6080.0934197385659</v>
      </c>
      <c r="P654" s="95">
        <v>2188.1402338949051</v>
      </c>
      <c r="Q654" s="95">
        <v>9999.9999999999982</v>
      </c>
      <c r="S654" s="98">
        <v>6080.0934197385659</v>
      </c>
      <c r="T654" s="95">
        <v>4954.3534846385146</v>
      </c>
      <c r="U654" s="99">
        <v>3333.8972691007507</v>
      </c>
      <c r="W654" s="121"/>
      <c r="X654" s="59"/>
      <c r="Y654" s="59"/>
      <c r="Z654" s="59"/>
      <c r="AA654" s="59"/>
      <c r="AB654" s="59"/>
      <c r="AC654" s="59"/>
      <c r="AD654" s="59"/>
      <c r="AE654" s="59"/>
      <c r="AF654" s="68"/>
    </row>
    <row r="655" spans="1:32" x14ac:dyDescent="0.2">
      <c r="A655" s="95">
        <v>618</v>
      </c>
      <c r="B655" s="95">
        <v>51</v>
      </c>
      <c r="C655" s="95">
        <v>6</v>
      </c>
      <c r="D655" s="95"/>
      <c r="E655" s="95">
        <v>1.7959523638842687</v>
      </c>
      <c r="F655" s="95">
        <v>48.407088832724632</v>
      </c>
      <c r="G655" s="95">
        <v>87.052345824433544</v>
      </c>
      <c r="H655" s="95">
        <v>193.22807681568619</v>
      </c>
      <c r="I655" s="95">
        <v>1057.5615290244386</v>
      </c>
      <c r="J655" s="95"/>
      <c r="K655" s="95"/>
      <c r="L655" s="95">
        <v>44.091889222234791</v>
      </c>
      <c r="M655" s="95">
        <v>205.31439075617143</v>
      </c>
      <c r="N655" s="95">
        <v>79.479797189519061</v>
      </c>
      <c r="O655" s="95">
        <v>6085.5482950331825</v>
      </c>
      <c r="P655" s="95">
        <v>2197.520634937724</v>
      </c>
      <c r="Q655" s="95">
        <v>10000</v>
      </c>
      <c r="S655" s="98">
        <v>6085.5482950331825</v>
      </c>
      <c r="T655" s="95">
        <v>4957.8184967682928</v>
      </c>
      <c r="U655" s="99">
        <v>3336.5653323791853</v>
      </c>
      <c r="W655" s="121"/>
      <c r="X655" s="59"/>
      <c r="Y655" s="59"/>
      <c r="Z655" s="59"/>
      <c r="AA655" s="59"/>
      <c r="AB655" s="59"/>
      <c r="AC655" s="59"/>
      <c r="AD655" s="59"/>
      <c r="AE655" s="59"/>
      <c r="AF655" s="68"/>
    </row>
    <row r="656" spans="1:32" x14ac:dyDescent="0.2">
      <c r="A656" s="95">
        <v>619</v>
      </c>
      <c r="B656" s="95">
        <v>51</v>
      </c>
      <c r="C656" s="95">
        <v>7</v>
      </c>
      <c r="D656" s="95"/>
      <c r="E656" s="95">
        <v>1.768713753032024</v>
      </c>
      <c r="F656" s="95">
        <v>47.819510757863448</v>
      </c>
      <c r="G656" s="95">
        <v>86.053172372205324</v>
      </c>
      <c r="H656" s="95">
        <v>191.18407678196058</v>
      </c>
      <c r="I656" s="95">
        <v>1049.03004539825</v>
      </c>
      <c r="J656" s="95"/>
      <c r="K656" s="95"/>
      <c r="L656" s="95">
        <v>43.777745653089077</v>
      </c>
      <c r="M656" s="95">
        <v>203.71636172462442</v>
      </c>
      <c r="N656" s="95">
        <v>78.868249541821598</v>
      </c>
      <c r="O656" s="95">
        <v>6090.9614457834377</v>
      </c>
      <c r="P656" s="95">
        <v>2206.8206782337147</v>
      </c>
      <c r="Q656" s="95">
        <v>9999.9999999999982</v>
      </c>
      <c r="S656" s="98">
        <v>6090.9614457834377</v>
      </c>
      <c r="T656" s="95">
        <v>4961.2555717376226</v>
      </c>
      <c r="U656" s="99">
        <v>3339.2124564162582</v>
      </c>
      <c r="W656" s="121"/>
      <c r="X656" s="59"/>
      <c r="Y656" s="59"/>
      <c r="Z656" s="59"/>
      <c r="AA656" s="59"/>
      <c r="AB656" s="59"/>
      <c r="AC656" s="59"/>
      <c r="AD656" s="59"/>
      <c r="AE656" s="59"/>
      <c r="AF656" s="68"/>
    </row>
    <row r="657" spans="1:32" x14ac:dyDescent="0.2">
      <c r="A657" s="95">
        <v>620</v>
      </c>
      <c r="B657" s="95">
        <v>51</v>
      </c>
      <c r="C657" s="95">
        <v>8</v>
      </c>
      <c r="D657" s="95"/>
      <c r="E657" s="95">
        <v>1.7418882611110384</v>
      </c>
      <c r="F657" s="95">
        <v>47.23901183248222</v>
      </c>
      <c r="G657" s="95">
        <v>85.065240832668692</v>
      </c>
      <c r="H657" s="95">
        <v>189.16091534755472</v>
      </c>
      <c r="I657" s="95">
        <v>1040.5626960273928</v>
      </c>
      <c r="J657" s="95"/>
      <c r="K657" s="95"/>
      <c r="L657" s="95">
        <v>43.464903977019532</v>
      </c>
      <c r="M657" s="95">
        <v>202.13017617296694</v>
      </c>
      <c r="N657" s="95">
        <v>78.26098630537858</v>
      </c>
      <c r="O657" s="95">
        <v>6096.3331561814693</v>
      </c>
      <c r="P657" s="95">
        <v>2216.0410250619552</v>
      </c>
      <c r="Q657" s="95">
        <v>10000</v>
      </c>
      <c r="S657" s="98">
        <v>6096.3331561814693</v>
      </c>
      <c r="T657" s="95">
        <v>4964.6649193851672</v>
      </c>
      <c r="U657" s="99">
        <v>3341.8387914110299</v>
      </c>
      <c r="W657" s="121"/>
      <c r="X657" s="59"/>
      <c r="Y657" s="59"/>
      <c r="Z657" s="59"/>
      <c r="AA657" s="59"/>
      <c r="AB657" s="59"/>
      <c r="AC657" s="59"/>
      <c r="AD657" s="59"/>
      <c r="AE657" s="59"/>
      <c r="AF657" s="68"/>
    </row>
    <row r="658" spans="1:32" x14ac:dyDescent="0.2">
      <c r="A658" s="95">
        <v>621</v>
      </c>
      <c r="B658" s="95">
        <v>51</v>
      </c>
      <c r="C658" s="95">
        <v>9</v>
      </c>
      <c r="D658" s="95"/>
      <c r="E658" s="95">
        <v>1.7154696224841877</v>
      </c>
      <c r="F658" s="95">
        <v>46.665507595122023</v>
      </c>
      <c r="G658" s="95">
        <v>84.08842803697847</v>
      </c>
      <c r="H658" s="95">
        <v>187.15839061605578</v>
      </c>
      <c r="I658" s="95">
        <v>1032.1590516981498</v>
      </c>
      <c r="J658" s="95"/>
      <c r="K658" s="95"/>
      <c r="L658" s="95">
        <v>43.153383812759884</v>
      </c>
      <c r="M658" s="95">
        <v>200.55574693972079</v>
      </c>
      <c r="N658" s="95">
        <v>77.657981133073278</v>
      </c>
      <c r="O658" s="95">
        <v>6101.663708965435</v>
      </c>
      <c r="P658" s="95">
        <v>2225.1823315802199</v>
      </c>
      <c r="Q658" s="95">
        <v>10000</v>
      </c>
      <c r="S658" s="98">
        <v>6101.663708965435</v>
      </c>
      <c r="T658" s="95">
        <v>4968.046748147256</v>
      </c>
      <c r="U658" s="99">
        <v>3344.4444866772451</v>
      </c>
      <c r="W658" s="121"/>
      <c r="X658" s="59"/>
      <c r="Y658" s="59"/>
      <c r="Z658" s="59"/>
      <c r="AA658" s="59"/>
      <c r="AB658" s="59"/>
      <c r="AC658" s="59"/>
      <c r="AD658" s="59"/>
      <c r="AE658" s="59"/>
      <c r="AF658" s="68"/>
    </row>
    <row r="659" spans="1:32" x14ac:dyDescent="0.2">
      <c r="A659" s="95">
        <v>622</v>
      </c>
      <c r="B659" s="95">
        <v>51</v>
      </c>
      <c r="C659" s="95">
        <v>10</v>
      </c>
      <c r="D659" s="95"/>
      <c r="E659" s="95">
        <v>1.6894516665431776</v>
      </c>
      <c r="F659" s="95">
        <v>46.098914579002219</v>
      </c>
      <c r="G659" s="95">
        <v>83.122612116873839</v>
      </c>
      <c r="H659" s="95">
        <v>185.17630250463338</v>
      </c>
      <c r="I659" s="95">
        <v>1023.8186854657399</v>
      </c>
      <c r="J659" s="95"/>
      <c r="K659" s="95"/>
      <c r="L659" s="95">
        <v>42.843203886009441</v>
      </c>
      <c r="M659" s="95">
        <v>198.99298762605264</v>
      </c>
      <c r="N659" s="95">
        <v>77.059207874529179</v>
      </c>
      <c r="O659" s="95">
        <v>6106.9533854200181</v>
      </c>
      <c r="P659" s="95">
        <v>2234.2452488605977</v>
      </c>
      <c r="Q659" s="95">
        <v>10000</v>
      </c>
      <c r="S659" s="98">
        <v>6106.9533854200181</v>
      </c>
      <c r="T659" s="95">
        <v>4971.4012650652749</v>
      </c>
      <c r="U659" s="99">
        <v>3347.0296906451572</v>
      </c>
      <c r="W659" s="121"/>
      <c r="X659" s="59"/>
      <c r="Y659" s="59"/>
      <c r="Z659" s="59"/>
      <c r="AA659" s="59"/>
      <c r="AB659" s="59"/>
      <c r="AC659" s="59"/>
      <c r="AD659" s="59"/>
      <c r="AE659" s="59"/>
      <c r="AF659" s="68"/>
    </row>
    <row r="660" spans="1:32" x14ac:dyDescent="0.2">
      <c r="A660" s="95">
        <v>623</v>
      </c>
      <c r="B660" s="95">
        <v>51</v>
      </c>
      <c r="C660" s="95">
        <v>11</v>
      </c>
      <c r="D660" s="95"/>
      <c r="E660" s="95">
        <v>1.6638283162672727</v>
      </c>
      <c r="F660" s="95">
        <v>45.539150300513491</v>
      </c>
      <c r="G660" s="95">
        <v>82.167672491673301</v>
      </c>
      <c r="H660" s="95">
        <v>183.21445272969058</v>
      </c>
      <c r="I660" s="95">
        <v>1015.5411726495382</v>
      </c>
      <c r="J660" s="95"/>
      <c r="K660" s="95"/>
      <c r="L660" s="95">
        <v>42.534382055087761</v>
      </c>
      <c r="M660" s="95">
        <v>197.441812585365</v>
      </c>
      <c r="N660" s="95">
        <v>76.464640569951868</v>
      </c>
      <c r="O660" s="95">
        <v>6112.2024653770013</v>
      </c>
      <c r="P660" s="95">
        <v>2243.2304229249112</v>
      </c>
      <c r="Q660" s="95">
        <v>10000</v>
      </c>
      <c r="S660" s="98">
        <v>6112.2024653770013</v>
      </c>
      <c r="T660" s="95">
        <v>4974.7286757930387</v>
      </c>
      <c r="U660" s="99">
        <v>3349.5945508634354</v>
      </c>
      <c r="W660" s="121"/>
      <c r="X660" s="59"/>
      <c r="Y660" s="59"/>
      <c r="Z660" s="59"/>
      <c r="AA660" s="59"/>
      <c r="AB660" s="59"/>
      <c r="AC660" s="59"/>
      <c r="AD660" s="59"/>
      <c r="AE660" s="59"/>
      <c r="AF660" s="68"/>
    </row>
    <row r="661" spans="1:32" x14ac:dyDescent="0.2">
      <c r="A661" s="95">
        <v>624</v>
      </c>
      <c r="B661" s="95">
        <v>52</v>
      </c>
      <c r="C661" s="95">
        <v>0</v>
      </c>
      <c r="D661" s="95"/>
      <c r="E661" s="95">
        <v>1.6385935868038857</v>
      </c>
      <c r="F661" s="95">
        <v>44.986133247840677</v>
      </c>
      <c r="G661" s="95">
        <v>81.223489855388635</v>
      </c>
      <c r="H661" s="95">
        <v>181.27264479260114</v>
      </c>
      <c r="I661" s="95">
        <v>1007.3260908282048</v>
      </c>
      <c r="J661" s="95"/>
      <c r="K661" s="95"/>
      <c r="L661" s="95">
        <v>42.226935335908209</v>
      </c>
      <c r="M661" s="95">
        <v>195.90213691309162</v>
      </c>
      <c r="N661" s="95">
        <v>75.874253444304202</v>
      </c>
      <c r="O661" s="95">
        <v>6117.4112272159146</v>
      </c>
      <c r="P661" s="95">
        <v>2252.1384947799424</v>
      </c>
      <c r="Q661" s="95">
        <v>10000</v>
      </c>
      <c r="S661" s="98">
        <v>6117.4112272159146</v>
      </c>
      <c r="T661" s="95">
        <v>4978.02918460415</v>
      </c>
      <c r="U661" s="99">
        <v>3352.1392140011558</v>
      </c>
      <c r="W661" s="121"/>
      <c r="X661" s="59"/>
      <c r="Y661" s="59"/>
      <c r="Z661" s="59"/>
      <c r="AA661" s="59"/>
      <c r="AB661" s="59"/>
      <c r="AC661" s="59"/>
      <c r="AD661" s="59"/>
      <c r="AE661" s="59"/>
      <c r="AF661" s="68"/>
    </row>
    <row r="662" spans="1:32" x14ac:dyDescent="0.2">
      <c r="A662" s="95">
        <v>625</v>
      </c>
      <c r="B662" s="95">
        <v>52</v>
      </c>
      <c r="C662" s="95">
        <v>1</v>
      </c>
      <c r="D662" s="95"/>
      <c r="E662" s="95">
        <v>1.6137415840706935</v>
      </c>
      <c r="F662" s="95">
        <v>44.439782869714008</v>
      </c>
      <c r="G662" s="95">
        <v>80.289946163956927</v>
      </c>
      <c r="H662" s="95">
        <v>179.35068396553331</v>
      </c>
      <c r="I662" s="95">
        <v>999.1730198347226</v>
      </c>
      <c r="J662" s="95"/>
      <c r="K662" s="95"/>
      <c r="L662" s="95">
        <v>41.920879926288308</v>
      </c>
      <c r="M662" s="95">
        <v>194.37387643669331</v>
      </c>
      <c r="N662" s="95">
        <v>75.288020901798305</v>
      </c>
      <c r="O662" s="95">
        <v>6122.5799478647577</v>
      </c>
      <c r="P662" s="95">
        <v>2260.9701004524645</v>
      </c>
      <c r="Q662" s="95">
        <v>10000</v>
      </c>
      <c r="S662" s="98">
        <v>6122.5799478647577</v>
      </c>
      <c r="T662" s="95">
        <v>4981.3029943993415</v>
      </c>
      <c r="U662" s="99">
        <v>3354.6638258498665</v>
      </c>
      <c r="W662" s="121"/>
      <c r="X662" s="59"/>
      <c r="Y662" s="59"/>
      <c r="Z662" s="59"/>
      <c r="AA662" s="59"/>
      <c r="AB662" s="59"/>
      <c r="AC662" s="59"/>
      <c r="AD662" s="59"/>
      <c r="AE662" s="59"/>
      <c r="AF662" s="68"/>
    </row>
    <row r="663" spans="1:32" x14ac:dyDescent="0.2">
      <c r="A663" s="95">
        <v>626</v>
      </c>
      <c r="B663" s="95">
        <v>52</v>
      </c>
      <c r="C663" s="95">
        <v>2</v>
      </c>
      <c r="D663" s="95"/>
      <c r="E663" s="95">
        <v>1.5892665033789546</v>
      </c>
      <c r="F663" s="95">
        <v>43.90001956428727</v>
      </c>
      <c r="G663" s="95">
        <v>79.366924622589735</v>
      </c>
      <c r="H663" s="95">
        <v>177.44837727735941</v>
      </c>
      <c r="I663" s="95">
        <v>991.08154175134803</v>
      </c>
      <c r="J663" s="95"/>
      <c r="K663" s="95"/>
      <c r="L663" s="95">
        <v>41.616231229614122</v>
      </c>
      <c r="M663" s="95">
        <v>192.85694770584945</v>
      </c>
      <c r="N663" s="95">
        <v>74.705917520688644</v>
      </c>
      <c r="O663" s="95">
        <v>6127.7089028008049</v>
      </c>
      <c r="P663" s="95">
        <v>2269.7258710240794</v>
      </c>
      <c r="Q663" s="95">
        <v>10000</v>
      </c>
      <c r="S663" s="98">
        <v>6127.7089028008049</v>
      </c>
      <c r="T663" s="95">
        <v>4984.5503067138043</v>
      </c>
      <c r="U663" s="99">
        <v>3357.1685313257308</v>
      </c>
      <c r="W663" s="121"/>
      <c r="X663" s="59"/>
      <c r="Y663" s="59"/>
      <c r="Z663" s="59"/>
      <c r="AA663" s="59"/>
      <c r="AB663" s="59"/>
      <c r="AC663" s="59"/>
      <c r="AD663" s="59"/>
      <c r="AE663" s="59"/>
      <c r="AF663" s="68"/>
    </row>
    <row r="664" spans="1:32" x14ac:dyDescent="0.2">
      <c r="A664" s="95">
        <v>627</v>
      </c>
      <c r="B664" s="95">
        <v>52</v>
      </c>
      <c r="C664" s="95">
        <v>3</v>
      </c>
      <c r="D664" s="95"/>
      <c r="E664" s="95">
        <v>1.5651626280777071</v>
      </c>
      <c r="F664" s="95">
        <v>43.36676466814162</v>
      </c>
      <c r="G664" s="95">
        <v>78.454309673238512</v>
      </c>
      <c r="H664" s="95">
        <v>175.56553349965179</v>
      </c>
      <c r="I664" s="95">
        <v>983.0512409044743</v>
      </c>
      <c r="J664" s="95"/>
      <c r="K664" s="95"/>
      <c r="L664" s="95">
        <v>41.313003877875715</v>
      </c>
      <c r="M664" s="95">
        <v>191.35126798284128</v>
      </c>
      <c r="N664" s="95">
        <v>74.127918048351276</v>
      </c>
      <c r="O664" s="95">
        <v>6132.7983660514865</v>
      </c>
      <c r="P664" s="95">
        <v>2278.4064326658613</v>
      </c>
      <c r="Q664" s="95">
        <v>10000</v>
      </c>
      <c r="S664" s="98">
        <v>6132.7983660514865</v>
      </c>
      <c r="T664" s="95">
        <v>4987.7713217244964</v>
      </c>
      <c r="U664" s="99">
        <v>3359.6534744717414</v>
      </c>
      <c r="W664" s="121"/>
      <c r="X664" s="59"/>
      <c r="Y664" s="59"/>
      <c r="Z664" s="59"/>
      <c r="AA664" s="59"/>
      <c r="AB664" s="59"/>
      <c r="AC664" s="59"/>
      <c r="AD664" s="59"/>
      <c r="AE664" s="59"/>
      <c r="AF664" s="68"/>
    </row>
    <row r="665" spans="1:32" x14ac:dyDescent="0.2">
      <c r="A665" s="95">
        <v>628</v>
      </c>
      <c r="B665" s="95">
        <v>52</v>
      </c>
      <c r="C665" s="95">
        <v>4</v>
      </c>
      <c r="D665" s="95"/>
      <c r="E665" s="95">
        <v>1.5414243282185285</v>
      </c>
      <c r="F665" s="95">
        <v>42.83994044541361</v>
      </c>
      <c r="G665" s="95">
        <v>77.551986982175421</v>
      </c>
      <c r="H665" s="95">
        <v>173.70196313276443</v>
      </c>
      <c r="I665" s="95">
        <v>975.08170385941025</v>
      </c>
      <c r="J665" s="95"/>
      <c r="K665" s="95"/>
      <c r="L665" s="95">
        <v>41.011211754090084</v>
      </c>
      <c r="M665" s="95">
        <v>189.85675523312253</v>
      </c>
      <c r="N665" s="95">
        <v>73.553997396634827</v>
      </c>
      <c r="O665" s="95">
        <v>6137.8486101953613</v>
      </c>
      <c r="P665" s="95">
        <v>2287.012406672809</v>
      </c>
      <c r="Q665" s="95">
        <v>10000</v>
      </c>
      <c r="S665" s="98">
        <v>6137.8486101953613</v>
      </c>
      <c r="T665" s="95">
        <v>4990.9662382574361</v>
      </c>
      <c r="U665" s="99">
        <v>3362.1187984600074</v>
      </c>
      <c r="W665" s="121"/>
      <c r="X665" s="59"/>
      <c r="Y665" s="59"/>
      <c r="Z665" s="59"/>
      <c r="AA665" s="59"/>
      <c r="AB665" s="59"/>
      <c r="AC665" s="59"/>
      <c r="AD665" s="59"/>
      <c r="AE665" s="59"/>
      <c r="AF665" s="68"/>
    </row>
    <row r="666" spans="1:32" x14ac:dyDescent="0.2">
      <c r="A666" s="95">
        <v>629</v>
      </c>
      <c r="B666" s="95">
        <v>52</v>
      </c>
      <c r="C666" s="95">
        <v>5</v>
      </c>
      <c r="D666" s="95"/>
      <c r="E666" s="95">
        <v>1.5180460592405474</v>
      </c>
      <c r="F666" s="95">
        <v>42.31947007704607</v>
      </c>
      <c r="G666" s="95">
        <v>76.659843427688557</v>
      </c>
      <c r="H666" s="95">
        <v>171.85747839200033</v>
      </c>
      <c r="I666" s="95">
        <v>967.17251941507607</v>
      </c>
      <c r="J666" s="95"/>
      <c r="K666" s="95"/>
      <c r="L666" s="95">
        <v>40.710868014127612</v>
      </c>
      <c r="M666" s="95">
        <v>188.37332811607362</v>
      </c>
      <c r="N666" s="95">
        <v>72.984130637469647</v>
      </c>
      <c r="O666" s="95">
        <v>6142.8599063631709</v>
      </c>
      <c r="P666" s="95">
        <v>2295.5444094981062</v>
      </c>
      <c r="Q666" s="95">
        <v>10000</v>
      </c>
      <c r="S666" s="98">
        <v>6142.8599063631709</v>
      </c>
      <c r="T666" s="95">
        <v>4994.1352537949788</v>
      </c>
      <c r="U666" s="99">
        <v>3364.5646455941041</v>
      </c>
      <c r="W666" s="121"/>
      <c r="X666" s="59"/>
      <c r="Y666" s="59"/>
      <c r="Z666" s="59"/>
      <c r="AA666" s="59"/>
      <c r="AB666" s="59"/>
      <c r="AC666" s="59"/>
      <c r="AD666" s="59"/>
      <c r="AE666" s="59"/>
      <c r="AF666" s="68"/>
    </row>
    <row r="667" spans="1:32" x14ac:dyDescent="0.2">
      <c r="A667" s="95">
        <v>630</v>
      </c>
      <c r="B667" s="95">
        <v>52</v>
      </c>
      <c r="C667" s="95">
        <v>6</v>
      </c>
      <c r="D667" s="95"/>
      <c r="E667" s="95">
        <v>1.495022360675399</v>
      </c>
      <c r="F667" s="95">
        <v>41.80527765016059</v>
      </c>
      <c r="G667" s="95">
        <v>75.777767087890766</v>
      </c>
      <c r="H667" s="95">
        <v>170.03189319386453</v>
      </c>
      <c r="I667" s="95">
        <v>959.32327859861721</v>
      </c>
      <c r="J667" s="95"/>
      <c r="K667" s="95"/>
      <c r="L667" s="95">
        <v>40.411985107957676</v>
      </c>
      <c r="M667" s="95">
        <v>186.90090597593519</v>
      </c>
      <c r="N667" s="95">
        <v>72.418292998722123</v>
      </c>
      <c r="O667" s="95">
        <v>6147.8325242389856</v>
      </c>
      <c r="P667" s="95">
        <v>2304.0030527871913</v>
      </c>
      <c r="Q667" s="95">
        <v>10000</v>
      </c>
      <c r="S667" s="98">
        <v>6147.8325242389856</v>
      </c>
      <c r="T667" s="95">
        <v>4997.2785644830774</v>
      </c>
      <c r="U667" s="99">
        <v>3366.9911573114928</v>
      </c>
      <c r="W667" s="121"/>
      <c r="X667" s="59"/>
      <c r="Y667" s="59"/>
      <c r="Z667" s="59"/>
      <c r="AA667" s="59"/>
      <c r="AB667" s="59"/>
      <c r="AC667" s="59"/>
      <c r="AD667" s="59"/>
      <c r="AE667" s="59"/>
      <c r="AF667" s="68"/>
    </row>
    <row r="668" spans="1:32" x14ac:dyDescent="0.2">
      <c r="A668" s="95">
        <v>631</v>
      </c>
      <c r="B668" s="95">
        <v>52</v>
      </c>
      <c r="C668" s="95">
        <v>7</v>
      </c>
      <c r="D668" s="95"/>
      <c r="E668" s="95">
        <v>1.4723478548718221</v>
      </c>
      <c r="F668" s="95">
        <v>41.297288147550169</v>
      </c>
      <c r="G668" s="95">
        <v>74.905647228641087</v>
      </c>
      <c r="H668" s="95">
        <v>168.22502314240265</v>
      </c>
      <c r="I668" s="95">
        <v>951.53357465993815</v>
      </c>
      <c r="J668" s="95"/>
      <c r="K668" s="95"/>
      <c r="L668" s="95">
        <v>40.114574800328633</v>
      </c>
      <c r="M668" s="95">
        <v>185.43940883291717</v>
      </c>
      <c r="N668" s="95">
        <v>71.856459860281632</v>
      </c>
      <c r="O668" s="95">
        <v>6152.7667320614364</v>
      </c>
      <c r="P668" s="95">
        <v>2312.3889434116327</v>
      </c>
      <c r="Q668" s="95">
        <v>10000</v>
      </c>
      <c r="S668" s="98">
        <v>6152.7667320614364</v>
      </c>
      <c r="T668" s="95">
        <v>5000.3963651385229</v>
      </c>
      <c r="U668" s="99">
        <v>3369.3984741859999</v>
      </c>
      <c r="W668" s="121"/>
      <c r="X668" s="59"/>
      <c r="Y668" s="59"/>
      <c r="Z668" s="59"/>
      <c r="AA668" s="59"/>
      <c r="AB668" s="59"/>
      <c r="AC668" s="59"/>
      <c r="AD668" s="59"/>
      <c r="AE668" s="59"/>
      <c r="AF668" s="68"/>
    </row>
    <row r="669" spans="1:32" x14ac:dyDescent="0.2">
      <c r="A669" s="95">
        <v>632</v>
      </c>
      <c r="B669" s="95">
        <v>52</v>
      </c>
      <c r="C669" s="95">
        <v>8</v>
      </c>
      <c r="D669" s="95"/>
      <c r="E669" s="95">
        <v>1.4500172457395994</v>
      </c>
      <c r="F669" s="95">
        <v>40.79542743729079</v>
      </c>
      <c r="G669" s="95">
        <v>74.043374291578019</v>
      </c>
      <c r="H669" s="95">
        <v>166.43668551562448</v>
      </c>
      <c r="I669" s="95">
        <v>943.80300306615868</v>
      </c>
      <c r="J669" s="95"/>
      <c r="K669" s="95"/>
      <c r="L669" s="95">
        <v>39.818648190896951</v>
      </c>
      <c r="M669" s="95">
        <v>183.98875737447963</v>
      </c>
      <c r="N669" s="95">
        <v>71.298606750368407</v>
      </c>
      <c r="O669" s="95">
        <v>6157.6627966250435</v>
      </c>
      <c r="P669" s="95">
        <v>2320.70268350282</v>
      </c>
      <c r="Q669" s="95">
        <v>10000</v>
      </c>
      <c r="S669" s="98">
        <v>6157.6627966250435</v>
      </c>
      <c r="T669" s="95">
        <v>5003.4888492561677</v>
      </c>
      <c r="U669" s="99">
        <v>3371.7867359303582</v>
      </c>
      <c r="W669" s="121"/>
      <c r="X669" s="59"/>
      <c r="Y669" s="59"/>
      <c r="Z669" s="59"/>
      <c r="AA669" s="59"/>
      <c r="AB669" s="59"/>
      <c r="AC669" s="59"/>
      <c r="AD669" s="59"/>
      <c r="AE669" s="59"/>
      <c r="AF669" s="68"/>
    </row>
    <row r="670" spans="1:32" x14ac:dyDescent="0.2">
      <c r="A670" s="95">
        <v>633</v>
      </c>
      <c r="B670" s="95">
        <v>52</v>
      </c>
      <c r="C670" s="95">
        <v>9</v>
      </c>
      <c r="D670" s="95"/>
      <c r="E670" s="95">
        <v>1.4280253175125488</v>
      </c>
      <c r="F670" s="95">
        <v>40.299622262470614</v>
      </c>
      <c r="G670" s="95">
        <v>73.190839882263674</v>
      </c>
      <c r="H670" s="95">
        <v>164.66669925201293</v>
      </c>
      <c r="I670" s="95">
        <v>936.1311614959925</v>
      </c>
      <c r="J670" s="95"/>
      <c r="K670" s="95"/>
      <c r="L670" s="95">
        <v>39.524215733819936</v>
      </c>
      <c r="M670" s="95">
        <v>182.54887294678164</v>
      </c>
      <c r="N670" s="95">
        <v>70.744709342050953</v>
      </c>
      <c r="O670" s="95">
        <v>6162.5209832816345</v>
      </c>
      <c r="P670" s="95">
        <v>2328.9448704854608</v>
      </c>
      <c r="Q670" s="95">
        <v>10000</v>
      </c>
      <c r="S670" s="98">
        <v>6162.5209832816345</v>
      </c>
      <c r="T670" s="95">
        <v>5006.5562090161329</v>
      </c>
      <c r="U670" s="99">
        <v>3374.1560813988058</v>
      </c>
      <c r="W670" s="121"/>
      <c r="X670" s="59"/>
      <c r="Y670" s="59"/>
      <c r="Z670" s="59"/>
      <c r="AA670" s="59"/>
      <c r="AB670" s="59"/>
      <c r="AC670" s="59"/>
      <c r="AD670" s="59"/>
      <c r="AE670" s="59"/>
      <c r="AF670" s="68"/>
    </row>
    <row r="671" spans="1:32" x14ac:dyDescent="0.2">
      <c r="A671" s="95">
        <v>634</v>
      </c>
      <c r="B671" s="95">
        <v>52</v>
      </c>
      <c r="C671" s="95">
        <v>10</v>
      </c>
      <c r="D671" s="95"/>
      <c r="E671" s="95">
        <v>1.4063669335302751</v>
      </c>
      <c r="F671" s="95">
        <v>39.809800231035481</v>
      </c>
      <c r="G671" s="95">
        <v>72.347936758437939</v>
      </c>
      <c r="H671" s="95">
        <v>162.91488493711771</v>
      </c>
      <c r="I671" s="95">
        <v>928.51764983405133</v>
      </c>
      <c r="J671" s="95"/>
      <c r="K671" s="95"/>
      <c r="L671" s="95">
        <v>39.231287256826128</v>
      </c>
      <c r="M671" s="95">
        <v>181.11967754629453</v>
      </c>
      <c r="N671" s="95">
        <v>70.19474344996226</v>
      </c>
      <c r="O671" s="95">
        <v>6167.3415559418554</v>
      </c>
      <c r="P671" s="95">
        <v>2337.1160971108893</v>
      </c>
      <c r="Q671" s="95">
        <v>10000</v>
      </c>
      <c r="S671" s="98">
        <v>6167.3415559418554</v>
      </c>
      <c r="T671" s="95">
        <v>5009.5986352909949</v>
      </c>
      <c r="U671" s="99">
        <v>3376.506648589741</v>
      </c>
      <c r="W671" s="121"/>
      <c r="X671" s="59"/>
      <c r="Y671" s="59"/>
      <c r="Z671" s="59"/>
      <c r="AA671" s="59"/>
      <c r="AB671" s="59"/>
      <c r="AC671" s="59"/>
      <c r="AD671" s="59"/>
      <c r="AE671" s="59"/>
      <c r="AF671" s="68"/>
    </row>
    <row r="672" spans="1:32" x14ac:dyDescent="0.2">
      <c r="A672" s="95">
        <v>635</v>
      </c>
      <c r="B672" s="95">
        <v>52</v>
      </c>
      <c r="C672" s="95">
        <v>11</v>
      </c>
      <c r="D672" s="95"/>
      <c r="E672" s="95">
        <v>1.3850370350383991</v>
      </c>
      <c r="F672" s="95">
        <v>39.325889805749455</v>
      </c>
      <c r="G672" s="95">
        <v>71.514558818381857</v>
      </c>
      <c r="H672" s="95">
        <v>161.1810647902339</v>
      </c>
      <c r="I672" s="95">
        <v>920.96207016507526</v>
      </c>
      <c r="J672" s="95"/>
      <c r="K672" s="95"/>
      <c r="L672" s="95">
        <v>38.93987197977701</v>
      </c>
      <c r="M672" s="95">
        <v>179.70109381157579</v>
      </c>
      <c r="N672" s="95">
        <v>69.64868502720455</v>
      </c>
      <c r="O672" s="95">
        <v>6172.1247770767768</v>
      </c>
      <c r="P672" s="95">
        <v>2345.2169514901866</v>
      </c>
      <c r="Q672" s="95">
        <v>10000</v>
      </c>
      <c r="S672" s="98">
        <v>6172.1247770767768</v>
      </c>
      <c r="T672" s="95">
        <v>5012.6163176529553</v>
      </c>
      <c r="U672" s="99">
        <v>3378.8385746484319</v>
      </c>
      <c r="W672" s="121"/>
      <c r="X672" s="59"/>
      <c r="Y672" s="59"/>
      <c r="Z672" s="59"/>
      <c r="AA672" s="59"/>
      <c r="AB672" s="59"/>
      <c r="AC672" s="59"/>
      <c r="AD672" s="59"/>
      <c r="AE672" s="59"/>
      <c r="AF672" s="68"/>
    </row>
    <row r="673" spans="1:32" x14ac:dyDescent="0.2">
      <c r="A673" s="95">
        <v>636</v>
      </c>
      <c r="B673" s="95">
        <v>53</v>
      </c>
      <c r="C673" s="95">
        <v>0</v>
      </c>
      <c r="D673" s="95"/>
      <c r="E673" s="95">
        <v>1.3640306400069835</v>
      </c>
      <c r="F673" s="95">
        <v>38.847820294269212</v>
      </c>
      <c r="G673" s="95">
        <v>70.69060108938919</v>
      </c>
      <c r="H673" s="95">
        <v>159.46506265116503</v>
      </c>
      <c r="I673" s="95">
        <v>913.464026768091</v>
      </c>
      <c r="J673" s="95"/>
      <c r="K673" s="95"/>
      <c r="L673" s="95">
        <v>38.649978532733329</v>
      </c>
      <c r="M673" s="95">
        <v>178.29304501520048</v>
      </c>
      <c r="N673" s="95">
        <v>69.106510162432755</v>
      </c>
      <c r="O673" s="95">
        <v>6176.8709077195963</v>
      </c>
      <c r="P673" s="95">
        <v>2353.2480171271154</v>
      </c>
      <c r="Q673" s="95">
        <v>10000</v>
      </c>
      <c r="S673" s="98">
        <v>6176.8709077195963</v>
      </c>
      <c r="T673" s="95">
        <v>5015.6094443809916</v>
      </c>
      <c r="U673" s="99">
        <v>3381.1519958697754</v>
      </c>
      <c r="W673" s="121"/>
      <c r="X673" s="59"/>
      <c r="Y673" s="59"/>
      <c r="Z673" s="59"/>
      <c r="AA673" s="59"/>
      <c r="AB673" s="59"/>
      <c r="AC673" s="59"/>
      <c r="AD673" s="59"/>
      <c r="AE673" s="59"/>
      <c r="AF673" s="68"/>
    </row>
    <row r="674" spans="1:32" x14ac:dyDescent="0.2">
      <c r="A674" s="95">
        <v>637</v>
      </c>
      <c r="B674" s="95">
        <v>53</v>
      </c>
      <c r="C674" s="95">
        <v>1</v>
      </c>
      <c r="D674" s="95"/>
      <c r="E674" s="95">
        <v>1.3433428419668776</v>
      </c>
      <c r="F674" s="95">
        <v>38.375521839330915</v>
      </c>
      <c r="G674" s="95">
        <v>69.87595971634552</v>
      </c>
      <c r="H674" s="95">
        <v>157.76670396707053</v>
      </c>
      <c r="I674" s="95">
        <v>906.02312611049933</v>
      </c>
      <c r="J674" s="95"/>
      <c r="K674" s="95"/>
      <c r="L674" s="95">
        <v>38.361614973539083</v>
      </c>
      <c r="M674" s="95">
        <v>176.89545505584641</v>
      </c>
      <c r="N674" s="95">
        <v>68.568195077107404</v>
      </c>
      <c r="O674" s="95">
        <v>6181.5802074674311</v>
      </c>
      <c r="P674" s="95">
        <v>2361.2098729508625</v>
      </c>
      <c r="Q674" s="95">
        <v>10000</v>
      </c>
      <c r="S674" s="98">
        <v>6181.5802074674311</v>
      </c>
      <c r="T674" s="95">
        <v>5018.5782024679875</v>
      </c>
      <c r="U674" s="99">
        <v>3383.44704770111</v>
      </c>
      <c r="W674" s="121"/>
      <c r="X674" s="59"/>
      <c r="Y674" s="59"/>
      <c r="Z674" s="59"/>
      <c r="AA674" s="59"/>
      <c r="AB674" s="59"/>
      <c r="AC674" s="59"/>
      <c r="AD674" s="59"/>
      <c r="AE674" s="59"/>
      <c r="AF674" s="68"/>
    </row>
    <row r="675" spans="1:32" x14ac:dyDescent="0.2">
      <c r="A675" s="95">
        <v>638</v>
      </c>
      <c r="B675" s="95">
        <v>53</v>
      </c>
      <c r="C675" s="95">
        <v>2</v>
      </c>
      <c r="D675" s="95"/>
      <c r="E675" s="95">
        <v>1.3229688088637133</v>
      </c>
      <c r="F675" s="95">
        <v>37.908925409048457</v>
      </c>
      <c r="G675" s="95">
        <v>69.07053195041378</v>
      </c>
      <c r="H675" s="95">
        <v>156.08581577939734</v>
      </c>
      <c r="I675" s="95">
        <v>898.63897684209439</v>
      </c>
      <c r="J675" s="95"/>
      <c r="K675" s="95"/>
      <c r="L675" s="95">
        <v>38.074788804935757</v>
      </c>
      <c r="M675" s="95">
        <v>175.50824845052992</v>
      </c>
      <c r="N675" s="95">
        <v>68.033716122908103</v>
      </c>
      <c r="O675" s="95">
        <v>6186.2529344832119</v>
      </c>
      <c r="P675" s="95">
        <v>2369.1030933485968</v>
      </c>
      <c r="Q675" s="95">
        <v>10000</v>
      </c>
      <c r="S675" s="98">
        <v>6186.2529344832119</v>
      </c>
      <c r="T675" s="95">
        <v>5021.5227776278462</v>
      </c>
      <c r="U675" s="99">
        <v>3385.7238647450722</v>
      </c>
      <c r="W675" s="121"/>
      <c r="X675" s="59"/>
      <c r="Y675" s="59"/>
      <c r="Z675" s="59"/>
      <c r="AA675" s="59"/>
      <c r="AB675" s="59"/>
      <c r="AC675" s="59"/>
      <c r="AD675" s="59"/>
      <c r="AE675" s="59"/>
      <c r="AF675" s="68"/>
    </row>
    <row r="676" spans="1:32" x14ac:dyDescent="0.2">
      <c r="A676" s="95">
        <v>639</v>
      </c>
      <c r="B676" s="95">
        <v>53</v>
      </c>
      <c r="C676" s="95">
        <v>3</v>
      </c>
      <c r="D676" s="95"/>
      <c r="E676" s="95">
        <v>1.3029037819292804</v>
      </c>
      <c r="F676" s="95">
        <v>37.447962787321771</v>
      </c>
      <c r="G676" s="95">
        <v>68.274216137825661</v>
      </c>
      <c r="H676" s="95">
        <v>154.42222671089556</v>
      </c>
      <c r="I676" s="95">
        <v>891.31118978901463</v>
      </c>
      <c r="J676" s="95"/>
      <c r="K676" s="95"/>
      <c r="L676" s="95">
        <v>37.789506991219064</v>
      </c>
      <c r="M676" s="95">
        <v>174.13135032698887</v>
      </c>
      <c r="N676" s="95">
        <v>67.503049779298948</v>
      </c>
      <c r="O676" s="95">
        <v>6190.8893454976651</v>
      </c>
      <c r="P676" s="95">
        <v>2376.9282481978412</v>
      </c>
      <c r="Q676" s="95">
        <v>10000</v>
      </c>
      <c r="S676" s="98">
        <v>6190.8893454976651</v>
      </c>
      <c r="T676" s="95">
        <v>5024.4433543025825</v>
      </c>
      <c r="U676" s="99">
        <v>3387.9825807625025</v>
      </c>
      <c r="W676" s="121"/>
      <c r="X676" s="59"/>
      <c r="Y676" s="59"/>
      <c r="Z676" s="59"/>
      <c r="AA676" s="59"/>
      <c r="AB676" s="59"/>
      <c r="AC676" s="59"/>
      <c r="AD676" s="59"/>
      <c r="AE676" s="59"/>
      <c r="AF676" s="68"/>
    </row>
    <row r="677" spans="1:32" x14ac:dyDescent="0.2">
      <c r="A677" s="95">
        <v>640</v>
      </c>
      <c r="B677" s="95">
        <v>53</v>
      </c>
      <c r="C677" s="95">
        <v>4</v>
      </c>
      <c r="D677" s="95"/>
      <c r="E677" s="95">
        <v>1.2831430745700196</v>
      </c>
      <c r="F677" s="95">
        <v>36.992566564354057</v>
      </c>
      <c r="G677" s="95">
        <v>67.486911708777711</v>
      </c>
      <c r="H677" s="95">
        <v>152.77576695271782</v>
      </c>
      <c r="I677" s="95">
        <v>884.03937794762794</v>
      </c>
      <c r="J677" s="95"/>
      <c r="K677" s="95"/>
      <c r="L677" s="95">
        <v>37.505775974450273</v>
      </c>
      <c r="M677" s="95">
        <v>172.76468641620977</v>
      </c>
      <c r="N677" s="95">
        <v>66.976172651238059</v>
      </c>
      <c r="O677" s="95">
        <v>6195.4896958113968</v>
      </c>
      <c r="P677" s="95">
        <v>2384.6859028986573</v>
      </c>
      <c r="Q677" s="95">
        <v>10000</v>
      </c>
      <c r="S677" s="98">
        <v>6195.4896958113968</v>
      </c>
      <c r="T677" s="95">
        <v>5027.3401156693972</v>
      </c>
      <c r="U677" s="99">
        <v>3390.2233286753931</v>
      </c>
      <c r="W677" s="121"/>
      <c r="X677" s="59"/>
      <c r="Y677" s="59"/>
      <c r="Z677" s="59"/>
      <c r="AA677" s="59"/>
      <c r="AB677" s="59"/>
      <c r="AC677" s="59"/>
      <c r="AD677" s="59"/>
      <c r="AE677" s="59"/>
      <c r="AF677" s="68"/>
    </row>
    <row r="678" spans="1:32" x14ac:dyDescent="0.2">
      <c r="A678" s="95">
        <v>641</v>
      </c>
      <c r="B678" s="95">
        <v>53</v>
      </c>
      <c r="C678" s="95">
        <v>5</v>
      </c>
      <c r="D678" s="95"/>
      <c r="E678" s="95">
        <v>1.2636820712723744</v>
      </c>
      <c r="F678" s="95">
        <v>36.542670127276686</v>
      </c>
      <c r="G678" s="95">
        <v>66.708519166431557</v>
      </c>
      <c r="H678" s="95">
        <v>151.14626825160209</v>
      </c>
      <c r="I678" s="95">
        <v>876.82315647835253</v>
      </c>
      <c r="J678" s="95"/>
      <c r="K678" s="95"/>
      <c r="L678" s="95">
        <v>37.223601690233728</v>
      </c>
      <c r="M678" s="95">
        <v>171.40818304509583</v>
      </c>
      <c r="N678" s="95">
        <v>66.453061467023275</v>
      </c>
      <c r="O678" s="95">
        <v>6200.0542392970674</v>
      </c>
      <c r="P678" s="95">
        <v>2392.3766184056449</v>
      </c>
      <c r="Q678" s="95">
        <v>10000</v>
      </c>
      <c r="S678" s="98">
        <v>6200.0542392970674</v>
      </c>
      <c r="T678" s="95">
        <v>5030.2132436477268</v>
      </c>
      <c r="U678" s="99">
        <v>3392.4462405698791</v>
      </c>
      <c r="W678" s="121"/>
      <c r="X678" s="59"/>
      <c r="Y678" s="59"/>
      <c r="Z678" s="59"/>
      <c r="AA678" s="59"/>
      <c r="AB678" s="59"/>
      <c r="AC678" s="59"/>
      <c r="AD678" s="59"/>
      <c r="AE678" s="59"/>
      <c r="AF678" s="68"/>
    </row>
    <row r="679" spans="1:32" x14ac:dyDescent="0.2">
      <c r="A679" s="95">
        <v>642</v>
      </c>
      <c r="B679" s="95">
        <v>53</v>
      </c>
      <c r="C679" s="95">
        <v>6</v>
      </c>
      <c r="D679" s="95"/>
      <c r="E679" s="95">
        <v>1.2445162265247434</v>
      </c>
      <c r="F679" s="95">
        <v>36.098207650880632</v>
      </c>
      <c r="G679" s="95">
        <v>65.938940076017275</v>
      </c>
      <c r="H679" s="95">
        <v>149.53356389713807</v>
      </c>
      <c r="I679" s="95">
        <v>869.66214269941418</v>
      </c>
      <c r="J679" s="95"/>
      <c r="K679" s="95"/>
      <c r="L679" s="95">
        <v>36.942989583071927</v>
      </c>
      <c r="M679" s="95">
        <v>170.06176712927294</v>
      </c>
      <c r="N679" s="95">
        <v>65.933693076266934</v>
      </c>
      <c r="O679" s="95">
        <v>6204.5832284016587</v>
      </c>
      <c r="P679" s="95">
        <v>2400.0009512597549</v>
      </c>
      <c r="Q679" s="95">
        <v>10000</v>
      </c>
      <c r="S679" s="98">
        <v>6204.5832284016587</v>
      </c>
      <c r="T679" s="95">
        <v>5033.0629189062811</v>
      </c>
      <c r="U679" s="99">
        <v>3394.6514476992706</v>
      </c>
      <c r="W679" s="121"/>
      <c r="X679" s="59"/>
      <c r="Y679" s="59"/>
      <c r="Z679" s="59"/>
      <c r="AA679" s="59"/>
      <c r="AB679" s="59"/>
      <c r="AC679" s="59"/>
      <c r="AD679" s="59"/>
      <c r="AE679" s="59"/>
      <c r="AF679" s="68"/>
    </row>
    <row r="680" spans="1:32" x14ac:dyDescent="0.2">
      <c r="A680" s="95">
        <v>643</v>
      </c>
      <c r="B680" s="95">
        <v>53</v>
      </c>
      <c r="C680" s="95">
        <v>7</v>
      </c>
      <c r="D680" s="95"/>
      <c r="E680" s="95">
        <v>1.2256410637557849</v>
      </c>
      <c r="F680" s="95">
        <v>35.659114088453236</v>
      </c>
      <c r="G680" s="95">
        <v>65.178077054039079</v>
      </c>
      <c r="H680" s="95">
        <v>147.93748870911639</v>
      </c>
      <c r="I680" s="95">
        <v>862.55595608054227</v>
      </c>
      <c r="J680" s="95"/>
      <c r="K680" s="95"/>
      <c r="L680" s="95">
        <v>36.663944621309213</v>
      </c>
      <c r="M680" s="95">
        <v>168.72536616603045</v>
      </c>
      <c r="N680" s="95">
        <v>65.4180444479926</v>
      </c>
      <c r="O680" s="95">
        <v>6209.076914148839</v>
      </c>
      <c r="P680" s="95">
        <v>2407.5594536199224</v>
      </c>
      <c r="Q680" s="95">
        <v>10000</v>
      </c>
      <c r="S680" s="98">
        <v>6209.076914148839</v>
      </c>
      <c r="T680" s="95">
        <v>5035.8893208700538</v>
      </c>
      <c r="U680" s="99">
        <v>3396.8390804871233</v>
      </c>
      <c r="W680" s="121"/>
      <c r="X680" s="59"/>
      <c r="Y680" s="59"/>
      <c r="Z680" s="59"/>
      <c r="AA680" s="59"/>
      <c r="AB680" s="59"/>
      <c r="AC680" s="59"/>
      <c r="AD680" s="59"/>
      <c r="AE680" s="59"/>
      <c r="AF680" s="68"/>
    </row>
    <row r="681" spans="1:32" x14ac:dyDescent="0.2">
      <c r="A681" s="95">
        <v>644</v>
      </c>
      <c r="B681" s="95">
        <v>53</v>
      </c>
      <c r="C681" s="95">
        <v>8</v>
      </c>
      <c r="D681" s="95"/>
      <c r="E681" s="95">
        <v>1.2070521742888221</v>
      </c>
      <c r="F681" s="95">
        <v>35.225325162719187</v>
      </c>
      <c r="G681" s="95">
        <v>64.425833757582524</v>
      </c>
      <c r="H681" s="95">
        <v>146.35787902496094</v>
      </c>
      <c r="I681" s="95">
        <v>855.50421823660508</v>
      </c>
      <c r="J681" s="95"/>
      <c r="K681" s="95"/>
      <c r="L681" s="95">
        <v>36.386471311674924</v>
      </c>
      <c r="M681" s="95">
        <v>167.39890822739403</v>
      </c>
      <c r="N681" s="95">
        <v>64.906092668847123</v>
      </c>
      <c r="O681" s="95">
        <v>6213.5355461414192</v>
      </c>
      <c r="P681" s="95">
        <v>2415.0526732945082</v>
      </c>
      <c r="Q681" s="95">
        <v>10000</v>
      </c>
      <c r="S681" s="98">
        <v>6213.5355461414192</v>
      </c>
      <c r="T681" s="95">
        <v>5038.692627727316</v>
      </c>
      <c r="U681" s="99">
        <v>3399.0092685303457</v>
      </c>
      <c r="W681" s="121"/>
      <c r="X681" s="59"/>
      <c r="Y681" s="59"/>
      <c r="Z681" s="59"/>
      <c r="AA681" s="59"/>
      <c r="AB681" s="59"/>
      <c r="AC681" s="59"/>
      <c r="AD681" s="59"/>
      <c r="AE681" s="59"/>
      <c r="AF681" s="68"/>
    </row>
    <row r="682" spans="1:32" x14ac:dyDescent="0.2">
      <c r="A682" s="95">
        <v>645</v>
      </c>
      <c r="B682" s="95">
        <v>53</v>
      </c>
      <c r="C682" s="95">
        <v>9</v>
      </c>
      <c r="D682" s="95"/>
      <c r="E682" s="95">
        <v>1.1887452163121082</v>
      </c>
      <c r="F682" s="95">
        <v>34.796777356884512</v>
      </c>
      <c r="G682" s="95">
        <v>63.682114873722391</v>
      </c>
      <c r="H682" s="95">
        <v>144.7945726872436</v>
      </c>
      <c r="I682" s="95">
        <v>848.50655292118643</v>
      </c>
      <c r="J682" s="95"/>
      <c r="K682" s="95"/>
      <c r="L682" s="95">
        <v>36.110573713436395</v>
      </c>
      <c r="M682" s="95">
        <v>166.08232195332744</v>
      </c>
      <c r="N682" s="95">
        <v>64.397814941421814</v>
      </c>
      <c r="O682" s="95">
        <v>6217.9593725639015</v>
      </c>
      <c r="P682" s="95">
        <v>2422.4811537725636</v>
      </c>
      <c r="Q682" s="95">
        <v>10000</v>
      </c>
      <c r="S682" s="98">
        <v>6217.9593725639015</v>
      </c>
      <c r="T682" s="95">
        <v>5041.4730164365847</v>
      </c>
      <c r="U682" s="99">
        <v>3401.1621406023432</v>
      </c>
      <c r="W682" s="121"/>
      <c r="X682" s="59"/>
      <c r="Y682" s="59"/>
      <c r="Z682" s="59"/>
      <c r="AA682" s="59"/>
      <c r="AB682" s="59"/>
      <c r="AC682" s="59"/>
      <c r="AD682" s="59"/>
      <c r="AE682" s="59"/>
      <c r="AF682" s="68"/>
    </row>
    <row r="683" spans="1:32" x14ac:dyDescent="0.2">
      <c r="A683" s="95">
        <v>646</v>
      </c>
      <c r="B683" s="95">
        <v>53</v>
      </c>
      <c r="C683" s="95">
        <v>10</v>
      </c>
      <c r="D683" s="95"/>
      <c r="E683" s="95">
        <v>1.1707159138647079</v>
      </c>
      <c r="F683" s="95">
        <v>34.3734079057825</v>
      </c>
      <c r="G683" s="95">
        <v>62.946826109030432</v>
      </c>
      <c r="H683" s="95">
        <v>143.24740903128156</v>
      </c>
      <c r="I683" s="95">
        <v>841.56258602010473</v>
      </c>
      <c r="J683" s="95"/>
      <c r="K683" s="95"/>
      <c r="L683" s="95">
        <v>35.83625545217209</v>
      </c>
      <c r="M683" s="95">
        <v>164.77553654506079</v>
      </c>
      <c r="N683" s="95">
        <v>63.893188582676565</v>
      </c>
      <c r="O683" s="95">
        <v>6222.3486401851187</v>
      </c>
      <c r="P683" s="95">
        <v>2429.845434254908</v>
      </c>
      <c r="Q683" s="95">
        <v>10000</v>
      </c>
      <c r="S683" s="98">
        <v>6222.3486401851187</v>
      </c>
      <c r="T683" s="95">
        <v>5044.2306627335784</v>
      </c>
      <c r="U683" s="99">
        <v>3403.2978246561961</v>
      </c>
      <c r="W683" s="121"/>
      <c r="X683" s="59"/>
      <c r="Y683" s="59"/>
      <c r="Z683" s="59"/>
      <c r="AA683" s="59"/>
      <c r="AB683" s="59"/>
      <c r="AC683" s="59"/>
      <c r="AD683" s="59"/>
      <c r="AE683" s="59"/>
      <c r="AF683" s="68"/>
    </row>
    <row r="684" spans="1:32" x14ac:dyDescent="0.2">
      <c r="A684" s="95">
        <v>647</v>
      </c>
      <c r="B684" s="95">
        <v>53</v>
      </c>
      <c r="C684" s="95">
        <v>11</v>
      </c>
      <c r="D684" s="95"/>
      <c r="E684" s="95">
        <v>1.1529600558377597</v>
      </c>
      <c r="F684" s="95">
        <v>33.955154787120399</v>
      </c>
      <c r="G684" s="95">
        <v>62.21987417918217</v>
      </c>
      <c r="H684" s="95">
        <v>141.71622887281671</v>
      </c>
      <c r="I684" s="95">
        <v>834.67194554487605</v>
      </c>
      <c r="J684" s="95"/>
      <c r="K684" s="95"/>
      <c r="L684" s="95">
        <v>35.563519733174857</v>
      </c>
      <c r="M684" s="95">
        <v>163.47848175854219</v>
      </c>
      <c r="N684" s="95">
        <v>63.392191022461269</v>
      </c>
      <c r="O684" s="95">
        <v>6226.7035943609644</v>
      </c>
      <c r="P684" s="95">
        <v>2437.1460496850245</v>
      </c>
      <c r="Q684" s="95">
        <v>10000</v>
      </c>
      <c r="S684" s="98">
        <v>6226.7035943609644</v>
      </c>
      <c r="T684" s="95">
        <v>5046.965741138144</v>
      </c>
      <c r="U684" s="99">
        <v>3405.4164478278703</v>
      </c>
      <c r="W684" s="121"/>
      <c r="X684" s="59"/>
      <c r="Y684" s="59"/>
      <c r="Z684" s="59"/>
      <c r="AA684" s="59"/>
      <c r="AB684" s="59"/>
      <c r="AC684" s="59"/>
      <c r="AD684" s="59"/>
      <c r="AE684" s="59"/>
      <c r="AF684" s="68"/>
    </row>
    <row r="685" spans="1:32" x14ac:dyDescent="0.2">
      <c r="A685" s="95">
        <v>648</v>
      </c>
      <c r="B685" s="95">
        <v>54</v>
      </c>
      <c r="C685" s="95">
        <v>0</v>
      </c>
      <c r="D685" s="95"/>
      <c r="E685" s="95">
        <v>1.1354734949908871</v>
      </c>
      <c r="F685" s="95">
        <v>33.541956712825815</v>
      </c>
      <c r="G685" s="95">
        <v>61.501166798661885</v>
      </c>
      <c r="H685" s="95">
        <v>140.20087449577687</v>
      </c>
      <c r="I685" s="95">
        <v>827.83426162612204</v>
      </c>
      <c r="J685" s="95"/>
      <c r="K685" s="95"/>
      <c r="L685" s="95">
        <v>35.292369354494866</v>
      </c>
      <c r="M685" s="95">
        <v>162.1910878980103</v>
      </c>
      <c r="N685" s="95">
        <v>62.894799802129107</v>
      </c>
      <c r="O685" s="95">
        <v>6231.0244790372135</v>
      </c>
      <c r="P685" s="95">
        <v>2444.3835307797754</v>
      </c>
      <c r="Q685" s="95">
        <v>10000</v>
      </c>
      <c r="S685" s="98">
        <v>6231.0244790372135</v>
      </c>
      <c r="T685" s="95">
        <v>5049.6784249611646</v>
      </c>
      <c r="U685" s="99">
        <v>3407.5181364394589</v>
      </c>
      <c r="W685" s="121"/>
      <c r="X685" s="59"/>
      <c r="Y685" s="59"/>
      <c r="Z685" s="59"/>
      <c r="AA685" s="59"/>
      <c r="AB685" s="59"/>
      <c r="AC685" s="59"/>
      <c r="AD685" s="59"/>
      <c r="AE685" s="59"/>
      <c r="AF685" s="68"/>
    </row>
    <row r="686" spans="1:32" x14ac:dyDescent="0.2">
      <c r="A686" s="95">
        <v>649</v>
      </c>
      <c r="B686" s="95">
        <v>54</v>
      </c>
      <c r="C686" s="95">
        <v>1</v>
      </c>
      <c r="D686" s="95"/>
      <c r="E686" s="95">
        <v>1.1182521469835254</v>
      </c>
      <c r="F686" s="95">
        <v>33.133753120491654</v>
      </c>
      <c r="G686" s="95">
        <v>60.790612670565032</v>
      </c>
      <c r="H686" s="95">
        <v>138.70118964011886</v>
      </c>
      <c r="I686" s="95">
        <v>821.04916650692439</v>
      </c>
      <c r="J686" s="95"/>
      <c r="K686" s="95"/>
      <c r="L686" s="95">
        <v>35.022806719631816</v>
      </c>
      <c r="M686" s="95">
        <v>160.91328580968505</v>
      </c>
      <c r="N686" s="95">
        <v>62.400992573236486</v>
      </c>
      <c r="O686" s="95">
        <v>6235.3115367524306</v>
      </c>
      <c r="P686" s="95">
        <v>2451.5584040599333</v>
      </c>
      <c r="Q686" s="95">
        <v>10000</v>
      </c>
      <c r="S686" s="98">
        <v>6235.3115367524306</v>
      </c>
      <c r="T686" s="95">
        <v>5052.3688863114494</v>
      </c>
      <c r="U686" s="99">
        <v>3409.6030160024534</v>
      </c>
      <c r="W686" s="121"/>
      <c r="X686" s="59"/>
      <c r="Y686" s="59"/>
      <c r="Z686" s="59"/>
      <c r="AA686" s="59"/>
      <c r="AB686" s="59"/>
      <c r="AC686" s="59"/>
      <c r="AD686" s="59"/>
      <c r="AE686" s="59"/>
      <c r="AF686" s="68"/>
    </row>
    <row r="687" spans="1:32" x14ac:dyDescent="0.2">
      <c r="A687" s="95">
        <v>650</v>
      </c>
      <c r="B687" s="95">
        <v>54</v>
      </c>
      <c r="C687" s="95">
        <v>2</v>
      </c>
      <c r="D687" s="95"/>
      <c r="E687" s="95">
        <v>1.1012919894209419</v>
      </c>
      <c r="F687" s="95">
        <v>32.7304841649186</v>
      </c>
      <c r="G687" s="95">
        <v>60.088121476497307</v>
      </c>
      <c r="H687" s="95">
        <v>137.21701948975272</v>
      </c>
      <c r="I687" s="95">
        <v>814.31629453612743</v>
      </c>
      <c r="J687" s="95"/>
      <c r="K687" s="95"/>
      <c r="L687" s="95">
        <v>34.754833849885486</v>
      </c>
      <c r="M687" s="95">
        <v>159.64500687557415</v>
      </c>
      <c r="N687" s="95">
        <v>61.910747096324663</v>
      </c>
      <c r="O687" s="95">
        <v>6239.565008640966</v>
      </c>
      <c r="P687" s="95">
        <v>2458.6711918805331</v>
      </c>
      <c r="Q687" s="95">
        <v>10000</v>
      </c>
      <c r="S687" s="98">
        <v>6239.565008640966</v>
      </c>
      <c r="T687" s="95">
        <v>5055.0372961025969</v>
      </c>
      <c r="U687" s="99">
        <v>3411.6712112210444</v>
      </c>
      <c r="W687" s="121"/>
      <c r="X687" s="59"/>
      <c r="Y687" s="59"/>
      <c r="Z687" s="59"/>
      <c r="AA687" s="59"/>
      <c r="AB687" s="59"/>
      <c r="AC687" s="59"/>
      <c r="AD687" s="59"/>
      <c r="AE687" s="59"/>
      <c r="AF687" s="68"/>
    </row>
    <row r="688" spans="1:32" x14ac:dyDescent="0.2">
      <c r="A688" s="95">
        <v>651</v>
      </c>
      <c r="B688" s="95">
        <v>54</v>
      </c>
      <c r="C688" s="95">
        <v>3</v>
      </c>
      <c r="D688" s="95"/>
      <c r="E688" s="95">
        <v>1.0845890609147242</v>
      </c>
      <c r="F688" s="95">
        <v>32.33209070975397</v>
      </c>
      <c r="G688" s="95">
        <v>59.393603866569478</v>
      </c>
      <c r="H688" s="95">
        <v>135.74821066054724</v>
      </c>
      <c r="I688" s="95">
        <v>807.63528216158977</v>
      </c>
      <c r="J688" s="95"/>
      <c r="K688" s="95"/>
      <c r="L688" s="95">
        <v>34.488452396373688</v>
      </c>
      <c r="M688" s="95">
        <v>158.38618300739256</v>
      </c>
      <c r="N688" s="95">
        <v>61.42404123977844</v>
      </c>
      <c r="O688" s="95">
        <v>6243.7851344360388</v>
      </c>
      <c r="P688" s="95">
        <v>2465.7224124610416</v>
      </c>
      <c r="Q688" s="95">
        <v>10000</v>
      </c>
      <c r="S688" s="98">
        <v>6243.7851344360388</v>
      </c>
      <c r="T688" s="95">
        <v>5057.683824059839</v>
      </c>
      <c r="U688" s="99">
        <v>3413.7228459954476</v>
      </c>
      <c r="W688" s="121"/>
      <c r="X688" s="59"/>
      <c r="Y688" s="59"/>
      <c r="Z688" s="59"/>
      <c r="AA688" s="59"/>
      <c r="AB688" s="59"/>
      <c r="AC688" s="59"/>
      <c r="AD688" s="59"/>
      <c r="AE688" s="59"/>
      <c r="AF688" s="68"/>
    </row>
    <row r="689" spans="1:32" x14ac:dyDescent="0.2">
      <c r="A689" s="95">
        <v>652</v>
      </c>
      <c r="B689" s="95">
        <v>54</v>
      </c>
      <c r="C689" s="95">
        <v>4</v>
      </c>
      <c r="D689" s="95"/>
      <c r="E689" s="95">
        <v>1.0681394601575176</v>
      </c>
      <c r="F689" s="95">
        <v>31.938514319225963</v>
      </c>
      <c r="G689" s="95">
        <v>58.706971449487291</v>
      </c>
      <c r="H689" s="95">
        <v>134.29461118841635</v>
      </c>
      <c r="I689" s="95">
        <v>801.00576792338609</v>
      </c>
      <c r="J689" s="95"/>
      <c r="K689" s="95"/>
      <c r="L689" s="95">
        <v>34.223663651726248</v>
      </c>
      <c r="M689" s="95">
        <v>157.13674664059275</v>
      </c>
      <c r="N689" s="95">
        <v>60.940852978757384</v>
      </c>
      <c r="O689" s="95">
        <v>6247.9721524729011</v>
      </c>
      <c r="P689" s="95">
        <v>2472.7125799153491</v>
      </c>
      <c r="Q689" s="95">
        <v>10000</v>
      </c>
      <c r="S689" s="98">
        <v>6247.9721524729011</v>
      </c>
      <c r="T689" s="95">
        <v>5060.308638726864</v>
      </c>
      <c r="U689" s="99">
        <v>3415.7580434252577</v>
      </c>
      <c r="W689" s="121"/>
      <c r="X689" s="59"/>
      <c r="Y689" s="59"/>
      <c r="Z689" s="59"/>
      <c r="AA689" s="59"/>
      <c r="AB689" s="59"/>
      <c r="AC689" s="59"/>
      <c r="AD689" s="59"/>
      <c r="AE689" s="59"/>
      <c r="AF689" s="68"/>
    </row>
    <row r="690" spans="1:32" x14ac:dyDescent="0.2">
      <c r="A690" s="95">
        <v>653</v>
      </c>
      <c r="B690" s="95">
        <v>54</v>
      </c>
      <c r="C690" s="95">
        <v>5</v>
      </c>
      <c r="D690" s="95"/>
      <c r="E690" s="95">
        <v>1.0519393450117953</v>
      </c>
      <c r="F690" s="95">
        <v>31.549697249972173</v>
      </c>
      <c r="G690" s="95">
        <v>58.028136782735544</v>
      </c>
      <c r="H690" s="95">
        <v>132.85607051748596</v>
      </c>
      <c r="I690" s="95">
        <v>794.42739244696077</v>
      </c>
      <c r="J690" s="95"/>
      <c r="K690" s="95"/>
      <c r="L690" s="95">
        <v>33.960468561463529</v>
      </c>
      <c r="M690" s="95">
        <v>155.89663072850323</v>
      </c>
      <c r="N690" s="95">
        <v>60.461160394195424</v>
      </c>
      <c r="O690" s="95">
        <v>6252.1262996920923</v>
      </c>
      <c r="P690" s="95">
        <v>2479.6422042815793</v>
      </c>
      <c r="Q690" s="95">
        <v>10000</v>
      </c>
      <c r="S690" s="98">
        <v>6252.1262996920923</v>
      </c>
      <c r="T690" s="95">
        <v>5062.911907472615</v>
      </c>
      <c r="U690" s="99">
        <v>3417.7769258128246</v>
      </c>
      <c r="W690" s="121"/>
      <c r="X690" s="59"/>
      <c r="Y690" s="59"/>
      <c r="Z690" s="59"/>
      <c r="AA690" s="59"/>
      <c r="AB690" s="59"/>
      <c r="AC690" s="59"/>
      <c r="AD690" s="59"/>
      <c r="AE690" s="59"/>
      <c r="AF690" s="68"/>
    </row>
    <row r="691" spans="1:32" x14ac:dyDescent="0.2">
      <c r="A691" s="95">
        <v>654</v>
      </c>
      <c r="B691" s="95">
        <v>54</v>
      </c>
      <c r="C691" s="95">
        <v>6</v>
      </c>
      <c r="D691" s="95"/>
      <c r="E691" s="95">
        <v>1.0359849316124496</v>
      </c>
      <c r="F691" s="95">
        <v>31.165582442961387</v>
      </c>
      <c r="G691" s="95">
        <v>57.357013362855675</v>
      </c>
      <c r="H691" s="95">
        <v>131.43243948834123</v>
      </c>
      <c r="I691" s="95">
        <v>787.89979843623473</v>
      </c>
      <c r="J691" s="95"/>
      <c r="K691" s="95"/>
      <c r="L691" s="95">
        <v>33.6988677350678</v>
      </c>
      <c r="M691" s="95">
        <v>154.66576873657289</v>
      </c>
      <c r="N691" s="95">
        <v>59.984941671864675</v>
      </c>
      <c r="O691" s="95">
        <v>6256.2478116427674</v>
      </c>
      <c r="P691" s="95">
        <v>2486.5117915517221</v>
      </c>
      <c r="Q691" s="95">
        <v>10000</v>
      </c>
      <c r="S691" s="98">
        <v>6256.2478116427674</v>
      </c>
      <c r="T691" s="95">
        <v>5065.4937964980672</v>
      </c>
      <c r="U691" s="99">
        <v>3419.779614666656</v>
      </c>
      <c r="W691" s="121"/>
      <c r="X691" s="59"/>
      <c r="Y691" s="59"/>
      <c r="Z691" s="59"/>
      <c r="AA691" s="59"/>
      <c r="AB691" s="59"/>
      <c r="AC691" s="59"/>
      <c r="AD691" s="59"/>
      <c r="AE691" s="59"/>
      <c r="AF691" s="68"/>
    </row>
    <row r="692" spans="1:32" x14ac:dyDescent="0.2">
      <c r="A692" s="95">
        <v>655</v>
      </c>
      <c r="B692" s="95">
        <v>54</v>
      </c>
      <c r="C692" s="95">
        <v>7</v>
      </c>
      <c r="D692" s="95"/>
      <c r="E692" s="95">
        <v>1.0202724934829941</v>
      </c>
      <c r="F692" s="95">
        <v>30.786113515507591</v>
      </c>
      <c r="G692" s="95">
        <v>56.693515615815961</v>
      </c>
      <c r="H692" s="95">
        <v>130.02357032635396</v>
      </c>
      <c r="I692" s="95">
        <v>781.42263066666567</v>
      </c>
      <c r="J692" s="95"/>
      <c r="K692" s="95"/>
      <c r="L692" s="95">
        <v>33.438861456755461</v>
      </c>
      <c r="M692" s="95">
        <v>153.44409463671909</v>
      </c>
      <c r="N692" s="95">
        <v>59.512175101499793</v>
      </c>
      <c r="O692" s="95">
        <v>6260.3369224861144</v>
      </c>
      <c r="P692" s="95">
        <v>2493.3218437010855</v>
      </c>
      <c r="Q692" s="95">
        <v>10000</v>
      </c>
      <c r="S692" s="98">
        <v>6260.3369224861144</v>
      </c>
      <c r="T692" s="95">
        <v>5068.0544708429852</v>
      </c>
      <c r="U692" s="99">
        <v>3421.7662307048377</v>
      </c>
      <c r="W692" s="121"/>
      <c r="X692" s="59"/>
      <c r="Y692" s="59"/>
      <c r="Z692" s="59"/>
      <c r="AA692" s="59"/>
      <c r="AB692" s="59"/>
      <c r="AC692" s="59"/>
      <c r="AD692" s="59"/>
      <c r="AE692" s="59"/>
      <c r="AF692" s="68"/>
    </row>
    <row r="693" spans="1:32" x14ac:dyDescent="0.2">
      <c r="A693" s="95">
        <v>656</v>
      </c>
      <c r="B693" s="95">
        <v>54</v>
      </c>
      <c r="C693" s="95">
        <v>8</v>
      </c>
      <c r="D693" s="95"/>
      <c r="E693" s="95">
        <v>1.0047983606651687</v>
      </c>
      <c r="F693" s="95">
        <v>30.411234753375204</v>
      </c>
      <c r="G693" s="95">
        <v>56.037558887473644</v>
      </c>
      <c r="H693" s="95">
        <v>128.62931663008962</v>
      </c>
      <c r="I693" s="95">
        <v>774.99553597826491</v>
      </c>
      <c r="J693" s="95"/>
      <c r="K693" s="95"/>
      <c r="L693" s="95">
        <v>33.180449695957982</v>
      </c>
      <c r="M693" s="95">
        <v>152.23154290177703</v>
      </c>
      <c r="N693" s="95">
        <v>59.042839075979103</v>
      </c>
      <c r="O693" s="95">
        <v>6264.3938649988459</v>
      </c>
      <c r="P693" s="95">
        <v>2500.0728587175718</v>
      </c>
      <c r="Q693" s="95">
        <v>10000</v>
      </c>
      <c r="S693" s="98">
        <v>6264.3938649988459</v>
      </c>
      <c r="T693" s="95">
        <v>5070.5940943926516</v>
      </c>
      <c r="U693" s="99">
        <v>3423.7368938584787</v>
      </c>
      <c r="W693" s="121"/>
      <c r="X693" s="59"/>
      <c r="Y693" s="59"/>
      <c r="Z693" s="59"/>
      <c r="AA693" s="59"/>
      <c r="AB693" s="59"/>
      <c r="AC693" s="59"/>
      <c r="AD693" s="59"/>
      <c r="AE693" s="59"/>
      <c r="AF693" s="68"/>
    </row>
    <row r="694" spans="1:32" x14ac:dyDescent="0.2">
      <c r="A694" s="95">
        <v>657</v>
      </c>
      <c r="B694" s="95">
        <v>54</v>
      </c>
      <c r="C694" s="95">
        <v>9</v>
      </c>
      <c r="D694" s="95"/>
      <c r="E694" s="95">
        <v>0.98955891886174696</v>
      </c>
      <c r="F694" s="95">
        <v>30.040891102974498</v>
      </c>
      <c r="G694" s="95">
        <v>55.389059434128164</v>
      </c>
      <c r="H694" s="95">
        <v>127.24953335979383</v>
      </c>
      <c r="I694" s="95">
        <v>768.61816326856956</v>
      </c>
      <c r="J694" s="95"/>
      <c r="K694" s="95"/>
      <c r="L694" s="95">
        <v>32.923632117519205</v>
      </c>
      <c r="M694" s="95">
        <v>151.02804850004833</v>
      </c>
      <c r="N694" s="95">
        <v>58.576912090559098</v>
      </c>
      <c r="O694" s="95">
        <v>6268.418870576771</v>
      </c>
      <c r="P694" s="95">
        <v>2506.7653306307743</v>
      </c>
      <c r="Q694" s="95">
        <v>10000</v>
      </c>
      <c r="S694" s="98">
        <v>6268.418870576771</v>
      </c>
      <c r="T694" s="95">
        <v>5073.1128298845806</v>
      </c>
      <c r="U694" s="99">
        <v>3425.6917232751739</v>
      </c>
      <c r="W694" s="121"/>
      <c r="X694" s="59"/>
      <c r="Y694" s="59"/>
      <c r="Z694" s="59"/>
      <c r="AA694" s="59"/>
      <c r="AB694" s="59"/>
      <c r="AC694" s="59"/>
      <c r="AD694" s="59"/>
      <c r="AE694" s="59"/>
      <c r="AF694" s="68"/>
    </row>
    <row r="695" spans="1:32" x14ac:dyDescent="0.2">
      <c r="A695" s="95">
        <v>658</v>
      </c>
      <c r="B695" s="95">
        <v>54</v>
      </c>
      <c r="C695" s="95">
        <v>10</v>
      </c>
      <c r="D695" s="95"/>
      <c r="E695" s="95">
        <v>0.97455060859234377</v>
      </c>
      <c r="F695" s="95">
        <v>29.675028163646218</v>
      </c>
      <c r="G695" s="95">
        <v>54.747934413164757</v>
      </c>
      <c r="H695" s="95">
        <v>125.88407682595822</v>
      </c>
      <c r="I695" s="95">
        <v>762.29016348557332</v>
      </c>
      <c r="J695" s="95"/>
      <c r="K695" s="95"/>
      <c r="L695" s="95">
        <v>32.668408091616385</v>
      </c>
      <c r="M695" s="95">
        <v>149.83354688994646</v>
      </c>
      <c r="N695" s="95">
        <v>58.114372742159055</v>
      </c>
      <c r="O695" s="95">
        <v>6272.4121692384433</v>
      </c>
      <c r="P695" s="95">
        <v>2513.3997495409003</v>
      </c>
      <c r="Q695" s="95">
        <v>10000</v>
      </c>
      <c r="S695" s="98">
        <v>6272.4121692384433</v>
      </c>
      <c r="T695" s="95">
        <v>5075.6108389152032</v>
      </c>
      <c r="U695" s="99">
        <v>3427.630837322487</v>
      </c>
      <c r="W695" s="121"/>
      <c r="X695" s="59"/>
      <c r="Y695" s="59"/>
      <c r="Z695" s="59"/>
      <c r="AA695" s="59"/>
      <c r="AB695" s="59"/>
      <c r="AC695" s="59"/>
      <c r="AD695" s="59"/>
      <c r="AE695" s="59"/>
      <c r="AF695" s="68"/>
    </row>
    <row r="696" spans="1:32" x14ac:dyDescent="0.2">
      <c r="A696" s="95">
        <v>659</v>
      </c>
      <c r="B696" s="95">
        <v>54</v>
      </c>
      <c r="C696" s="95">
        <v>11</v>
      </c>
      <c r="D696" s="95"/>
      <c r="E696" s="95">
        <v>0.95976992436202657</v>
      </c>
      <c r="F696" s="95">
        <v>29.313592180034416</v>
      </c>
      <c r="G696" s="95">
        <v>54.114101873787625</v>
      </c>
      <c r="H696" s="95">
        <v>124.53280467796499</v>
      </c>
      <c r="I696" s="95">
        <v>756.01118962061616</v>
      </c>
      <c r="J696" s="95"/>
      <c r="K696" s="95"/>
      <c r="L696" s="95">
        <v>32.414776703412315</v>
      </c>
      <c r="M696" s="95">
        <v>148.64797401473731</v>
      </c>
      <c r="N696" s="95">
        <v>57.655199728692558</v>
      </c>
      <c r="O696" s="95">
        <v>6276.3739896288807</v>
      </c>
      <c r="P696" s="95">
        <v>2519.9766016475123</v>
      </c>
      <c r="Q696" s="95">
        <v>10000</v>
      </c>
      <c r="S696" s="98">
        <v>6276.3739896288807</v>
      </c>
      <c r="T696" s="95">
        <v>5078.0882819465314</v>
      </c>
      <c r="U696" s="99">
        <v>3429.5543535914489</v>
      </c>
      <c r="W696" s="121"/>
      <c r="X696" s="59"/>
      <c r="Y696" s="59"/>
      <c r="Z696" s="59"/>
      <c r="AA696" s="59"/>
      <c r="AB696" s="59"/>
      <c r="AC696" s="59"/>
      <c r="AD696" s="59"/>
      <c r="AE696" s="59"/>
      <c r="AF696" s="68"/>
    </row>
    <row r="697" spans="1:32" x14ac:dyDescent="0.2">
      <c r="A697" s="95">
        <v>660</v>
      </c>
      <c r="B697" s="95">
        <v>55</v>
      </c>
      <c r="C697" s="95">
        <v>0</v>
      </c>
      <c r="D697" s="95"/>
      <c r="E697" s="95">
        <v>0.94521341384253588</v>
      </c>
      <c r="F697" s="95">
        <v>28.956530034546514</v>
      </c>
      <c r="G697" s="95">
        <v>53.487480747841978</v>
      </c>
      <c r="H697" s="95">
        <v>123.19557589281023</v>
      </c>
      <c r="I697" s="95">
        <v>749.78089670123381</v>
      </c>
      <c r="J697" s="95"/>
      <c r="K697" s="95"/>
      <c r="L697" s="95">
        <v>32.162736762445462</v>
      </c>
      <c r="M697" s="95">
        <v>147.47126629737238</v>
      </c>
      <c r="N697" s="95">
        <v>57.199371848443064</v>
      </c>
      <c r="O697" s="95">
        <v>6280.304559023366</v>
      </c>
      <c r="P697" s="95">
        <v>2526.4963692780984</v>
      </c>
      <c r="Q697" s="95">
        <v>10000</v>
      </c>
      <c r="S697" s="98">
        <v>6280.304559023366</v>
      </c>
      <c r="T697" s="95">
        <v>5080.5453183127984</v>
      </c>
      <c r="U697" s="99">
        <v>3431.4623889000759</v>
      </c>
      <c r="W697" s="121"/>
      <c r="X697" s="59"/>
      <c r="Y697" s="59"/>
      <c r="Z697" s="59"/>
      <c r="AA697" s="59"/>
      <c r="AB697" s="59"/>
      <c r="AC697" s="59"/>
      <c r="AD697" s="59"/>
      <c r="AE697" s="59"/>
      <c r="AF697" s="68"/>
    </row>
    <row r="698" spans="1:32" x14ac:dyDescent="0.2">
      <c r="A698" s="95">
        <v>661</v>
      </c>
      <c r="B698" s="95">
        <v>55</v>
      </c>
      <c r="C698" s="95">
        <v>1</v>
      </c>
      <c r="D698" s="95"/>
      <c r="E698" s="95">
        <v>660.88751879211691</v>
      </c>
      <c r="F698" s="95">
        <v>1416.1875402688192</v>
      </c>
      <c r="G698" s="95">
        <v>896.91877550358549</v>
      </c>
      <c r="H698" s="95">
        <v>1.6777976892520929</v>
      </c>
      <c r="I698" s="95">
        <v>136.93773953755061</v>
      </c>
      <c r="J698" s="95"/>
      <c r="K698" s="95"/>
      <c r="L698" s="95">
        <v>5.9413317072399279</v>
      </c>
      <c r="M698" s="95">
        <v>32.049854819690452</v>
      </c>
      <c r="N698" s="95">
        <v>11.951276242586685</v>
      </c>
      <c r="O698" s="95">
        <v>2979.2151389096025</v>
      </c>
      <c r="P698" s="95">
        <v>3858.2330265295609</v>
      </c>
      <c r="Q698" s="95">
        <v>10000.000000000005</v>
      </c>
      <c r="S698" s="98"/>
      <c r="T698" s="95"/>
      <c r="U698" s="99"/>
      <c r="W698" s="121"/>
      <c r="X698" s="59"/>
      <c r="Y698" s="59"/>
      <c r="Z698" s="59"/>
      <c r="AA698" s="59"/>
      <c r="AB698" s="59"/>
      <c r="AC698" s="59"/>
      <c r="AD698" s="59"/>
      <c r="AE698" s="59"/>
      <c r="AF698" s="68"/>
    </row>
    <row r="699" spans="1:32" x14ac:dyDescent="0.2">
      <c r="A699" s="95">
        <v>662</v>
      </c>
      <c r="B699" s="95">
        <v>55</v>
      </c>
      <c r="C699" s="95">
        <v>2</v>
      </c>
      <c r="D699" s="95"/>
      <c r="E699" s="95">
        <v>657.05740696961072</v>
      </c>
      <c r="F699" s="95">
        <v>1407.9801577920205</v>
      </c>
      <c r="G699" s="95">
        <v>891.72076660161292</v>
      </c>
      <c r="H699" s="95">
        <v>1.6518554586211764</v>
      </c>
      <c r="I699" s="95">
        <v>135.55554003304306</v>
      </c>
      <c r="J699" s="95"/>
      <c r="K699" s="95"/>
      <c r="L699" s="95">
        <v>5.8813783073381014</v>
      </c>
      <c r="M699" s="95">
        <v>31.730155937533308</v>
      </c>
      <c r="N699" s="95">
        <v>11.831791578708851</v>
      </c>
      <c r="O699" s="95">
        <v>2980.0296473317781</v>
      </c>
      <c r="P699" s="95">
        <v>3876.5612999897385</v>
      </c>
      <c r="Q699" s="95">
        <v>10000.000000000005</v>
      </c>
      <c r="S699" s="98"/>
      <c r="T699" s="95"/>
      <c r="U699" s="99"/>
      <c r="W699" s="121"/>
      <c r="X699" s="59"/>
      <c r="Y699" s="59"/>
      <c r="Z699" s="59"/>
      <c r="AA699" s="59"/>
      <c r="AB699" s="59"/>
      <c r="AC699" s="59"/>
      <c r="AD699" s="59"/>
      <c r="AE699" s="59"/>
      <c r="AF699" s="68"/>
    </row>
    <row r="700" spans="1:32" x14ac:dyDescent="0.2">
      <c r="A700" s="95">
        <v>663</v>
      </c>
      <c r="B700" s="95">
        <v>55</v>
      </c>
      <c r="C700" s="95">
        <v>3</v>
      </c>
      <c r="D700" s="95"/>
      <c r="E700" s="95">
        <v>653.24949220205838</v>
      </c>
      <c r="F700" s="95">
        <v>1399.8203404329797</v>
      </c>
      <c r="G700" s="95">
        <v>886.55288227422045</v>
      </c>
      <c r="H700" s="95">
        <v>1.6263143486583946</v>
      </c>
      <c r="I700" s="95">
        <v>134.18720487611105</v>
      </c>
      <c r="J700" s="95"/>
      <c r="K700" s="95"/>
      <c r="L700" s="95">
        <v>5.8212519860574128</v>
      </c>
      <c r="M700" s="95">
        <v>31.414382580065727</v>
      </c>
      <c r="N700" s="95">
        <v>11.71348711063149</v>
      </c>
      <c r="O700" s="95">
        <v>2980.8360109418654</v>
      </c>
      <c r="P700" s="95">
        <v>3894.778633247357</v>
      </c>
      <c r="Q700" s="95">
        <v>10000.000000000005</v>
      </c>
      <c r="S700" s="98"/>
      <c r="T700" s="95"/>
      <c r="U700" s="99"/>
      <c r="W700" s="121"/>
      <c r="X700" s="59"/>
      <c r="Y700" s="59"/>
      <c r="Z700" s="59"/>
      <c r="AA700" s="59"/>
      <c r="AB700" s="59"/>
      <c r="AC700" s="59"/>
      <c r="AD700" s="59"/>
      <c r="AE700" s="59"/>
      <c r="AF700" s="68"/>
    </row>
    <row r="701" spans="1:32" x14ac:dyDescent="0.2">
      <c r="A701" s="95">
        <v>664</v>
      </c>
      <c r="B701" s="95">
        <v>55</v>
      </c>
      <c r="C701" s="95">
        <v>4</v>
      </c>
      <c r="D701" s="95"/>
      <c r="E701" s="95">
        <v>649.46364584850323</v>
      </c>
      <c r="F701" s="95">
        <v>1391.7078125325045</v>
      </c>
      <c r="G701" s="95">
        <v>881.4149479372528</v>
      </c>
      <c r="H701" s="95">
        <v>1.6011681572066281</v>
      </c>
      <c r="I701" s="95">
        <v>132.83259636052253</v>
      </c>
      <c r="J701" s="95"/>
      <c r="K701" s="95"/>
      <c r="L701" s="95">
        <v>5.7609812659516724</v>
      </c>
      <c r="M701" s="95">
        <v>31.102474255660283</v>
      </c>
      <c r="N701" s="95">
        <v>11.596351443163888</v>
      </c>
      <c r="O701" s="95">
        <v>2981.6343057507547</v>
      </c>
      <c r="P701" s="95">
        <v>3912.8857164484853</v>
      </c>
      <c r="Q701" s="95">
        <v>10000.000000000005</v>
      </c>
      <c r="S701" s="98"/>
      <c r="T701" s="95"/>
      <c r="U701" s="99"/>
      <c r="W701" s="121"/>
      <c r="X701" s="59"/>
      <c r="Y701" s="59"/>
      <c r="Z701" s="59"/>
      <c r="AA701" s="59"/>
      <c r="AB701" s="59"/>
      <c r="AC701" s="59"/>
      <c r="AD701" s="59"/>
      <c r="AE701" s="59"/>
      <c r="AF701" s="68"/>
    </row>
    <row r="702" spans="1:32" x14ac:dyDescent="0.2">
      <c r="A702" s="95">
        <v>665</v>
      </c>
      <c r="B702" s="95">
        <v>55</v>
      </c>
      <c r="C702" s="95">
        <v>5</v>
      </c>
      <c r="D702" s="95"/>
      <c r="E702" s="95">
        <v>645.69974001351534</v>
      </c>
      <c r="F702" s="95">
        <v>1383.6423000289592</v>
      </c>
      <c r="G702" s="95">
        <v>876.30679001834073</v>
      </c>
      <c r="H702" s="95">
        <v>1.5764107780069643</v>
      </c>
      <c r="I702" s="95">
        <v>131.49157812635735</v>
      </c>
      <c r="J702" s="95"/>
      <c r="K702" s="95"/>
      <c r="L702" s="95">
        <v>5.7005936234970704</v>
      </c>
      <c r="M702" s="95">
        <v>30.794371569650234</v>
      </c>
      <c r="N702" s="95">
        <v>11.480373310818607</v>
      </c>
      <c r="O702" s="95">
        <v>2982.4246072318606</v>
      </c>
      <c r="P702" s="95">
        <v>3930.8832352989998</v>
      </c>
      <c r="Q702" s="95">
        <v>10000.000000000005</v>
      </c>
      <c r="S702" s="98"/>
      <c r="T702" s="95"/>
      <c r="U702" s="99"/>
      <c r="W702" s="121"/>
      <c r="X702" s="59"/>
      <c r="Y702" s="59"/>
      <c r="Z702" s="59"/>
      <c r="AA702" s="59"/>
      <c r="AB702" s="59"/>
      <c r="AC702" s="59"/>
      <c r="AD702" s="59"/>
      <c r="AE702" s="59"/>
      <c r="AF702" s="68"/>
    </row>
    <row r="703" spans="1:32" x14ac:dyDescent="0.2">
      <c r="A703" s="95">
        <v>666</v>
      </c>
      <c r="B703" s="95">
        <v>55</v>
      </c>
      <c r="C703" s="95">
        <v>6</v>
      </c>
      <c r="D703" s="95"/>
      <c r="E703" s="95">
        <v>641.95764754287086</v>
      </c>
      <c r="F703" s="95">
        <v>1375.6235304490067</v>
      </c>
      <c r="G703" s="95">
        <v>871.2282359510375</v>
      </c>
      <c r="H703" s="95">
        <v>1.5520361992159128</v>
      </c>
      <c r="I703" s="95">
        <v>130.16401514718572</v>
      </c>
      <c r="J703" s="95"/>
      <c r="K703" s="95"/>
      <c r="L703" s="95">
        <v>5.640115520140581</v>
      </c>
      <c r="M703" s="95">
        <v>30.490016202700613</v>
      </c>
      <c r="N703" s="95">
        <v>11.365541574303561</v>
      </c>
      <c r="O703" s="95">
        <v>2983.2069903201104</v>
      </c>
      <c r="P703" s="95">
        <v>3948.7718710934341</v>
      </c>
      <c r="Q703" s="95">
        <v>10000.000000000005</v>
      </c>
      <c r="S703" s="98"/>
      <c r="T703" s="95"/>
      <c r="U703" s="99"/>
      <c r="W703" s="121"/>
      <c r="X703" s="59"/>
      <c r="Y703" s="59"/>
      <c r="Z703" s="59"/>
      <c r="AA703" s="59"/>
      <c r="AB703" s="59"/>
      <c r="AC703" s="59"/>
      <c r="AD703" s="59"/>
      <c r="AE703" s="59"/>
      <c r="AF703" s="68"/>
    </row>
    <row r="704" spans="1:32" x14ac:dyDescent="0.2">
      <c r="A704" s="95">
        <v>667</v>
      </c>
      <c r="B704" s="95">
        <v>55</v>
      </c>
      <c r="C704" s="95">
        <v>7</v>
      </c>
      <c r="D704" s="95"/>
      <c r="E704" s="95">
        <v>638.2372420192562</v>
      </c>
      <c r="F704" s="95">
        <v>1367.6512328984038</v>
      </c>
      <c r="G704" s="95">
        <v>866.17911416898903</v>
      </c>
      <c r="H704" s="95">
        <v>1.5280385019455476</v>
      </c>
      <c r="I704" s="95">
        <v>128.84977371736309</v>
      </c>
      <c r="J704" s="95"/>
      <c r="K704" s="95"/>
      <c r="L704" s="95">
        <v>5.5795724324880123</v>
      </c>
      <c r="M704" s="95">
        <v>30.189350889621011</v>
      </c>
      <c r="N704" s="95">
        <v>11.251845217197673</v>
      </c>
      <c r="O704" s="95">
        <v>2983.9815294110767</v>
      </c>
      <c r="P704" s="95">
        <v>3966.552300743665</v>
      </c>
      <c r="Q704" s="95">
        <v>10000.000000000005</v>
      </c>
      <c r="S704" s="98"/>
      <c r="T704" s="95"/>
      <c r="U704" s="99"/>
      <c r="W704" s="121"/>
      <c r="X704" s="59"/>
      <c r="Y704" s="59"/>
      <c r="Z704" s="59"/>
      <c r="AA704" s="59"/>
      <c r="AB704" s="59"/>
      <c r="AC704" s="59"/>
      <c r="AD704" s="59"/>
      <c r="AE704" s="59"/>
      <c r="AF704" s="68"/>
    </row>
    <row r="705" spans="1:32" x14ac:dyDescent="0.2">
      <c r="A705" s="95">
        <v>668</v>
      </c>
      <c r="B705" s="95">
        <v>55</v>
      </c>
      <c r="C705" s="95">
        <v>8</v>
      </c>
      <c r="D705" s="95"/>
      <c r="E705" s="95">
        <v>634.53839775799759</v>
      </c>
      <c r="F705" s="95">
        <v>1359.7251380528496</v>
      </c>
      <c r="G705" s="95">
        <v>861.15925410013813</v>
      </c>
      <c r="H705" s="95">
        <v>1.5044118588262201</v>
      </c>
      <c r="I705" s="95">
        <v>127.54872143944085</v>
      </c>
      <c r="J705" s="95"/>
      <c r="K705" s="95"/>
      <c r="L705" s="95">
        <v>5.5189888816549368</v>
      </c>
      <c r="M705" s="95">
        <v>29.892319398610919</v>
      </c>
      <c r="N705" s="95">
        <v>11.139273342800246</v>
      </c>
      <c r="O705" s="95">
        <v>2984.7482983602513</v>
      </c>
      <c r="P705" s="95">
        <v>3984.2251968074365</v>
      </c>
      <c r="Q705" s="95">
        <v>10000.000000000005</v>
      </c>
      <c r="S705" s="98"/>
      <c r="T705" s="95"/>
      <c r="U705" s="99"/>
      <c r="W705" s="121"/>
      <c r="X705" s="59"/>
      <c r="Y705" s="59"/>
      <c r="Z705" s="59"/>
      <c r="AA705" s="59"/>
      <c r="AB705" s="59"/>
      <c r="AC705" s="59"/>
      <c r="AD705" s="59"/>
      <c r="AE705" s="59"/>
      <c r="AF705" s="68"/>
    </row>
    <row r="706" spans="1:32" x14ac:dyDescent="0.2">
      <c r="A706" s="95">
        <v>669</v>
      </c>
      <c r="B706" s="95">
        <v>55</v>
      </c>
      <c r="C706" s="95">
        <v>9</v>
      </c>
      <c r="D706" s="95"/>
      <c r="E706" s="95">
        <v>630.86098980281497</v>
      </c>
      <c r="F706" s="95">
        <v>1351.8449781488869</v>
      </c>
      <c r="G706" s="95">
        <v>856.16848616096183</v>
      </c>
      <c r="H706" s="95">
        <v>1.4811505325914982</v>
      </c>
      <c r="I706" s="95">
        <v>126.26072721169157</v>
      </c>
      <c r="J706" s="95"/>
      <c r="K706" s="95"/>
      <c r="L706" s="95">
        <v>5.4583884618031338</v>
      </c>
      <c r="M706" s="95">
        <v>29.598866510928655</v>
      </c>
      <c r="N706" s="95">
        <v>11.027815171144765</v>
      </c>
      <c r="O706" s="95">
        <v>2985.5073704824581</v>
      </c>
      <c r="P706" s="95">
        <v>4001.791227516725</v>
      </c>
      <c r="Q706" s="95">
        <v>10000.000000000007</v>
      </c>
      <c r="S706" s="98"/>
      <c r="T706" s="95"/>
      <c r="U706" s="99"/>
      <c r="W706" s="121"/>
      <c r="X706" s="59"/>
      <c r="Y706" s="59"/>
      <c r="Z706" s="59"/>
      <c r="AA706" s="59"/>
      <c r="AB706" s="59"/>
      <c r="AC706" s="59"/>
      <c r="AD706" s="59"/>
      <c r="AE706" s="59"/>
      <c r="AF706" s="68"/>
    </row>
    <row r="707" spans="1:32" x14ac:dyDescent="0.2">
      <c r="A707" s="95">
        <v>670</v>
      </c>
      <c r="B707" s="95">
        <v>55</v>
      </c>
      <c r="C707" s="95">
        <v>10</v>
      </c>
      <c r="D707" s="95"/>
      <c r="E707" s="95">
        <v>627.20489392160084</v>
      </c>
      <c r="F707" s="95">
        <v>1344.0104869748566</v>
      </c>
      <c r="G707" s="95">
        <v>851.20664175074262</v>
      </c>
      <c r="H707" s="95">
        <v>1.4582488746849829</v>
      </c>
      <c r="I707" s="95">
        <v>124.98566121574802</v>
      </c>
      <c r="J707" s="95"/>
      <c r="K707" s="95"/>
      <c r="L707" s="95">
        <v>5.3977938678845554</v>
      </c>
      <c r="M707" s="95">
        <v>29.308938000975136</v>
      </c>
      <c r="N707" s="95">
        <v>10.917460036168169</v>
      </c>
      <c r="O707" s="95">
        <v>2986.2588185514041</v>
      </c>
      <c r="P707" s="95">
        <v>4019.2510568059415</v>
      </c>
      <c r="Q707" s="95">
        <v>10000.000000000007</v>
      </c>
      <c r="S707" s="98"/>
      <c r="T707" s="95"/>
      <c r="U707" s="99"/>
      <c r="W707" s="121"/>
      <c r="X707" s="59"/>
      <c r="Y707" s="59"/>
      <c r="Z707" s="59"/>
      <c r="AA707" s="59"/>
      <c r="AB707" s="59"/>
      <c r="AC707" s="59"/>
      <c r="AD707" s="59"/>
      <c r="AE707" s="59"/>
      <c r="AF707" s="68"/>
    </row>
    <row r="708" spans="1:32" x14ac:dyDescent="0.2">
      <c r="A708" s="95">
        <v>671</v>
      </c>
      <c r="B708" s="95">
        <v>55</v>
      </c>
      <c r="C708" s="95">
        <v>11</v>
      </c>
      <c r="D708" s="95"/>
      <c r="E708" s="95">
        <v>623.56998660222314</v>
      </c>
      <c r="F708" s="95">
        <v>1336.2213998619045</v>
      </c>
      <c r="G708" s="95">
        <v>846.2735532458729</v>
      </c>
      <c r="H708" s="95">
        <v>1.4357013238886676</v>
      </c>
      <c r="I708" s="95">
        <v>123.72339490435492</v>
      </c>
      <c r="J708" s="95"/>
      <c r="K708" s="95"/>
      <c r="L708" s="95">
        <v>5.3372269226142315</v>
      </c>
      <c r="M708" s="95">
        <v>29.022480616783906</v>
      </c>
      <c r="N708" s="95">
        <v>10.808197383027222</v>
      </c>
      <c r="O708" s="95">
        <v>2987.0027147993633</v>
      </c>
      <c r="P708" s="95">
        <v>4036.6053443399737</v>
      </c>
      <c r="Q708" s="95">
        <v>10000.000000000007</v>
      </c>
      <c r="S708" s="98"/>
      <c r="T708" s="95"/>
      <c r="U708" s="99"/>
      <c r="W708" s="121"/>
      <c r="X708" s="59"/>
      <c r="Y708" s="59"/>
      <c r="Z708" s="59"/>
      <c r="AA708" s="59"/>
      <c r="AB708" s="59"/>
      <c r="AC708" s="59"/>
      <c r="AD708" s="59"/>
      <c r="AE708" s="59"/>
      <c r="AF708" s="68"/>
    </row>
    <row r="709" spans="1:32" x14ac:dyDescent="0.2">
      <c r="A709" s="95">
        <v>672</v>
      </c>
      <c r="B709" s="95">
        <v>56</v>
      </c>
      <c r="C709" s="95">
        <v>0</v>
      </c>
      <c r="D709" s="95"/>
      <c r="E709" s="95">
        <v>619.95614504835294</v>
      </c>
      <c r="F709" s="95">
        <v>1328.4774536750397</v>
      </c>
      <c r="G709" s="95">
        <v>841.36905399419186</v>
      </c>
      <c r="H709" s="95">
        <v>1.4135024049725051</v>
      </c>
      <c r="I709" s="95">
        <v>122.4738009892325</v>
      </c>
      <c r="J709" s="95"/>
      <c r="K709" s="95"/>
      <c r="L709" s="95">
        <v>5.2888587397597533</v>
      </c>
      <c r="M709" s="95">
        <v>28.727291923842262</v>
      </c>
      <c r="N709" s="95">
        <v>10.700016765553908</v>
      </c>
      <c r="O709" s="95">
        <v>2987.7391309169925</v>
      </c>
      <c r="P709" s="95">
        <v>4053.8547455420689</v>
      </c>
      <c r="Q709" s="95">
        <v>10000.000000000007</v>
      </c>
      <c r="S709" s="98"/>
      <c r="T709" s="95"/>
      <c r="U709" s="99"/>
      <c r="W709" s="121"/>
      <c r="X709" s="59"/>
      <c r="Y709" s="59"/>
      <c r="Z709" s="59"/>
      <c r="AA709" s="59"/>
      <c r="AB709" s="59"/>
      <c r="AC709" s="59"/>
      <c r="AD709" s="59"/>
      <c r="AE709" s="59"/>
      <c r="AF709" s="68"/>
    </row>
    <row r="710" spans="1:32" x14ac:dyDescent="0.2">
      <c r="A710" s="95">
        <v>673</v>
      </c>
      <c r="B710" s="95">
        <v>56</v>
      </c>
      <c r="C710" s="95">
        <v>1</v>
      </c>
      <c r="D710" s="95"/>
      <c r="E710" s="95">
        <v>616.36324717531579</v>
      </c>
      <c r="F710" s="95">
        <v>1320.7783868042457</v>
      </c>
      <c r="G710" s="95">
        <v>836.49297830935564</v>
      </c>
      <c r="H710" s="95">
        <v>1.3916467273648563</v>
      </c>
      <c r="I710" s="95">
        <v>121.23675342905103</v>
      </c>
      <c r="J710" s="95"/>
      <c r="K710" s="95"/>
      <c r="L710" s="95">
        <v>5.2401403205858763</v>
      </c>
      <c r="M710" s="95">
        <v>28.435818839617408</v>
      </c>
      <c r="N710" s="95">
        <v>10.592907843842264</v>
      </c>
      <c r="O710" s="95">
        <v>2988.4682089290759</v>
      </c>
      <c r="P710" s="95">
        <v>4070.9999116215527</v>
      </c>
      <c r="Q710" s="95">
        <v>10000.000000000007</v>
      </c>
      <c r="S710" s="98"/>
      <c r="T710" s="95"/>
      <c r="U710" s="99"/>
      <c r="W710" s="121"/>
      <c r="X710" s="59"/>
      <c r="Y710" s="59"/>
      <c r="Z710" s="59"/>
      <c r="AA710" s="59"/>
      <c r="AB710" s="59"/>
      <c r="AC710" s="59"/>
      <c r="AD710" s="59"/>
      <c r="AE710" s="59"/>
      <c r="AF710" s="68"/>
    </row>
    <row r="711" spans="1:32" x14ac:dyDescent="0.2">
      <c r="A711" s="95">
        <v>674</v>
      </c>
      <c r="B711" s="95">
        <v>56</v>
      </c>
      <c r="C711" s="95">
        <v>2</v>
      </c>
      <c r="D711" s="95"/>
      <c r="E711" s="95">
        <v>612.79117160596763</v>
      </c>
      <c r="F711" s="95">
        <v>1313.1239391556426</v>
      </c>
      <c r="G711" s="95">
        <v>831.64516146524034</v>
      </c>
      <c r="H711" s="95">
        <v>1.3701289838434949</v>
      </c>
      <c r="I711" s="95">
        <v>120.0121274175152</v>
      </c>
      <c r="J711" s="95"/>
      <c r="K711" s="95"/>
      <c r="L711" s="95">
        <v>5.191786480587159</v>
      </c>
      <c r="M711" s="95">
        <v>28.14731938302651</v>
      </c>
      <c r="N711" s="95">
        <v>10.48685998032987</v>
      </c>
      <c r="O711" s="95">
        <v>2989.1900163372179</v>
      </c>
      <c r="P711" s="95">
        <v>4088.0414891906366</v>
      </c>
      <c r="Q711" s="95">
        <v>10000.000000000007</v>
      </c>
      <c r="S711" s="98"/>
      <c r="T711" s="95"/>
      <c r="U711" s="99"/>
      <c r="W711" s="121"/>
      <c r="X711" s="59"/>
      <c r="Y711" s="59"/>
      <c r="Z711" s="59"/>
      <c r="AA711" s="59"/>
      <c r="AB711" s="59"/>
      <c r="AC711" s="59"/>
      <c r="AD711" s="59"/>
      <c r="AE711" s="59"/>
      <c r="AF711" s="68"/>
    </row>
    <row r="712" spans="1:32" x14ac:dyDescent="0.2">
      <c r="A712" s="95">
        <v>675</v>
      </c>
      <c r="B712" s="95">
        <v>56</v>
      </c>
      <c r="C712" s="95">
        <v>3</v>
      </c>
      <c r="D712" s="95"/>
      <c r="E712" s="95">
        <v>609.23979766659431</v>
      </c>
      <c r="F712" s="95">
        <v>1305.5138521426998</v>
      </c>
      <c r="G712" s="95">
        <v>826.82543969037658</v>
      </c>
      <c r="H712" s="95">
        <v>1.3489439492468531</v>
      </c>
      <c r="I712" s="95">
        <v>118.79979937155755</v>
      </c>
      <c r="J712" s="95"/>
      <c r="K712" s="95"/>
      <c r="L712" s="95">
        <v>5.1437969132567378</v>
      </c>
      <c r="M712" s="95">
        <v>27.861762684530099</v>
      </c>
      <c r="N712" s="95">
        <v>10.381862678077557</v>
      </c>
      <c r="O712" s="95">
        <v>2989.904624180715</v>
      </c>
      <c r="P712" s="95">
        <v>4104.980120722953</v>
      </c>
      <c r="Q712" s="95">
        <v>10000.000000000007</v>
      </c>
      <c r="S712" s="98"/>
      <c r="T712" s="95"/>
      <c r="U712" s="99"/>
      <c r="W712" s="121"/>
      <c r="X712" s="59"/>
      <c r="Y712" s="59"/>
      <c r="Z712" s="59"/>
      <c r="AA712" s="59"/>
      <c r="AB712" s="59"/>
      <c r="AC712" s="59"/>
      <c r="AD712" s="59"/>
      <c r="AE712" s="59"/>
      <c r="AF712" s="68"/>
    </row>
    <row r="713" spans="1:32" x14ac:dyDescent="0.2">
      <c r="A713" s="95">
        <v>676</v>
      </c>
      <c r="B713" s="95">
        <v>56</v>
      </c>
      <c r="C713" s="95">
        <v>4</v>
      </c>
      <c r="D713" s="95"/>
      <c r="E713" s="95">
        <v>605.70900538283502</v>
      </c>
      <c r="F713" s="95">
        <v>1297.9478686775012</v>
      </c>
      <c r="G713" s="95">
        <v>822.03365016241753</v>
      </c>
      <c r="H713" s="95">
        <v>1.3280864792051936</v>
      </c>
      <c r="I713" s="95">
        <v>117.59964691964007</v>
      </c>
      <c r="J713" s="95"/>
      <c r="K713" s="95"/>
      <c r="L713" s="95">
        <v>5.0961712261450849</v>
      </c>
      <c r="M713" s="95">
        <v>27.579118208992909</v>
      </c>
      <c r="N713" s="95">
        <v>10.27790555365176</v>
      </c>
      <c r="O713" s="95">
        <v>2990.6121028325833</v>
      </c>
      <c r="P713" s="95">
        <v>4121.8164445570355</v>
      </c>
      <c r="Q713" s="95">
        <v>10000.000000000007</v>
      </c>
      <c r="S713" s="98"/>
      <c r="T713" s="95"/>
      <c r="U713" s="99"/>
      <c r="W713" s="121"/>
      <c r="X713" s="59"/>
      <c r="Y713" s="59"/>
      <c r="Z713" s="59"/>
      <c r="AA713" s="59"/>
      <c r="AB713" s="59"/>
      <c r="AC713" s="59"/>
      <c r="AD713" s="59"/>
      <c r="AE713" s="59"/>
      <c r="AF713" s="68"/>
    </row>
    <row r="714" spans="1:32" x14ac:dyDescent="0.2">
      <c r="A714" s="95">
        <v>677</v>
      </c>
      <c r="B714" s="95">
        <v>56</v>
      </c>
      <c r="C714" s="95">
        <v>5</v>
      </c>
      <c r="D714" s="95"/>
      <c r="E714" s="95">
        <v>602.19867547562887</v>
      </c>
      <c r="F714" s="95">
        <v>1290.4257331620595</v>
      </c>
      <c r="G714" s="95">
        <v>817.26963100263777</v>
      </c>
      <c r="H714" s="95">
        <v>1.3075515088914003</v>
      </c>
      <c r="I714" s="95">
        <v>116.4115488901629</v>
      </c>
      <c r="J714" s="95"/>
      <c r="K714" s="95"/>
      <c r="L714" s="95">
        <v>5.0489089440800727</v>
      </c>
      <c r="M714" s="95">
        <v>27.299355751735767</v>
      </c>
      <c r="N714" s="95">
        <v>10.174978335249204</v>
      </c>
      <c r="O714" s="95">
        <v>2991.3125220054144</v>
      </c>
      <c r="P714" s="95">
        <v>4138.5510949241479</v>
      </c>
      <c r="Q714" s="95">
        <v>10000.000000000007</v>
      </c>
      <c r="S714" s="98"/>
      <c r="T714" s="95"/>
      <c r="U714" s="99"/>
      <c r="W714" s="121"/>
      <c r="X714" s="59"/>
      <c r="Y714" s="59"/>
      <c r="Z714" s="59"/>
      <c r="AA714" s="59"/>
      <c r="AB714" s="59"/>
      <c r="AC714" s="59"/>
      <c r="AD714" s="59"/>
      <c r="AE714" s="59"/>
      <c r="AF714" s="68"/>
    </row>
    <row r="715" spans="1:32" x14ac:dyDescent="0.2">
      <c r="A715" s="95">
        <v>678</v>
      </c>
      <c r="B715" s="95">
        <v>56</v>
      </c>
      <c r="C715" s="95">
        <v>6</v>
      </c>
      <c r="D715" s="95"/>
      <c r="E715" s="95">
        <v>598.7086893571859</v>
      </c>
      <c r="F715" s="95">
        <v>1282.9471914796816</v>
      </c>
      <c r="G715" s="95">
        <v>812.53322127046511</v>
      </c>
      <c r="H715" s="95">
        <v>1.2873340517910843</v>
      </c>
      <c r="I715" s="95">
        <v>115.2353852999795</v>
      </c>
      <c r="J715" s="95"/>
      <c r="K715" s="95"/>
      <c r="L715" s="95">
        <v>5.0020095122922292</v>
      </c>
      <c r="M715" s="95">
        <v>27.022445434640961</v>
      </c>
      <c r="N715" s="95">
        <v>10.073070860881533</v>
      </c>
      <c r="O715" s="95">
        <v>2992.0059507571787</v>
      </c>
      <c r="P715" s="95">
        <v>4155.1847019759107</v>
      </c>
      <c r="Q715" s="95">
        <v>10000.000000000007</v>
      </c>
      <c r="S715" s="98"/>
      <c r="T715" s="95"/>
      <c r="U715" s="99"/>
      <c r="W715" s="121"/>
      <c r="X715" s="59"/>
      <c r="Y715" s="59"/>
      <c r="Z715" s="59"/>
      <c r="AA715" s="59"/>
      <c r="AB715" s="59"/>
      <c r="AC715" s="59"/>
      <c r="AD715" s="59"/>
      <c r="AE715" s="59"/>
      <c r="AF715" s="68"/>
    </row>
    <row r="716" spans="1:32" x14ac:dyDescent="0.2">
      <c r="A716" s="95">
        <v>679</v>
      </c>
      <c r="B716" s="95">
        <v>56</v>
      </c>
      <c r="C716" s="95">
        <v>7</v>
      </c>
      <c r="D716" s="95"/>
      <c r="E716" s="95">
        <v>595.23892912698034</v>
      </c>
      <c r="F716" s="95">
        <v>1275.511990986384</v>
      </c>
      <c r="G716" s="95">
        <v>807.82426095804328</v>
      </c>
      <c r="H716" s="95">
        <v>1.2674291984917074</v>
      </c>
      <c r="I716" s="95">
        <v>114.07103734301695</v>
      </c>
      <c r="J716" s="95"/>
      <c r="K716" s="95"/>
      <c r="L716" s="95">
        <v>4.9554722994478002</v>
      </c>
      <c r="M716" s="95">
        <v>26.748357702310244</v>
      </c>
      <c r="N716" s="95">
        <v>9.9721730766172954</v>
      </c>
      <c r="O716" s="95">
        <v>2992.6924574969717</v>
      </c>
      <c r="P716" s="95">
        <v>4171.7178918117443</v>
      </c>
      <c r="Q716" s="95">
        <v>10000.000000000007</v>
      </c>
      <c r="S716" s="98"/>
      <c r="T716" s="95"/>
      <c r="U716" s="99"/>
      <c r="W716" s="121"/>
      <c r="X716" s="59"/>
      <c r="Y716" s="59"/>
      <c r="Z716" s="59"/>
      <c r="AA716" s="59"/>
      <c r="AB716" s="59"/>
      <c r="AC716" s="59"/>
      <c r="AD716" s="59"/>
      <c r="AE716" s="59"/>
      <c r="AF716" s="68"/>
    </row>
    <row r="717" spans="1:32" x14ac:dyDescent="0.2">
      <c r="A717" s="95">
        <v>680</v>
      </c>
      <c r="B717" s="95">
        <v>56</v>
      </c>
      <c r="C717" s="95">
        <v>8</v>
      </c>
      <c r="D717" s="95"/>
      <c r="E717" s="95">
        <v>591.78927756776807</v>
      </c>
      <c r="F717" s="95">
        <v>1268.1198805023578</v>
      </c>
      <c r="G717" s="95">
        <v>803.14259098482671</v>
      </c>
      <c r="H717" s="95">
        <v>1.2478321154904273</v>
      </c>
      <c r="I717" s="95">
        <v>112.91838737900106</v>
      </c>
      <c r="J717" s="95"/>
      <c r="K717" s="95"/>
      <c r="L717" s="95">
        <v>4.9092966005921621</v>
      </c>
      <c r="M717" s="95">
        <v>26.477063318274652</v>
      </c>
      <c r="N717" s="95">
        <v>9.8722750348788217</v>
      </c>
      <c r="O717" s="95">
        <v>2993.3721099907111</v>
      </c>
      <c r="P717" s="95">
        <v>4188.1512865061068</v>
      </c>
      <c r="Q717" s="95">
        <v>10000.000000000007</v>
      </c>
      <c r="S717" s="98"/>
      <c r="T717" s="95"/>
      <c r="U717" s="99"/>
      <c r="W717" s="121"/>
      <c r="X717" s="59"/>
      <c r="Y717" s="59"/>
      <c r="Z717" s="59"/>
      <c r="AA717" s="59"/>
      <c r="AB717" s="59"/>
      <c r="AC717" s="59"/>
      <c r="AD717" s="59"/>
      <c r="AE717" s="59"/>
      <c r="AF717" s="68"/>
    </row>
    <row r="718" spans="1:32" x14ac:dyDescent="0.2">
      <c r="A718" s="95">
        <v>681</v>
      </c>
      <c r="B718" s="95">
        <v>56</v>
      </c>
      <c r="C718" s="95">
        <v>9</v>
      </c>
      <c r="D718" s="95"/>
      <c r="E718" s="95">
        <v>588.35961814162658</v>
      </c>
      <c r="F718" s="95">
        <v>1260.7706103034832</v>
      </c>
      <c r="G718" s="95">
        <v>798.48805319220605</v>
      </c>
      <c r="H718" s="95">
        <v>1.2285380440203759</v>
      </c>
      <c r="I718" s="95">
        <v>111.77731892228482</v>
      </c>
      <c r="J718" s="95"/>
      <c r="K718" s="95"/>
      <c r="L718" s="95">
        <v>4.8634816400060501</v>
      </c>
      <c r="M718" s="95">
        <v>26.208533361255277</v>
      </c>
      <c r="N718" s="95">
        <v>9.7733668927916177</v>
      </c>
      <c r="O718" s="95">
        <v>2994.0449753667817</v>
      </c>
      <c r="P718" s="95">
        <v>4204.4855041355513</v>
      </c>
      <c r="Q718" s="95">
        <v>10000.000000000007</v>
      </c>
      <c r="S718" s="98"/>
      <c r="T718" s="95"/>
      <c r="U718" s="99"/>
      <c r="W718" s="121"/>
      <c r="X718" s="59"/>
      <c r="Y718" s="59"/>
      <c r="Z718" s="59"/>
      <c r="AA718" s="59"/>
      <c r="AB718" s="59"/>
      <c r="AC718" s="59"/>
      <c r="AD718" s="59"/>
      <c r="AE718" s="59"/>
      <c r="AF718" s="68"/>
    </row>
    <row r="719" spans="1:32" x14ac:dyDescent="0.2">
      <c r="A719" s="95">
        <v>682</v>
      </c>
      <c r="B719" s="95">
        <v>56</v>
      </c>
      <c r="C719" s="95">
        <v>10</v>
      </c>
      <c r="D719" s="95"/>
      <c r="E719" s="95">
        <v>584.94983498601778</v>
      </c>
      <c r="F719" s="95">
        <v>1253.463932112893</v>
      </c>
      <c r="G719" s="95">
        <v>793.86049033816562</v>
      </c>
      <c r="H719" s="95">
        <v>1.209542298895087</v>
      </c>
      <c r="I719" s="95">
        <v>110.64771663077975</v>
      </c>
      <c r="J719" s="95"/>
      <c r="K719" s="95"/>
      <c r="L719" s="95">
        <v>4.8180265739770105</v>
      </c>
      <c r="M719" s="95">
        <v>25.942739221474227</v>
      </c>
      <c r="N719" s="95">
        <v>9.6754389105840222</v>
      </c>
      <c r="O719" s="95">
        <v>2994.7111201216285</v>
      </c>
      <c r="P719" s="95">
        <v>4220.7211588055925</v>
      </c>
      <c r="Q719" s="95">
        <v>10000.000000000007</v>
      </c>
      <c r="S719" s="98"/>
      <c r="T719" s="95"/>
      <c r="U719" s="99"/>
      <c r="W719" s="121"/>
      <c r="X719" s="59"/>
      <c r="Y719" s="59"/>
      <c r="Z719" s="59"/>
      <c r="AA719" s="59"/>
      <c r="AB719" s="59"/>
      <c r="AC719" s="59"/>
      <c r="AD719" s="59"/>
      <c r="AE719" s="59"/>
      <c r="AF719" s="68"/>
    </row>
    <row r="720" spans="1:32" x14ac:dyDescent="0.2">
      <c r="A720" s="95">
        <v>683</v>
      </c>
      <c r="B720" s="95">
        <v>56</v>
      </c>
      <c r="C720" s="95">
        <v>11</v>
      </c>
      <c r="D720" s="95"/>
      <c r="E720" s="95">
        <v>581.55981290987427</v>
      </c>
      <c r="F720" s="95">
        <v>1246.1995990925855</v>
      </c>
      <c r="G720" s="95">
        <v>789.2597460919709</v>
      </c>
      <c r="H720" s="95">
        <v>1.1908402673707901</v>
      </c>
      <c r="I720" s="95">
        <v>109.52946629498913</v>
      </c>
      <c r="J720" s="95"/>
      <c r="K720" s="95"/>
      <c r="L720" s="95">
        <v>4.7729304934884125</v>
      </c>
      <c r="M720" s="95">
        <v>25.679652597014957</v>
      </c>
      <c r="N720" s="95">
        <v>9.5784814500349658</v>
      </c>
      <c r="O720" s="95">
        <v>2995.3706101253024</v>
      </c>
      <c r="P720" s="95">
        <v>4236.8588606773756</v>
      </c>
      <c r="Q720" s="95">
        <v>10000.000000000007</v>
      </c>
      <c r="S720" s="98"/>
      <c r="T720" s="95"/>
      <c r="U720" s="99"/>
      <c r="W720" s="121"/>
      <c r="X720" s="59"/>
      <c r="Y720" s="59"/>
      <c r="Z720" s="59"/>
      <c r="AA720" s="59"/>
      <c r="AB720" s="59"/>
      <c r="AC720" s="59"/>
      <c r="AD720" s="59"/>
      <c r="AE720" s="59"/>
      <c r="AF720" s="68"/>
    </row>
    <row r="721" spans="1:32" x14ac:dyDescent="0.2">
      <c r="A721" s="95">
        <v>684</v>
      </c>
      <c r="B721" s="95">
        <v>57</v>
      </c>
      <c r="C721" s="95">
        <v>0</v>
      </c>
      <c r="D721" s="95"/>
      <c r="E721" s="95">
        <v>578.18943738970768</v>
      </c>
      <c r="F721" s="95">
        <v>1238.9773658350857</v>
      </c>
      <c r="G721" s="95">
        <v>784.68566502888768</v>
      </c>
      <c r="H721" s="95">
        <v>1.1724274080262964</v>
      </c>
      <c r="I721" s="95">
        <v>108.42245482714208</v>
      </c>
      <c r="J721" s="95"/>
      <c r="K721" s="95"/>
      <c r="L721" s="95">
        <v>4.7281924268283015</v>
      </c>
      <c r="M721" s="95">
        <v>25.419245490231212</v>
      </c>
      <c r="N721" s="95">
        <v>9.4824849729677911</v>
      </c>
      <c r="O721" s="95">
        <v>2996.0235106269561</v>
      </c>
      <c r="P721" s="95">
        <v>4252.8992159941736</v>
      </c>
      <c r="Q721" s="95">
        <v>10000.000000000007</v>
      </c>
      <c r="S721" s="98"/>
      <c r="T721" s="95"/>
      <c r="U721" s="99"/>
      <c r="W721" s="121"/>
      <c r="X721" s="59"/>
      <c r="Y721" s="59"/>
      <c r="Z721" s="59"/>
      <c r="AA721" s="59"/>
      <c r="AB721" s="59"/>
      <c r="AC721" s="59"/>
      <c r="AD721" s="59"/>
      <c r="AE721" s="59"/>
      <c r="AF721" s="68"/>
    </row>
    <row r="722" spans="1:32" x14ac:dyDescent="0.2">
      <c r="A722" s="95">
        <v>685</v>
      </c>
      <c r="B722" s="95">
        <v>57</v>
      </c>
      <c r="C722" s="95">
        <v>1</v>
      </c>
      <c r="D722" s="95"/>
      <c r="E722" s="95">
        <v>574.83859456573987</v>
      </c>
      <c r="F722" s="95">
        <v>1231.7969883551546</v>
      </c>
      <c r="G722" s="95">
        <v>780.13809262493135</v>
      </c>
      <c r="H722" s="95">
        <v>1.154299249660204</v>
      </c>
      <c r="I722" s="95">
        <v>107.32657025042791</v>
      </c>
      <c r="J722" s="95"/>
      <c r="K722" s="95"/>
      <c r="L722" s="95">
        <v>4.6838113421203111</v>
      </c>
      <c r="M722" s="95">
        <v>25.16149020420379</v>
      </c>
      <c r="N722" s="95">
        <v>9.3874400397881406</v>
      </c>
      <c r="O722" s="95">
        <v>2996.6698862602934</v>
      </c>
      <c r="P722" s="95">
        <v>4268.8428271076873</v>
      </c>
      <c r="Q722" s="95">
        <v>10000.000000000007</v>
      </c>
      <c r="S722" s="98"/>
      <c r="T722" s="95"/>
      <c r="U722" s="99"/>
      <c r="W722" s="121"/>
      <c r="X722" s="59"/>
      <c r="Y722" s="59"/>
      <c r="Z722" s="59"/>
      <c r="AA722" s="59"/>
      <c r="AB722" s="59"/>
      <c r="AC722" s="59"/>
      <c r="AD722" s="59"/>
      <c r="AE722" s="59"/>
      <c r="AF722" s="68"/>
    </row>
    <row r="723" spans="1:32" x14ac:dyDescent="0.2">
      <c r="A723" s="95">
        <v>686</v>
      </c>
      <c r="B723" s="95">
        <v>57</v>
      </c>
      <c r="C723" s="95">
        <v>2</v>
      </c>
      <c r="D723" s="95"/>
      <c r="E723" s="95">
        <v>571.50717123805623</v>
      </c>
      <c r="F723" s="95">
        <v>1224.6582240815467</v>
      </c>
      <c r="G723" s="95">
        <v>775.61687525164632</v>
      </c>
      <c r="H723" s="95">
        <v>1.1364513902051541</v>
      </c>
      <c r="I723" s="95">
        <v>106.2417016883297</v>
      </c>
      <c r="J723" s="95"/>
      <c r="K723" s="95"/>
      <c r="L723" s="95">
        <v>4.6397861497787778</v>
      </c>
      <c r="M723" s="95">
        <v>24.906359339244414</v>
      </c>
      <c r="N723" s="95">
        <v>9.2933373080640536</v>
      </c>
      <c r="O723" s="95">
        <v>2997.3098010489707</v>
      </c>
      <c r="P723" s="95">
        <v>4284.690292504165</v>
      </c>
      <c r="Q723" s="95">
        <v>10000.000000000007</v>
      </c>
      <c r="S723" s="98"/>
      <c r="T723" s="95"/>
      <c r="U723" s="99"/>
      <c r="W723" s="121"/>
      <c r="X723" s="59"/>
      <c r="Y723" s="59"/>
      <c r="Z723" s="59"/>
      <c r="AA723" s="59"/>
      <c r="AB723" s="59"/>
      <c r="AC723" s="59"/>
      <c r="AD723" s="59"/>
      <c r="AE723" s="59"/>
      <c r="AF723" s="68"/>
    </row>
    <row r="724" spans="1:32" x14ac:dyDescent="0.2">
      <c r="A724" s="95">
        <v>687</v>
      </c>
      <c r="B724" s="95">
        <v>57</v>
      </c>
      <c r="C724" s="95">
        <v>3</v>
      </c>
      <c r="D724" s="95"/>
      <c r="E724" s="95">
        <v>568.19505486278172</v>
      </c>
      <c r="F724" s="95">
        <v>1217.5608318488155</v>
      </c>
      <c r="G724" s="95">
        <v>771.12186017091665</v>
      </c>
      <c r="H724" s="95">
        <v>1.1188794956588755</v>
      </c>
      <c r="I724" s="95">
        <v>105.16773935405632</v>
      </c>
      <c r="J724" s="95"/>
      <c r="K724" s="95"/>
      <c r="L724" s="95">
        <v>4.5961157048901713</v>
      </c>
      <c r="M724" s="95">
        <v>24.653825789445943</v>
      </c>
      <c r="N724" s="95">
        <v>9.2001675311464783</v>
      </c>
      <c r="O724" s="95">
        <v>2997.9433184119539</v>
      </c>
      <c r="P724" s="95">
        <v>4300.4422068303411</v>
      </c>
      <c r="Q724" s="95">
        <v>10000.000000000007</v>
      </c>
      <c r="S724" s="98"/>
      <c r="T724" s="95"/>
      <c r="U724" s="99"/>
      <c r="W724" s="121"/>
      <c r="X724" s="59"/>
      <c r="Y724" s="59"/>
      <c r="Z724" s="59"/>
      <c r="AA724" s="59"/>
      <c r="AB724" s="59"/>
      <c r="AC724" s="59"/>
      <c r="AD724" s="59"/>
      <c r="AE724" s="59"/>
      <c r="AF724" s="68"/>
    </row>
    <row r="725" spans="1:32" x14ac:dyDescent="0.2">
      <c r="A725" s="95">
        <v>688</v>
      </c>
      <c r="B725" s="95">
        <v>57</v>
      </c>
      <c r="C725" s="95">
        <v>4</v>
      </c>
      <c r="D725" s="95"/>
      <c r="E725" s="95">
        <v>564.90213354827893</v>
      </c>
      <c r="F725" s="95">
        <v>1210.5045718891665</v>
      </c>
      <c r="G725" s="95">
        <v>766.65289552980562</v>
      </c>
      <c r="H725" s="95">
        <v>1.1015792990317572</v>
      </c>
      <c r="I725" s="95">
        <v>104.10457454007205</v>
      </c>
      <c r="J725" s="95"/>
      <c r="K725" s="95"/>
      <c r="L725" s="95">
        <v>4.5527988095228711</v>
      </c>
      <c r="M725" s="95">
        <v>24.403862739278217</v>
      </c>
      <c r="N725" s="95">
        <v>9.1079215568284724</v>
      </c>
      <c r="O725" s="95">
        <v>2998.5705011688297</v>
      </c>
      <c r="P725" s="95">
        <v>4316.0991609191924</v>
      </c>
      <c r="Q725" s="95">
        <v>10000.000000000007</v>
      </c>
      <c r="S725" s="98"/>
      <c r="T725" s="95"/>
      <c r="U725" s="99"/>
      <c r="W725" s="121"/>
      <c r="X725" s="59"/>
      <c r="Y725" s="59"/>
      <c r="Z725" s="59"/>
      <c r="AA725" s="59"/>
      <c r="AB725" s="59"/>
      <c r="AC725" s="59"/>
      <c r="AD725" s="59"/>
      <c r="AE725" s="59"/>
      <c r="AF725" s="68"/>
    </row>
    <row r="726" spans="1:32" x14ac:dyDescent="0.2">
      <c r="A726" s="95">
        <v>689</v>
      </c>
      <c r="B726" s="95">
        <v>57</v>
      </c>
      <c r="C726" s="95">
        <v>5</v>
      </c>
      <c r="D726" s="95"/>
      <c r="E726" s="95">
        <v>561.62829605136778</v>
      </c>
      <c r="F726" s="95">
        <v>1203.489205824357</v>
      </c>
      <c r="G726" s="95">
        <v>762.20983035542622</v>
      </c>
      <c r="H726" s="95">
        <v>1.0845465993106937</v>
      </c>
      <c r="I726" s="95">
        <v>103.05209960772288</v>
      </c>
      <c r="J726" s="95"/>
      <c r="K726" s="95"/>
      <c r="L726" s="95">
        <v>4.509834214967281</v>
      </c>
      <c r="M726" s="95">
        <v>24.15644366022882</v>
      </c>
      <c r="N726" s="95">
        <v>9.0165903260414755</v>
      </c>
      <c r="O726" s="95">
        <v>2999.1914115450713</v>
      </c>
      <c r="P726" s="95">
        <v>4331.6617418155129</v>
      </c>
      <c r="Q726" s="95">
        <v>10000.000000000005</v>
      </c>
      <c r="S726" s="98"/>
      <c r="T726" s="95"/>
      <c r="U726" s="99"/>
      <c r="W726" s="121"/>
      <c r="X726" s="59"/>
      <c r="Y726" s="59"/>
      <c r="Z726" s="59"/>
      <c r="AA726" s="59"/>
      <c r="AB726" s="59"/>
      <c r="AC726" s="59"/>
      <c r="AD726" s="59"/>
      <c r="AE726" s="59"/>
      <c r="AF726" s="68"/>
    </row>
    <row r="727" spans="1:32" x14ac:dyDescent="0.2">
      <c r="A727" s="95">
        <v>690</v>
      </c>
      <c r="B727" s="95">
        <v>57</v>
      </c>
      <c r="C727" s="95">
        <v>6</v>
      </c>
      <c r="D727" s="95"/>
      <c r="E727" s="95">
        <v>558.37343177356786</v>
      </c>
      <c r="F727" s="95">
        <v>1196.5144966576429</v>
      </c>
      <c r="G727" s="95">
        <v>757.79251454984058</v>
      </c>
      <c r="H727" s="95">
        <v>1.0677772604389517</v>
      </c>
      <c r="I727" s="95">
        <v>102.01020797695882</v>
      </c>
      <c r="J727" s="95"/>
      <c r="K727" s="95"/>
      <c r="L727" s="95">
        <v>4.4672206239082062</v>
      </c>
      <c r="M727" s="95">
        <v>23.91154230748807</v>
      </c>
      <c r="N727" s="95">
        <v>8.9261648715870816</v>
      </c>
      <c r="O727" s="95">
        <v>2999.8061111772622</v>
      </c>
      <c r="P727" s="95">
        <v>4347.1305328013123</v>
      </c>
      <c r="Q727" s="95">
        <v>10000.000000000007</v>
      </c>
      <c r="S727" s="98"/>
      <c r="T727" s="95"/>
      <c r="U727" s="99"/>
      <c r="W727" s="121"/>
      <c r="X727" s="59"/>
      <c r="Y727" s="59"/>
      <c r="Z727" s="59"/>
      <c r="AA727" s="59"/>
      <c r="AB727" s="59"/>
      <c r="AC727" s="59"/>
      <c r="AD727" s="59"/>
      <c r="AE727" s="59"/>
      <c r="AF727" s="68"/>
    </row>
    <row r="728" spans="1:32" x14ac:dyDescent="0.2">
      <c r="A728" s="95">
        <v>691</v>
      </c>
      <c r="B728" s="95">
        <v>57</v>
      </c>
      <c r="C728" s="95">
        <v>7</v>
      </c>
      <c r="D728" s="95"/>
      <c r="E728" s="95">
        <v>555.1374307573617</v>
      </c>
      <c r="F728" s="95">
        <v>1189.5802087657726</v>
      </c>
      <c r="G728" s="95">
        <v>753.4007988849894</v>
      </c>
      <c r="H728" s="95">
        <v>1.0512672103118095</v>
      </c>
      <c r="I728" s="95">
        <v>100.97879411615131</v>
      </c>
      <c r="J728" s="95"/>
      <c r="K728" s="95"/>
      <c r="L728" s="95">
        <v>4.4249566925313859</v>
      </c>
      <c r="M728" s="95">
        <v>23.669132716677545</v>
      </c>
      <c r="N728" s="95">
        <v>8.8366363169028226</v>
      </c>
      <c r="O728" s="95">
        <v>3000.4146611182755</v>
      </c>
      <c r="P728" s="95">
        <v>4362.5061134210328</v>
      </c>
      <c r="Q728" s="95">
        <v>10000.000000000007</v>
      </c>
      <c r="S728" s="98"/>
      <c r="T728" s="95"/>
      <c r="U728" s="99"/>
      <c r="W728" s="121"/>
      <c r="X728" s="59"/>
      <c r="Y728" s="59"/>
      <c r="Z728" s="59"/>
      <c r="AA728" s="59"/>
      <c r="AB728" s="59"/>
      <c r="AC728" s="59"/>
      <c r="AD728" s="59"/>
      <c r="AE728" s="59"/>
      <c r="AF728" s="68"/>
    </row>
    <row r="729" spans="1:32" x14ac:dyDescent="0.2">
      <c r="A729" s="95">
        <v>692</v>
      </c>
      <c r="B729" s="95">
        <v>57</v>
      </c>
      <c r="C729" s="95">
        <v>8</v>
      </c>
      <c r="D729" s="95"/>
      <c r="E729" s="95">
        <v>551.92018368248046</v>
      </c>
      <c r="F729" s="95">
        <v>1182.6861078910272</v>
      </c>
      <c r="G729" s="95">
        <v>749.03453499765055</v>
      </c>
      <c r="H729" s="95">
        <v>1.0350124397877267</v>
      </c>
      <c r="I729" s="95">
        <v>99.957753532004745</v>
      </c>
      <c r="J729" s="95"/>
      <c r="K729" s="95"/>
      <c r="L729" s="95">
        <v>4.3830410325659992</v>
      </c>
      <c r="M729" s="95">
        <v>23.429189200621476</v>
      </c>
      <c r="N729" s="95">
        <v>8.7479958748605391</v>
      </c>
      <c r="O729" s="95">
        <v>3001.0171218424111</v>
      </c>
      <c r="P729" s="95">
        <v>4377.7890595065974</v>
      </c>
      <c r="Q729" s="95">
        <v>10000.000000000007</v>
      </c>
      <c r="S729" s="98"/>
      <c r="T729" s="95"/>
      <c r="U729" s="99"/>
      <c r="W729" s="121"/>
      <c r="X729" s="59"/>
      <c r="Y729" s="59"/>
      <c r="Z729" s="59"/>
      <c r="AA729" s="59"/>
      <c r="AB729" s="59"/>
      <c r="AC729" s="59"/>
      <c r="AD729" s="59"/>
      <c r="AE729" s="59"/>
      <c r="AF729" s="68"/>
    </row>
    <row r="730" spans="1:32" x14ac:dyDescent="0.2">
      <c r="A730" s="95">
        <v>693</v>
      </c>
      <c r="B730" s="95">
        <v>57</v>
      </c>
      <c r="C730" s="95">
        <v>9</v>
      </c>
      <c r="D730" s="95"/>
      <c r="E730" s="95">
        <v>548.72158186221066</v>
      </c>
      <c r="F730" s="95">
        <v>1175.8319611333063</v>
      </c>
      <c r="G730" s="95">
        <v>744.69357538442728</v>
      </c>
      <c r="H730" s="95">
        <v>1.0190090017148028</v>
      </c>
      <c r="I730" s="95">
        <v>98.946982759561735</v>
      </c>
      <c r="J730" s="95"/>
      <c r="K730" s="95"/>
      <c r="L730" s="95">
        <v>4.3414722132649306</v>
      </c>
      <c r="M730" s="95">
        <v>23.191686346160338</v>
      </c>
      <c r="N730" s="95">
        <v>8.6602348465959853</v>
      </c>
      <c r="O730" s="95">
        <v>3001.6135532504913</v>
      </c>
      <c r="P730" s="95">
        <v>4392.9799432022737</v>
      </c>
      <c r="Q730" s="95">
        <v>10000.000000000007</v>
      </c>
      <c r="S730" s="98"/>
      <c r="T730" s="95"/>
      <c r="U730" s="99"/>
      <c r="W730" s="121"/>
      <c r="X730" s="59"/>
      <c r="Y730" s="59"/>
      <c r="Z730" s="59"/>
      <c r="AA730" s="59"/>
      <c r="AB730" s="59"/>
      <c r="AC730" s="59"/>
      <c r="AD730" s="59"/>
      <c r="AE730" s="59"/>
      <c r="AF730" s="68"/>
    </row>
    <row r="731" spans="1:32" x14ac:dyDescent="0.2">
      <c r="A731" s="95">
        <v>694</v>
      </c>
      <c r="B731" s="95">
        <v>57</v>
      </c>
      <c r="C731" s="95">
        <v>10</v>
      </c>
      <c r="D731" s="95"/>
      <c r="E731" s="95">
        <v>545.54151723972257</v>
      </c>
      <c r="F731" s="95">
        <v>1169.0175369422604</v>
      </c>
      <c r="G731" s="95">
        <v>740.37777339676495</v>
      </c>
      <c r="H731" s="95">
        <v>1.0032530099722887</v>
      </c>
      <c r="I731" s="95">
        <v>97.946379352300781</v>
      </c>
      <c r="J731" s="95"/>
      <c r="K731" s="95"/>
      <c r="L731" s="95">
        <v>4.3002487633245243</v>
      </c>
      <c r="M731" s="95">
        <v>22.956599011006013</v>
      </c>
      <c r="N731" s="95">
        <v>8.5733446203683705</v>
      </c>
      <c r="O731" s="95">
        <v>3002.2040146749146</v>
      </c>
      <c r="P731" s="95">
        <v>4408.0793329893722</v>
      </c>
      <c r="Q731" s="95">
        <v>10000.000000000007</v>
      </c>
      <c r="S731" s="98"/>
      <c r="T731" s="95"/>
      <c r="U731" s="99"/>
      <c r="W731" s="121"/>
      <c r="X731" s="59"/>
      <c r="Y731" s="59"/>
      <c r="Z731" s="59"/>
      <c r="AA731" s="59"/>
      <c r="AB731" s="59"/>
      <c r="AC731" s="59"/>
      <c r="AD731" s="59"/>
      <c r="AE731" s="59"/>
      <c r="AF731" s="68"/>
    </row>
    <row r="732" spans="1:32" x14ac:dyDescent="0.2">
      <c r="A732" s="95">
        <v>695</v>
      </c>
      <c r="B732" s="95">
        <v>57</v>
      </c>
      <c r="C732" s="95">
        <v>11</v>
      </c>
      <c r="D732" s="95"/>
      <c r="E732" s="95">
        <v>542.37988238441972</v>
      </c>
      <c r="F732" s="95">
        <v>1162.2426051094685</v>
      </c>
      <c r="G732" s="95">
        <v>736.08698323599674</v>
      </c>
      <c r="H732" s="95">
        <v>0.98774063852691851</v>
      </c>
      <c r="I732" s="95">
        <v>96.955841872325905</v>
      </c>
      <c r="J732" s="95"/>
      <c r="K732" s="95"/>
      <c r="L732" s="95">
        <v>4.259369172745517</v>
      </c>
      <c r="M732" s="95">
        <v>22.723902320637862</v>
      </c>
      <c r="N732" s="95">
        <v>8.4873166704485907</v>
      </c>
      <c r="O732" s="95">
        <v>3002.7885648846691</v>
      </c>
      <c r="P732" s="95">
        <v>4423.087793710768</v>
      </c>
      <c r="Q732" s="95">
        <v>10000.000000000007</v>
      </c>
      <c r="S732" s="98"/>
      <c r="T732" s="95"/>
      <c r="U732" s="99"/>
      <c r="W732" s="121"/>
      <c r="X732" s="59"/>
      <c r="Y732" s="59"/>
      <c r="Z732" s="59"/>
      <c r="AA732" s="59"/>
      <c r="AB732" s="59"/>
      <c r="AC732" s="59"/>
      <c r="AD732" s="59"/>
      <c r="AE732" s="59"/>
      <c r="AF732" s="68"/>
    </row>
    <row r="733" spans="1:32" x14ac:dyDescent="0.2">
      <c r="A733" s="95">
        <v>696</v>
      </c>
      <c r="B733" s="95">
        <v>58</v>
      </c>
      <c r="C733" s="95">
        <v>0</v>
      </c>
      <c r="D733" s="95"/>
      <c r="E733" s="95">
        <v>539.23657048830944</v>
      </c>
      <c r="F733" s="95">
        <v>1155.5069367606609</v>
      </c>
      <c r="G733" s="95">
        <v>731.82105994841856</v>
      </c>
      <c r="H733" s="95">
        <v>0.97246812050383291</v>
      </c>
      <c r="I733" s="95">
        <v>95.975269880647389</v>
      </c>
      <c r="J733" s="95"/>
      <c r="K733" s="95"/>
      <c r="L733" s="95">
        <v>4.2188318946367787</v>
      </c>
      <c r="M733" s="95">
        <v>22.493571665239092</v>
      </c>
      <c r="N733" s="95">
        <v>8.4021425560349741</v>
      </c>
      <c r="O733" s="95">
        <v>3003.3672620903053</v>
      </c>
      <c r="P733" s="95">
        <v>4438.0058865952515</v>
      </c>
      <c r="Q733" s="95">
        <v>10000.000000000007</v>
      </c>
      <c r="S733" s="98"/>
      <c r="T733" s="95"/>
      <c r="U733" s="99"/>
      <c r="W733" s="121"/>
      <c r="X733" s="59"/>
      <c r="Y733" s="59"/>
      <c r="Z733" s="59"/>
      <c r="AA733" s="59"/>
      <c r="AB733" s="59"/>
      <c r="AC733" s="59"/>
      <c r="AD733" s="59"/>
      <c r="AE733" s="59"/>
      <c r="AF733" s="68"/>
    </row>
    <row r="734" spans="1:32" x14ac:dyDescent="0.2">
      <c r="A734" s="95">
        <v>697</v>
      </c>
      <c r="B734" s="95">
        <v>58</v>
      </c>
      <c r="C734" s="95">
        <v>1</v>
      </c>
      <c r="D734" s="95"/>
      <c r="E734" s="95">
        <v>536.11147536239503</v>
      </c>
      <c r="F734" s="95">
        <v>1148.8103043479871</v>
      </c>
      <c r="G734" s="95">
        <v>727.57985942039181</v>
      </c>
      <c r="H734" s="95">
        <v>0.95743174727186708</v>
      </c>
      <c r="I734" s="95">
        <v>95.004563927552667</v>
      </c>
      <c r="J734" s="95"/>
      <c r="K734" s="95"/>
      <c r="L734" s="95">
        <v>4.1786353469634729</v>
      </c>
      <c r="M734" s="95">
        <v>22.265582696672805</v>
      </c>
      <c r="N734" s="95">
        <v>8.3178139201954213</v>
      </c>
      <c r="O734" s="95">
        <v>3003.9401639488683</v>
      </c>
      <c r="P734" s="95">
        <v>4452.8341692817094</v>
      </c>
      <c r="Q734" s="95">
        <v>10000.000000000007</v>
      </c>
      <c r="S734" s="98"/>
      <c r="T734" s="95"/>
      <c r="U734" s="99"/>
      <c r="W734" s="121"/>
      <c r="X734" s="59"/>
      <c r="Y734" s="59"/>
      <c r="Z734" s="59"/>
      <c r="AA734" s="59"/>
      <c r="AB734" s="59"/>
      <c r="AC734" s="59"/>
      <c r="AD734" s="59"/>
      <c r="AE734" s="59"/>
      <c r="AF734" s="68"/>
    </row>
    <row r="735" spans="1:32" x14ac:dyDescent="0.2">
      <c r="A735" s="95">
        <v>698</v>
      </c>
      <c r="B735" s="95">
        <v>58</v>
      </c>
      <c r="C735" s="95">
        <v>2</v>
      </c>
      <c r="D735" s="95"/>
      <c r="E735" s="95">
        <v>533.00449143308799</v>
      </c>
      <c r="F735" s="95">
        <v>1142.1524816423291</v>
      </c>
      <c r="G735" s="95">
        <v>723.36323837347516</v>
      </c>
      <c r="H735" s="95">
        <v>0.94262786754298278</v>
      </c>
      <c r="I735" s="95">
        <v>94.043625543066838</v>
      </c>
      <c r="J735" s="95"/>
      <c r="K735" s="95"/>
      <c r="L735" s="95">
        <v>4.1387779142411727</v>
      </c>
      <c r="M735" s="95">
        <v>22.039911325497133</v>
      </c>
      <c r="N735" s="95">
        <v>8.234322488834847</v>
      </c>
      <c r="O735" s="95">
        <v>3004.5073275687932</v>
      </c>
      <c r="P735" s="95">
        <v>4467.5731958431397</v>
      </c>
      <c r="Q735" s="95">
        <v>10000.000000000009</v>
      </c>
      <c r="S735" s="98"/>
      <c r="T735" s="95"/>
      <c r="U735" s="99"/>
      <c r="W735" s="121"/>
      <c r="X735" s="59"/>
      <c r="Y735" s="59"/>
      <c r="Z735" s="59"/>
      <c r="AA735" s="59"/>
      <c r="AB735" s="59"/>
      <c r="AC735" s="59"/>
      <c r="AD735" s="59"/>
      <c r="AE735" s="59"/>
      <c r="AF735" s="68"/>
    </row>
    <row r="736" spans="1:32" x14ac:dyDescent="0.2">
      <c r="A736" s="95">
        <v>699</v>
      </c>
      <c r="B736" s="95">
        <v>58</v>
      </c>
      <c r="C736" s="95">
        <v>3</v>
      </c>
      <c r="D736" s="95"/>
      <c r="E736" s="95">
        <v>529.91551373864183</v>
      </c>
      <c r="F736" s="95">
        <v>1135.5332437256586</v>
      </c>
      <c r="G736" s="95">
        <v>719.17105435958388</v>
      </c>
      <c r="H736" s="95">
        <v>0.92805288648562434</v>
      </c>
      <c r="I736" s="95">
        <v>93.092357227501807</v>
      </c>
      <c r="J736" s="95"/>
      <c r="K736" s="95"/>
      <c r="L736" s="95">
        <v>4.0992579491774537</v>
      </c>
      <c r="M736" s="95">
        <v>21.816533718018832</v>
      </c>
      <c r="N736" s="95">
        <v>8.1516600696869084</v>
      </c>
      <c r="O736" s="95">
        <v>3005.0688095147584</v>
      </c>
      <c r="P736" s="95">
        <v>4482.2235168104944</v>
      </c>
      <c r="Q736" s="95">
        <v>10000.000000000007</v>
      </c>
      <c r="S736" s="98"/>
      <c r="T736" s="95"/>
      <c r="U736" s="99"/>
      <c r="W736" s="121"/>
      <c r="X736" s="59"/>
      <c r="Y736" s="59"/>
      <c r="Z736" s="59"/>
      <c r="AA736" s="59"/>
      <c r="AB736" s="59"/>
      <c r="AC736" s="59"/>
      <c r="AD736" s="59"/>
      <c r="AE736" s="59"/>
      <c r="AF736" s="68"/>
    </row>
    <row r="737" spans="1:32" x14ac:dyDescent="0.2">
      <c r="A737" s="95">
        <v>700</v>
      </c>
      <c r="B737" s="95">
        <v>58</v>
      </c>
      <c r="C737" s="95">
        <v>4</v>
      </c>
      <c r="D737" s="95"/>
      <c r="E737" s="95">
        <v>526.84443792560592</v>
      </c>
      <c r="F737" s="95">
        <v>1128.9523669834389</v>
      </c>
      <c r="G737" s="95">
        <v>715.00316575617796</v>
      </c>
      <c r="H737" s="95">
        <v>0.91370326485178488</v>
      </c>
      <c r="I737" s="95">
        <v>92.150662442093378</v>
      </c>
      <c r="J737" s="95"/>
      <c r="K737" s="95"/>
      <c r="L737" s="95">
        <v>4.0600737742624222</v>
      </c>
      <c r="M737" s="95">
        <v>21.595426293384797</v>
      </c>
      <c r="N737" s="95">
        <v>8.0698185513290301</v>
      </c>
      <c r="O737" s="95">
        <v>3005.6246658125019</v>
      </c>
      <c r="P737" s="95">
        <v>4496.7856791963613</v>
      </c>
      <c r="Q737" s="95">
        <v>10000.000000000007</v>
      </c>
      <c r="S737" s="98"/>
      <c r="T737" s="95"/>
      <c r="U737" s="99"/>
      <c r="W737" s="121"/>
      <c r="X737" s="59"/>
      <c r="Y737" s="59"/>
      <c r="Z737" s="59"/>
      <c r="AA737" s="59"/>
      <c r="AB737" s="59"/>
      <c r="AC737" s="59"/>
      <c r="AD737" s="59"/>
      <c r="AE737" s="59"/>
      <c r="AF737" s="68"/>
    </row>
    <row r="738" spans="1:32" x14ac:dyDescent="0.2">
      <c r="A738" s="95">
        <v>701</v>
      </c>
      <c r="B738" s="95">
        <v>58</v>
      </c>
      <c r="C738" s="95">
        <v>5</v>
      </c>
      <c r="D738" s="95"/>
      <c r="E738" s="95">
        <v>523.79116024530038</v>
      </c>
      <c r="F738" s="95">
        <v>1122.4096290970699</v>
      </c>
      <c r="G738" s="95">
        <v>710.85943176147759</v>
      </c>
      <c r="H738" s="95">
        <v>0.89957551811756897</v>
      </c>
      <c r="I738" s="95">
        <v>91.218445599725555</v>
      </c>
      <c r="J738" s="95"/>
      <c r="K738" s="95"/>
      <c r="L738" s="95">
        <v>4.0212236833096284</v>
      </c>
      <c r="M738" s="95">
        <v>21.376565720710907</v>
      </c>
      <c r="N738" s="95">
        <v>7.9887899022197999</v>
      </c>
      <c r="O738" s="95">
        <v>3006.1749519536011</v>
      </c>
      <c r="P738" s="95">
        <v>4511.2602265184742</v>
      </c>
      <c r="Q738" s="95">
        <v>10000.000000000007</v>
      </c>
      <c r="S738" s="98"/>
      <c r="T738" s="95"/>
      <c r="U738" s="99"/>
      <c r="W738" s="121"/>
      <c r="X738" s="59"/>
      <c r="Y738" s="59"/>
      <c r="Z738" s="59"/>
      <c r="AA738" s="59"/>
      <c r="AB738" s="59"/>
      <c r="AC738" s="59"/>
      <c r="AD738" s="59"/>
      <c r="AE738" s="59"/>
      <c r="AF738" s="68"/>
    </row>
    <row r="739" spans="1:32" x14ac:dyDescent="0.2">
      <c r="A739" s="95">
        <v>702</v>
      </c>
      <c r="B739" s="95">
        <v>58</v>
      </c>
      <c r="C739" s="95">
        <v>6</v>
      </c>
      <c r="D739" s="95"/>
      <c r="E739" s="95">
        <v>520.75557755031116</v>
      </c>
      <c r="F739" s="95">
        <v>1115.9048090363788</v>
      </c>
      <c r="G739" s="95">
        <v>706.73971238970648</v>
      </c>
      <c r="H739" s="95">
        <v>0.88566621563704462</v>
      </c>
      <c r="I739" s="95">
        <v>90.295612055741216</v>
      </c>
      <c r="J739" s="95"/>
      <c r="K739" s="95"/>
      <c r="L739" s="95">
        <v>3.9827059429487246</v>
      </c>
      <c r="M739" s="95">
        <v>21.159928916247619</v>
      </c>
      <c r="N739" s="95">
        <v>7.908566169757834</v>
      </c>
      <c r="O739" s="95">
        <v>3006.7197229002118</v>
      </c>
      <c r="P739" s="95">
        <v>4525.6476988230661</v>
      </c>
      <c r="Q739" s="95">
        <v>10000.000000000007</v>
      </c>
      <c r="S739" s="98"/>
      <c r="T739" s="95"/>
      <c r="U739" s="99"/>
      <c r="W739" s="121"/>
      <c r="X739" s="59"/>
      <c r="Y739" s="59"/>
      <c r="Z739" s="59"/>
      <c r="AA739" s="59"/>
      <c r="AB739" s="59"/>
      <c r="AC739" s="59"/>
      <c r="AD739" s="59"/>
      <c r="AE739" s="59"/>
      <c r="AF739" s="68"/>
    </row>
    <row r="740" spans="1:32" x14ac:dyDescent="0.2">
      <c r="A740" s="95">
        <v>703</v>
      </c>
      <c r="B740" s="95">
        <v>58</v>
      </c>
      <c r="C740" s="95">
        <v>7</v>
      </c>
      <c r="D740" s="95"/>
      <c r="E740" s="95">
        <v>517.7375872910053</v>
      </c>
      <c r="F740" s="95">
        <v>1109.4376870521519</v>
      </c>
      <c r="G740" s="95">
        <v>702.64386846636273</v>
      </c>
      <c r="H740" s="95">
        <v>0.8719719798091784</v>
      </c>
      <c r="I740" s="95">
        <v>89.382068098838516</v>
      </c>
      <c r="J740" s="95"/>
      <c r="K740" s="95"/>
      <c r="L740" s="95">
        <v>3.9445187940712567</v>
      </c>
      <c r="M740" s="95">
        <v>20.945493040581788</v>
      </c>
      <c r="N740" s="95">
        <v>7.8291394793612588</v>
      </c>
      <c r="O740" s="95">
        <v>3007.2590330897719</v>
      </c>
      <c r="P740" s="95">
        <v>4539.9486327080531</v>
      </c>
      <c r="Q740" s="95">
        <v>10000.000000000007</v>
      </c>
      <c r="S740" s="98"/>
      <c r="T740" s="95"/>
      <c r="U740" s="99"/>
      <c r="W740" s="121"/>
      <c r="X740" s="59"/>
      <c r="Y740" s="59"/>
      <c r="Z740" s="59"/>
      <c r="AA740" s="59"/>
      <c r="AB740" s="59"/>
      <c r="AC740" s="59"/>
      <c r="AD740" s="59"/>
      <c r="AE740" s="59"/>
      <c r="AF740" s="68"/>
    </row>
    <row r="741" spans="1:32" x14ac:dyDescent="0.2">
      <c r="A741" s="95">
        <v>704</v>
      </c>
      <c r="B741" s="95">
        <v>58</v>
      </c>
      <c r="C741" s="95">
        <v>8</v>
      </c>
      <c r="D741" s="95"/>
      <c r="E741" s="95">
        <v>514.73708751206664</v>
      </c>
      <c r="F741" s="95">
        <v>1103.0080446687118</v>
      </c>
      <c r="G741" s="95">
        <v>698.57176162351743</v>
      </c>
      <c r="H741" s="95">
        <v>0.85848948525765101</v>
      </c>
      <c r="I741" s="95">
        <v>88.47772094205213</v>
      </c>
      <c r="J741" s="95"/>
      <c r="K741" s="95"/>
      <c r="L741" s="95">
        <v>3.9066604532308764</v>
      </c>
      <c r="M741" s="95">
        <v>20.733235495874151</v>
      </c>
      <c r="N741" s="95">
        <v>7.7505020335669998</v>
      </c>
      <c r="O741" s="95">
        <v>3007.7929364396682</v>
      </c>
      <c r="P741" s="95">
        <v>4554.1635613460612</v>
      </c>
      <c r="Q741" s="95">
        <v>10000.000000000007</v>
      </c>
      <c r="S741" s="98"/>
      <c r="T741" s="95"/>
      <c r="U741" s="99"/>
      <c r="W741" s="121"/>
      <c r="X741" s="59"/>
      <c r="Y741" s="59"/>
      <c r="Z741" s="59"/>
      <c r="AA741" s="59"/>
      <c r="AB741" s="59"/>
      <c r="AC741" s="59"/>
      <c r="AD741" s="59"/>
      <c r="AE741" s="59"/>
      <c r="AF741" s="68"/>
    </row>
    <row r="742" spans="1:32" x14ac:dyDescent="0.2">
      <c r="A742" s="95">
        <v>705</v>
      </c>
      <c r="B742" s="95">
        <v>58</v>
      </c>
      <c r="C742" s="95">
        <v>9</v>
      </c>
      <c r="D742" s="95"/>
      <c r="E742" s="95">
        <v>511.75397684905158</v>
      </c>
      <c r="F742" s="95">
        <v>1096.6156646765367</v>
      </c>
      <c r="G742" s="95">
        <v>694.52325429513985</v>
      </c>
      <c r="H742" s="95">
        <v>0.84521545802335529</v>
      </c>
      <c r="I742" s="95">
        <v>87.582478713818702</v>
      </c>
      <c r="J742" s="95"/>
      <c r="K742" s="95"/>
      <c r="L742" s="95">
        <v>3.8691291139992692</v>
      </c>
      <c r="M742" s="95">
        <v>20.523133923131958</v>
      </c>
      <c r="N742" s="95">
        <v>7.6726461111491027</v>
      </c>
      <c r="O742" s="95">
        <v>3008.3214863518647</v>
      </c>
      <c r="P742" s="95">
        <v>4568.2930145072914</v>
      </c>
      <c r="Q742" s="95">
        <v>10000.000000000007</v>
      </c>
      <c r="S742" s="98"/>
      <c r="T742" s="95"/>
      <c r="U742" s="99"/>
      <c r="W742" s="121"/>
      <c r="X742" s="59"/>
      <c r="Y742" s="59"/>
      <c r="Z742" s="59"/>
      <c r="AA742" s="59"/>
      <c r="AB742" s="59"/>
      <c r="AC742" s="59"/>
      <c r="AD742" s="59"/>
      <c r="AE742" s="59"/>
      <c r="AF742" s="68"/>
    </row>
    <row r="743" spans="1:32" x14ac:dyDescent="0.2">
      <c r="A743" s="95">
        <v>706</v>
      </c>
      <c r="B743" s="95">
        <v>58</v>
      </c>
      <c r="C743" s="95">
        <v>10</v>
      </c>
      <c r="D743" s="95"/>
      <c r="E743" s="95">
        <v>508.78815452496468</v>
      </c>
      <c r="F743" s="95">
        <v>1090.2603311249218</v>
      </c>
      <c r="G743" s="95">
        <v>690.49820971245049</v>
      </c>
      <c r="H743" s="95">
        <v>0.8321466747693792</v>
      </c>
      <c r="I743" s="95">
        <v>86.696250449125728</v>
      </c>
      <c r="J743" s="95"/>
      <c r="K743" s="95"/>
      <c r="L743" s="95">
        <v>3.8319229482790473</v>
      </c>
      <c r="M743" s="95">
        <v>20.315166199516202</v>
      </c>
      <c r="N743" s="95">
        <v>7.595564066255335</v>
      </c>
      <c r="O743" s="95">
        <v>3008.8447357174978</v>
      </c>
      <c r="P743" s="95">
        <v>4582.337518582226</v>
      </c>
      <c r="Q743" s="95">
        <v>10000.000000000007</v>
      </c>
      <c r="S743" s="98"/>
      <c r="T743" s="95"/>
      <c r="U743" s="99"/>
      <c r="W743" s="121"/>
      <c r="X743" s="59"/>
      <c r="Y743" s="59"/>
      <c r="Z743" s="59"/>
      <c r="AA743" s="59"/>
      <c r="AB743" s="59"/>
      <c r="AC743" s="59"/>
      <c r="AD743" s="59"/>
      <c r="AE743" s="59"/>
      <c r="AF743" s="68"/>
    </row>
    <row r="744" spans="1:32" x14ac:dyDescent="0.2">
      <c r="A744" s="95">
        <v>707</v>
      </c>
      <c r="B744" s="95">
        <v>58</v>
      </c>
      <c r="C744" s="95">
        <v>11</v>
      </c>
      <c r="D744" s="95"/>
      <c r="E744" s="95">
        <v>505.8395203468541</v>
      </c>
      <c r="F744" s="95">
        <v>1083.9418293146848</v>
      </c>
      <c r="G744" s="95">
        <v>686.49649189930039</v>
      </c>
      <c r="H744" s="95">
        <v>0.8192799619982819</v>
      </c>
      <c r="I744" s="95">
        <v>85.81894608074316</v>
      </c>
      <c r="J744" s="95"/>
      <c r="K744" s="95"/>
      <c r="L744" s="95">
        <v>3.7950401075748066</v>
      </c>
      <c r="M744" s="95">
        <v>20.109310435682964</v>
      </c>
      <c r="N744" s="95">
        <v>7.5192483275613737</v>
      </c>
      <c r="O744" s="95">
        <v>3009.3627369214332</v>
      </c>
      <c r="P744" s="95">
        <v>4596.2975966041731</v>
      </c>
      <c r="Q744" s="95">
        <v>10000.000000000005</v>
      </c>
      <c r="S744" s="98"/>
      <c r="T744" s="95"/>
      <c r="U744" s="99"/>
      <c r="W744" s="121"/>
      <c r="X744" s="59"/>
      <c r="Y744" s="59"/>
      <c r="Z744" s="59"/>
      <c r="AA744" s="59"/>
      <c r="AB744" s="59"/>
      <c r="AC744" s="59"/>
      <c r="AD744" s="59"/>
      <c r="AE744" s="59"/>
      <c r="AF744" s="68"/>
    </row>
    <row r="745" spans="1:32" x14ac:dyDescent="0.2">
      <c r="A745" s="95">
        <v>708</v>
      </c>
      <c r="B745" s="95">
        <v>59</v>
      </c>
      <c r="C745" s="95">
        <v>0</v>
      </c>
      <c r="D745" s="95"/>
      <c r="E745" s="95">
        <v>502.90797470242694</v>
      </c>
      <c r="F745" s="95">
        <v>1077.6599457909124</v>
      </c>
      <c r="G745" s="95">
        <v>682.51796566757776</v>
      </c>
      <c r="H745" s="95">
        <v>0.80661219528147221</v>
      </c>
      <c r="I745" s="95">
        <v>84.950476430536924</v>
      </c>
      <c r="J745" s="95"/>
      <c r="K745" s="95"/>
      <c r="L745" s="95">
        <v>3.75847872422354</v>
      </c>
      <c r="M745" s="95">
        <v>19.905544973158335</v>
      </c>
      <c r="N745" s="95">
        <v>7.4436913974418983</v>
      </c>
      <c r="O745" s="95">
        <v>3009.8755418467867</v>
      </c>
      <c r="P745" s="95">
        <v>4610.1737682716603</v>
      </c>
      <c r="Q745" s="95">
        <v>10000.000000000005</v>
      </c>
      <c r="S745" s="98"/>
      <c r="T745" s="95"/>
      <c r="U745" s="99"/>
      <c r="W745" s="121"/>
      <c r="X745" s="59"/>
      <c r="Y745" s="59"/>
      <c r="Z745" s="59"/>
      <c r="AA745" s="59"/>
      <c r="AB745" s="59"/>
      <c r="AC745" s="59"/>
      <c r="AD745" s="59"/>
      <c r="AE745" s="59"/>
      <c r="AF745" s="68"/>
    </row>
    <row r="746" spans="1:32" x14ac:dyDescent="0.2">
      <c r="A746" s="95">
        <v>709</v>
      </c>
      <c r="B746" s="95">
        <v>59</v>
      </c>
      <c r="C746" s="95">
        <v>1</v>
      </c>
      <c r="D746" s="95"/>
      <c r="E746" s="95">
        <v>499.99341855668399</v>
      </c>
      <c r="F746" s="95">
        <v>1071.414468335749</v>
      </c>
      <c r="G746" s="95">
        <v>678.56249661264087</v>
      </c>
      <c r="H746" s="95">
        <v>0.79414029850050238</v>
      </c>
      <c r="I746" s="95">
        <v>84.090753200863801</v>
      </c>
      <c r="J746" s="95"/>
      <c r="K746" s="95"/>
      <c r="L746" s="95">
        <v>3.722236912585549</v>
      </c>
      <c r="M746" s="95">
        <v>19.70384838174645</v>
      </c>
      <c r="N746" s="95">
        <v>7.368885851157942</v>
      </c>
      <c r="O746" s="95">
        <v>3010.3832018794128</v>
      </c>
      <c r="P746" s="95">
        <v>4623.9665499706662</v>
      </c>
      <c r="Q746" s="95">
        <v>10000.000000000007</v>
      </c>
      <c r="S746" s="98"/>
      <c r="T746" s="95"/>
      <c r="U746" s="99"/>
      <c r="W746" s="121"/>
      <c r="X746" s="59"/>
      <c r="Y746" s="59"/>
      <c r="Z746" s="59"/>
      <c r="AA746" s="59"/>
      <c r="AB746" s="59"/>
      <c r="AC746" s="59"/>
      <c r="AD746" s="59"/>
      <c r="AE746" s="59"/>
      <c r="AF746" s="68"/>
    </row>
    <row r="747" spans="1:32" x14ac:dyDescent="0.2">
      <c r="A747" s="95">
        <v>710</v>
      </c>
      <c r="B747" s="95">
        <v>59</v>
      </c>
      <c r="C747" s="95">
        <v>2</v>
      </c>
      <c r="D747" s="95"/>
      <c r="E747" s="95">
        <v>497.09575344857416</v>
      </c>
      <c r="F747" s="95">
        <v>1065.2051859612279</v>
      </c>
      <c r="G747" s="95">
        <v>674.6299511087775</v>
      </c>
      <c r="H747" s="95">
        <v>0.78186124310009331</v>
      </c>
      <c r="I747" s="95">
        <v>83.239688966046728</v>
      </c>
      <c r="J747" s="95"/>
      <c r="K747" s="95"/>
      <c r="L747" s="95">
        <v>3.6863127701969685</v>
      </c>
      <c r="M747" s="95">
        <v>19.504199456970106</v>
      </c>
      <c r="N747" s="95">
        <v>7.2948243360598957</v>
      </c>
      <c r="O747" s="95">
        <v>3010.8857679123539</v>
      </c>
      <c r="P747" s="95">
        <v>4637.6764547966995</v>
      </c>
      <c r="Q747" s="95">
        <v>10000.000000000007</v>
      </c>
      <c r="S747" s="98"/>
      <c r="T747" s="95"/>
      <c r="U747" s="99"/>
      <c r="W747" s="121"/>
      <c r="X747" s="59"/>
      <c r="Y747" s="59"/>
      <c r="Z747" s="59"/>
      <c r="AA747" s="59"/>
      <c r="AB747" s="59"/>
      <c r="AC747" s="59"/>
      <c r="AD747" s="59"/>
      <c r="AE747" s="59"/>
      <c r="AF747" s="68"/>
    </row>
    <row r="748" spans="1:32" x14ac:dyDescent="0.2">
      <c r="A748" s="95">
        <v>711</v>
      </c>
      <c r="B748" s="95">
        <v>59</v>
      </c>
      <c r="C748" s="95">
        <v>3</v>
      </c>
      <c r="D748" s="95"/>
      <c r="E748" s="95">
        <v>494.21488148766809</v>
      </c>
      <c r="F748" s="95">
        <v>1059.0318889021435</v>
      </c>
      <c r="G748" s="95">
        <v>670.72019630469072</v>
      </c>
      <c r="H748" s="95">
        <v>0.76977204735270899</v>
      </c>
      <c r="I748" s="95">
        <v>82.397197163930031</v>
      </c>
      <c r="J748" s="95"/>
      <c r="K748" s="95"/>
      <c r="L748" s="95">
        <v>3.6507043788849947</v>
      </c>
      <c r="M748" s="95">
        <v>19.306577217543531</v>
      </c>
      <c r="N748" s="95">
        <v>7.2214995708055696</v>
      </c>
      <c r="O748" s="95">
        <v>3011.3832903502584</v>
      </c>
      <c r="P748" s="95">
        <v>4651.3039925767298</v>
      </c>
      <c r="Q748" s="95">
        <v>10000.000000000007</v>
      </c>
      <c r="S748" s="98"/>
      <c r="T748" s="95"/>
      <c r="U748" s="99"/>
      <c r="W748" s="121"/>
      <c r="X748" s="59"/>
      <c r="Y748" s="59"/>
      <c r="Z748" s="59"/>
      <c r="AA748" s="59"/>
      <c r="AB748" s="59"/>
      <c r="AC748" s="59"/>
      <c r="AD748" s="59"/>
      <c r="AE748" s="59"/>
      <c r="AF748" s="68"/>
    </row>
    <row r="749" spans="1:32" x14ac:dyDescent="0.2">
      <c r="A749" s="95">
        <v>712</v>
      </c>
      <c r="B749" s="95">
        <v>59</v>
      </c>
      <c r="C749" s="95">
        <v>4</v>
      </c>
      <c r="D749" s="95"/>
      <c r="E749" s="95">
        <v>491.3507053508514</v>
      </c>
      <c r="F749" s="95">
        <v>1052.8943686089649</v>
      </c>
      <c r="G749" s="95">
        <v>666.83310011901096</v>
      </c>
      <c r="H749" s="95">
        <v>0.75786977563450286</v>
      </c>
      <c r="I749" s="95">
        <v>81.563192087513727</v>
      </c>
      <c r="J749" s="95"/>
      <c r="K749" s="95"/>
      <c r="L749" s="95">
        <v>3.6154098058468693</v>
      </c>
      <c r="M749" s="95">
        <v>19.110960902876791</v>
      </c>
      <c r="N749" s="95">
        <v>7.1489043445927578</v>
      </c>
      <c r="O749" s="95">
        <v>3011.8758191137631</v>
      </c>
      <c r="P749" s="95">
        <v>4664.8496698909521</v>
      </c>
      <c r="Q749" s="95">
        <v>10000.000000000007</v>
      </c>
      <c r="S749" s="98"/>
      <c r="T749" s="95"/>
      <c r="U749" s="99"/>
      <c r="W749" s="121"/>
      <c r="X749" s="59"/>
      <c r="Y749" s="59"/>
      <c r="Z749" s="59"/>
      <c r="AA749" s="59"/>
      <c r="AB749" s="59"/>
      <c r="AC749" s="59"/>
      <c r="AD749" s="59"/>
      <c r="AE749" s="59"/>
      <c r="AF749" s="68"/>
    </row>
    <row r="750" spans="1:32" x14ac:dyDescent="0.2">
      <c r="A750" s="95">
        <v>713</v>
      </c>
      <c r="B750" s="95">
        <v>59</v>
      </c>
      <c r="C750" s="95">
        <v>5</v>
      </c>
      <c r="D750" s="95"/>
      <c r="E750" s="95">
        <v>488.50312827903656</v>
      </c>
      <c r="F750" s="95">
        <v>1046.7924177407904</v>
      </c>
      <c r="G750" s="95">
        <v>662.96853123583367</v>
      </c>
      <c r="H750" s="95">
        <v>0.74615153771245912</v>
      </c>
      <c r="I750" s="95">
        <v>80.737588876666294</v>
      </c>
      <c r="J750" s="95"/>
      <c r="K750" s="95"/>
      <c r="L750" s="95">
        <v>3.5804271046936491</v>
      </c>
      <c r="M750" s="95">
        <v>18.917329970611394</v>
      </c>
      <c r="N750" s="95">
        <v>7.0770315164057713</v>
      </c>
      <c r="O750" s="95">
        <v>3012.3634036438402</v>
      </c>
      <c r="P750" s="95">
        <v>4678.3139900944161</v>
      </c>
      <c r="Q750" s="95">
        <v>10000.000000000007</v>
      </c>
      <c r="S750" s="98"/>
      <c r="T750" s="95"/>
      <c r="U750" s="99"/>
      <c r="W750" s="121"/>
      <c r="X750" s="59"/>
      <c r="Y750" s="59"/>
      <c r="Z750" s="59"/>
      <c r="AA750" s="59"/>
      <c r="AB750" s="59"/>
      <c r="AC750" s="59"/>
      <c r="AD750" s="59"/>
      <c r="AE750" s="59"/>
      <c r="AF750" s="68"/>
    </row>
    <row r="751" spans="1:32" x14ac:dyDescent="0.2">
      <c r="A751" s="95">
        <v>714</v>
      </c>
      <c r="B751" s="95">
        <v>59</v>
      </c>
      <c r="C751" s="95">
        <v>6</v>
      </c>
      <c r="D751" s="95"/>
      <c r="E751" s="95">
        <v>485.6720540738944</v>
      </c>
      <c r="F751" s="95">
        <v>1040.7258301583429</v>
      </c>
      <c r="G751" s="95">
        <v>659.12635910028359</v>
      </c>
      <c r="H751" s="95">
        <v>0.73461448804255636</v>
      </c>
      <c r="I751" s="95">
        <v>79.920303509915172</v>
      </c>
      <c r="J751" s="95"/>
      <c r="K751" s="95"/>
      <c r="L751" s="95">
        <v>3.5457543164597634</v>
      </c>
      <c r="M751" s="95">
        <v>18.725664094186634</v>
      </c>
      <c r="N751" s="95">
        <v>7.0058740142754283</v>
      </c>
      <c r="O751" s="95">
        <v>3012.8460929061125</v>
      </c>
      <c r="P751" s="95">
        <v>4691.6974533384928</v>
      </c>
      <c r="Q751" s="95">
        <v>10000.000000000005</v>
      </c>
      <c r="S751" s="98"/>
      <c r="T751" s="95"/>
      <c r="U751" s="99"/>
      <c r="W751" s="121"/>
      <c r="X751" s="59"/>
      <c r="Y751" s="59"/>
      <c r="Z751" s="59"/>
      <c r="AA751" s="59"/>
      <c r="AB751" s="59"/>
      <c r="AC751" s="59"/>
      <c r="AD751" s="59"/>
      <c r="AE751" s="59"/>
      <c r="AF751" s="68"/>
    </row>
    <row r="752" spans="1:32" x14ac:dyDescent="0.2">
      <c r="A752" s="95">
        <v>715</v>
      </c>
      <c r="B752" s="95">
        <v>59</v>
      </c>
      <c r="C752" s="95">
        <v>7</v>
      </c>
      <c r="D752" s="95"/>
      <c r="E752" s="95">
        <v>482.85738709460412</v>
      </c>
      <c r="F752" s="95">
        <v>1034.6944009170065</v>
      </c>
      <c r="G752" s="95">
        <v>655.30645391410394</v>
      </c>
      <c r="H752" s="95">
        <v>0.72325582507878283</v>
      </c>
      <c r="I752" s="95">
        <v>79.11125279631429</v>
      </c>
      <c r="J752" s="95"/>
      <c r="K752" s="95"/>
      <c r="L752" s="95">
        <v>3.5113894705793243</v>
      </c>
      <c r="M752" s="95">
        <v>18.535943160436204</v>
      </c>
      <c r="N752" s="95">
        <v>6.9354248345520197</v>
      </c>
      <c r="O752" s="95">
        <v>3013.3239353951326</v>
      </c>
      <c r="P752" s="95">
        <v>4705.0005565921983</v>
      </c>
      <c r="Q752" s="95">
        <v>10000.000000000005</v>
      </c>
      <c r="S752" s="98"/>
      <c r="T752" s="95"/>
      <c r="U752" s="99"/>
      <c r="W752" s="121"/>
      <c r="X752" s="59"/>
      <c r="Y752" s="59"/>
      <c r="Z752" s="59"/>
      <c r="AA752" s="59"/>
      <c r="AB752" s="59"/>
      <c r="AC752" s="59"/>
      <c r="AD752" s="59"/>
      <c r="AE752" s="59"/>
      <c r="AF752" s="68"/>
    </row>
    <row r="753" spans="1:32" x14ac:dyDescent="0.2">
      <c r="A753" s="95">
        <v>716</v>
      </c>
      <c r="B753" s="95">
        <v>59</v>
      </c>
      <c r="C753" s="95">
        <v>8</v>
      </c>
      <c r="D753" s="95"/>
      <c r="E753" s="95">
        <v>480.05903225462237</v>
      </c>
      <c r="F753" s="95">
        <v>1028.6979262599027</v>
      </c>
      <c r="G753" s="95">
        <v>651.50868663127153</v>
      </c>
      <c r="H753" s="95">
        <v>0.71207279059283635</v>
      </c>
      <c r="I753" s="95">
        <v>78.310354367387987</v>
      </c>
      <c r="J753" s="95"/>
      <c r="K753" s="95"/>
      <c r="L753" s="95">
        <v>3.477330585830146</v>
      </c>
      <c r="M753" s="95">
        <v>18.348147267214685</v>
      </c>
      <c r="N753" s="95">
        <v>6.8656770411907839</v>
      </c>
      <c r="O753" s="95">
        <v>3013.7969791386299</v>
      </c>
      <c r="P753" s="95">
        <v>4718.2237936633637</v>
      </c>
      <c r="Q753" s="95">
        <v>10000.000000000007</v>
      </c>
      <c r="S753" s="98"/>
      <c r="T753" s="95"/>
      <c r="U753" s="99"/>
      <c r="W753" s="121"/>
      <c r="X753" s="59"/>
      <c r="Y753" s="59"/>
      <c r="Z753" s="59"/>
      <c r="AA753" s="59"/>
      <c r="AB753" s="59"/>
      <c r="AC753" s="59"/>
      <c r="AD753" s="59"/>
      <c r="AE753" s="59"/>
      <c r="AF753" s="68"/>
    </row>
    <row r="754" spans="1:32" x14ac:dyDescent="0.2">
      <c r="A754" s="95">
        <v>717</v>
      </c>
      <c r="B754" s="95">
        <v>59</v>
      </c>
      <c r="C754" s="95">
        <v>9</v>
      </c>
      <c r="D754" s="95"/>
      <c r="E754" s="95">
        <v>477.27689501847095</v>
      </c>
      <c r="F754" s="95">
        <v>1022.7362036110068</v>
      </c>
      <c r="G754" s="95">
        <v>647.7329289536375</v>
      </c>
      <c r="H754" s="95">
        <v>0.70106266900434244</v>
      </c>
      <c r="I754" s="95">
        <v>77.517526669150655</v>
      </c>
      <c r="J754" s="95"/>
      <c r="K754" s="95"/>
      <c r="L754" s="95">
        <v>3.4435756712463856</v>
      </c>
      <c r="M754" s="95">
        <v>18.162256721053421</v>
      </c>
      <c r="N754" s="95">
        <v>6.7966237650494454</v>
      </c>
      <c r="O754" s="95">
        <v>3014.2652717017249</v>
      </c>
      <c r="P754" s="95">
        <v>4731.367655219663</v>
      </c>
      <c r="Q754" s="95">
        <v>10000.000000000007</v>
      </c>
      <c r="S754" s="98"/>
      <c r="T754" s="95"/>
      <c r="U754" s="99"/>
      <c r="W754" s="121"/>
      <c r="X754" s="59"/>
      <c r="Y754" s="59"/>
      <c r="Z754" s="59"/>
      <c r="AA754" s="59"/>
      <c r="AB754" s="59"/>
      <c r="AC754" s="59"/>
      <c r="AD754" s="59"/>
      <c r="AE754" s="59"/>
      <c r="AF754" s="68"/>
    </row>
    <row r="755" spans="1:32" x14ac:dyDescent="0.2">
      <c r="A755" s="95">
        <v>718</v>
      </c>
      <c r="B755" s="95">
        <v>59</v>
      </c>
      <c r="C755" s="95">
        <v>10</v>
      </c>
      <c r="D755" s="95"/>
      <c r="E755" s="95">
        <v>474.51088139854318</v>
      </c>
      <c r="F755" s="95">
        <v>1016.8090315683045</v>
      </c>
      <c r="G755" s="95">
        <v>643.97905332659263</v>
      </c>
      <c r="H755" s="95">
        <v>0.69022278672142923</v>
      </c>
      <c r="I755" s="95">
        <v>76.732688954201322</v>
      </c>
      <c r="J755" s="95"/>
      <c r="K755" s="95"/>
      <c r="L755" s="95">
        <v>3.4101227270007048</v>
      </c>
      <c r="M755" s="95">
        <v>17.978252034845394</v>
      </c>
      <c r="N755" s="95">
        <v>6.7282582031974005</v>
      </c>
      <c r="O755" s="95">
        <v>3014.7288601911082</v>
      </c>
      <c r="P755" s="95">
        <v>4744.4326288094926</v>
      </c>
      <c r="Q755" s="95">
        <v>10000.000000000007</v>
      </c>
      <c r="S755" s="98"/>
      <c r="T755" s="95"/>
      <c r="U755" s="99"/>
      <c r="W755" s="121"/>
      <c r="X755" s="59"/>
      <c r="Y755" s="59"/>
      <c r="Z755" s="59"/>
      <c r="AA755" s="59"/>
      <c r="AB755" s="59"/>
      <c r="AC755" s="59"/>
      <c r="AD755" s="59"/>
      <c r="AE755" s="59"/>
      <c r="AF755" s="68"/>
    </row>
    <row r="756" spans="1:32" x14ac:dyDescent="0.2">
      <c r="A756" s="95">
        <v>719</v>
      </c>
      <c r="B756" s="95">
        <v>59</v>
      </c>
      <c r="C756" s="95">
        <v>11</v>
      </c>
      <c r="D756" s="95"/>
      <c r="E756" s="95">
        <v>471.76089795192883</v>
      </c>
      <c r="F756" s="95">
        <v>1010.916209896988</v>
      </c>
      <c r="G756" s="95">
        <v>640.24693293475889</v>
      </c>
      <c r="H756" s="95">
        <v>0.67955051149149792</v>
      </c>
      <c r="I756" s="95">
        <v>75.955761273892662</v>
      </c>
      <c r="J756" s="95"/>
      <c r="K756" s="95"/>
      <c r="L756" s="95">
        <v>3.3769697452568233</v>
      </c>
      <c r="M756" s="95">
        <v>17.796113925558668</v>
      </c>
      <c r="N756" s="95">
        <v>6.660573618236147</v>
      </c>
      <c r="O756" s="95">
        <v>3015.1877912591899</v>
      </c>
      <c r="P756" s="95">
        <v>4757.419198882706</v>
      </c>
      <c r="Q756" s="95">
        <v>10000.000000000007</v>
      </c>
      <c r="S756" s="98"/>
      <c r="T756" s="95"/>
      <c r="U756" s="99"/>
      <c r="W756" s="121"/>
      <c r="X756" s="59"/>
      <c r="Y756" s="59"/>
      <c r="Z756" s="59"/>
      <c r="AA756" s="59"/>
      <c r="AB756" s="59"/>
      <c r="AC756" s="59"/>
      <c r="AD756" s="59"/>
      <c r="AE756" s="59"/>
      <c r="AF756" s="68"/>
    </row>
    <row r="757" spans="1:32" x14ac:dyDescent="0.2">
      <c r="A757" s="95">
        <v>720</v>
      </c>
      <c r="B757" s="95">
        <v>60</v>
      </c>
      <c r="C757" s="95">
        <v>0</v>
      </c>
      <c r="D757" s="95"/>
      <c r="E757" s="95">
        <v>469.02685177725721</v>
      </c>
      <c r="F757" s="95">
        <v>1005.0575395226917</v>
      </c>
      <c r="G757" s="95">
        <v>636.53644169770462</v>
      </c>
      <c r="H757" s="95">
        <v>0.66904325176203194</v>
      </c>
      <c r="I757" s="95">
        <v>75.186664470573689</v>
      </c>
      <c r="J757" s="95"/>
      <c r="K757" s="95"/>
      <c r="L757" s="95">
        <v>3.3441147109933063</v>
      </c>
      <c r="M757" s="95">
        <v>17.615823311977998</v>
      </c>
      <c r="N757" s="95">
        <v>6.5935633376305658</v>
      </c>
      <c r="O757" s="95">
        <v>3015.6421111082136</v>
      </c>
      <c r="P757" s="95">
        <v>4770.327846811203</v>
      </c>
      <c r="Q757" s="95">
        <v>10000.000000000007</v>
      </c>
      <c r="S757" s="98"/>
      <c r="T757" s="95"/>
      <c r="U757" s="99"/>
      <c r="W757" s="121"/>
      <c r="X757" s="59"/>
      <c r="Y757" s="59"/>
      <c r="Z757" s="59"/>
      <c r="AA757" s="59"/>
      <c r="AB757" s="59"/>
      <c r="AC757" s="59"/>
      <c r="AD757" s="59"/>
      <c r="AE757" s="59"/>
      <c r="AF757" s="68"/>
    </row>
    <row r="758" spans="1:32" x14ac:dyDescent="0.2">
      <c r="A758" s="95">
        <v>721</v>
      </c>
      <c r="B758" s="95">
        <v>60</v>
      </c>
      <c r="C758" s="95">
        <v>1</v>
      </c>
      <c r="D758" s="95"/>
      <c r="E758" s="95">
        <v>461.99144900059832</v>
      </c>
      <c r="F758" s="95">
        <v>989.9816764298514</v>
      </c>
      <c r="G758" s="95">
        <v>626.98839507223909</v>
      </c>
      <c r="H758" s="95">
        <v>0.65254018488523513</v>
      </c>
      <c r="I758" s="95">
        <v>73.733257486870414</v>
      </c>
      <c r="J758" s="95"/>
      <c r="K758" s="95"/>
      <c r="L758" s="95">
        <v>3.2807743862690235</v>
      </c>
      <c r="M758" s="95">
        <v>17.275214819728379</v>
      </c>
      <c r="N758" s="95">
        <v>6.4665296828145928</v>
      </c>
      <c r="O758" s="95">
        <v>3016.0918654943393</v>
      </c>
      <c r="P758" s="95">
        <v>4803.5382974424119</v>
      </c>
      <c r="Q758" s="95">
        <v>10000.000000000007</v>
      </c>
      <c r="S758" s="98"/>
      <c r="T758" s="95"/>
      <c r="U758" s="99"/>
      <c r="W758" s="121"/>
      <c r="X758" s="59"/>
      <c r="Y758" s="59"/>
      <c r="Z758" s="59"/>
      <c r="AA758" s="59"/>
      <c r="AB758" s="59"/>
      <c r="AC758" s="59"/>
      <c r="AD758" s="59"/>
      <c r="AE758" s="59"/>
      <c r="AF758" s="68"/>
    </row>
    <row r="759" spans="1:32" x14ac:dyDescent="0.2">
      <c r="A759" s="95">
        <v>722</v>
      </c>
      <c r="B759" s="95">
        <v>60</v>
      </c>
      <c r="C759" s="95">
        <v>2</v>
      </c>
      <c r="D759" s="95"/>
      <c r="E759" s="95">
        <v>455.06157726558934</v>
      </c>
      <c r="F759" s="95">
        <v>975.13195128340362</v>
      </c>
      <c r="G759" s="95">
        <v>617.58356914615547</v>
      </c>
      <c r="H759" s="95">
        <v>0.63644419365806604</v>
      </c>
      <c r="I759" s="95">
        <v>72.307911292454236</v>
      </c>
      <c r="J759" s="95"/>
      <c r="K759" s="95"/>
      <c r="L759" s="95">
        <v>3.2168814438111584</v>
      </c>
      <c r="M759" s="95">
        <v>16.942923322252081</v>
      </c>
      <c r="N759" s="95">
        <v>6.3419371289275555</v>
      </c>
      <c r="O759" s="95">
        <v>3016.5329599253955</v>
      </c>
      <c r="P759" s="95">
        <v>4836.2438449983611</v>
      </c>
      <c r="Q759" s="95">
        <v>10000.000000000007</v>
      </c>
      <c r="S759" s="98"/>
      <c r="T759" s="95"/>
      <c r="U759" s="99"/>
      <c r="W759" s="121"/>
      <c r="X759" s="59"/>
      <c r="Y759" s="59"/>
      <c r="Z759" s="59"/>
      <c r="AA759" s="59"/>
      <c r="AB759" s="59"/>
      <c r="AC759" s="59"/>
      <c r="AD759" s="59"/>
      <c r="AE759" s="59"/>
      <c r="AF759" s="68"/>
    </row>
    <row r="760" spans="1:32" x14ac:dyDescent="0.2">
      <c r="A760" s="95">
        <v>723</v>
      </c>
      <c r="B760" s="95">
        <v>60</v>
      </c>
      <c r="C760" s="95">
        <v>3</v>
      </c>
      <c r="D760" s="95"/>
      <c r="E760" s="95">
        <v>448.23565360660547</v>
      </c>
      <c r="F760" s="95">
        <v>960.5049720141526</v>
      </c>
      <c r="G760" s="95">
        <v>608.31981560896315</v>
      </c>
      <c r="H760" s="95">
        <v>0.62074523688116712</v>
      </c>
      <c r="I760" s="95">
        <v>70.91008497539778</v>
      </c>
      <c r="J760" s="95"/>
      <c r="K760" s="95"/>
      <c r="L760" s="95">
        <v>3.1525277341337943</v>
      </c>
      <c r="M760" s="95">
        <v>16.618718458892459</v>
      </c>
      <c r="N760" s="95">
        <v>6.2197389326715253</v>
      </c>
      <c r="O760" s="95">
        <v>3016.9655505078053</v>
      </c>
      <c r="P760" s="95">
        <v>4868.4521929245047</v>
      </c>
      <c r="Q760" s="95">
        <v>10000.000000000007</v>
      </c>
      <c r="S760" s="98"/>
      <c r="T760" s="95"/>
      <c r="U760" s="99"/>
      <c r="W760" s="121"/>
      <c r="X760" s="59"/>
      <c r="Y760" s="59"/>
      <c r="Z760" s="59"/>
      <c r="AA760" s="59"/>
      <c r="AB760" s="59"/>
      <c r="AC760" s="59"/>
      <c r="AD760" s="59"/>
      <c r="AE760" s="59"/>
      <c r="AF760" s="68"/>
    </row>
    <row r="761" spans="1:32" x14ac:dyDescent="0.2">
      <c r="A761" s="95">
        <v>724</v>
      </c>
      <c r="B761" s="95">
        <v>60</v>
      </c>
      <c r="C761" s="95">
        <v>4</v>
      </c>
      <c r="D761" s="95"/>
      <c r="E761" s="95">
        <v>441.51211880250639</v>
      </c>
      <c r="F761" s="95">
        <v>946.09739743394027</v>
      </c>
      <c r="G761" s="95">
        <v>599.19501837482869</v>
      </c>
      <c r="H761" s="95">
        <v>0.60543352103809833</v>
      </c>
      <c r="I761" s="95">
        <v>69.539248029415319</v>
      </c>
      <c r="J761" s="95"/>
      <c r="K761" s="95"/>
      <c r="L761" s="95">
        <v>3.0878002499075645</v>
      </c>
      <c r="M761" s="95">
        <v>16.302376588382163</v>
      </c>
      <c r="N761" s="95">
        <v>6.0998892992256701</v>
      </c>
      <c r="O761" s="95">
        <v>3017.3897909277434</v>
      </c>
      <c r="P761" s="95">
        <v>4900.1709267730203</v>
      </c>
      <c r="Q761" s="95">
        <v>10000.000000000007</v>
      </c>
      <c r="S761" s="98"/>
      <c r="T761" s="95"/>
      <c r="U761" s="99"/>
      <c r="W761" s="121"/>
      <c r="X761" s="59"/>
      <c r="Y761" s="59"/>
      <c r="Z761" s="59"/>
      <c r="AA761" s="59"/>
      <c r="AB761" s="59"/>
      <c r="AC761" s="59"/>
      <c r="AD761" s="59"/>
      <c r="AE761" s="59"/>
      <c r="AF761" s="68"/>
    </row>
    <row r="762" spans="1:32" x14ac:dyDescent="0.2">
      <c r="A762" s="95">
        <v>725</v>
      </c>
      <c r="B762" s="95">
        <v>60</v>
      </c>
      <c r="C762" s="95">
        <v>5</v>
      </c>
      <c r="D762" s="95"/>
      <c r="E762" s="95">
        <v>434.88943702046879</v>
      </c>
      <c r="F762" s="95">
        <v>931.90593647243122</v>
      </c>
      <c r="G762" s="95">
        <v>590.2070930992063</v>
      </c>
      <c r="H762" s="95">
        <v>0.59049949418582526</v>
      </c>
      <c r="I762" s="95">
        <v>68.194880154214204</v>
      </c>
      <c r="J762" s="95"/>
      <c r="K762" s="95"/>
      <c r="L762" s="95">
        <v>3.022781331959552</v>
      </c>
      <c r="M762" s="95">
        <v>15.993680589152623</v>
      </c>
      <c r="N762" s="95">
        <v>5.9823433569577977</v>
      </c>
      <c r="O762" s="95">
        <v>3017.8058324739227</v>
      </c>
      <c r="P762" s="95">
        <v>4931.407516007509</v>
      </c>
      <c r="Q762" s="95">
        <v>10000.000000000007</v>
      </c>
      <c r="S762" s="98"/>
      <c r="T762" s="95"/>
      <c r="U762" s="99"/>
      <c r="W762" s="121"/>
      <c r="X762" s="59"/>
      <c r="Y762" s="59"/>
      <c r="Z762" s="59"/>
      <c r="AA762" s="59"/>
      <c r="AB762" s="59"/>
      <c r="AC762" s="59"/>
      <c r="AD762" s="59"/>
      <c r="AE762" s="59"/>
      <c r="AF762" s="68"/>
    </row>
    <row r="763" spans="1:32" x14ac:dyDescent="0.2">
      <c r="A763" s="95">
        <v>726</v>
      </c>
      <c r="B763" s="95">
        <v>60</v>
      </c>
      <c r="C763" s="95">
        <v>6</v>
      </c>
      <c r="D763" s="95"/>
      <c r="E763" s="95">
        <v>428.36609546516178</v>
      </c>
      <c r="F763" s="95">
        <v>917.92734742534481</v>
      </c>
      <c r="G763" s="95">
        <v>581.3539867027182</v>
      </c>
      <c r="H763" s="95">
        <v>0.57593383999590819</v>
      </c>
      <c r="I763" s="95">
        <v>66.876471059663672</v>
      </c>
      <c r="J763" s="95"/>
      <c r="K763" s="95"/>
      <c r="L763" s="95">
        <v>2.957548867260996</v>
      </c>
      <c r="M763" s="95">
        <v>15.692419665615912</v>
      </c>
      <c r="N763" s="95">
        <v>5.8670571332179016</v>
      </c>
      <c r="O763" s="95">
        <v>3018.2138240607414</v>
      </c>
      <c r="P763" s="95">
        <v>4962.1693157802874</v>
      </c>
      <c r="Q763" s="95">
        <v>10000.000000000007</v>
      </c>
      <c r="S763" s="98"/>
      <c r="T763" s="95"/>
      <c r="U763" s="99"/>
      <c r="W763" s="121"/>
      <c r="X763" s="59"/>
      <c r="Y763" s="59"/>
      <c r="Z763" s="59"/>
      <c r="AA763" s="59"/>
      <c r="AB763" s="59"/>
      <c r="AC763" s="59"/>
      <c r="AD763" s="59"/>
      <c r="AE763" s="59"/>
      <c r="AF763" s="68"/>
    </row>
    <row r="764" spans="1:32" x14ac:dyDescent="0.2">
      <c r="A764" s="95">
        <v>727</v>
      </c>
      <c r="B764" s="95">
        <v>60</v>
      </c>
      <c r="C764" s="95">
        <v>7</v>
      </c>
      <c r="D764" s="95"/>
      <c r="E764" s="95">
        <v>421.94060403318434</v>
      </c>
      <c r="F764" s="95">
        <v>904.15843721396459</v>
      </c>
      <c r="G764" s="95">
        <v>572.6336769021774</v>
      </c>
      <c r="H764" s="95">
        <v>0.5617274719426758</v>
      </c>
      <c r="I764" s="95">
        <v>65.583520273708501</v>
      </c>
      <c r="J764" s="95"/>
      <c r="K764" s="95"/>
      <c r="L764" s="95">
        <v>2.8921764792021425</v>
      </c>
      <c r="M764" s="95">
        <v>15.39838916024001</v>
      </c>
      <c r="N764" s="95">
        <v>5.7539875311518731</v>
      </c>
      <c r="O764" s="95">
        <v>3018.6139122517643</v>
      </c>
      <c r="P764" s="95">
        <v>4992.4635686826714</v>
      </c>
      <c r="Q764" s="95">
        <v>10000.000000000007</v>
      </c>
      <c r="S764" s="98"/>
      <c r="T764" s="95"/>
      <c r="U764" s="99"/>
      <c r="W764" s="121"/>
      <c r="X764" s="59"/>
      <c r="Y764" s="59"/>
      <c r="Z764" s="59"/>
      <c r="AA764" s="59"/>
      <c r="AB764" s="59"/>
      <c r="AC764" s="59"/>
      <c r="AD764" s="59"/>
      <c r="AE764" s="59"/>
      <c r="AF764" s="68"/>
    </row>
    <row r="765" spans="1:32" x14ac:dyDescent="0.2">
      <c r="A765" s="95">
        <v>728</v>
      </c>
      <c r="B765" s="95">
        <v>60</v>
      </c>
      <c r="C765" s="95">
        <v>8</v>
      </c>
      <c r="D765" s="95"/>
      <c r="E765" s="95">
        <v>415.61149497268656</v>
      </c>
      <c r="F765" s="95">
        <v>890.59606065575508</v>
      </c>
      <c r="G765" s="95">
        <v>564.04417174864477</v>
      </c>
      <c r="H765" s="95">
        <v>0.54787152763475644</v>
      </c>
      <c r="I765" s="95">
        <v>64.315536953956112</v>
      </c>
      <c r="J765" s="95"/>
      <c r="K765" s="95"/>
      <c r="L765" s="95">
        <v>2.8267337104426176</v>
      </c>
      <c r="M765" s="95">
        <v>15.111390371243811</v>
      </c>
      <c r="N765" s="95">
        <v>5.6430923074772732</v>
      </c>
      <c r="O765" s="95">
        <v>3019.0062412835114</v>
      </c>
      <c r="P765" s="95">
        <v>5022.297406468655</v>
      </c>
      <c r="Q765" s="95">
        <v>10000.000000000007</v>
      </c>
      <c r="S765" s="98"/>
      <c r="T765" s="95"/>
      <c r="U765" s="99"/>
      <c r="W765" s="121"/>
      <c r="X765" s="59"/>
      <c r="Y765" s="59"/>
      <c r="Z765" s="59"/>
      <c r="AA765" s="59"/>
      <c r="AB765" s="59"/>
      <c r="AC765" s="59"/>
      <c r="AD765" s="59"/>
      <c r="AE765" s="59"/>
      <c r="AF765" s="68"/>
    </row>
    <row r="766" spans="1:32" x14ac:dyDescent="0.2">
      <c r="A766" s="95">
        <v>729</v>
      </c>
      <c r="B766" s="95">
        <v>60</v>
      </c>
      <c r="C766" s="95">
        <v>9</v>
      </c>
      <c r="D766" s="95"/>
      <c r="E766" s="95">
        <v>409.37732254809623</v>
      </c>
      <c r="F766" s="95">
        <v>877.23711974591879</v>
      </c>
      <c r="G766" s="95">
        <v>555.58350917241512</v>
      </c>
      <c r="H766" s="95">
        <v>0.53435736328643246</v>
      </c>
      <c r="I766" s="95">
        <v>63.072039702867265</v>
      </c>
      <c r="J766" s="95"/>
      <c r="K766" s="95"/>
      <c r="L766" s="95">
        <v>2.7612861986151334</v>
      </c>
      <c r="M766" s="95">
        <v>14.831230375743479</v>
      </c>
      <c r="N766" s="95">
        <v>5.5343300511665534</v>
      </c>
      <c r="O766" s="95">
        <v>3019.3909530895257</v>
      </c>
      <c r="P766" s="95">
        <v>5051.6778517523726</v>
      </c>
      <c r="Q766" s="95">
        <v>10000.000000000007</v>
      </c>
      <c r="S766" s="98"/>
      <c r="T766" s="95"/>
      <c r="U766" s="99"/>
      <c r="W766" s="121"/>
      <c r="X766" s="59"/>
      <c r="Y766" s="59"/>
      <c r="Z766" s="59"/>
      <c r="AA766" s="59"/>
      <c r="AB766" s="59"/>
      <c r="AC766" s="59"/>
      <c r="AD766" s="59"/>
      <c r="AE766" s="59"/>
      <c r="AF766" s="68"/>
    </row>
    <row r="767" spans="1:32" x14ac:dyDescent="0.2">
      <c r="A767" s="95">
        <v>730</v>
      </c>
      <c r="B767" s="95">
        <v>60</v>
      </c>
      <c r="C767" s="95">
        <v>10</v>
      </c>
      <c r="D767" s="95"/>
      <c r="E767" s="95">
        <v>403.23666270987479</v>
      </c>
      <c r="F767" s="95">
        <v>864.07856294972999</v>
      </c>
      <c r="G767" s="95">
        <v>547.24975653482886</v>
      </c>
      <c r="H767" s="95">
        <v>0.52117654832536708</v>
      </c>
      <c r="I767" s="95">
        <v>61.852556386481695</v>
      </c>
      <c r="J767" s="95"/>
      <c r="K767" s="95"/>
      <c r="L767" s="95">
        <v>2.695895845150166</v>
      </c>
      <c r="M767" s="95">
        <v>14.557721858186751</v>
      </c>
      <c r="N767" s="95">
        <v>5.427660162986423</v>
      </c>
      <c r="O767" s="95">
        <v>3019.7681873246988</v>
      </c>
      <c r="P767" s="95">
        <v>5080.6118196797443</v>
      </c>
      <c r="Q767" s="95">
        <v>10000.000000000007</v>
      </c>
      <c r="S767" s="98"/>
      <c r="T767" s="95"/>
      <c r="U767" s="99"/>
      <c r="W767" s="121"/>
      <c r="X767" s="59"/>
      <c r="Y767" s="59"/>
      <c r="Z767" s="59"/>
      <c r="AA767" s="59"/>
      <c r="AB767" s="59"/>
      <c r="AC767" s="59"/>
      <c r="AD767" s="59"/>
      <c r="AE767" s="59"/>
      <c r="AF767" s="68"/>
    </row>
    <row r="768" spans="1:32" x14ac:dyDescent="0.2">
      <c r="A768" s="95">
        <v>731</v>
      </c>
      <c r="B768" s="95">
        <v>60</v>
      </c>
      <c r="C768" s="95">
        <v>11</v>
      </c>
      <c r="D768" s="95"/>
      <c r="E768" s="95">
        <v>397.18811276922668</v>
      </c>
      <c r="F768" s="95">
        <v>851.11738450548398</v>
      </c>
      <c r="G768" s="95">
        <v>539.04101018680637</v>
      </c>
      <c r="H768" s="95">
        <v>0.50832086013334132</v>
      </c>
      <c r="I768" s="95">
        <v>60.65662395661132</v>
      </c>
      <c r="J768" s="95"/>
      <c r="K768" s="95"/>
      <c r="L768" s="95">
        <v>2.6306209774794218</v>
      </c>
      <c r="M768" s="95">
        <v>14.290682943916744</v>
      </c>
      <c r="N768" s="95">
        <v>5.3230428358451638</v>
      </c>
      <c r="O768" s="95">
        <v>3020.1380813898263</v>
      </c>
      <c r="P768" s="95">
        <v>5109.1061195746779</v>
      </c>
      <c r="Q768" s="95">
        <v>10000.000000000007</v>
      </c>
      <c r="S768" s="98"/>
      <c r="T768" s="95"/>
      <c r="U768" s="99"/>
      <c r="W768" s="121"/>
      <c r="X768" s="59"/>
      <c r="Y768" s="59"/>
      <c r="Z768" s="59"/>
      <c r="AA768" s="59"/>
      <c r="AB768" s="59"/>
      <c r="AC768" s="59"/>
      <c r="AD768" s="59"/>
      <c r="AE768" s="59"/>
      <c r="AF768" s="68"/>
    </row>
    <row r="769" spans="1:32" x14ac:dyDescent="0.2">
      <c r="A769" s="95">
        <v>732</v>
      </c>
      <c r="B769" s="95">
        <v>61</v>
      </c>
      <c r="C769" s="95">
        <v>0</v>
      </c>
      <c r="D769" s="95"/>
      <c r="E769" s="95">
        <v>391.23029107768826</v>
      </c>
      <c r="F769" s="95">
        <v>838.35062373790174</v>
      </c>
      <c r="G769" s="95">
        <v>530.95539503400425</v>
      </c>
      <c r="H769" s="95">
        <v>0.49578227891671889</v>
      </c>
      <c r="I769" s="95">
        <v>59.483788276435071</v>
      </c>
      <c r="J769" s="95"/>
      <c r="K769" s="95"/>
      <c r="L769" s="95">
        <v>2.5927830392188431</v>
      </c>
      <c r="M769" s="95">
        <v>14.002670503359129</v>
      </c>
      <c r="N769" s="95">
        <v>5.2204390359026211</v>
      </c>
      <c r="O769" s="95">
        <v>3020.50077045637</v>
      </c>
      <c r="P769" s="95">
        <v>5137.1674565602107</v>
      </c>
      <c r="Q769" s="95">
        <v>10000.000000000007</v>
      </c>
      <c r="S769" s="98"/>
      <c r="T769" s="95"/>
      <c r="U769" s="99"/>
      <c r="W769" s="121"/>
      <c r="X769" s="59"/>
      <c r="Y769" s="59"/>
      <c r="Z769" s="59"/>
      <c r="AA769" s="59"/>
      <c r="AB769" s="59"/>
      <c r="AC769" s="59"/>
      <c r="AD769" s="59"/>
      <c r="AE769" s="59"/>
      <c r="AF769" s="68"/>
    </row>
    <row r="770" spans="1:32" x14ac:dyDescent="0.2">
      <c r="A770" s="95">
        <v>733</v>
      </c>
      <c r="B770" s="95">
        <v>61</v>
      </c>
      <c r="C770" s="95">
        <v>1</v>
      </c>
      <c r="D770" s="95"/>
      <c r="E770" s="95">
        <v>385.36183671152293</v>
      </c>
      <c r="F770" s="95">
        <v>825.77536438183324</v>
      </c>
      <c r="G770" s="95">
        <v>522.99106410849424</v>
      </c>
      <c r="H770" s="95">
        <v>0.48355298270343983</v>
      </c>
      <c r="I770" s="95">
        <v>58.333603949430483</v>
      </c>
      <c r="J770" s="95"/>
      <c r="K770" s="95"/>
      <c r="L770" s="95">
        <v>2.5539139962801776</v>
      </c>
      <c r="M770" s="95">
        <v>13.721873684190093</v>
      </c>
      <c r="N770" s="95">
        <v>5.1198104844003298</v>
      </c>
      <c r="O770" s="95">
        <v>3020.8565465461902</v>
      </c>
      <c r="P770" s="95">
        <v>5164.8024331549614</v>
      </c>
      <c r="Q770" s="95">
        <v>10000.000000000007</v>
      </c>
      <c r="S770" s="98"/>
      <c r="T770" s="95"/>
      <c r="U770" s="99"/>
      <c r="W770" s="121"/>
      <c r="X770" s="59"/>
      <c r="Y770" s="59"/>
      <c r="Z770" s="59"/>
      <c r="AA770" s="59"/>
      <c r="AB770" s="59"/>
      <c r="AC770" s="59"/>
      <c r="AD770" s="59"/>
      <c r="AE770" s="59"/>
      <c r="AF770" s="68"/>
    </row>
    <row r="771" spans="1:32" x14ac:dyDescent="0.2">
      <c r="A771" s="95">
        <v>734</v>
      </c>
      <c r="B771" s="95">
        <v>61</v>
      </c>
      <c r="C771" s="95">
        <v>2</v>
      </c>
      <c r="D771" s="95"/>
      <c r="E771" s="95">
        <v>379.58140916085006</v>
      </c>
      <c r="F771" s="95">
        <v>813.38873391610571</v>
      </c>
      <c r="G771" s="95">
        <v>515.14619814686682</v>
      </c>
      <c r="H771" s="95">
        <v>0.47162534246342164</v>
      </c>
      <c r="I771" s="95">
        <v>57.205634151578508</v>
      </c>
      <c r="J771" s="95"/>
      <c r="K771" s="95"/>
      <c r="L771" s="95">
        <v>2.515392098088026</v>
      </c>
      <c r="M771" s="95">
        <v>13.446808333158819</v>
      </c>
      <c r="N771" s="95">
        <v>5.0211187388614134</v>
      </c>
      <c r="O771" s="95">
        <v>3021.2055316525893</v>
      </c>
      <c r="P771" s="95">
        <v>5192.0175484594438</v>
      </c>
      <c r="Q771" s="95">
        <v>10000.000000000005</v>
      </c>
      <c r="S771" s="98"/>
      <c r="T771" s="95"/>
      <c r="U771" s="99"/>
      <c r="W771" s="121"/>
      <c r="X771" s="59"/>
      <c r="Y771" s="59"/>
      <c r="Z771" s="59"/>
      <c r="AA771" s="59"/>
      <c r="AB771" s="59"/>
      <c r="AC771" s="59"/>
      <c r="AD771" s="59"/>
      <c r="AE771" s="59"/>
      <c r="AF771" s="68"/>
    </row>
    <row r="772" spans="1:32" x14ac:dyDescent="0.2">
      <c r="A772" s="95">
        <v>735</v>
      </c>
      <c r="B772" s="95">
        <v>61</v>
      </c>
      <c r="C772" s="95">
        <v>3</v>
      </c>
      <c r="D772" s="95"/>
      <c r="E772" s="95">
        <v>373.88768802343731</v>
      </c>
      <c r="F772" s="95">
        <v>801.1879029073641</v>
      </c>
      <c r="G772" s="95">
        <v>507.41900517466382</v>
      </c>
      <c r="H772" s="95">
        <v>0.45999191734932393</v>
      </c>
      <c r="I772" s="95">
        <v>56.099450466779174</v>
      </c>
      <c r="J772" s="95"/>
      <c r="K772" s="95"/>
      <c r="L772" s="95">
        <v>2.4772251198965636</v>
      </c>
      <c r="M772" s="95">
        <v>13.177354488833325</v>
      </c>
      <c r="N772" s="95">
        <v>4.9243261916079142</v>
      </c>
      <c r="O772" s="95">
        <v>3021.5478534523108</v>
      </c>
      <c r="P772" s="95">
        <v>5218.8192022577632</v>
      </c>
      <c r="Q772" s="95">
        <v>10000.000000000005</v>
      </c>
      <c r="S772" s="98"/>
      <c r="T772" s="95"/>
      <c r="U772" s="99"/>
      <c r="W772" s="121"/>
      <c r="X772" s="59"/>
      <c r="Y772" s="59"/>
      <c r="Z772" s="59"/>
      <c r="AA772" s="59"/>
      <c r="AB772" s="59"/>
      <c r="AC772" s="59"/>
      <c r="AD772" s="59"/>
      <c r="AE772" s="59"/>
      <c r="AF772" s="68"/>
    </row>
    <row r="773" spans="1:32" x14ac:dyDescent="0.2">
      <c r="A773" s="95">
        <v>736</v>
      </c>
      <c r="B773" s="95">
        <v>61</v>
      </c>
      <c r="C773" s="95">
        <v>4</v>
      </c>
      <c r="D773" s="95"/>
      <c r="E773" s="95">
        <v>368.27937270308576</v>
      </c>
      <c r="F773" s="95">
        <v>789.17008436375363</v>
      </c>
      <c r="G773" s="95">
        <v>499.80772009704384</v>
      </c>
      <c r="H773" s="95">
        <v>0.4486454500547073</v>
      </c>
      <c r="I773" s="95">
        <v>55.014632725416924</v>
      </c>
      <c r="J773" s="95"/>
      <c r="K773" s="95"/>
      <c r="L773" s="95">
        <v>2.4394201680337111</v>
      </c>
      <c r="M773" s="95">
        <v>12.913394786585251</v>
      </c>
      <c r="N773" s="95">
        <v>4.8293960017431257</v>
      </c>
      <c r="O773" s="95">
        <v>3021.8836372821766</v>
      </c>
      <c r="P773" s="95">
        <v>5245.2136964221127</v>
      </c>
      <c r="Q773" s="95">
        <v>10000.000000000005</v>
      </c>
      <c r="S773" s="98"/>
      <c r="T773" s="95"/>
      <c r="U773" s="99"/>
      <c r="W773" s="121"/>
      <c r="X773" s="59"/>
      <c r="Y773" s="59"/>
      <c r="Z773" s="59"/>
      <c r="AA773" s="59"/>
      <c r="AB773" s="59"/>
      <c r="AC773" s="59"/>
      <c r="AD773" s="59"/>
      <c r="AE773" s="59"/>
      <c r="AF773" s="68"/>
    </row>
    <row r="774" spans="1:32" x14ac:dyDescent="0.2">
      <c r="A774" s="95">
        <v>737</v>
      </c>
      <c r="B774" s="95">
        <v>61</v>
      </c>
      <c r="C774" s="95">
        <v>5</v>
      </c>
      <c r="D774" s="95"/>
      <c r="E774" s="95">
        <v>362.75518211253944</v>
      </c>
      <c r="F774" s="95">
        <v>777.33253309829729</v>
      </c>
      <c r="G774" s="95">
        <v>492.31060429558818</v>
      </c>
      <c r="H774" s="95">
        <v>0.43757886228669118</v>
      </c>
      <c r="I774" s="95">
        <v>53.950768846015606</v>
      </c>
      <c r="J774" s="95"/>
      <c r="K774" s="95"/>
      <c r="L774" s="95">
        <v>2.4019837113956162</v>
      </c>
      <c r="M774" s="95">
        <v>12.654814399962184</v>
      </c>
      <c r="N774" s="95">
        <v>4.7362920769107797</v>
      </c>
      <c r="O774" s="95">
        <v>3022.2130061804619</v>
      </c>
      <c r="P774" s="95">
        <v>5271.2072364165479</v>
      </c>
      <c r="Q774" s="95">
        <v>10000.000000000005</v>
      </c>
      <c r="S774" s="98"/>
      <c r="T774" s="95"/>
      <c r="U774" s="99"/>
      <c r="W774" s="121"/>
      <c r="X774" s="59"/>
      <c r="Y774" s="59"/>
      <c r="Z774" s="59"/>
      <c r="AA774" s="59"/>
      <c r="AB774" s="59"/>
      <c r="AC774" s="59"/>
      <c r="AD774" s="59"/>
      <c r="AE774" s="59"/>
      <c r="AF774" s="68"/>
    </row>
    <row r="775" spans="1:32" x14ac:dyDescent="0.2">
      <c r="A775" s="95">
        <v>738</v>
      </c>
      <c r="B775" s="95">
        <v>61</v>
      </c>
      <c r="C775" s="95">
        <v>6</v>
      </c>
      <c r="D775" s="95"/>
      <c r="E775" s="95">
        <v>357.31385438085135</v>
      </c>
      <c r="F775" s="95">
        <v>765.67254510182283</v>
      </c>
      <c r="G775" s="95">
        <v>484.92594523115434</v>
      </c>
      <c r="H775" s="95">
        <v>0.42678525035028614</v>
      </c>
      <c r="I775" s="95">
        <v>52.907454679924243</v>
      </c>
      <c r="J775" s="95"/>
      <c r="K775" s="95"/>
      <c r="L775" s="95">
        <v>2.3649216116678091</v>
      </c>
      <c r="M775" s="95">
        <v>12.401500983449001</v>
      </c>
      <c r="N775" s="95">
        <v>4.6449790556384221</v>
      </c>
      <c r="O775" s="95">
        <v>3022.5360809275544</v>
      </c>
      <c r="P775" s="95">
        <v>5296.8059327775927</v>
      </c>
      <c r="Q775" s="95">
        <v>10000.000000000005</v>
      </c>
      <c r="S775" s="98"/>
      <c r="T775" s="95"/>
      <c r="U775" s="99"/>
      <c r="W775" s="121"/>
      <c r="X775" s="59"/>
      <c r="Y775" s="59"/>
      <c r="Z775" s="59"/>
      <c r="AA775" s="59"/>
      <c r="AB775" s="59"/>
      <c r="AC775" s="59"/>
      <c r="AD775" s="59"/>
      <c r="AE775" s="59"/>
      <c r="AF775" s="68"/>
    </row>
    <row r="776" spans="1:32" x14ac:dyDescent="0.2">
      <c r="A776" s="95">
        <v>739</v>
      </c>
      <c r="B776" s="95">
        <v>61</v>
      </c>
      <c r="C776" s="95">
        <v>7</v>
      </c>
      <c r="D776" s="95"/>
      <c r="E776" s="95">
        <v>351.95414656513856</v>
      </c>
      <c r="F776" s="95">
        <v>754.18745692529546</v>
      </c>
      <c r="G776" s="95">
        <v>477.65205605268704</v>
      </c>
      <c r="H776" s="95">
        <v>0.41625788084164572</v>
      </c>
      <c r="I776" s="95">
        <v>51.884293858975767</v>
      </c>
      <c r="J776" s="95"/>
      <c r="K776" s="95"/>
      <c r="L776" s="95">
        <v>2.3282391523214394</v>
      </c>
      <c r="M776" s="95">
        <v>12.153344616583558</v>
      </c>
      <c r="N776" s="95">
        <v>4.5554222902396191</v>
      </c>
      <c r="O776" s="95">
        <v>3022.8529800859069</v>
      </c>
      <c r="P776" s="95">
        <v>5322.0158025720157</v>
      </c>
      <c r="Q776" s="95">
        <v>10000.000000000005</v>
      </c>
      <c r="S776" s="98"/>
      <c r="T776" s="95"/>
      <c r="U776" s="99"/>
      <c r="W776" s="121"/>
      <c r="X776" s="59"/>
      <c r="Y776" s="59"/>
      <c r="Z776" s="59"/>
      <c r="AA776" s="59"/>
      <c r="AB776" s="59"/>
      <c r="AC776" s="59"/>
      <c r="AD776" s="59"/>
      <c r="AE776" s="59"/>
      <c r="AF776" s="68"/>
    </row>
    <row r="777" spans="1:32" x14ac:dyDescent="0.2">
      <c r="A777" s="95">
        <v>740</v>
      </c>
      <c r="B777" s="95">
        <v>61</v>
      </c>
      <c r="C777" s="95">
        <v>8</v>
      </c>
      <c r="D777" s="95"/>
      <c r="E777" s="95">
        <v>346.67483436666146</v>
      </c>
      <c r="F777" s="95">
        <v>742.87464507141601</v>
      </c>
      <c r="G777" s="95">
        <v>470.48727521189676</v>
      </c>
      <c r="H777" s="95">
        <v>0.4059901864475518</v>
      </c>
      <c r="I777" s="95">
        <v>50.880897646062124</v>
      </c>
      <c r="J777" s="95"/>
      <c r="K777" s="95"/>
      <c r="L777" s="95">
        <v>2.2919410664312139</v>
      </c>
      <c r="M777" s="95">
        <v>11.910237749393096</v>
      </c>
      <c r="N777" s="95">
        <v>4.467587830250932</v>
      </c>
      <c r="O777" s="95">
        <v>3023.1638200392995</v>
      </c>
      <c r="P777" s="95">
        <v>5346.8427708321469</v>
      </c>
      <c r="Q777" s="95">
        <v>10000.000000000005</v>
      </c>
      <c r="S777" s="98"/>
      <c r="T777" s="95"/>
      <c r="U777" s="99"/>
      <c r="W777" s="121"/>
      <c r="X777" s="59"/>
      <c r="Y777" s="59"/>
      <c r="Z777" s="59"/>
      <c r="AA777" s="59"/>
      <c r="AB777" s="59"/>
      <c r="AC777" s="59"/>
      <c r="AD777" s="59"/>
      <c r="AE777" s="59"/>
      <c r="AF777" s="68"/>
    </row>
    <row r="778" spans="1:32" x14ac:dyDescent="0.2">
      <c r="A778" s="95">
        <v>741</v>
      </c>
      <c r="B778" s="95">
        <v>61</v>
      </c>
      <c r="C778" s="95">
        <v>9</v>
      </c>
      <c r="D778" s="95"/>
      <c r="E778" s="95">
        <v>341.47471185116154</v>
      </c>
      <c r="F778" s="95">
        <v>731.73152539534476</v>
      </c>
      <c r="G778" s="95">
        <v>463.42996608371828</v>
      </c>
      <c r="H778" s="95">
        <v>0.39597576184851219</v>
      </c>
      <c r="I778" s="95">
        <v>49.896884788570077</v>
      </c>
      <c r="J778" s="95"/>
      <c r="K778" s="95"/>
      <c r="L778" s="95">
        <v>2.2560315633599273</v>
      </c>
      <c r="M778" s="95">
        <v>11.672075149118506</v>
      </c>
      <c r="N778" s="95">
        <v>4.3814424063808159</v>
      </c>
      <c r="O778" s="95">
        <v>3023.4687150314276</v>
      </c>
      <c r="P778" s="95">
        <v>5371.2926719690749</v>
      </c>
      <c r="Q778" s="95">
        <v>10000.000000000005</v>
      </c>
      <c r="S778" s="98"/>
      <c r="T778" s="95"/>
      <c r="U778" s="99"/>
      <c r="W778" s="121"/>
      <c r="X778" s="59"/>
      <c r="Y778" s="59"/>
      <c r="Z778" s="59"/>
      <c r="AA778" s="59"/>
      <c r="AB778" s="59"/>
      <c r="AC778" s="59"/>
      <c r="AD778" s="59"/>
      <c r="AE778" s="59"/>
      <c r="AF778" s="68"/>
    </row>
    <row r="779" spans="1:32" x14ac:dyDescent="0.2">
      <c r="A779" s="95">
        <v>742</v>
      </c>
      <c r="B779" s="95">
        <v>61</v>
      </c>
      <c r="C779" s="95">
        <v>10</v>
      </c>
      <c r="D779" s="95"/>
      <c r="E779" s="95">
        <v>336.3525911733941</v>
      </c>
      <c r="F779" s="95">
        <v>720.7555525144146</v>
      </c>
      <c r="G779" s="95">
        <v>456.47851659246248</v>
      </c>
      <c r="H779" s="95">
        <v>0.38620835972291556</v>
      </c>
      <c r="I779" s="95">
        <v>48.93188137462321</v>
      </c>
      <c r="J779" s="95"/>
      <c r="K779" s="95"/>
      <c r="L779" s="95">
        <v>2.220514354352821</v>
      </c>
      <c r="M779" s="95">
        <v>11.438753848194512</v>
      </c>
      <c r="N779" s="95">
        <v>4.2969534149487627</v>
      </c>
      <c r="O779" s="95">
        <v>3023.7677772038242</v>
      </c>
      <c r="P779" s="95">
        <v>5395.3712511640679</v>
      </c>
      <c r="Q779" s="95">
        <v>10000.000000000005</v>
      </c>
      <c r="S779" s="98"/>
      <c r="T779" s="95"/>
      <c r="U779" s="99"/>
      <c r="W779" s="121"/>
      <c r="X779" s="59"/>
      <c r="Y779" s="59"/>
      <c r="Z779" s="59"/>
      <c r="AA779" s="59"/>
      <c r="AB779" s="59"/>
      <c r="AC779" s="59"/>
      <c r="AD779" s="59"/>
      <c r="AE779" s="59"/>
      <c r="AF779" s="68"/>
    </row>
    <row r="780" spans="1:32" x14ac:dyDescent="0.2">
      <c r="A780" s="95">
        <v>743</v>
      </c>
      <c r="B780" s="95">
        <v>61</v>
      </c>
      <c r="C780" s="95">
        <v>11</v>
      </c>
      <c r="D780" s="95"/>
      <c r="E780" s="95">
        <v>331.3073023057932</v>
      </c>
      <c r="F780" s="95">
        <v>709.94421922669835</v>
      </c>
      <c r="G780" s="95">
        <v>449.63133884357552</v>
      </c>
      <c r="H780" s="95">
        <v>0.37668188684975029</v>
      </c>
      <c r="I780" s="95">
        <v>47.985520692076598</v>
      </c>
      <c r="J780" s="95"/>
      <c r="K780" s="95"/>
      <c r="L780" s="95">
        <v>2.1853926770834127</v>
      </c>
      <c r="M780" s="95">
        <v>11.210173093454634</v>
      </c>
      <c r="N780" s="95">
        <v>4.2140889027941002</v>
      </c>
      <c r="O780" s="95">
        <v>3024.06111663313</v>
      </c>
      <c r="P780" s="95">
        <v>5419.084165738549</v>
      </c>
      <c r="Q780" s="95">
        <v>10000.000000000005</v>
      </c>
      <c r="S780" s="98"/>
      <c r="T780" s="95"/>
      <c r="U780" s="99"/>
      <c r="W780" s="121"/>
      <c r="X780" s="59"/>
      <c r="Y780" s="59"/>
      <c r="Z780" s="59"/>
      <c r="AA780" s="59"/>
      <c r="AB780" s="59"/>
      <c r="AC780" s="59"/>
      <c r="AD780" s="59"/>
      <c r="AE780" s="59"/>
      <c r="AF780" s="68"/>
    </row>
    <row r="781" spans="1:32" x14ac:dyDescent="0.2">
      <c r="A781" s="95">
        <v>744</v>
      </c>
      <c r="B781" s="95">
        <v>62</v>
      </c>
      <c r="C781" s="95">
        <v>0</v>
      </c>
      <c r="D781" s="95"/>
      <c r="E781" s="95">
        <v>326.33769277120632</v>
      </c>
      <c r="F781" s="95">
        <v>699.29505593829788</v>
      </c>
      <c r="G781" s="95">
        <v>442.88686876092191</v>
      </c>
      <c r="H781" s="95">
        <v>0.36739040030745646</v>
      </c>
      <c r="I781" s="95">
        <v>47.057443090211656</v>
      </c>
      <c r="J781" s="95"/>
      <c r="K781" s="95"/>
      <c r="L781" s="95">
        <v>2.1506693191908832</v>
      </c>
      <c r="M781" s="95">
        <v>10.986234296530617</v>
      </c>
      <c r="N781" s="95">
        <v>4.1328175526349034</v>
      </c>
      <c r="O781" s="95">
        <v>3024.3488413677292</v>
      </c>
      <c r="P781" s="95">
        <v>5442.4369865029739</v>
      </c>
      <c r="Q781" s="95">
        <v>10000.000000000005</v>
      </c>
      <c r="S781" s="98"/>
      <c r="T781" s="95"/>
      <c r="U781" s="99"/>
      <c r="W781" s="121"/>
      <c r="X781" s="59"/>
      <c r="Y781" s="59"/>
      <c r="Z781" s="59"/>
      <c r="AA781" s="59"/>
      <c r="AB781" s="59"/>
      <c r="AC781" s="59"/>
      <c r="AD781" s="59"/>
      <c r="AE781" s="59"/>
      <c r="AF781" s="68"/>
    </row>
    <row r="782" spans="1:32" x14ac:dyDescent="0.2">
      <c r="A782" s="95">
        <v>745</v>
      </c>
      <c r="B782" s="95">
        <v>62</v>
      </c>
      <c r="C782" s="95">
        <v>1</v>
      </c>
      <c r="D782" s="95"/>
      <c r="E782" s="95">
        <v>321.44262737963822</v>
      </c>
      <c r="F782" s="95">
        <v>688.80563009922344</v>
      </c>
      <c r="G782" s="95">
        <v>436.24356572950808</v>
      </c>
      <c r="H782" s="95">
        <v>0.35832810376653917</v>
      </c>
      <c r="I782" s="95">
        <v>46.147295844079686</v>
      </c>
      <c r="J782" s="95"/>
      <c r="K782" s="95"/>
      <c r="L782" s="95">
        <v>2.1163466408476355</v>
      </c>
      <c r="M782" s="95">
        <v>10.766840985416794</v>
      </c>
      <c r="N782" s="95">
        <v>4.0531086688584566</v>
      </c>
      <c r="O782" s="95">
        <v>3024.6310574637523</v>
      </c>
      <c r="P782" s="95">
        <v>5465.4351990849136</v>
      </c>
      <c r="Q782" s="95">
        <v>10000.000000000005</v>
      </c>
      <c r="S782" s="98"/>
      <c r="T782" s="95"/>
      <c r="U782" s="99"/>
      <c r="W782" s="121"/>
      <c r="X782" s="59"/>
      <c r="Y782" s="59"/>
      <c r="Z782" s="59"/>
      <c r="AA782" s="59"/>
      <c r="AB782" s="59"/>
      <c r="AC782" s="59"/>
      <c r="AD782" s="59"/>
      <c r="AE782" s="59"/>
      <c r="AF782" s="68"/>
    </row>
    <row r="783" spans="1:32" x14ac:dyDescent="0.2">
      <c r="A783" s="95">
        <v>746</v>
      </c>
      <c r="B783" s="95">
        <v>62</v>
      </c>
      <c r="C783" s="95">
        <v>2</v>
      </c>
      <c r="D783" s="95"/>
      <c r="E783" s="95">
        <v>316.62098796894367</v>
      </c>
      <c r="F783" s="95">
        <v>678.47354564773514</v>
      </c>
      <c r="G783" s="95">
        <v>429.69991224356545</v>
      </c>
      <c r="H783" s="95">
        <v>0.34948934387363123</v>
      </c>
      <c r="I783" s="95">
        <v>45.254733021443549</v>
      </c>
      <c r="J783" s="95"/>
      <c r="K783" s="95"/>
      <c r="L783" s="95">
        <v>2.082426596394201</v>
      </c>
      <c r="M783" s="95">
        <v>10.55189875717061</v>
      </c>
      <c r="N783" s="95">
        <v>3.9749321637256245</v>
      </c>
      <c r="O783" s="95">
        <v>3024.9078690204692</v>
      </c>
      <c r="P783" s="95">
        <v>5488.0842052366834</v>
      </c>
      <c r="Q783" s="95">
        <v>10000.000000000004</v>
      </c>
      <c r="S783" s="98"/>
      <c r="T783" s="95"/>
      <c r="U783" s="99"/>
      <c r="W783" s="121"/>
      <c r="X783" s="59"/>
      <c r="Y783" s="59"/>
      <c r="Z783" s="59"/>
      <c r="AA783" s="59"/>
      <c r="AB783" s="59"/>
      <c r="AC783" s="59"/>
      <c r="AD783" s="59"/>
      <c r="AE783" s="59"/>
      <c r="AF783" s="68"/>
    </row>
    <row r="784" spans="1:32" x14ac:dyDescent="0.2">
      <c r="A784" s="95">
        <v>747</v>
      </c>
      <c r="B784" s="95">
        <v>62</v>
      </c>
      <c r="C784" s="95">
        <v>3</v>
      </c>
      <c r="D784" s="95"/>
      <c r="E784" s="95">
        <v>311.8716731494095</v>
      </c>
      <c r="F784" s="95">
        <v>668.29644246301916</v>
      </c>
      <c r="G784" s="95">
        <v>423.254413559912</v>
      </c>
      <c r="H784" s="95">
        <v>0.34086860672474834</v>
      </c>
      <c r="I784" s="95">
        <v>44.379415352267962</v>
      </c>
      <c r="J784" s="95"/>
      <c r="K784" s="95"/>
      <c r="L784" s="95">
        <v>2.0489107550773009</v>
      </c>
      <c r="M784" s="95">
        <v>10.341315231721291</v>
      </c>
      <c r="N784" s="95">
        <v>3.8982585439723882</v>
      </c>
      <c r="O784" s="95">
        <v>3025.1793782150739</v>
      </c>
      <c r="P784" s="95">
        <v>5510.3893241228261</v>
      </c>
      <c r="Q784" s="95">
        <v>10000.000000000004</v>
      </c>
      <c r="S784" s="98"/>
      <c r="T784" s="95"/>
      <c r="U784" s="99"/>
      <c r="W784" s="121"/>
      <c r="X784" s="59"/>
      <c r="Y784" s="59"/>
      <c r="Z784" s="59"/>
      <c r="AA784" s="59"/>
      <c r="AB784" s="59"/>
      <c r="AC784" s="59"/>
      <c r="AD784" s="59"/>
      <c r="AE784" s="59"/>
      <c r="AF784" s="68"/>
    </row>
    <row r="785" spans="1:32" x14ac:dyDescent="0.2">
      <c r="A785" s="95">
        <v>748</v>
      </c>
      <c r="B785" s="95">
        <v>62</v>
      </c>
      <c r="C785" s="95">
        <v>4</v>
      </c>
      <c r="D785" s="95"/>
      <c r="E785" s="95">
        <v>307.19359805216834</v>
      </c>
      <c r="F785" s="95">
        <v>658.27199582607386</v>
      </c>
      <c r="G785" s="95">
        <v>416.90559735651334</v>
      </c>
      <c r="H785" s="95">
        <v>0.33246051442553787</v>
      </c>
      <c r="I785" s="95">
        <v>43.521010100709766</v>
      </c>
      <c r="J785" s="95"/>
      <c r="K785" s="95"/>
      <c r="L785" s="95">
        <v>2.0158003209255266</v>
      </c>
      <c r="M785" s="95">
        <v>10.135000006759361</v>
      </c>
      <c r="N785" s="95">
        <v>3.823058897792623</v>
      </c>
      <c r="O785" s="95">
        <v>3025.4456853368783</v>
      </c>
      <c r="P785" s="95">
        <v>5532.355793587757</v>
      </c>
      <c r="Q785" s="95">
        <v>10000.000000000004</v>
      </c>
      <c r="S785" s="98"/>
      <c r="T785" s="95"/>
      <c r="U785" s="99"/>
      <c r="W785" s="121"/>
      <c r="X785" s="59"/>
      <c r="Y785" s="59"/>
      <c r="Z785" s="59"/>
      <c r="AA785" s="59"/>
      <c r="AB785" s="59"/>
      <c r="AC785" s="59"/>
      <c r="AD785" s="59"/>
      <c r="AE785" s="59"/>
      <c r="AF785" s="68"/>
    </row>
    <row r="786" spans="1:32" x14ac:dyDescent="0.2">
      <c r="A786" s="95">
        <v>749</v>
      </c>
      <c r="B786" s="95">
        <v>62</v>
      </c>
      <c r="C786" s="95">
        <v>5</v>
      </c>
      <c r="D786" s="95"/>
      <c r="E786" s="95">
        <v>302.58569408138584</v>
      </c>
      <c r="F786" s="95">
        <v>648.39791588868275</v>
      </c>
      <c r="G786" s="95">
        <v>410.65201339616561</v>
      </c>
      <c r="H786" s="95">
        <v>0.32425982173637458</v>
      </c>
      <c r="I786" s="95">
        <v>42.679190939560435</v>
      </c>
      <c r="J786" s="95"/>
      <c r="K786" s="95"/>
      <c r="L786" s="95">
        <v>1.9830961517958337</v>
      </c>
      <c r="M786" s="95">
        <v>9.9328646136804153</v>
      </c>
      <c r="N786" s="95">
        <v>3.7493048821869888</v>
      </c>
      <c r="O786" s="95">
        <v>3025.7068888209219</v>
      </c>
      <c r="P786" s="95">
        <v>5553.9887714038878</v>
      </c>
      <c r="Q786" s="95">
        <v>10000.000000000004</v>
      </c>
      <c r="S786" s="98"/>
      <c r="T786" s="95"/>
      <c r="U786" s="99"/>
      <c r="W786" s="121"/>
      <c r="X786" s="59"/>
      <c r="Y786" s="59"/>
      <c r="Z786" s="59"/>
      <c r="AA786" s="59"/>
      <c r="AB786" s="59"/>
      <c r="AC786" s="59"/>
      <c r="AD786" s="59"/>
      <c r="AE786" s="59"/>
      <c r="AF786" s="68"/>
    </row>
    <row r="787" spans="1:32" x14ac:dyDescent="0.2">
      <c r="A787" s="95">
        <v>750</v>
      </c>
      <c r="B787" s="95">
        <v>62</v>
      </c>
      <c r="C787" s="95">
        <v>6</v>
      </c>
      <c r="D787" s="95"/>
      <c r="E787" s="95">
        <v>298.04690867016507</v>
      </c>
      <c r="F787" s="95">
        <v>638.67194715035248</v>
      </c>
      <c r="G787" s="95">
        <v>404.49223319522315</v>
      </c>
      <c r="H787" s="95">
        <v>0.3162614128002107</v>
      </c>
      <c r="I787" s="95">
        <v>41.85363782709409</v>
      </c>
      <c r="J787" s="95"/>
      <c r="K787" s="95"/>
      <c r="L787" s="95">
        <v>1.9507987776228106</v>
      </c>
      <c r="M787" s="95">
        <v>9.7348224745572463</v>
      </c>
      <c r="N787" s="95">
        <v>3.6769687106635494</v>
      </c>
      <c r="O787" s="95">
        <v>3025.9630852810096</v>
      </c>
      <c r="P787" s="95">
        <v>5575.2933365005156</v>
      </c>
      <c r="Q787" s="95">
        <v>10000.000000000004</v>
      </c>
      <c r="S787" s="98"/>
      <c r="T787" s="95"/>
      <c r="U787" s="99"/>
      <c r="W787" s="121"/>
      <c r="X787" s="59"/>
      <c r="Y787" s="59"/>
      <c r="Z787" s="59"/>
      <c r="AA787" s="59"/>
      <c r="AB787" s="59"/>
      <c r="AC787" s="59"/>
      <c r="AD787" s="59"/>
      <c r="AE787" s="59"/>
      <c r="AF787" s="68"/>
    </row>
    <row r="788" spans="1:32" x14ac:dyDescent="0.2">
      <c r="A788" s="95">
        <v>751</v>
      </c>
      <c r="B788" s="95">
        <v>62</v>
      </c>
      <c r="C788" s="95">
        <v>7</v>
      </c>
      <c r="D788" s="95"/>
      <c r="E788" s="95">
        <v>293.5762050401126</v>
      </c>
      <c r="F788" s="95">
        <v>629.09186794309721</v>
      </c>
      <c r="G788" s="95">
        <v>398.4248496972948</v>
      </c>
      <c r="H788" s="95">
        <v>0.30846029795113883</v>
      </c>
      <c r="I788" s="95">
        <v>41.04403688627508</v>
      </c>
      <c r="J788" s="95"/>
      <c r="K788" s="95"/>
      <c r="L788" s="95">
        <v>1.9189084179014895</v>
      </c>
      <c r="M788" s="95">
        <v>9.5407888601150876</v>
      </c>
      <c r="N788" s="95">
        <v>3.6060231412764483</v>
      </c>
      <c r="O788" s="95">
        <v>3026.2143695421873</v>
      </c>
      <c r="P788" s="95">
        <v>5596.2744901737933</v>
      </c>
      <c r="Q788" s="95">
        <v>10000.000000000004</v>
      </c>
      <c r="S788" s="98"/>
      <c r="T788" s="95"/>
      <c r="U788" s="99"/>
      <c r="W788" s="121"/>
      <c r="X788" s="59"/>
      <c r="Y788" s="59"/>
      <c r="Z788" s="59"/>
      <c r="AA788" s="59"/>
      <c r="AB788" s="59"/>
      <c r="AC788" s="59"/>
      <c r="AD788" s="59"/>
      <c r="AE788" s="59"/>
      <c r="AF788" s="68"/>
    </row>
    <row r="789" spans="1:32" x14ac:dyDescent="0.2">
      <c r="A789" s="95">
        <v>752</v>
      </c>
      <c r="B789" s="95">
        <v>62</v>
      </c>
      <c r="C789" s="95">
        <v>8</v>
      </c>
      <c r="D789" s="95"/>
      <c r="E789" s="95">
        <v>289.17256196451092</v>
      </c>
      <c r="F789" s="95">
        <v>619.65548992395077</v>
      </c>
      <c r="G789" s="95">
        <v>392.4484769518354</v>
      </c>
      <c r="H789" s="95">
        <v>0.30085161060167742</v>
      </c>
      <c r="I789" s="95">
        <v>40.250080286280102</v>
      </c>
      <c r="J789" s="95"/>
      <c r="K789" s="95"/>
      <c r="L789" s="95">
        <v>1.8874249984333273</v>
      </c>
      <c r="M789" s="95">
        <v>9.3506808486853874</v>
      </c>
      <c r="N789" s="95">
        <v>3.5364414649896294</v>
      </c>
      <c r="O789" s="95">
        <v>3026.4608346726636</v>
      </c>
      <c r="P789" s="95">
        <v>5616.9371572780537</v>
      </c>
      <c r="Q789" s="95">
        <v>10000.000000000005</v>
      </c>
      <c r="S789" s="98"/>
      <c r="T789" s="95"/>
      <c r="U789" s="99"/>
      <c r="W789" s="121"/>
      <c r="X789" s="59"/>
      <c r="Y789" s="59"/>
      <c r="Z789" s="59"/>
      <c r="AA789" s="59"/>
      <c r="AB789" s="59"/>
      <c r="AC789" s="59"/>
      <c r="AD789" s="59"/>
      <c r="AE789" s="59"/>
      <c r="AF789" s="68"/>
    </row>
    <row r="790" spans="1:32" x14ac:dyDescent="0.2">
      <c r="A790" s="95">
        <v>753</v>
      </c>
      <c r="B790" s="95">
        <v>62</v>
      </c>
      <c r="C790" s="95">
        <v>9</v>
      </c>
      <c r="D790" s="95"/>
      <c r="E790" s="95">
        <v>284.83497353504328</v>
      </c>
      <c r="F790" s="95">
        <v>610.36065757509152</v>
      </c>
      <c r="G790" s="95">
        <v>386.56174979755787</v>
      </c>
      <c r="H790" s="95">
        <v>0.29343060420683603</v>
      </c>
      <c r="I790" s="95">
        <v>39.471466126290643</v>
      </c>
      <c r="J790" s="95"/>
      <c r="K790" s="95"/>
      <c r="L790" s="95">
        <v>1.85634816736388</v>
      </c>
      <c r="M790" s="95">
        <v>9.1644172861141566</v>
      </c>
      <c r="N790" s="95">
        <v>3.468197494353237</v>
      </c>
      <c r="O790" s="95">
        <v>3026.7025720151901</v>
      </c>
      <c r="P790" s="95">
        <v>5637.2861873987931</v>
      </c>
      <c r="Q790" s="95">
        <v>10000.000000000005</v>
      </c>
      <c r="S790" s="98"/>
      <c r="T790" s="95"/>
      <c r="U790" s="99"/>
      <c r="W790" s="121"/>
      <c r="X790" s="59"/>
      <c r="Y790" s="59"/>
      <c r="Z790" s="59"/>
      <c r="AA790" s="59"/>
      <c r="AB790" s="59"/>
      <c r="AC790" s="59"/>
      <c r="AD790" s="59"/>
      <c r="AE790" s="59"/>
      <c r="AF790" s="68"/>
    </row>
    <row r="791" spans="1:32" x14ac:dyDescent="0.2">
      <c r="A791" s="95">
        <v>754</v>
      </c>
      <c r="B791" s="95">
        <v>62</v>
      </c>
      <c r="C791" s="95">
        <v>10</v>
      </c>
      <c r="D791" s="95"/>
      <c r="E791" s="95">
        <v>280.56244893201762</v>
      </c>
      <c r="F791" s="95">
        <v>601.20524771146518</v>
      </c>
      <c r="G791" s="95">
        <v>380.76332355059452</v>
      </c>
      <c r="H791" s="95">
        <v>0.28619264930306743</v>
      </c>
      <c r="I791" s="95">
        <v>38.707898321512502</v>
      </c>
      <c r="J791" s="95"/>
      <c r="K791" s="95"/>
      <c r="L791" s="95">
        <v>1.8256773105396262</v>
      </c>
      <c r="M791" s="95">
        <v>8.9819187466015578</v>
      </c>
      <c r="N791" s="95">
        <v>3.401265552480917</v>
      </c>
      <c r="O791" s="95">
        <v>3026.9396712179064</v>
      </c>
      <c r="P791" s="95">
        <v>5657.3263560075829</v>
      </c>
      <c r="Q791" s="95">
        <v>10000.000000000004</v>
      </c>
      <c r="S791" s="98"/>
      <c r="T791" s="95"/>
      <c r="U791" s="99"/>
      <c r="W791" s="121"/>
      <c r="X791" s="59"/>
      <c r="Y791" s="59"/>
      <c r="Z791" s="59"/>
      <c r="AA791" s="59"/>
      <c r="AB791" s="59"/>
      <c r="AC791" s="59"/>
      <c r="AD791" s="59"/>
      <c r="AE791" s="59"/>
      <c r="AF791" s="68"/>
    </row>
    <row r="792" spans="1:32" x14ac:dyDescent="0.2">
      <c r="A792" s="95">
        <v>755</v>
      </c>
      <c r="B792" s="95">
        <v>62</v>
      </c>
      <c r="C792" s="95">
        <v>11</v>
      </c>
      <c r="D792" s="95"/>
      <c r="E792" s="95">
        <v>276.35401219803737</v>
      </c>
      <c r="F792" s="95">
        <v>592.18716899579317</v>
      </c>
      <c r="G792" s="95">
        <v>375.05187369733562</v>
      </c>
      <c r="H792" s="95">
        <v>0.27913323062025841</v>
      </c>
      <c r="I792" s="95">
        <v>37.959086491379729</v>
      </c>
      <c r="J792" s="95"/>
      <c r="K792" s="95"/>
      <c r="L792" s="95">
        <v>1.7954115662103824</v>
      </c>
      <c r="M792" s="95">
        <v>8.8031074944499998</v>
      </c>
      <c r="N792" s="95">
        <v>3.3356204623168217</v>
      </c>
      <c r="O792" s="95">
        <v>3027.1722202646602</v>
      </c>
      <c r="P792" s="95">
        <v>5677.0623655992013</v>
      </c>
      <c r="Q792" s="95">
        <v>10000.000000000005</v>
      </c>
      <c r="S792" s="98"/>
      <c r="T792" s="95"/>
      <c r="U792" s="99"/>
      <c r="W792" s="121"/>
      <c r="X792" s="59"/>
      <c r="Y792" s="59"/>
      <c r="Z792" s="59"/>
      <c r="AA792" s="59"/>
      <c r="AB792" s="59"/>
      <c r="AC792" s="59"/>
      <c r="AD792" s="59"/>
      <c r="AE792" s="59"/>
      <c r="AF792" s="68"/>
    </row>
    <row r="793" spans="1:32" x14ac:dyDescent="0.2">
      <c r="A793" s="95">
        <v>756</v>
      </c>
      <c r="B793" s="95">
        <v>63</v>
      </c>
      <c r="C793" s="95">
        <v>0</v>
      </c>
      <c r="D793" s="95"/>
      <c r="E793" s="95">
        <v>272.20870201506682</v>
      </c>
      <c r="F793" s="95">
        <v>583.30436146085628</v>
      </c>
      <c r="G793" s="95">
        <v>369.42609559187559</v>
      </c>
      <c r="H793" s="95">
        <v>0.27224794426495869</v>
      </c>
      <c r="I793" s="95">
        <v>37.224745849901439</v>
      </c>
      <c r="J793" s="95"/>
      <c r="K793" s="95"/>
      <c r="L793" s="95">
        <v>1.7655498391027558</v>
      </c>
      <c r="M793" s="95">
        <v>8.6279074466985719</v>
      </c>
      <c r="N793" s="95">
        <v>3.2712375361816477</v>
      </c>
      <c r="O793" s="95">
        <v>3027.4003055048133</v>
      </c>
      <c r="P793" s="95">
        <v>5696.4988468112433</v>
      </c>
      <c r="Q793" s="95">
        <v>10000.000000000005</v>
      </c>
      <c r="S793" s="98"/>
      <c r="T793" s="95"/>
      <c r="U793" s="99"/>
      <c r="W793" s="121"/>
      <c r="X793" s="59"/>
      <c r="Y793" s="59"/>
      <c r="Z793" s="59"/>
      <c r="AA793" s="59"/>
      <c r="AB793" s="59"/>
      <c r="AC793" s="59"/>
      <c r="AD793" s="59"/>
      <c r="AE793" s="59"/>
      <c r="AF793" s="68"/>
    </row>
    <row r="794" spans="1:32" x14ac:dyDescent="0.2">
      <c r="A794" s="95">
        <v>757</v>
      </c>
      <c r="B794" s="95">
        <v>63</v>
      </c>
      <c r="C794" s="95">
        <v>1</v>
      </c>
      <c r="D794" s="95"/>
      <c r="E794" s="95">
        <v>268.1255714848408</v>
      </c>
      <c r="F794" s="95">
        <v>574.55479603894344</v>
      </c>
      <c r="G794" s="95">
        <v>363.88470415799748</v>
      </c>
      <c r="H794" s="95">
        <v>0.26553249497308973</v>
      </c>
      <c r="I794" s="95">
        <v>36.504597098110416</v>
      </c>
      <c r="J794" s="95"/>
      <c r="K794" s="95"/>
      <c r="L794" s="95">
        <v>1.7360908138891364</v>
      </c>
      <c r="M794" s="95">
        <v>8.4562441366222316</v>
      </c>
      <c r="N794" s="95">
        <v>3.2080925655875521</v>
      </c>
      <c r="O794" s="95">
        <v>3027.6240116825379</v>
      </c>
      <c r="P794" s="95">
        <v>5715.6403595265028</v>
      </c>
      <c r="Q794" s="95">
        <v>10000.000000000005</v>
      </c>
      <c r="S794" s="98"/>
      <c r="T794" s="95"/>
      <c r="U794" s="99"/>
      <c r="W794" s="121"/>
      <c r="X794" s="59"/>
      <c r="Y794" s="59"/>
      <c r="Z794" s="59"/>
      <c r="AA794" s="59"/>
      <c r="AB794" s="59"/>
      <c r="AC794" s="59"/>
      <c r="AD794" s="59"/>
      <c r="AE794" s="59"/>
      <c r="AF794" s="68"/>
    </row>
    <row r="795" spans="1:32" x14ac:dyDescent="0.2">
      <c r="A795" s="95">
        <v>758</v>
      </c>
      <c r="B795" s="95">
        <v>63</v>
      </c>
      <c r="C795" s="95">
        <v>2</v>
      </c>
      <c r="D795" s="95"/>
      <c r="E795" s="95">
        <v>264.1036879125682</v>
      </c>
      <c r="F795" s="95">
        <v>565.93647409835933</v>
      </c>
      <c r="G795" s="95">
        <v>358.42643359562749</v>
      </c>
      <c r="H795" s="95">
        <v>0.25898269343042019</v>
      </c>
      <c r="I795" s="95">
        <v>35.798366318573514</v>
      </c>
      <c r="J795" s="95"/>
      <c r="K795" s="95"/>
      <c r="L795" s="95">
        <v>1.7070329680758101</v>
      </c>
      <c r="M795" s="95">
        <v>8.2880446780747228</v>
      </c>
      <c r="N795" s="95">
        <v>3.1461618113122749</v>
      </c>
      <c r="O795" s="95">
        <v>3027.843421965616</v>
      </c>
      <c r="P795" s="95">
        <v>5734.4913939583676</v>
      </c>
      <c r="Q795" s="95">
        <v>10000.000000000005</v>
      </c>
      <c r="S795" s="98"/>
      <c r="T795" s="95"/>
      <c r="U795" s="99"/>
      <c r="W795" s="121"/>
      <c r="X795" s="59"/>
      <c r="Y795" s="59"/>
      <c r="Z795" s="59"/>
      <c r="AA795" s="59"/>
      <c r="AB795" s="59"/>
      <c r="AC795" s="59"/>
      <c r="AD795" s="59"/>
      <c r="AE795" s="59"/>
      <c r="AF795" s="68"/>
    </row>
    <row r="796" spans="1:32" x14ac:dyDescent="0.2">
      <c r="A796" s="95">
        <v>759</v>
      </c>
      <c r="B796" s="95">
        <v>63</v>
      </c>
      <c r="C796" s="95">
        <v>3</v>
      </c>
      <c r="D796" s="95"/>
      <c r="E796" s="95">
        <v>260.14213259387969</v>
      </c>
      <c r="F796" s="95">
        <v>557.4474269868839</v>
      </c>
      <c r="G796" s="95">
        <v>353.05003709169307</v>
      </c>
      <c r="H796" s="95">
        <v>0.25259445365913646</v>
      </c>
      <c r="I796" s="95">
        <v>35.105784871924371</v>
      </c>
      <c r="J796" s="95"/>
      <c r="K796" s="95"/>
      <c r="L796" s="95">
        <v>1.6783745843329001</v>
      </c>
      <c r="M796" s="95">
        <v>8.1232377306547061</v>
      </c>
      <c r="N796" s="95">
        <v>3.085421993723251</v>
      </c>
      <c r="O796" s="95">
        <v>3028.0586179737465</v>
      </c>
      <c r="P796" s="95">
        <v>5753.0563717195082</v>
      </c>
      <c r="Q796" s="95">
        <v>10000.000000000005</v>
      </c>
      <c r="S796" s="98"/>
      <c r="T796" s="95"/>
      <c r="U796" s="99"/>
      <c r="W796" s="121"/>
      <c r="X796" s="59"/>
      <c r="Y796" s="59"/>
      <c r="Z796" s="59"/>
      <c r="AA796" s="59"/>
      <c r="AB796" s="59"/>
      <c r="AC796" s="59"/>
      <c r="AD796" s="59"/>
      <c r="AE796" s="59"/>
      <c r="AF796" s="68"/>
    </row>
    <row r="797" spans="1:32" x14ac:dyDescent="0.2">
      <c r="A797" s="95">
        <v>760</v>
      </c>
      <c r="B797" s="95">
        <v>63</v>
      </c>
      <c r="C797" s="95">
        <v>4</v>
      </c>
      <c r="D797" s="95"/>
      <c r="E797" s="95">
        <v>256.2400006049715</v>
      </c>
      <c r="F797" s="95">
        <v>549.08571558208064</v>
      </c>
      <c r="G797" s="95">
        <v>347.75428653531765</v>
      </c>
      <c r="H797" s="95">
        <v>0.24636379046887777</v>
      </c>
      <c r="I797" s="95">
        <v>34.426589295379877</v>
      </c>
      <c r="J797" s="95"/>
      <c r="K797" s="95"/>
      <c r="L797" s="95">
        <v>1.6501137622879825</v>
      </c>
      <c r="M797" s="95">
        <v>7.961753465675141</v>
      </c>
      <c r="N797" s="95">
        <v>3.0258502833429248</v>
      </c>
      <c r="O797" s="95">
        <v>3028.2696798063716</v>
      </c>
      <c r="P797" s="95">
        <v>5771.3396468741093</v>
      </c>
      <c r="Q797" s="95">
        <v>10000.000000000005</v>
      </c>
      <c r="S797" s="98"/>
      <c r="T797" s="95"/>
      <c r="U797" s="99"/>
      <c r="W797" s="121"/>
      <c r="X797" s="59"/>
      <c r="Y797" s="59"/>
      <c r="Z797" s="59"/>
      <c r="AA797" s="59"/>
      <c r="AB797" s="59"/>
      <c r="AC797" s="59"/>
      <c r="AD797" s="59"/>
      <c r="AE797" s="59"/>
      <c r="AF797" s="68"/>
    </row>
    <row r="798" spans="1:32" x14ac:dyDescent="0.2">
      <c r="A798" s="95">
        <v>761</v>
      </c>
      <c r="B798" s="95">
        <v>63</v>
      </c>
      <c r="C798" s="95">
        <v>5</v>
      </c>
      <c r="D798" s="95"/>
      <c r="E798" s="95">
        <v>252.39640059589692</v>
      </c>
      <c r="F798" s="95">
        <v>540.84942984834947</v>
      </c>
      <c r="G798" s="95">
        <v>342.53797223728787</v>
      </c>
      <c r="H798" s="95">
        <v>0.24028681697064544</v>
      </c>
      <c r="I798" s="95">
        <v>33.760521203202451</v>
      </c>
      <c r="J798" s="95"/>
      <c r="K798" s="95"/>
      <c r="L798" s="95">
        <v>1.6222484298044162</v>
      </c>
      <c r="M798" s="95">
        <v>7.8035235329164516</v>
      </c>
      <c r="N798" s="95">
        <v>2.9674242916468963</v>
      </c>
      <c r="O798" s="95">
        <v>3028.4766860700283</v>
      </c>
      <c r="P798" s="95">
        <v>5789.345506973902</v>
      </c>
      <c r="Q798" s="95">
        <v>10000.000000000005</v>
      </c>
      <c r="S798" s="98"/>
      <c r="T798" s="95"/>
      <c r="U798" s="99"/>
      <c r="W798" s="121"/>
      <c r="X798" s="59"/>
      <c r="Y798" s="59"/>
      <c r="Z798" s="59"/>
      <c r="AA798" s="59"/>
      <c r="AB798" s="59"/>
      <c r="AC798" s="59"/>
      <c r="AD798" s="59"/>
      <c r="AE798" s="59"/>
      <c r="AF798" s="68"/>
    </row>
    <row r="799" spans="1:32" x14ac:dyDescent="0.2">
      <c r="A799" s="95">
        <v>762</v>
      </c>
      <c r="B799" s="95">
        <v>63</v>
      </c>
      <c r="C799" s="95">
        <v>6</v>
      </c>
      <c r="D799" s="95"/>
      <c r="E799" s="95">
        <v>248.61045458695847</v>
      </c>
      <c r="F799" s="95">
        <v>532.73668840062419</v>
      </c>
      <c r="G799" s="95">
        <v>337.39990265372853</v>
      </c>
      <c r="H799" s="95">
        <v>0.2343597421520362</v>
      </c>
      <c r="I799" s="95">
        <v>33.107327189070986</v>
      </c>
      <c r="J799" s="95"/>
      <c r="K799" s="95"/>
      <c r="L799" s="95">
        <v>1.5947763537646302</v>
      </c>
      <c r="M799" s="95">
        <v>7.6484810281444942</v>
      </c>
      <c r="N799" s="95">
        <v>2.9101220620869119</v>
      </c>
      <c r="O799" s="95">
        <v>3028.6797139052319</v>
      </c>
      <c r="P799" s="95">
        <v>5807.0781740782431</v>
      </c>
      <c r="Q799" s="95">
        <v>10000.000000000005</v>
      </c>
      <c r="S799" s="98"/>
      <c r="T799" s="95"/>
      <c r="U799" s="99"/>
      <c r="W799" s="121"/>
      <c r="X799" s="59"/>
      <c r="Y799" s="59"/>
      <c r="Z799" s="59"/>
      <c r="AA799" s="59"/>
      <c r="AB799" s="59"/>
      <c r="AC799" s="59"/>
      <c r="AD799" s="59"/>
      <c r="AE799" s="59"/>
      <c r="AF799" s="68"/>
    </row>
    <row r="800" spans="1:32" x14ac:dyDescent="0.2">
      <c r="A800" s="95">
        <v>763</v>
      </c>
      <c r="B800" s="95">
        <v>63</v>
      </c>
      <c r="C800" s="95">
        <v>7</v>
      </c>
      <c r="D800" s="95"/>
      <c r="E800" s="95">
        <v>244.8812977681541</v>
      </c>
      <c r="F800" s="95">
        <v>524.74563807461482</v>
      </c>
      <c r="G800" s="95">
        <v>332.33890411392258</v>
      </c>
      <c r="H800" s="95">
        <v>0.22857886851228598</v>
      </c>
      <c r="I800" s="95">
        <v>32.466758730323996</v>
      </c>
      <c r="J800" s="95"/>
      <c r="K800" s="95"/>
      <c r="L800" s="95">
        <v>1.5676951503778531</v>
      </c>
      <c r="M800" s="95">
        <v>7.4965604613748509</v>
      </c>
      <c r="N800" s="95">
        <v>2.8539220613310836</v>
      </c>
      <c r="O800" s="95">
        <v>3028.8788390129025</v>
      </c>
      <c r="P800" s="95">
        <v>5824.5418057584911</v>
      </c>
      <c r="Q800" s="95">
        <v>10000.000000000005</v>
      </c>
      <c r="S800" s="98"/>
      <c r="T800" s="95"/>
      <c r="U800" s="99"/>
      <c r="W800" s="121"/>
      <c r="X800" s="59"/>
      <c r="Y800" s="59"/>
      <c r="Z800" s="59"/>
      <c r="AA800" s="59"/>
      <c r="AB800" s="59"/>
      <c r="AC800" s="59"/>
      <c r="AD800" s="59"/>
      <c r="AE800" s="59"/>
      <c r="AF800" s="68"/>
    </row>
    <row r="801" spans="1:32" x14ac:dyDescent="0.2">
      <c r="A801" s="95">
        <v>764</v>
      </c>
      <c r="B801" s="95">
        <v>63</v>
      </c>
      <c r="C801" s="95">
        <v>8</v>
      </c>
      <c r="D801" s="95"/>
      <c r="E801" s="95">
        <v>241.20807830163179</v>
      </c>
      <c r="F801" s="95">
        <v>516.8744535034956</v>
      </c>
      <c r="G801" s="95">
        <v>327.35382055221373</v>
      </c>
      <c r="H801" s="95">
        <v>0.22294058975564959</v>
      </c>
      <c r="I801" s="95">
        <v>31.838572094039158</v>
      </c>
      <c r="J801" s="95"/>
      <c r="K801" s="95"/>
      <c r="L801" s="95">
        <v>1.5410022950310418</v>
      </c>
      <c r="M801" s="95">
        <v>7.3476977258654301</v>
      </c>
      <c r="N801" s="95">
        <v>2.7988031707140628</v>
      </c>
      <c r="O801" s="95">
        <v>3029.0741356803383</v>
      </c>
      <c r="P801" s="95">
        <v>5841.7404960869208</v>
      </c>
      <c r="Q801" s="95">
        <v>10000.000000000005</v>
      </c>
      <c r="S801" s="98"/>
      <c r="T801" s="95"/>
      <c r="U801" s="99"/>
      <c r="W801" s="121"/>
      <c r="X801" s="59"/>
      <c r="Y801" s="59"/>
      <c r="Z801" s="59"/>
      <c r="AA801" s="59"/>
      <c r="AB801" s="59"/>
      <c r="AC801" s="59"/>
      <c r="AD801" s="59"/>
      <c r="AE801" s="59"/>
      <c r="AF801" s="68"/>
    </row>
    <row r="802" spans="1:32" x14ac:dyDescent="0.2">
      <c r="A802" s="95">
        <v>765</v>
      </c>
      <c r="B802" s="95">
        <v>63</v>
      </c>
      <c r="C802" s="95">
        <v>9</v>
      </c>
      <c r="D802" s="95"/>
      <c r="E802" s="95">
        <v>237.58995712710731</v>
      </c>
      <c r="F802" s="95">
        <v>509.12133670094317</v>
      </c>
      <c r="G802" s="95">
        <v>322.44351324393051</v>
      </c>
      <c r="H802" s="95">
        <v>0.21744138854167691</v>
      </c>
      <c r="I802" s="95">
        <v>31.222528244914201</v>
      </c>
      <c r="J802" s="95"/>
      <c r="K802" s="95"/>
      <c r="L802" s="95">
        <v>1.5146951317010562</v>
      </c>
      <c r="M802" s="95">
        <v>7.2018300678198015</v>
      </c>
      <c r="N802" s="95">
        <v>2.7447446778902354</v>
      </c>
      <c r="O802" s="95">
        <v>3029.2656768067454</v>
      </c>
      <c r="P802" s="95">
        <v>5858.6782766104125</v>
      </c>
      <c r="Q802" s="95">
        <v>10000.000000000005</v>
      </c>
      <c r="S802" s="98"/>
      <c r="T802" s="95"/>
      <c r="U802" s="99"/>
      <c r="W802" s="121"/>
      <c r="X802" s="59"/>
      <c r="Y802" s="59"/>
      <c r="Z802" s="59"/>
      <c r="AA802" s="59"/>
      <c r="AB802" s="59"/>
      <c r="AC802" s="59"/>
      <c r="AD802" s="59"/>
      <c r="AE802" s="59"/>
      <c r="AF802" s="68"/>
    </row>
    <row r="803" spans="1:32" x14ac:dyDescent="0.2">
      <c r="A803" s="95">
        <v>766</v>
      </c>
      <c r="B803" s="95">
        <v>63</v>
      </c>
      <c r="C803" s="95">
        <v>10</v>
      </c>
      <c r="D803" s="95"/>
      <c r="E803" s="95">
        <v>234.0261077702007</v>
      </c>
      <c r="F803" s="95">
        <v>501.48451665042904</v>
      </c>
      <c r="G803" s="95">
        <v>317.60686054527156</v>
      </c>
      <c r="H803" s="95">
        <v>0.2120778342909822</v>
      </c>
      <c r="I803" s="95">
        <v>30.618392754914687</v>
      </c>
      <c r="J803" s="95"/>
      <c r="K803" s="95"/>
      <c r="L803" s="95">
        <v>1.4887708819454528</v>
      </c>
      <c r="M803" s="95">
        <v>7.0588960567841612</v>
      </c>
      <c r="N803" s="95">
        <v>2.6917262686833059</v>
      </c>
      <c r="O803" s="95">
        <v>3029.4535339283307</v>
      </c>
      <c r="P803" s="95">
        <v>5875.3591173091545</v>
      </c>
      <c r="Q803" s="95">
        <v>10000.000000000005</v>
      </c>
      <c r="S803" s="98"/>
      <c r="T803" s="95"/>
      <c r="U803" s="99"/>
      <c r="W803" s="121"/>
      <c r="X803" s="59"/>
      <c r="Y803" s="59"/>
      <c r="Z803" s="59"/>
      <c r="AA803" s="59"/>
      <c r="AB803" s="59"/>
      <c r="AC803" s="59"/>
      <c r="AD803" s="59"/>
      <c r="AE803" s="59"/>
      <c r="AF803" s="68"/>
    </row>
    <row r="804" spans="1:32" x14ac:dyDescent="0.2">
      <c r="A804" s="95">
        <v>767</v>
      </c>
      <c r="B804" s="95">
        <v>63</v>
      </c>
      <c r="C804" s="95">
        <v>11</v>
      </c>
      <c r="D804" s="95"/>
      <c r="E804" s="95">
        <v>230.51571615364767</v>
      </c>
      <c r="F804" s="95">
        <v>493.96224890067259</v>
      </c>
      <c r="G804" s="95">
        <v>312.84275763709246</v>
      </c>
      <c r="H804" s="95">
        <v>0.20684658104513798</v>
      </c>
      <c r="I804" s="95">
        <v>30.025935714654906</v>
      </c>
      <c r="J804" s="95"/>
      <c r="K804" s="95"/>
      <c r="L804" s="95">
        <v>1.4632266534886116</v>
      </c>
      <c r="M804" s="95">
        <v>6.9188355567212385</v>
      </c>
      <c r="N804" s="95">
        <v>2.6397280191259438</v>
      </c>
      <c r="O804" s="95">
        <v>3029.6377772429641</v>
      </c>
      <c r="P804" s="95">
        <v>5891.7869275405919</v>
      </c>
      <c r="Q804" s="95">
        <v>10000.000000000005</v>
      </c>
      <c r="S804" s="98"/>
      <c r="T804" s="95"/>
      <c r="U804" s="99"/>
      <c r="W804" s="121"/>
      <c r="X804" s="59"/>
      <c r="Y804" s="59"/>
      <c r="Z804" s="59"/>
      <c r="AA804" s="59"/>
      <c r="AB804" s="59"/>
      <c r="AC804" s="59"/>
      <c r="AD804" s="59"/>
      <c r="AE804" s="59"/>
      <c r="AF804" s="68"/>
    </row>
    <row r="805" spans="1:32" x14ac:dyDescent="0.2">
      <c r="A805" s="95">
        <v>768</v>
      </c>
      <c r="B805" s="95">
        <v>64</v>
      </c>
      <c r="C805" s="95">
        <v>0</v>
      </c>
      <c r="D805" s="95"/>
      <c r="E805" s="95">
        <v>227.05798041134295</v>
      </c>
      <c r="F805" s="95">
        <v>486.55281516716252</v>
      </c>
      <c r="G805" s="95">
        <v>308.15011627253608</v>
      </c>
      <c r="H805" s="95">
        <v>0.20174436537935792</v>
      </c>
      <c r="I805" s="95">
        <v>29.444931646478793</v>
      </c>
      <c r="J805" s="95"/>
      <c r="K805" s="95"/>
      <c r="L805" s="95">
        <v>1.4380594484192837</v>
      </c>
      <c r="M805" s="95">
        <v>6.7815896977448826</v>
      </c>
      <c r="N805" s="95">
        <v>2.5887303876834431</v>
      </c>
      <c r="O805" s="95">
        <v>3029.8184756344185</v>
      </c>
      <c r="P805" s="95">
        <v>5907.9655569688384</v>
      </c>
      <c r="Q805" s="95">
        <v>10000.000000000004</v>
      </c>
      <c r="S805" s="98"/>
      <c r="T805" s="95"/>
      <c r="U805" s="99"/>
      <c r="W805" s="121"/>
      <c r="X805" s="59"/>
      <c r="Y805" s="59"/>
      <c r="Z805" s="59"/>
      <c r="AA805" s="59"/>
      <c r="AB805" s="59"/>
      <c r="AC805" s="59"/>
      <c r="AD805" s="59"/>
      <c r="AE805" s="59"/>
      <c r="AF805" s="68"/>
    </row>
    <row r="806" spans="1:32" x14ac:dyDescent="0.2">
      <c r="A806" s="95">
        <v>769</v>
      </c>
      <c r="B806" s="95">
        <v>64</v>
      </c>
      <c r="C806" s="95">
        <v>1</v>
      </c>
      <c r="D806" s="95"/>
      <c r="E806" s="95">
        <v>223.65211070517282</v>
      </c>
      <c r="F806" s="95">
        <v>479.25452293965509</v>
      </c>
      <c r="G806" s="95">
        <v>303.52786452844805</v>
      </c>
      <c r="H806" s="95">
        <v>0.19676800436666708</v>
      </c>
      <c r="I806" s="95">
        <v>28.87515941920833</v>
      </c>
      <c r="J806" s="95"/>
      <c r="K806" s="95"/>
      <c r="L806" s="95">
        <v>1.4132661710150396</v>
      </c>
      <c r="M806" s="95">
        <v>6.6471008484994787</v>
      </c>
      <c r="N806" s="95">
        <v>2.5387142076556111</v>
      </c>
      <c r="O806" s="95">
        <v>3029.9956966961936</v>
      </c>
      <c r="P806" s="95">
        <v>5923.8987964797898</v>
      </c>
      <c r="Q806" s="95">
        <v>10000.000000000004</v>
      </c>
      <c r="S806" s="98"/>
      <c r="T806" s="95"/>
      <c r="U806" s="99"/>
      <c r="W806" s="121"/>
      <c r="X806" s="59"/>
      <c r="Y806" s="59"/>
      <c r="Z806" s="59"/>
      <c r="AA806" s="59"/>
      <c r="AB806" s="59"/>
      <c r="AC806" s="59"/>
      <c r="AD806" s="59"/>
      <c r="AE806" s="59"/>
      <c r="AF806" s="68"/>
    </row>
    <row r="807" spans="1:32" x14ac:dyDescent="0.2">
      <c r="A807" s="95">
        <v>770</v>
      </c>
      <c r="B807" s="95">
        <v>64</v>
      </c>
      <c r="C807" s="95">
        <v>2</v>
      </c>
      <c r="D807" s="95"/>
      <c r="E807" s="95">
        <v>220.29732904459522</v>
      </c>
      <c r="F807" s="95">
        <v>472.06570509556025</v>
      </c>
      <c r="G807" s="95">
        <v>298.97494656052135</v>
      </c>
      <c r="H807" s="95">
        <v>0.19191439359228929</v>
      </c>
      <c r="I807" s="95">
        <v>28.316402164527581</v>
      </c>
      <c r="J807" s="95"/>
      <c r="K807" s="95"/>
      <c r="L807" s="95">
        <v>1.3888436352085116</v>
      </c>
      <c r="M807" s="95">
        <v>6.5153125891687438</v>
      </c>
      <c r="N807" s="95">
        <v>2.4896606797513567</v>
      </c>
      <c r="O807" s="95">
        <v>3030.169506754929</v>
      </c>
      <c r="P807" s="95">
        <v>5939.5903790821503</v>
      </c>
      <c r="Q807" s="95">
        <v>10000.000000000005</v>
      </c>
      <c r="S807" s="98"/>
      <c r="T807" s="95"/>
      <c r="U807" s="99"/>
      <c r="W807" s="121"/>
      <c r="X807" s="59"/>
      <c r="Y807" s="59"/>
      <c r="Z807" s="59"/>
      <c r="AA807" s="59"/>
      <c r="AB807" s="59"/>
      <c r="AC807" s="59"/>
      <c r="AD807" s="59"/>
      <c r="AE807" s="59"/>
      <c r="AF807" s="68"/>
    </row>
    <row r="808" spans="1:32" x14ac:dyDescent="0.2">
      <c r="A808" s="95">
        <v>771</v>
      </c>
      <c r="B808" s="95">
        <v>64</v>
      </c>
      <c r="C808" s="95">
        <v>3</v>
      </c>
      <c r="D808" s="95"/>
      <c r="E808" s="95">
        <v>216.9928691089263</v>
      </c>
      <c r="F808" s="95">
        <v>464.98471951912683</v>
      </c>
      <c r="G808" s="95">
        <v>294.49032236211355</v>
      </c>
      <c r="H808" s="95">
        <v>0.18718050521701282</v>
      </c>
      <c r="I808" s="95">
        <v>27.768447194971063</v>
      </c>
      <c r="J808" s="95"/>
      <c r="K808" s="95"/>
      <c r="L808" s="95">
        <v>1.3647885717097639</v>
      </c>
      <c r="M808" s="95">
        <v>6.3861696850988388</v>
      </c>
      <c r="N808" s="95">
        <v>2.441551364830687</v>
      </c>
      <c r="O808" s="95">
        <v>3030.3399708934162</v>
      </c>
      <c r="P808" s="95">
        <v>5955.0439807945941</v>
      </c>
      <c r="Q808" s="95">
        <v>10000.000000000004</v>
      </c>
      <c r="S808" s="98"/>
      <c r="T808" s="95"/>
      <c r="U808" s="99"/>
      <c r="W808" s="121"/>
      <c r="X808" s="59"/>
      <c r="Y808" s="59"/>
      <c r="Z808" s="59"/>
      <c r="AA808" s="59"/>
      <c r="AB808" s="59"/>
      <c r="AC808" s="59"/>
      <c r="AD808" s="59"/>
      <c r="AE808" s="59"/>
      <c r="AF808" s="68"/>
    </row>
    <row r="809" spans="1:32" x14ac:dyDescent="0.2">
      <c r="A809" s="95">
        <v>772</v>
      </c>
      <c r="B809" s="95">
        <v>64</v>
      </c>
      <c r="C809" s="95">
        <v>4</v>
      </c>
      <c r="D809" s="95"/>
      <c r="E809" s="95">
        <v>213.73797607229241</v>
      </c>
      <c r="F809" s="95">
        <v>458.00994872633993</v>
      </c>
      <c r="G809" s="95">
        <v>290.07296752668185</v>
      </c>
      <c r="H809" s="95">
        <v>0.18256338608832651</v>
      </c>
      <c r="I809" s="95">
        <v>27.231085923485807</v>
      </c>
      <c r="J809" s="95"/>
      <c r="K809" s="95"/>
      <c r="L809" s="95">
        <v>1.3410976347985801</v>
      </c>
      <c r="M809" s="95">
        <v>6.2596180610211132</v>
      </c>
      <c r="N809" s="95">
        <v>2.3943681768090497</v>
      </c>
      <c r="O809" s="95">
        <v>3030.5071529732131</v>
      </c>
      <c r="P809" s="95">
        <v>5970.2632215192734</v>
      </c>
      <c r="Q809" s="95">
        <v>10000.000000000004</v>
      </c>
      <c r="S809" s="98"/>
      <c r="T809" s="95"/>
      <c r="U809" s="99"/>
      <c r="W809" s="121"/>
      <c r="X809" s="59"/>
      <c r="Y809" s="59"/>
      <c r="Z809" s="59"/>
      <c r="AA809" s="59"/>
      <c r="AB809" s="59"/>
      <c r="AC809" s="59"/>
      <c r="AD809" s="59"/>
      <c r="AE809" s="59"/>
      <c r="AF809" s="68"/>
    </row>
    <row r="810" spans="1:32" x14ac:dyDescent="0.2">
      <c r="A810" s="95">
        <v>773</v>
      </c>
      <c r="B810" s="95">
        <v>64</v>
      </c>
      <c r="C810" s="95">
        <v>5</v>
      </c>
      <c r="D810" s="95"/>
      <c r="E810" s="95">
        <v>210.53190643120803</v>
      </c>
      <c r="F810" s="95">
        <v>451.13979949544483</v>
      </c>
      <c r="G810" s="95">
        <v>285.72187301378165</v>
      </c>
      <c r="H810" s="95">
        <v>0.17806015589814778</v>
      </c>
      <c r="I810" s="95">
        <v>26.704113784536979</v>
      </c>
      <c r="J810" s="95"/>
      <c r="K810" s="95"/>
      <c r="L810" s="95">
        <v>1.3177674087999354</v>
      </c>
      <c r="M810" s="95">
        <v>6.1356047758601706</v>
      </c>
      <c r="N810" s="95">
        <v>2.3480933757191704</v>
      </c>
      <c r="O810" s="95">
        <v>3030.6711156568686</v>
      </c>
      <c r="P810" s="95">
        <v>5985.2516659018856</v>
      </c>
      <c r="Q810" s="95">
        <v>10000.000000000004</v>
      </c>
      <c r="S810" s="98"/>
      <c r="T810" s="95"/>
      <c r="U810" s="99"/>
      <c r="W810" s="121"/>
      <c r="X810" s="59"/>
      <c r="Y810" s="59"/>
      <c r="Z810" s="59"/>
      <c r="AA810" s="59"/>
      <c r="AB810" s="59"/>
      <c r="AC810" s="59"/>
      <c r="AD810" s="59"/>
      <c r="AE810" s="59"/>
      <c r="AF810" s="68"/>
    </row>
    <row r="811" spans="1:32" x14ac:dyDescent="0.2">
      <c r="A811" s="95">
        <v>774</v>
      </c>
      <c r="B811" s="95">
        <v>64</v>
      </c>
      <c r="C811" s="95">
        <v>6</v>
      </c>
      <c r="D811" s="95"/>
      <c r="E811" s="95">
        <v>207.3739278347399</v>
      </c>
      <c r="F811" s="95">
        <v>444.37270250301316</v>
      </c>
      <c r="G811" s="95">
        <v>281.43604491857491</v>
      </c>
      <c r="H811" s="95">
        <v>0.17366800538599347</v>
      </c>
      <c r="I811" s="95">
        <v>26.187330156727569</v>
      </c>
      <c r="J811" s="95"/>
      <c r="K811" s="95"/>
      <c r="L811" s="95">
        <v>1.2947944142554169</v>
      </c>
      <c r="M811" s="95">
        <v>6.0140779981132981</v>
      </c>
      <c r="N811" s="95">
        <v>2.3027095609257429</v>
      </c>
      <c r="O811" s="95">
        <v>3030.8319204297627</v>
      </c>
      <c r="P811" s="95">
        <v>6000.0128241785042</v>
      </c>
      <c r="Q811" s="95">
        <v>10000.000000000004</v>
      </c>
      <c r="S811" s="98"/>
      <c r="T811" s="95"/>
      <c r="U811" s="99"/>
      <c r="W811" s="121"/>
      <c r="X811" s="59"/>
      <c r="Y811" s="59"/>
      <c r="Z811" s="59"/>
      <c r="AA811" s="59"/>
      <c r="AB811" s="59"/>
      <c r="AC811" s="59"/>
      <c r="AD811" s="59"/>
      <c r="AE811" s="59"/>
      <c r="AF811" s="68"/>
    </row>
    <row r="812" spans="1:32" x14ac:dyDescent="0.2">
      <c r="A812" s="95">
        <v>775</v>
      </c>
      <c r="B812" s="95">
        <v>64</v>
      </c>
      <c r="C812" s="95">
        <v>7</v>
      </c>
      <c r="D812" s="95"/>
      <c r="E812" s="95">
        <v>204.26331891721881</v>
      </c>
      <c r="F812" s="95">
        <v>437.70711196546796</v>
      </c>
      <c r="G812" s="95">
        <v>277.21450424479627</v>
      </c>
      <c r="H812" s="95">
        <v>0.1693841945864723</v>
      </c>
      <c r="I812" s="95">
        <v>25.680538286903172</v>
      </c>
      <c r="J812" s="95"/>
      <c r="K812" s="95"/>
      <c r="L812" s="95">
        <v>1.272175113802875</v>
      </c>
      <c r="M812" s="95">
        <v>5.8949869817876532</v>
      </c>
      <c r="N812" s="95">
        <v>2.2581996644885205</v>
      </c>
      <c r="O812" s="95">
        <v>3030.9896276215709</v>
      </c>
      <c r="P812" s="95">
        <v>6014.5501530093798</v>
      </c>
      <c r="Q812" s="95">
        <v>10000.000000000002</v>
      </c>
      <c r="S812" s="98"/>
      <c r="T812" s="95"/>
      <c r="U812" s="99"/>
      <c r="W812" s="121"/>
      <c r="X812" s="59"/>
      <c r="Y812" s="59"/>
      <c r="Z812" s="59"/>
      <c r="AA812" s="59"/>
      <c r="AB812" s="59"/>
      <c r="AC812" s="59"/>
      <c r="AD812" s="59"/>
      <c r="AE812" s="59"/>
      <c r="AF812" s="68"/>
    </row>
    <row r="813" spans="1:32" x14ac:dyDescent="0.2">
      <c r="A813" s="95">
        <v>776</v>
      </c>
      <c r="B813" s="95">
        <v>64</v>
      </c>
      <c r="C813" s="95">
        <v>8</v>
      </c>
      <c r="D813" s="95"/>
      <c r="E813" s="95">
        <v>201.19936913346052</v>
      </c>
      <c r="F813" s="95">
        <v>431.14150528598594</v>
      </c>
      <c r="G813" s="95">
        <v>273.05628668112433</v>
      </c>
      <c r="H813" s="95">
        <v>0.165206051120006</v>
      </c>
      <c r="I813" s="95">
        <v>25.183545215713472</v>
      </c>
      <c r="J813" s="95"/>
      <c r="K813" s="95"/>
      <c r="L813" s="95">
        <v>1.2499059177761154</v>
      </c>
      <c r="M813" s="95">
        <v>5.7782820428819486</v>
      </c>
      <c r="N813" s="95">
        <v>2.2145469446695429</v>
      </c>
      <c r="O813" s="95">
        <v>3031.1442964273551</v>
      </c>
      <c r="P813" s="95">
        <v>6028.8670562999159</v>
      </c>
      <c r="Q813" s="95">
        <v>10000.000000000004</v>
      </c>
      <c r="S813" s="98"/>
      <c r="T813" s="95"/>
      <c r="U813" s="99"/>
      <c r="W813" s="121"/>
      <c r="X813" s="59"/>
      <c r="Y813" s="59"/>
      <c r="Z813" s="59"/>
      <c r="AA813" s="59"/>
      <c r="AB813" s="59"/>
      <c r="AC813" s="59"/>
      <c r="AD813" s="59"/>
      <c r="AE813" s="59"/>
      <c r="AF813" s="68"/>
    </row>
    <row r="814" spans="1:32" x14ac:dyDescent="0.2">
      <c r="A814" s="95">
        <v>777</v>
      </c>
      <c r="B814" s="95">
        <v>64</v>
      </c>
      <c r="C814" s="95">
        <v>9</v>
      </c>
      <c r="D814" s="95"/>
      <c r="E814" s="95">
        <v>198.18137859645861</v>
      </c>
      <c r="F814" s="95">
        <v>424.67438270669618</v>
      </c>
      <c r="G814" s="95">
        <v>268.96044238090747</v>
      </c>
      <c r="H814" s="95">
        <v>0.16113096852571251</v>
      </c>
      <c r="I814" s="95">
        <v>24.696161704602531</v>
      </c>
      <c r="J814" s="95"/>
      <c r="K814" s="95"/>
      <c r="L814" s="95">
        <v>1.2279831895359992</v>
      </c>
      <c r="M814" s="95">
        <v>5.6639145363996972</v>
      </c>
      <c r="N814" s="95">
        <v>2.1717349795804033</v>
      </c>
      <c r="O814" s="95">
        <v>3031.2959849282893</v>
      </c>
      <c r="P814" s="95">
        <v>6042.9668860090069</v>
      </c>
      <c r="Q814" s="95">
        <v>10000.000000000004</v>
      </c>
      <c r="S814" s="98"/>
      <c r="T814" s="95"/>
      <c r="U814" s="99"/>
      <c r="W814" s="121"/>
      <c r="X814" s="59"/>
      <c r="Y814" s="59"/>
      <c r="Z814" s="59"/>
      <c r="AA814" s="59"/>
      <c r="AB814" s="59"/>
      <c r="AC814" s="59"/>
      <c r="AD814" s="59"/>
      <c r="AE814" s="59"/>
      <c r="AF814" s="68"/>
    </row>
    <row r="815" spans="1:32" x14ac:dyDescent="0.2">
      <c r="A815" s="95">
        <v>778</v>
      </c>
      <c r="B815" s="95">
        <v>64</v>
      </c>
      <c r="C815" s="95">
        <v>10</v>
      </c>
      <c r="D815" s="95"/>
      <c r="E815" s="95">
        <v>195.20865791751174</v>
      </c>
      <c r="F815" s="95">
        <v>418.30426696609572</v>
      </c>
      <c r="G815" s="95">
        <v>264.92603574519387</v>
      </c>
      <c r="H815" s="95">
        <v>0.15715640463541161</v>
      </c>
      <c r="I815" s="95">
        <v>24.21820216420058</v>
      </c>
      <c r="J815" s="95"/>
      <c r="K815" s="95"/>
      <c r="L815" s="95">
        <v>1.2064032505438806</v>
      </c>
      <c r="M815" s="95">
        <v>5.5518368338814099</v>
      </c>
      <c r="N815" s="95">
        <v>2.1297476609656329</v>
      </c>
      <c r="O815" s="95">
        <v>3031.4447501120271</v>
      </c>
      <c r="P815" s="95">
        <v>6056.8529429449472</v>
      </c>
      <c r="Q815" s="95">
        <v>10000.000000000002</v>
      </c>
      <c r="S815" s="98"/>
      <c r="T815" s="95"/>
      <c r="U815" s="99"/>
      <c r="W815" s="121"/>
      <c r="X815" s="59"/>
      <c r="Y815" s="59"/>
      <c r="Z815" s="59"/>
      <c r="AA815" s="59"/>
      <c r="AB815" s="59"/>
      <c r="AC815" s="59"/>
      <c r="AD815" s="59"/>
      <c r="AE815" s="59"/>
      <c r="AF815" s="68"/>
    </row>
    <row r="816" spans="1:32" x14ac:dyDescent="0.2">
      <c r="A816" s="95">
        <v>779</v>
      </c>
      <c r="B816" s="95">
        <v>64</v>
      </c>
      <c r="C816" s="95">
        <v>11</v>
      </c>
      <c r="D816" s="95"/>
      <c r="E816" s="95">
        <v>192.28052804874906</v>
      </c>
      <c r="F816" s="95">
        <v>412.0297029616043</v>
      </c>
      <c r="G816" s="95">
        <v>260.95214520901595</v>
      </c>
      <c r="H816" s="95">
        <v>0.15327987998773812</v>
      </c>
      <c r="I816" s="95">
        <v>23.749484584090496</v>
      </c>
      <c r="J816" s="95"/>
      <c r="K816" s="95"/>
      <c r="L816" s="95">
        <v>1.1851623851878974</v>
      </c>
      <c r="M816" s="95">
        <v>5.4420023014434467</v>
      </c>
      <c r="N816" s="95">
        <v>2.0885691881184321</v>
      </c>
      <c r="O816" s="95">
        <v>3031.5906478927127</v>
      </c>
      <c r="P816" s="95">
        <v>6070.5284775490927</v>
      </c>
      <c r="Q816" s="95">
        <v>10000.000000000004</v>
      </c>
      <c r="S816" s="98"/>
      <c r="T816" s="95"/>
      <c r="U816" s="99"/>
      <c r="W816" s="121"/>
      <c r="X816" s="59"/>
      <c r="Y816" s="59"/>
      <c r="Z816" s="59"/>
      <c r="AA816" s="59"/>
      <c r="AB816" s="59"/>
      <c r="AC816" s="59"/>
      <c r="AD816" s="59"/>
      <c r="AE816" s="59"/>
      <c r="AF816" s="68"/>
    </row>
    <row r="817" spans="1:32" x14ac:dyDescent="0.2">
      <c r="A817" s="95">
        <v>780</v>
      </c>
      <c r="B817" s="95">
        <v>65</v>
      </c>
      <c r="C817" s="95">
        <v>0</v>
      </c>
      <c r="D817" s="95"/>
      <c r="E817" s="95">
        <v>189.39632012801783</v>
      </c>
      <c r="F817" s="95">
        <v>405.84925741718024</v>
      </c>
      <c r="G817" s="95">
        <v>257.03786303088071</v>
      </c>
      <c r="H817" s="95">
        <v>0.1494989762813739</v>
      </c>
      <c r="I817" s="95">
        <v>23.28983046392262</v>
      </c>
      <c r="J817" s="95"/>
      <c r="K817" s="95"/>
      <c r="L817" s="95">
        <v>1.1642568453722271</v>
      </c>
      <c r="M817" s="95">
        <v>5.3343652783115418</v>
      </c>
      <c r="N817" s="95">
        <v>2.0481840619251246</v>
      </c>
      <c r="O817" s="95">
        <v>3031.7337331306453</v>
      </c>
      <c r="P817" s="95">
        <v>6083.9966906674654</v>
      </c>
      <c r="Q817" s="95">
        <v>10000.000000000002</v>
      </c>
      <c r="S817" s="98"/>
      <c r="T817" s="95"/>
      <c r="U817" s="99"/>
      <c r="W817" s="121"/>
      <c r="X817" s="59"/>
      <c r="Y817" s="59"/>
      <c r="Z817" s="59"/>
      <c r="AA817" s="59"/>
      <c r="AB817" s="59"/>
      <c r="AC817" s="59"/>
      <c r="AD817" s="59"/>
      <c r="AE817" s="59"/>
      <c r="AF817" s="68"/>
    </row>
    <row r="818" spans="1:32" x14ac:dyDescent="0.2">
      <c r="A818" s="95">
        <v>781</v>
      </c>
      <c r="B818" s="95">
        <v>65</v>
      </c>
      <c r="C818" s="95">
        <v>1</v>
      </c>
      <c r="D818" s="95"/>
      <c r="E818" s="95">
        <v>186.55537532609756</v>
      </c>
      <c r="F818" s="95">
        <v>399.76151855592252</v>
      </c>
      <c r="G818" s="95">
        <v>253.18229508541751</v>
      </c>
      <c r="H818" s="95">
        <v>0.14581133486643336</v>
      </c>
      <c r="I818" s="95">
        <v>22.839064745852177</v>
      </c>
      <c r="J818" s="95"/>
      <c r="K818" s="95"/>
      <c r="L818" s="95">
        <v>1.1436828548790354</v>
      </c>
      <c r="M818" s="95">
        <v>5.2288810558372978</v>
      </c>
      <c r="N818" s="95">
        <v>2.0085770790348629</v>
      </c>
      <c r="O818" s="95">
        <v>3031.8740596516013</v>
      </c>
      <c r="P818" s="95">
        <v>6097.2607343104937</v>
      </c>
      <c r="Q818" s="95">
        <v>10000.000000000002</v>
      </c>
      <c r="S818" s="98"/>
      <c r="T818" s="95"/>
      <c r="U818" s="99"/>
      <c r="W818" s="121"/>
      <c r="X818" s="59"/>
      <c r="Y818" s="59"/>
      <c r="Z818" s="59"/>
      <c r="AA818" s="59"/>
      <c r="AB818" s="59"/>
      <c r="AC818" s="59"/>
      <c r="AD818" s="59"/>
      <c r="AE818" s="59"/>
      <c r="AF818" s="68"/>
    </row>
    <row r="819" spans="1:32" x14ac:dyDescent="0.2">
      <c r="A819" s="95">
        <v>782</v>
      </c>
      <c r="B819" s="95">
        <v>65</v>
      </c>
      <c r="C819" s="95">
        <v>2</v>
      </c>
      <c r="D819" s="95"/>
      <c r="E819" s="95">
        <v>183.75704469620609</v>
      </c>
      <c r="F819" s="95">
        <v>393.76509577758367</v>
      </c>
      <c r="G819" s="95">
        <v>249.38456065913624</v>
      </c>
      <c r="H819" s="95">
        <v>0.14221465527306135</v>
      </c>
      <c r="I819" s="95">
        <v>22.397015748273922</v>
      </c>
      <c r="J819" s="95"/>
      <c r="K819" s="95"/>
      <c r="L819" s="95">
        <v>1.1234366135124727</v>
      </c>
      <c r="M819" s="95">
        <v>5.1255058569862619</v>
      </c>
      <c r="N819" s="95">
        <v>1.9697333261512362</v>
      </c>
      <c r="O819" s="95">
        <v>3032.0116802658172</v>
      </c>
      <c r="P819" s="95">
        <v>6110.323712401062</v>
      </c>
      <c r="Q819" s="95">
        <v>10000.000000000002</v>
      </c>
      <c r="S819" s="98"/>
      <c r="T819" s="95"/>
      <c r="U819" s="99"/>
      <c r="W819" s="121"/>
      <c r="X819" s="59"/>
      <c r="Y819" s="59"/>
      <c r="Z819" s="59"/>
      <c r="AA819" s="59"/>
      <c r="AB819" s="59"/>
      <c r="AC819" s="59"/>
      <c r="AD819" s="59"/>
      <c r="AE819" s="59"/>
      <c r="AF819" s="68"/>
    </row>
    <row r="820" spans="1:32" x14ac:dyDescent="0.2">
      <c r="A820" s="95">
        <v>783</v>
      </c>
      <c r="B820" s="95">
        <v>65</v>
      </c>
      <c r="C820" s="95">
        <v>3</v>
      </c>
      <c r="D820" s="95"/>
      <c r="E820" s="95">
        <v>181.00068902576299</v>
      </c>
      <c r="F820" s="95">
        <v>387.85861934091992</v>
      </c>
      <c r="G820" s="95">
        <v>245.6437922492492</v>
      </c>
      <c r="H820" s="95">
        <v>0.13870669377632583</v>
      </c>
      <c r="I820" s="95">
        <v>21.963515100829245</v>
      </c>
      <c r="J820" s="95"/>
      <c r="K820" s="95"/>
      <c r="L820" s="95">
        <v>1.1035143010337118</v>
      </c>
      <c r="M820" s="95">
        <v>5.0241968162864614</v>
      </c>
      <c r="N820" s="95">
        <v>1.9316381744425652</v>
      </c>
      <c r="O820" s="95">
        <v>3032.146646786643</v>
      </c>
      <c r="P820" s="95">
        <v>6123.1886815110593</v>
      </c>
      <c r="Q820" s="95">
        <v>10000.000000000002</v>
      </c>
      <c r="S820" s="98"/>
      <c r="T820" s="95"/>
      <c r="U820" s="99"/>
      <c r="W820" s="121"/>
      <c r="X820" s="59"/>
      <c r="Y820" s="59"/>
      <c r="Z820" s="59"/>
      <c r="AA820" s="59"/>
      <c r="AB820" s="59"/>
      <c r="AC820" s="59"/>
      <c r="AD820" s="59"/>
      <c r="AE820" s="59"/>
      <c r="AF820" s="68"/>
    </row>
    <row r="821" spans="1:32" x14ac:dyDescent="0.2">
      <c r="A821" s="95">
        <v>784</v>
      </c>
      <c r="B821" s="95">
        <v>65</v>
      </c>
      <c r="C821" s="95">
        <v>4</v>
      </c>
      <c r="D821" s="95"/>
      <c r="E821" s="95">
        <v>178.28567869037656</v>
      </c>
      <c r="F821" s="95">
        <v>382.04074005080611</v>
      </c>
      <c r="G821" s="95">
        <v>241.95913536551046</v>
      </c>
      <c r="H821" s="95">
        <v>0.13528526199650978</v>
      </c>
      <c r="I821" s="95">
        <v>21.538397680661316</v>
      </c>
      <c r="J821" s="95"/>
      <c r="K821" s="95"/>
      <c r="L821" s="95">
        <v>1.0839120808956817</v>
      </c>
      <c r="M821" s="95">
        <v>4.9249119602265514</v>
      </c>
      <c r="N821" s="95">
        <v>1.894277274067794</v>
      </c>
      <c r="O821" s="95">
        <v>3032.2790100488678</v>
      </c>
      <c r="P821" s="95">
        <v>6135.8586515865936</v>
      </c>
      <c r="Q821" s="95">
        <v>10000.000000000002</v>
      </c>
      <c r="S821" s="98"/>
      <c r="T821" s="95"/>
      <c r="U821" s="99"/>
      <c r="W821" s="121"/>
      <c r="X821" s="59"/>
      <c r="Y821" s="59"/>
      <c r="Z821" s="59"/>
      <c r="AA821" s="59"/>
      <c r="AB821" s="59"/>
      <c r="AC821" s="59"/>
      <c r="AD821" s="59"/>
      <c r="AE821" s="59"/>
      <c r="AF821" s="68"/>
    </row>
    <row r="822" spans="1:32" x14ac:dyDescent="0.2">
      <c r="A822" s="95">
        <v>785</v>
      </c>
      <c r="B822" s="95">
        <v>65</v>
      </c>
      <c r="C822" s="95">
        <v>5</v>
      </c>
      <c r="D822" s="95"/>
      <c r="E822" s="95">
        <v>175.61139351002092</v>
      </c>
      <c r="F822" s="95">
        <v>376.31012895004403</v>
      </c>
      <c r="G822" s="95">
        <v>238.3297483350278</v>
      </c>
      <c r="H822" s="95">
        <v>0.13194822553392921</v>
      </c>
      <c r="I822" s="95">
        <v>21.12150154989444</v>
      </c>
      <c r="J822" s="95"/>
      <c r="K822" s="95"/>
      <c r="L822" s="95">
        <v>1.0646261037858116</v>
      </c>
      <c r="M822" s="95">
        <v>4.8276101880930122</v>
      </c>
      <c r="N822" s="95">
        <v>1.8576365488149955</v>
      </c>
      <c r="O822" s="95">
        <v>3032.4088199267258</v>
      </c>
      <c r="P822" s="95">
        <v>6148.3365866620616</v>
      </c>
      <c r="Q822" s="95">
        <v>10000.000000000002</v>
      </c>
      <c r="S822" s="98"/>
      <c r="T822" s="95"/>
      <c r="U822" s="99"/>
      <c r="W822" s="121"/>
      <c r="X822" s="59"/>
      <c r="Y822" s="59"/>
      <c r="Z822" s="59"/>
      <c r="AA822" s="59"/>
      <c r="AB822" s="59"/>
      <c r="AC822" s="59"/>
      <c r="AD822" s="59"/>
      <c r="AE822" s="59"/>
      <c r="AF822" s="68"/>
    </row>
    <row r="823" spans="1:32" x14ac:dyDescent="0.2">
      <c r="A823" s="95">
        <v>786</v>
      </c>
      <c r="B823" s="95">
        <v>65</v>
      </c>
      <c r="C823" s="95">
        <v>6</v>
      </c>
      <c r="D823" s="95"/>
      <c r="E823" s="95">
        <v>172.97722260737061</v>
      </c>
      <c r="F823" s="95">
        <v>370.66547701579339</v>
      </c>
      <c r="G823" s="95">
        <v>234.75480211000237</v>
      </c>
      <c r="H823" s="95">
        <v>0.12869350263742563</v>
      </c>
      <c r="I823" s="95">
        <v>20.712667894314151</v>
      </c>
      <c r="J823" s="95"/>
      <c r="K823" s="95"/>
      <c r="L823" s="95">
        <v>1.045652510984789</v>
      </c>
      <c r="M823" s="95">
        <v>4.7322512532360763</v>
      </c>
      <c r="N823" s="95">
        <v>1.8217021908496271</v>
      </c>
      <c r="O823" s="95">
        <v>3032.5361253515839</v>
      </c>
      <c r="P823" s="95">
        <v>6160.6254055632298</v>
      </c>
      <c r="Q823" s="95">
        <v>10000.000000000002</v>
      </c>
      <c r="S823" s="98"/>
      <c r="T823" s="95"/>
      <c r="U823" s="99"/>
      <c r="W823" s="121"/>
      <c r="X823" s="59"/>
      <c r="Y823" s="59"/>
      <c r="Z823" s="59"/>
      <c r="AA823" s="59"/>
      <c r="AB823" s="59"/>
      <c r="AC823" s="59"/>
      <c r="AD823" s="59"/>
      <c r="AE823" s="59"/>
      <c r="AF823" s="68"/>
    </row>
    <row r="824" spans="1:32" x14ac:dyDescent="0.2">
      <c r="A824" s="95">
        <v>787</v>
      </c>
      <c r="B824" s="95">
        <v>65</v>
      </c>
      <c r="C824" s="95">
        <v>7</v>
      </c>
      <c r="D824" s="95"/>
      <c r="E824" s="95">
        <v>170.38256426826004</v>
      </c>
      <c r="F824" s="95">
        <v>365.10549486055646</v>
      </c>
      <c r="G824" s="95">
        <v>231.23348007835233</v>
      </c>
      <c r="H824" s="95">
        <v>0.12551906290570247</v>
      </c>
      <c r="I824" s="95">
        <v>20.311740963225045</v>
      </c>
      <c r="J824" s="95"/>
      <c r="K824" s="95"/>
      <c r="L824" s="95">
        <v>1.0269874375490171</v>
      </c>
      <c r="M824" s="95">
        <v>4.638795744754332</v>
      </c>
      <c r="N824" s="95">
        <v>1.7864606555697682</v>
      </c>
      <c r="O824" s="95">
        <v>3032.6609743293216</v>
      </c>
      <c r="P824" s="95">
        <v>6172.7279825995083</v>
      </c>
      <c r="Q824" s="95">
        <v>10000.000000000002</v>
      </c>
      <c r="S824" s="98"/>
      <c r="T824" s="95"/>
      <c r="U824" s="99"/>
      <c r="W824" s="121"/>
      <c r="X824" s="59"/>
      <c r="Y824" s="59"/>
      <c r="Z824" s="59"/>
      <c r="AA824" s="59"/>
      <c r="AB824" s="59"/>
      <c r="AC824" s="59"/>
      <c r="AD824" s="59"/>
      <c r="AE824" s="59"/>
      <c r="AF824" s="68"/>
    </row>
    <row r="825" spans="1:32" x14ac:dyDescent="0.2">
      <c r="A825" s="95">
        <v>788</v>
      </c>
      <c r="B825" s="95">
        <v>65</v>
      </c>
      <c r="C825" s="95">
        <v>8</v>
      </c>
      <c r="D825" s="95"/>
      <c r="E825" s="95">
        <v>167.82682580423614</v>
      </c>
      <c r="F825" s="95">
        <v>359.62891243764813</v>
      </c>
      <c r="G825" s="95">
        <v>227.76497787717705</v>
      </c>
      <c r="H825" s="95">
        <v>0.12242292602069514</v>
      </c>
      <c r="I825" s="95">
        <v>19.918568010463847</v>
      </c>
      <c r="J825" s="95"/>
      <c r="K825" s="95"/>
      <c r="L825" s="95">
        <v>1.0086270153241705</v>
      </c>
      <c r="M825" s="95">
        <v>4.5472050695881903</v>
      </c>
      <c r="N825" s="95">
        <v>1.7518986565656789</v>
      </c>
      <c r="O825" s="95">
        <v>3032.7834139574029</v>
      </c>
      <c r="P825" s="95">
        <v>6184.6471482455754</v>
      </c>
      <c r="Q825" s="95">
        <v>10000.000000000002</v>
      </c>
      <c r="S825" s="98"/>
      <c r="T825" s="95"/>
      <c r="U825" s="99"/>
      <c r="W825" s="121"/>
      <c r="X825" s="59"/>
      <c r="Y825" s="59"/>
      <c r="Z825" s="59"/>
      <c r="AA825" s="59"/>
      <c r="AB825" s="59"/>
      <c r="AC825" s="59"/>
      <c r="AD825" s="59"/>
      <c r="AE825" s="59"/>
      <c r="AF825" s="68"/>
    </row>
    <row r="826" spans="1:32" x14ac:dyDescent="0.2">
      <c r="A826" s="95">
        <v>789</v>
      </c>
      <c r="B826" s="95">
        <v>65</v>
      </c>
      <c r="C826" s="95">
        <v>9</v>
      </c>
      <c r="D826" s="95"/>
      <c r="E826" s="95">
        <v>165.30942341717258</v>
      </c>
      <c r="F826" s="95">
        <v>354.23447875108343</v>
      </c>
      <c r="G826" s="95">
        <v>224.34850320901938</v>
      </c>
      <c r="H826" s="95">
        <v>0.11940316051218466</v>
      </c>
      <c r="I826" s="95">
        <v>19.532999236545542</v>
      </c>
      <c r="J826" s="95"/>
      <c r="K826" s="95"/>
      <c r="L826" s="95">
        <v>0.99056737579695275</v>
      </c>
      <c r="M826" s="95">
        <v>4.4574414350126537</v>
      </c>
      <c r="N826" s="95">
        <v>1.7180031606811095</v>
      </c>
      <c r="O826" s="95">
        <v>3032.9034904416476</v>
      </c>
      <c r="P826" s="95">
        <v>6196.3856898125314</v>
      </c>
      <c r="Q826" s="95">
        <v>10000.000000000004</v>
      </c>
      <c r="S826" s="98"/>
      <c r="T826" s="95"/>
      <c r="U826" s="99"/>
      <c r="W826" s="121"/>
      <c r="X826" s="59"/>
      <c r="Y826" s="59"/>
      <c r="Z826" s="59"/>
      <c r="AA826" s="59"/>
      <c r="AB826" s="59"/>
      <c r="AC826" s="59"/>
      <c r="AD826" s="59"/>
      <c r="AE826" s="59"/>
      <c r="AF826" s="68"/>
    </row>
    <row r="827" spans="1:32" x14ac:dyDescent="0.2">
      <c r="A827" s="95">
        <v>790</v>
      </c>
      <c r="B827" s="95">
        <v>65</v>
      </c>
      <c r="C827" s="95">
        <v>10</v>
      </c>
      <c r="D827" s="95"/>
      <c r="E827" s="95">
        <v>162.829782065915</v>
      </c>
      <c r="F827" s="95">
        <v>348.92096156981717</v>
      </c>
      <c r="G827" s="95">
        <v>220.98327566088409</v>
      </c>
      <c r="H827" s="95">
        <v>0.11645788255288411</v>
      </c>
      <c r="I827" s="95">
        <v>19.154887731920901</v>
      </c>
      <c r="J827" s="95"/>
      <c r="K827" s="95"/>
      <c r="L827" s="95">
        <v>0.97280465279189199</v>
      </c>
      <c r="M827" s="95">
        <v>4.3694678315200504</v>
      </c>
      <c r="N827" s="95">
        <v>1.684761383173881</v>
      </c>
      <c r="O827" s="95">
        <v>3033.0212491127081</v>
      </c>
      <c r="P827" s="95">
        <v>6207.9463521087191</v>
      </c>
      <c r="Q827" s="95">
        <v>10000.000000000004</v>
      </c>
      <c r="S827" s="98"/>
      <c r="T827" s="95"/>
      <c r="U827" s="99"/>
      <c r="W827" s="121"/>
      <c r="X827" s="59"/>
      <c r="Y827" s="59"/>
      <c r="Z827" s="59"/>
      <c r="AA827" s="59"/>
      <c r="AB827" s="59"/>
      <c r="AC827" s="59"/>
      <c r="AD827" s="59"/>
      <c r="AE827" s="59"/>
      <c r="AF827" s="68"/>
    </row>
    <row r="828" spans="1:32" x14ac:dyDescent="0.2">
      <c r="A828" s="95">
        <v>791</v>
      </c>
      <c r="B828" s="95">
        <v>65</v>
      </c>
      <c r="C828" s="95">
        <v>11</v>
      </c>
      <c r="D828" s="95"/>
      <c r="E828" s="95">
        <v>160.38733533492626</v>
      </c>
      <c r="F828" s="95">
        <v>343.68714714626992</v>
      </c>
      <c r="G828" s="95">
        <v>217.66852652597083</v>
      </c>
      <c r="H828" s="95">
        <v>0.1135852547832463</v>
      </c>
      <c r="I828" s="95">
        <v>18.784089421324115</v>
      </c>
      <c r="J828" s="95"/>
      <c r="K828" s="95"/>
      <c r="L828" s="95">
        <v>0.9553349850197439</v>
      </c>
      <c r="M828" s="95">
        <v>4.2832480160836308</v>
      </c>
      <c r="N828" s="95">
        <v>1.6521607829733442</v>
      </c>
      <c r="O828" s="95">
        <v>3033.1367344422542</v>
      </c>
      <c r="P828" s="95">
        <v>6219.3318380903975</v>
      </c>
      <c r="Q828" s="95">
        <v>10000.000000000004</v>
      </c>
      <c r="S828" s="98"/>
      <c r="T828" s="95"/>
      <c r="U828" s="99"/>
      <c r="W828" s="121"/>
      <c r="X828" s="59"/>
      <c r="Y828" s="59"/>
      <c r="Z828" s="59"/>
      <c r="AA828" s="59"/>
      <c r="AB828" s="59"/>
      <c r="AC828" s="59"/>
      <c r="AD828" s="59"/>
      <c r="AE828" s="59"/>
      <c r="AF828" s="68"/>
    </row>
    <row r="829" spans="1:32" x14ac:dyDescent="0.2">
      <c r="A829" s="95">
        <v>792</v>
      </c>
      <c r="B829" s="95">
        <v>66</v>
      </c>
      <c r="C829" s="95">
        <v>0</v>
      </c>
      <c r="D829" s="95"/>
      <c r="E829" s="95">
        <v>157.98152530490236</v>
      </c>
      <c r="F829" s="95">
        <v>338.53183993907589</v>
      </c>
      <c r="G829" s="95">
        <v>214.40349862808128</v>
      </c>
      <c r="H829" s="95">
        <v>0.11078348516525956</v>
      </c>
      <c r="I829" s="95">
        <v>18.420463009189643</v>
      </c>
      <c r="J829" s="95"/>
      <c r="K829" s="95"/>
      <c r="L829" s="95">
        <v>0.93815451848381204</v>
      </c>
      <c r="M829" s="95">
        <v>4.1987464957931495</v>
      </c>
      <c r="N829" s="95">
        <v>1.6201890580324065</v>
      </c>
      <c r="O829" s="95">
        <v>3033.2499900588714</v>
      </c>
      <c r="P829" s="95">
        <v>6230.5448095024076</v>
      </c>
      <c r="Q829" s="95">
        <v>10000.000000000004</v>
      </c>
      <c r="S829" s="98"/>
      <c r="T829" s="95"/>
      <c r="U829" s="99"/>
      <c r="W829" s="121"/>
      <c r="X829" s="59"/>
      <c r="Y829" s="59"/>
      <c r="Z829" s="59"/>
      <c r="AA829" s="59"/>
      <c r="AB829" s="59"/>
      <c r="AC829" s="59"/>
      <c r="AD829" s="59"/>
      <c r="AE829" s="59"/>
      <c r="AF829" s="68"/>
    </row>
    <row r="830" spans="1:32" x14ac:dyDescent="0.2">
      <c r="A830" s="95">
        <v>793</v>
      </c>
      <c r="B830" s="95">
        <v>66</v>
      </c>
      <c r="C830" s="95">
        <v>1</v>
      </c>
      <c r="D830" s="95"/>
      <c r="E830" s="95">
        <v>155.61180242532882</v>
      </c>
      <c r="F830" s="95">
        <v>333.45386233998977</v>
      </c>
      <c r="G830" s="95">
        <v>211.18744614866006</v>
      </c>
      <c r="H830" s="95">
        <v>0.10805082586451649</v>
      </c>
      <c r="I830" s="95">
        <v>18.063869926117807</v>
      </c>
      <c r="J830" s="95"/>
      <c r="K830" s="95"/>
      <c r="L830" s="95">
        <v>0.92125940875025847</v>
      </c>
      <c r="M830" s="95">
        <v>4.1159285118537721</v>
      </c>
      <c r="N830" s="95">
        <v>1.5888341407718913</v>
      </c>
      <c r="O830" s="95">
        <v>3033.3610587636776</v>
      </c>
      <c r="P830" s="95">
        <v>6241.5878875089893</v>
      </c>
      <c r="Q830" s="95">
        <v>10000.000000000004</v>
      </c>
      <c r="S830" s="98"/>
      <c r="T830" s="95"/>
      <c r="U830" s="99"/>
      <c r="W830" s="121"/>
      <c r="X830" s="59"/>
      <c r="Y830" s="59"/>
      <c r="Z830" s="59"/>
      <c r="AA830" s="59"/>
      <c r="AB830" s="59"/>
      <c r="AC830" s="59"/>
      <c r="AD830" s="59"/>
      <c r="AE830" s="59"/>
      <c r="AF830" s="68"/>
    </row>
    <row r="831" spans="1:32" x14ac:dyDescent="0.2">
      <c r="A831" s="95">
        <v>794</v>
      </c>
      <c r="B831" s="95">
        <v>66</v>
      </c>
      <c r="C831" s="95">
        <v>2</v>
      </c>
      <c r="D831" s="95"/>
      <c r="E831" s="95">
        <v>153.27762538894888</v>
      </c>
      <c r="F831" s="95">
        <v>328.45205440488991</v>
      </c>
      <c r="G831" s="95">
        <v>208.01963445643017</v>
      </c>
      <c r="H831" s="95">
        <v>0.10538557215985841</v>
      </c>
      <c r="I831" s="95">
        <v>17.714174276369043</v>
      </c>
      <c r="J831" s="95"/>
      <c r="K831" s="95"/>
      <c r="L831" s="95">
        <v>0.9046458230882326</v>
      </c>
      <c r="M831" s="95">
        <v>4.0347600239398504</v>
      </c>
      <c r="N831" s="95">
        <v>1.5580841936150736</v>
      </c>
      <c r="O831" s="95">
        <v>3033.4699825456632</v>
      </c>
      <c r="P831" s="95">
        <v>6252.4636533148996</v>
      </c>
      <c r="Q831" s="95">
        <v>10000.000000000004</v>
      </c>
      <c r="S831" s="98"/>
      <c r="T831" s="95"/>
      <c r="U831" s="99"/>
      <c r="W831" s="121"/>
      <c r="X831" s="59"/>
      <c r="Y831" s="59"/>
      <c r="Z831" s="59"/>
      <c r="AA831" s="59"/>
      <c r="AB831" s="59"/>
      <c r="AC831" s="59"/>
      <c r="AD831" s="59"/>
      <c r="AE831" s="59"/>
      <c r="AF831" s="68"/>
    </row>
    <row r="832" spans="1:32" x14ac:dyDescent="0.2">
      <c r="A832" s="95">
        <v>795</v>
      </c>
      <c r="B832" s="95">
        <v>66</v>
      </c>
      <c r="C832" s="95">
        <v>3</v>
      </c>
      <c r="D832" s="95"/>
      <c r="E832" s="95">
        <v>150.97846100811464</v>
      </c>
      <c r="F832" s="95">
        <v>323.52527358881656</v>
      </c>
      <c r="G832" s="95">
        <v>204.89933993958371</v>
      </c>
      <c r="H832" s="95">
        <v>0.10278606137991524</v>
      </c>
      <c r="I832" s="95">
        <v>17.371242786367091</v>
      </c>
      <c r="J832" s="95"/>
      <c r="K832" s="95"/>
      <c r="L832" s="95">
        <v>0.88830994248542616</v>
      </c>
      <c r="M832" s="95">
        <v>3.9552076948953325</v>
      </c>
      <c r="N832" s="95">
        <v>1.5279276046103007</v>
      </c>
      <c r="O832" s="95">
        <v>3033.5768025967595</v>
      </c>
      <c r="P832" s="95">
        <v>6263.1746487769915</v>
      </c>
      <c r="Q832" s="95">
        <v>10000.000000000004</v>
      </c>
      <c r="S832" s="98"/>
      <c r="T832" s="95"/>
      <c r="U832" s="99"/>
      <c r="W832" s="121"/>
      <c r="X832" s="59"/>
      <c r="Y832" s="59"/>
      <c r="Z832" s="59"/>
      <c r="AA832" s="59"/>
      <c r="AB832" s="59"/>
      <c r="AC832" s="59"/>
      <c r="AD832" s="59"/>
      <c r="AE832" s="59"/>
      <c r="AF832" s="68"/>
    </row>
    <row r="833" spans="1:32" x14ac:dyDescent="0.2">
      <c r="A833" s="95">
        <v>796</v>
      </c>
      <c r="B833" s="95">
        <v>66</v>
      </c>
      <c r="C833" s="95">
        <v>4</v>
      </c>
      <c r="D833" s="95"/>
      <c r="E833" s="95">
        <v>148.71378409299291</v>
      </c>
      <c r="F833" s="95">
        <v>318.6723944849843</v>
      </c>
      <c r="G833" s="95">
        <v>201.82584984048995</v>
      </c>
      <c r="H833" s="95">
        <v>0.10025067186587733</v>
      </c>
      <c r="I833" s="95">
        <v>17.034944754191802</v>
      </c>
      <c r="J833" s="95"/>
      <c r="K833" s="95"/>
      <c r="L833" s="95">
        <v>0.87224796354443868</v>
      </c>
      <c r="M833" s="95">
        <v>3.8772388757727589</v>
      </c>
      <c r="N833" s="95">
        <v>1.4983529831396822</v>
      </c>
      <c r="O833" s="95">
        <v>3033.6815593266369</v>
      </c>
      <c r="P833" s="95">
        <v>6273.7233770063858</v>
      </c>
      <c r="Q833" s="95">
        <v>10000.000000000004</v>
      </c>
      <c r="S833" s="98"/>
      <c r="T833" s="95"/>
      <c r="U833" s="99"/>
      <c r="W833" s="121"/>
      <c r="X833" s="59"/>
      <c r="Y833" s="59"/>
      <c r="Z833" s="59"/>
      <c r="AA833" s="59"/>
      <c r="AB833" s="59"/>
      <c r="AC833" s="59"/>
      <c r="AD833" s="59"/>
      <c r="AE833" s="59"/>
      <c r="AF833" s="68"/>
    </row>
    <row r="834" spans="1:32" x14ac:dyDescent="0.2">
      <c r="A834" s="95">
        <v>797</v>
      </c>
      <c r="B834" s="95">
        <v>66</v>
      </c>
      <c r="C834" s="95">
        <v>5</v>
      </c>
      <c r="D834" s="95"/>
      <c r="E834" s="95">
        <v>146.48307733159803</v>
      </c>
      <c r="F834" s="95">
        <v>313.89230856770951</v>
      </c>
      <c r="G834" s="95">
        <v>198.7984620928826</v>
      </c>
      <c r="H834" s="95">
        <v>9.7777821959852351E-2</v>
      </c>
      <c r="I834" s="95">
        <v>16.705152000042613</v>
      </c>
      <c r="J834" s="95"/>
      <c r="K834" s="95"/>
      <c r="L834" s="95">
        <v>0.85645610026512786</v>
      </c>
      <c r="M834" s="95">
        <v>3.8008215912030012</v>
      </c>
      <c r="N834" s="95">
        <v>1.4693491557118878</v>
      </c>
      <c r="O834" s="95">
        <v>3033.7842923772414</v>
      </c>
      <c r="P834" s="95">
        <v>6284.11230296139</v>
      </c>
      <c r="Q834" s="95">
        <v>10000.000000000004</v>
      </c>
      <c r="S834" s="98"/>
      <c r="T834" s="95"/>
      <c r="U834" s="99"/>
      <c r="W834" s="121"/>
      <c r="X834" s="59"/>
      <c r="Y834" s="59"/>
      <c r="Z834" s="59"/>
      <c r="AA834" s="59"/>
      <c r="AB834" s="59"/>
      <c r="AC834" s="59"/>
      <c r="AD834" s="59"/>
      <c r="AE834" s="59"/>
      <c r="AF834" s="68"/>
    </row>
    <row r="835" spans="1:32" x14ac:dyDescent="0.2">
      <c r="A835" s="95">
        <v>798</v>
      </c>
      <c r="B835" s="95">
        <v>66</v>
      </c>
      <c r="C835" s="95">
        <v>6</v>
      </c>
      <c r="D835" s="95"/>
      <c r="E835" s="95">
        <v>144.28583117162407</v>
      </c>
      <c r="F835" s="95">
        <v>309.18392393919385</v>
      </c>
      <c r="G835" s="95">
        <v>195.81648516148937</v>
      </c>
      <c r="H835" s="95">
        <v>9.5365969018175997E-2</v>
      </c>
      <c r="I835" s="95">
        <v>16.381738817654064</v>
      </c>
      <c r="J835" s="95"/>
      <c r="K835" s="95"/>
      <c r="L835" s="95">
        <v>0.84093058571791979</v>
      </c>
      <c r="M835" s="95">
        <v>3.7259245250880908</v>
      </c>
      <c r="N835" s="95">
        <v>1.440905161837164</v>
      </c>
      <c r="O835" s="95">
        <v>3033.8850406370707</v>
      </c>
      <c r="P835" s="95">
        <v>6294.3438540313109</v>
      </c>
      <c r="Q835" s="95">
        <v>10000.000000000004</v>
      </c>
      <c r="S835" s="98"/>
      <c r="T835" s="95"/>
      <c r="U835" s="99"/>
      <c r="W835" s="121"/>
      <c r="X835" s="59"/>
      <c r="Y835" s="59"/>
      <c r="Z835" s="59"/>
      <c r="AA835" s="59"/>
      <c r="AB835" s="59"/>
      <c r="AC835" s="59"/>
      <c r="AD835" s="59"/>
      <c r="AE835" s="59"/>
      <c r="AF835" s="68"/>
    </row>
    <row r="836" spans="1:32" x14ac:dyDescent="0.2">
      <c r="A836" s="95">
        <v>799</v>
      </c>
      <c r="B836" s="95">
        <v>66</v>
      </c>
      <c r="C836" s="95">
        <v>7</v>
      </c>
      <c r="D836" s="95"/>
      <c r="E836" s="95">
        <v>142.12154370404971</v>
      </c>
      <c r="F836" s="95">
        <v>304.54616508010594</v>
      </c>
      <c r="G836" s="95">
        <v>192.87923788406704</v>
      </c>
      <c r="H836" s="95">
        <v>9.3013608449060994E-2</v>
      </c>
      <c r="I836" s="95">
        <v>16.064581926645122</v>
      </c>
      <c r="J836" s="95"/>
      <c r="K836" s="95"/>
      <c r="L836" s="95">
        <v>0.82566767361285309</v>
      </c>
      <c r="M836" s="95">
        <v>3.6525170066096648</v>
      </c>
      <c r="N836" s="95">
        <v>1.4130102499827313</v>
      </c>
      <c r="O836" s="95">
        <v>3033.983842255197</v>
      </c>
      <c r="P836" s="95">
        <v>6304.4204206112854</v>
      </c>
      <c r="Q836" s="95">
        <v>10000.000000000005</v>
      </c>
      <c r="S836" s="98"/>
      <c r="T836" s="95"/>
      <c r="U836" s="99"/>
      <c r="W836" s="121"/>
      <c r="X836" s="59"/>
      <c r="Y836" s="59"/>
      <c r="Z836" s="59"/>
      <c r="AA836" s="59"/>
      <c r="AB836" s="59"/>
      <c r="AC836" s="59"/>
      <c r="AD836" s="59"/>
      <c r="AE836" s="59"/>
      <c r="AF836" s="68"/>
    </row>
    <row r="837" spans="1:32" x14ac:dyDescent="0.2">
      <c r="A837" s="95">
        <v>800</v>
      </c>
      <c r="B837" s="95">
        <v>66</v>
      </c>
      <c r="C837" s="95">
        <v>8</v>
      </c>
      <c r="D837" s="95"/>
      <c r="E837" s="95">
        <v>139.98972054848898</v>
      </c>
      <c r="F837" s="95">
        <v>299.97797260390433</v>
      </c>
      <c r="G837" s="95">
        <v>189.98604931580604</v>
      </c>
      <c r="H837" s="95">
        <v>9.0719272773984158E-2</v>
      </c>
      <c r="I837" s="95">
        <v>15.753560425784437</v>
      </c>
      <c r="J837" s="95"/>
      <c r="K837" s="95"/>
      <c r="L837" s="95">
        <v>0.81066363976894806</v>
      </c>
      <c r="M837" s="95">
        <v>3.5805689965457494</v>
      </c>
      <c r="N837" s="95">
        <v>1.3856538736067849</v>
      </c>
      <c r="O837" s="95">
        <v>3034.0807346550368</v>
      </c>
      <c r="P837" s="95">
        <v>6314.3443566682881</v>
      </c>
      <c r="Q837" s="95">
        <v>10000.000000000004</v>
      </c>
      <c r="S837" s="98"/>
      <c r="T837" s="95"/>
      <c r="U837" s="99"/>
      <c r="W837" s="121"/>
      <c r="X837" s="59"/>
      <c r="Y837" s="59"/>
      <c r="Z837" s="59"/>
      <c r="AA837" s="59"/>
      <c r="AB837" s="59"/>
      <c r="AC837" s="59"/>
      <c r="AD837" s="59"/>
      <c r="AE837" s="59"/>
      <c r="AF837" s="68"/>
    </row>
    <row r="838" spans="1:32" x14ac:dyDescent="0.2">
      <c r="A838" s="95">
        <v>801</v>
      </c>
      <c r="B838" s="95">
        <v>66</v>
      </c>
      <c r="C838" s="95">
        <v>9</v>
      </c>
      <c r="D838" s="95"/>
      <c r="E838" s="95">
        <v>137.88987474026163</v>
      </c>
      <c r="F838" s="95">
        <v>295.47830301484578</v>
      </c>
      <c r="G838" s="95">
        <v>187.13625857606894</v>
      </c>
      <c r="H838" s="95">
        <v>8.8481530712225878E-2</v>
      </c>
      <c r="I838" s="95">
        <v>15.448555747153938</v>
      </c>
      <c r="J838" s="95"/>
      <c r="K838" s="95"/>
      <c r="L838" s="95">
        <v>0.79591478348830924</v>
      </c>
      <c r="M838" s="95">
        <v>3.5100510738887611</v>
      </c>
      <c r="N838" s="95">
        <v>1.3588256872693736</v>
      </c>
      <c r="O838" s="95">
        <v>3034.1757545478767</v>
      </c>
      <c r="P838" s="95">
        <v>6324.1179802984379</v>
      </c>
      <c r="Q838" s="95">
        <v>10000.000000000004</v>
      </c>
      <c r="S838" s="98"/>
      <c r="T838" s="95"/>
      <c r="U838" s="99"/>
      <c r="W838" s="121"/>
      <c r="X838" s="59"/>
      <c r="Y838" s="59"/>
      <c r="Z838" s="59"/>
      <c r="AA838" s="59"/>
      <c r="AB838" s="59"/>
      <c r="AC838" s="59"/>
      <c r="AD838" s="59"/>
      <c r="AE838" s="59"/>
      <c r="AF838" s="68"/>
    </row>
    <row r="839" spans="1:32" x14ac:dyDescent="0.2">
      <c r="A839" s="95">
        <v>802</v>
      </c>
      <c r="B839" s="95">
        <v>66</v>
      </c>
      <c r="C839" s="95">
        <v>10</v>
      </c>
      <c r="D839" s="95"/>
      <c r="E839" s="95">
        <v>135.82152661915771</v>
      </c>
      <c r="F839" s="95">
        <v>291.04612846962311</v>
      </c>
      <c r="G839" s="95">
        <v>184.32921469742791</v>
      </c>
      <c r="H839" s="95">
        <v>8.6298986287990972E-2</v>
      </c>
      <c r="I839" s="95">
        <v>15.149451611193584</v>
      </c>
      <c r="J839" s="95"/>
      <c r="K839" s="95"/>
      <c r="L839" s="95">
        <v>0.78141742883919452</v>
      </c>
      <c r="M839" s="95">
        <v>3.4409344227577989</v>
      </c>
      <c r="N839" s="95">
        <v>1.3325155428184807</v>
      </c>
      <c r="O839" s="95">
        <v>3034.2689379461544</v>
      </c>
      <c r="P839" s="95">
        <v>6333.7435742757434</v>
      </c>
      <c r="Q839" s="95">
        <v>10000.000000000004</v>
      </c>
      <c r="S839" s="98"/>
      <c r="T839" s="95"/>
      <c r="U839" s="99"/>
      <c r="W839" s="121"/>
      <c r="X839" s="59"/>
      <c r="Y839" s="59"/>
      <c r="Z839" s="59"/>
      <c r="AA839" s="59"/>
      <c r="AB839" s="59"/>
      <c r="AC839" s="59"/>
      <c r="AD839" s="59"/>
      <c r="AE839" s="59"/>
      <c r="AF839" s="68"/>
    </row>
    <row r="840" spans="1:32" x14ac:dyDescent="0.2">
      <c r="A840" s="95">
        <v>803</v>
      </c>
      <c r="B840" s="95">
        <v>66</v>
      </c>
      <c r="C840" s="95">
        <v>11</v>
      </c>
      <c r="D840" s="95"/>
      <c r="E840" s="95">
        <v>133.78420371987033</v>
      </c>
      <c r="F840" s="95">
        <v>286.68043654257878</v>
      </c>
      <c r="G840" s="95">
        <v>181.56427647696648</v>
      </c>
      <c r="H840" s="95">
        <v>8.4170277959553869E-2</v>
      </c>
      <c r="I840" s="95">
        <v>14.856133982610359</v>
      </c>
      <c r="J840" s="95"/>
      <c r="K840" s="95"/>
      <c r="L840" s="95">
        <v>0.76716792585211901</v>
      </c>
      <c r="M840" s="95">
        <v>3.3731908195984484</v>
      </c>
      <c r="N840" s="95">
        <v>1.306713485649688</v>
      </c>
      <c r="O840" s="95">
        <v>3034.3603201765027</v>
      </c>
      <c r="P840" s="95">
        <v>6343.2233865924154</v>
      </c>
      <c r="Q840" s="95">
        <v>10000.000000000004</v>
      </c>
      <c r="S840" s="98"/>
      <c r="T840" s="95"/>
      <c r="U840" s="99"/>
      <c r="W840" s="121"/>
      <c r="X840" s="59"/>
      <c r="Y840" s="59"/>
      <c r="Z840" s="59"/>
      <c r="AA840" s="59"/>
      <c r="AB840" s="59"/>
      <c r="AC840" s="59"/>
      <c r="AD840" s="59"/>
      <c r="AE840" s="59"/>
      <c r="AF840" s="68"/>
    </row>
    <row r="841" spans="1:32" x14ac:dyDescent="0.2">
      <c r="A841" s="95">
        <v>804</v>
      </c>
      <c r="B841" s="95">
        <v>67</v>
      </c>
      <c r="C841" s="95">
        <v>0</v>
      </c>
      <c r="D841" s="95"/>
      <c r="E841" s="95">
        <v>131.77744066407229</v>
      </c>
      <c r="F841" s="95">
        <v>282.38022999444007</v>
      </c>
      <c r="G841" s="95">
        <v>178.840812329812</v>
      </c>
      <c r="H841" s="95">
        <v>8.2094077769884879E-2</v>
      </c>
      <c r="I841" s="95">
        <v>14.56849102713495</v>
      </c>
      <c r="J841" s="95"/>
      <c r="K841" s="95"/>
      <c r="L841" s="95">
        <v>0.75316265163289886</v>
      </c>
      <c r="M841" s="95">
        <v>3.3067926206634977</v>
      </c>
      <c r="N841" s="95">
        <v>1.2814097510378399</v>
      </c>
      <c r="O841" s="95">
        <v>3034.4499358925586</v>
      </c>
      <c r="P841" s="95">
        <v>6352.5596309908815</v>
      </c>
      <c r="Q841" s="95">
        <v>10000.000000000004</v>
      </c>
      <c r="S841" s="98"/>
      <c r="T841" s="95"/>
      <c r="U841" s="99"/>
      <c r="W841" s="121"/>
      <c r="X841" s="59"/>
      <c r="Y841" s="59"/>
      <c r="Z841" s="59"/>
      <c r="AA841" s="59"/>
      <c r="AB841" s="59"/>
      <c r="AC841" s="59"/>
      <c r="AD841" s="59"/>
      <c r="AE841" s="59"/>
      <c r="AF841" s="68"/>
    </row>
    <row r="842" spans="1:32" x14ac:dyDescent="0.2">
      <c r="A842" s="95">
        <v>805</v>
      </c>
      <c r="B842" s="95">
        <v>67</v>
      </c>
      <c r="C842" s="95">
        <v>1</v>
      </c>
      <c r="D842" s="95"/>
      <c r="E842" s="95">
        <v>129.80077905411122</v>
      </c>
      <c r="F842" s="95">
        <v>278.14452654452344</v>
      </c>
      <c r="G842" s="95">
        <v>176.15820014486482</v>
      </c>
      <c r="H842" s="95">
        <v>8.006909051822772E-2</v>
      </c>
      <c r="I842" s="95">
        <v>14.286413069109855</v>
      </c>
      <c r="J842" s="95"/>
      <c r="K842" s="95"/>
      <c r="L842" s="95">
        <v>0.73939801139638484</v>
      </c>
      <c r="M842" s="95">
        <v>3.2417127497681166</v>
      </c>
      <c r="N842" s="95">
        <v>1.2565947605391796</v>
      </c>
      <c r="O842" s="95">
        <v>3034.5378190875422</v>
      </c>
      <c r="P842" s="95">
        <v>6361.7544874876294</v>
      </c>
      <c r="Q842" s="95">
        <v>10000.000000000004</v>
      </c>
      <c r="S842" s="98"/>
      <c r="T842" s="95"/>
      <c r="U842" s="99"/>
      <c r="W842" s="121"/>
      <c r="X842" s="59"/>
      <c r="Y842" s="59"/>
      <c r="Z842" s="59"/>
      <c r="AA842" s="59"/>
      <c r="AB842" s="59"/>
      <c r="AC842" s="59"/>
      <c r="AD842" s="59"/>
      <c r="AE842" s="59"/>
      <c r="AF842" s="68"/>
    </row>
    <row r="843" spans="1:32" x14ac:dyDescent="0.2">
      <c r="A843" s="95">
        <v>806</v>
      </c>
      <c r="B843" s="95">
        <v>67</v>
      </c>
      <c r="C843" s="95">
        <v>2</v>
      </c>
      <c r="D843" s="95"/>
      <c r="E843" s="95">
        <v>127.85376736829954</v>
      </c>
      <c r="F843" s="95">
        <v>273.97235864635559</v>
      </c>
      <c r="G843" s="95">
        <v>173.51582714269185</v>
      </c>
      <c r="H843" s="95">
        <v>7.8094052952111442E-2</v>
      </c>
      <c r="I843" s="95">
        <v>14.009792549892982</v>
      </c>
      <c r="J843" s="95"/>
      <c r="K843" s="95"/>
      <c r="L843" s="95">
        <v>0.72587043942448815</v>
      </c>
      <c r="M843" s="95">
        <v>3.1779246863132062</v>
      </c>
      <c r="N843" s="95">
        <v>1.2322591184624665</v>
      </c>
      <c r="O843" s="95">
        <v>3034.6240031066086</v>
      </c>
      <c r="P843" s="95">
        <v>6370.8101028890023</v>
      </c>
      <c r="Q843" s="95">
        <v>10000.000000000004</v>
      </c>
      <c r="S843" s="98"/>
      <c r="T843" s="95"/>
      <c r="U843" s="99"/>
      <c r="W843" s="121"/>
      <c r="X843" s="59"/>
      <c r="Y843" s="59"/>
      <c r="Z843" s="59"/>
      <c r="AA843" s="59"/>
      <c r="AB843" s="59"/>
      <c r="AC843" s="59"/>
      <c r="AD843" s="59"/>
      <c r="AE843" s="59"/>
      <c r="AF843" s="68"/>
    </row>
    <row r="844" spans="1:32" x14ac:dyDescent="0.2">
      <c r="A844" s="95">
        <v>807</v>
      </c>
      <c r="B844" s="95">
        <v>67</v>
      </c>
      <c r="C844" s="95">
        <v>3</v>
      </c>
      <c r="D844" s="95"/>
      <c r="E844" s="95">
        <v>125.93596085777504</v>
      </c>
      <c r="F844" s="95">
        <v>269.86277326666027</v>
      </c>
      <c r="G844" s="95">
        <v>170.91308973555147</v>
      </c>
      <c r="H844" s="95">
        <v>7.616773297929269E-2</v>
      </c>
      <c r="I844" s="95">
        <v>13.738523987061097</v>
      </c>
      <c r="J844" s="95"/>
      <c r="K844" s="95"/>
      <c r="L844" s="95">
        <v>0.71257639995195587</v>
      </c>
      <c r="M844" s="95">
        <v>3.1154024535707836</v>
      </c>
      <c r="N844" s="95">
        <v>1.2083936084076288</v>
      </c>
      <c r="O844" s="95">
        <v>3034.7085206589772</v>
      </c>
      <c r="P844" s="95">
        <v>6379.7285912990683</v>
      </c>
      <c r="Q844" s="95">
        <v>10000.000000000004</v>
      </c>
      <c r="S844" s="98"/>
      <c r="T844" s="95"/>
      <c r="U844" s="99"/>
      <c r="W844" s="121"/>
      <c r="X844" s="59"/>
      <c r="Y844" s="59"/>
      <c r="Z844" s="59"/>
      <c r="AA844" s="59"/>
      <c r="AB844" s="59"/>
      <c r="AC844" s="59"/>
      <c r="AD844" s="59"/>
      <c r="AE844" s="59"/>
      <c r="AF844" s="68"/>
    </row>
    <row r="845" spans="1:32" x14ac:dyDescent="0.2">
      <c r="A845" s="95">
        <v>808</v>
      </c>
      <c r="B845" s="95">
        <v>67</v>
      </c>
      <c r="C845" s="95">
        <v>4</v>
      </c>
      <c r="D845" s="95"/>
      <c r="E845" s="95">
        <v>124.04692144490842</v>
      </c>
      <c r="F845" s="95">
        <v>265.81483166766037</v>
      </c>
      <c r="G845" s="95">
        <v>168.34939338951818</v>
      </c>
      <c r="H845" s="95">
        <v>7.4288928899136811E-2</v>
      </c>
      <c r="I845" s="95">
        <v>13.472503934397794</v>
      </c>
      <c r="J845" s="95"/>
      <c r="K845" s="95"/>
      <c r="L845" s="95">
        <v>0.69951238798321425</v>
      </c>
      <c r="M845" s="95">
        <v>3.0541206072254052</v>
      </c>
      <c r="N845" s="95">
        <v>1.1849891898705429</v>
      </c>
      <c r="O845" s="95">
        <v>3034.7914038298422</v>
      </c>
      <c r="P845" s="95">
        <v>6388.5120346196982</v>
      </c>
      <c r="Q845" s="95">
        <v>10000.000000000004</v>
      </c>
      <c r="S845" s="98"/>
      <c r="T845" s="95"/>
      <c r="U845" s="99"/>
      <c r="W845" s="121"/>
      <c r="X845" s="59"/>
      <c r="Y845" s="59"/>
      <c r="Z845" s="59"/>
      <c r="AA845" s="59"/>
      <c r="AB845" s="59"/>
      <c r="AC845" s="59"/>
      <c r="AD845" s="59"/>
      <c r="AE845" s="59"/>
      <c r="AF845" s="68"/>
    </row>
    <row r="846" spans="1:32" x14ac:dyDescent="0.2">
      <c r="A846" s="95">
        <v>809</v>
      </c>
      <c r="B846" s="95">
        <v>67</v>
      </c>
      <c r="C846" s="95">
        <v>5</v>
      </c>
      <c r="D846" s="95"/>
      <c r="E846" s="95">
        <v>122.1862176232348</v>
      </c>
      <c r="F846" s="95">
        <v>261.82760919264547</v>
      </c>
      <c r="G846" s="95">
        <v>165.82415248867542</v>
      </c>
      <c r="H846" s="95">
        <v>7.24564686529581E-2</v>
      </c>
      <c r="I846" s="95">
        <v>13.211630942650929</v>
      </c>
      <c r="J846" s="95"/>
      <c r="K846" s="95"/>
      <c r="L846" s="95">
        <v>0.68667493004346825</v>
      </c>
      <c r="M846" s="95">
        <v>2.9940542241657835</v>
      </c>
      <c r="N846" s="95">
        <v>1.1620369949125708</v>
      </c>
      <c r="O846" s="95">
        <v>3034.8726840920672</v>
      </c>
      <c r="P846" s="95">
        <v>6397.1624830429546</v>
      </c>
      <c r="Q846" s="95">
        <v>10000.000000000004</v>
      </c>
      <c r="S846" s="98"/>
      <c r="T846" s="95"/>
      <c r="U846" s="99"/>
      <c r="W846" s="121"/>
      <c r="X846" s="59"/>
      <c r="Y846" s="59"/>
      <c r="Z846" s="59"/>
      <c r="AA846" s="59"/>
      <c r="AB846" s="59"/>
      <c r="AC846" s="59"/>
      <c r="AD846" s="59"/>
      <c r="AE846" s="59"/>
      <c r="AF846" s="68"/>
    </row>
    <row r="847" spans="1:32" x14ac:dyDescent="0.2">
      <c r="A847" s="95">
        <v>810</v>
      </c>
      <c r="B847" s="95">
        <v>67</v>
      </c>
      <c r="C847" s="95">
        <v>6</v>
      </c>
      <c r="D847" s="95"/>
      <c r="E847" s="95">
        <v>120.35342435888627</v>
      </c>
      <c r="F847" s="95">
        <v>257.90019505475578</v>
      </c>
      <c r="G847" s="95">
        <v>163.33679020134528</v>
      </c>
      <c r="H847" s="95">
        <v>7.0669209092851806E-2</v>
      </c>
      <c r="I847" s="95">
        <v>12.95580552104477</v>
      </c>
      <c r="J847" s="95"/>
      <c r="K847" s="95"/>
      <c r="L847" s="95">
        <v>0.67406058486711384</v>
      </c>
      <c r="M847" s="95">
        <v>2.9351788915208887</v>
      </c>
      <c r="N847" s="95">
        <v>1.1395283248935217</v>
      </c>
      <c r="O847" s="95">
        <v>3034.9523923176675</v>
      </c>
      <c r="P847" s="95">
        <v>6405.6819555359289</v>
      </c>
      <c r="Q847" s="95">
        <v>10000.000000000004</v>
      </c>
      <c r="S847" s="98"/>
      <c r="T847" s="95"/>
      <c r="U847" s="99"/>
      <c r="W847" s="121"/>
      <c r="X847" s="59"/>
      <c r="Y847" s="59"/>
      <c r="Z847" s="59"/>
      <c r="AA847" s="59"/>
      <c r="AB847" s="59"/>
      <c r="AC847" s="59"/>
      <c r="AD847" s="59"/>
      <c r="AE847" s="59"/>
      <c r="AF847" s="68"/>
    </row>
    <row r="848" spans="1:32" x14ac:dyDescent="0.2">
      <c r="A848" s="95">
        <v>811</v>
      </c>
      <c r="B848" s="95">
        <v>67</v>
      </c>
      <c r="C848" s="95">
        <v>7</v>
      </c>
      <c r="D848" s="95"/>
      <c r="E848" s="95">
        <v>118.54812299350297</v>
      </c>
      <c r="F848" s="95">
        <v>254.03169212893445</v>
      </c>
      <c r="G848" s="95">
        <v>160.88673834832511</v>
      </c>
      <c r="H848" s="95">
        <v>6.8926035268561461E-2</v>
      </c>
      <c r="I848" s="95">
        <v>12.704930099532382</v>
      </c>
      <c r="J848" s="95"/>
      <c r="K848" s="95"/>
      <c r="L848" s="95">
        <v>0.66166594402640022</v>
      </c>
      <c r="M848" s="95">
        <v>2.8774706959349663</v>
      </c>
      <c r="N848" s="95">
        <v>1.1174546472667419</v>
      </c>
      <c r="O848" s="95">
        <v>3035.0305587890862</v>
      </c>
      <c r="P848" s="95">
        <v>6414.0724403181248</v>
      </c>
      <c r="Q848" s="95">
        <v>10000.000000000002</v>
      </c>
      <c r="S848" s="98"/>
      <c r="T848" s="95"/>
      <c r="U848" s="99"/>
      <c r="W848" s="121"/>
      <c r="X848" s="59"/>
      <c r="Y848" s="59"/>
      <c r="Z848" s="59"/>
      <c r="AA848" s="59"/>
      <c r="AB848" s="59"/>
      <c r="AC848" s="59"/>
      <c r="AD848" s="59"/>
      <c r="AE848" s="59"/>
      <c r="AF848" s="68"/>
    </row>
    <row r="849" spans="1:32" x14ac:dyDescent="0.2">
      <c r="A849" s="95">
        <v>812</v>
      </c>
      <c r="B849" s="95">
        <v>67</v>
      </c>
      <c r="C849" s="95">
        <v>8</v>
      </c>
      <c r="D849" s="95"/>
      <c r="E849" s="95">
        <v>116.76990114860043</v>
      </c>
      <c r="F849" s="95">
        <v>250.22121674700043</v>
      </c>
      <c r="G849" s="95">
        <v>158.47343727310025</v>
      </c>
      <c r="H849" s="95">
        <v>6.7225859731936941E-2</v>
      </c>
      <c r="I849" s="95">
        <v>12.458908991774058</v>
      </c>
      <c r="J849" s="95"/>
      <c r="K849" s="95"/>
      <c r="L849" s="95">
        <v>0.64948763250315766</v>
      </c>
      <c r="M849" s="95">
        <v>2.8209062130760274</v>
      </c>
      <c r="N849" s="95">
        <v>1.0958075924350681</v>
      </c>
      <c r="O849" s="95">
        <v>3035.1072132102645</v>
      </c>
      <c r="P849" s="95">
        <v>6422.3358953315173</v>
      </c>
      <c r="Q849" s="95">
        <v>10000.000000000004</v>
      </c>
      <c r="S849" s="98"/>
      <c r="T849" s="95"/>
      <c r="U849" s="99"/>
      <c r="W849" s="121"/>
      <c r="X849" s="59"/>
      <c r="Y849" s="59"/>
      <c r="Z849" s="59"/>
      <c r="AA849" s="59"/>
      <c r="AB849" s="59"/>
      <c r="AC849" s="59"/>
      <c r="AD849" s="59"/>
      <c r="AE849" s="59"/>
      <c r="AF849" s="68"/>
    </row>
    <row r="850" spans="1:32" x14ac:dyDescent="0.2">
      <c r="A850" s="95">
        <v>813</v>
      </c>
      <c r="B850" s="95">
        <v>67</v>
      </c>
      <c r="C850" s="95">
        <v>9</v>
      </c>
      <c r="D850" s="95"/>
      <c r="E850" s="95">
        <v>115.01835263137141</v>
      </c>
      <c r="F850" s="95">
        <v>246.46789849579542</v>
      </c>
      <c r="G850" s="95">
        <v>156.09633571400374</v>
      </c>
      <c r="H850" s="95">
        <v>6.5567621858549169E-2</v>
      </c>
      <c r="I850" s="95">
        <v>12.217648358827853</v>
      </c>
      <c r="J850" s="95"/>
      <c r="K850" s="95"/>
      <c r="L850" s="95">
        <v>0.63752230920629449</v>
      </c>
      <c r="M850" s="95">
        <v>2.7654624973725124</v>
      </c>
      <c r="N850" s="95">
        <v>1.0745789506664127</v>
      </c>
      <c r="O850" s="95">
        <v>3035.1823847175101</v>
      </c>
      <c r="P850" s="95">
        <v>6430.4742487033909</v>
      </c>
      <c r="Q850" s="95">
        <v>10000.000000000004</v>
      </c>
      <c r="S850" s="98"/>
      <c r="T850" s="95"/>
      <c r="U850" s="99"/>
      <c r="W850" s="121"/>
      <c r="X850" s="59"/>
      <c r="Y850" s="59"/>
      <c r="Z850" s="59"/>
      <c r="AA850" s="59"/>
      <c r="AB850" s="59"/>
      <c r="AC850" s="59"/>
      <c r="AD850" s="59"/>
      <c r="AE850" s="59"/>
      <c r="AF850" s="68"/>
    </row>
    <row r="851" spans="1:32" x14ac:dyDescent="0.2">
      <c r="A851" s="95">
        <v>814</v>
      </c>
      <c r="B851" s="95">
        <v>67</v>
      </c>
      <c r="C851" s="95">
        <v>10</v>
      </c>
      <c r="D851" s="95"/>
      <c r="E851" s="95">
        <v>113.29307734190084</v>
      </c>
      <c r="F851" s="95">
        <v>242.7708800183585</v>
      </c>
      <c r="G851" s="95">
        <v>153.75489067829369</v>
      </c>
      <c r="H851" s="95">
        <v>6.395028718603829E-2</v>
      </c>
      <c r="I851" s="95">
        <v>11.981056173538578</v>
      </c>
      <c r="J851" s="95"/>
      <c r="K851" s="95"/>
      <c r="L851" s="95">
        <v>0.62576666743765685</v>
      </c>
      <c r="M851" s="95">
        <v>2.7111170719729398</v>
      </c>
      <c r="N851" s="95">
        <v>1.0537606690677823</v>
      </c>
      <c r="O851" s="95">
        <v>3035.2561018901697</v>
      </c>
      <c r="P851" s="95">
        <v>6438.489399202077</v>
      </c>
      <c r="Q851" s="95">
        <v>10000.000000000004</v>
      </c>
      <c r="S851" s="98"/>
      <c r="T851" s="95"/>
      <c r="U851" s="99"/>
      <c r="W851" s="121"/>
      <c r="X851" s="59"/>
      <c r="Y851" s="59"/>
      <c r="Z851" s="59"/>
      <c r="AA851" s="59"/>
      <c r="AB851" s="59"/>
      <c r="AC851" s="59"/>
      <c r="AD851" s="59"/>
      <c r="AE851" s="59"/>
      <c r="AF851" s="68"/>
    </row>
    <row r="852" spans="1:32" x14ac:dyDescent="0.2">
      <c r="A852" s="95">
        <v>815</v>
      </c>
      <c r="B852" s="95">
        <v>67</v>
      </c>
      <c r="C852" s="95">
        <v>11</v>
      </c>
      <c r="D852" s="95"/>
      <c r="E852" s="95">
        <v>111.59368118177233</v>
      </c>
      <c r="F852" s="95">
        <v>239.12931681808311</v>
      </c>
      <c r="G852" s="95">
        <v>151.44856731811927</v>
      </c>
      <c r="H852" s="95">
        <v>6.2372846768782679E-2</v>
      </c>
      <c r="I852" s="95">
        <v>11.749042185611836</v>
      </c>
      <c r="J852" s="95"/>
      <c r="K852" s="95"/>
      <c r="L852" s="95">
        <v>0.6142174353087384</v>
      </c>
      <c r="M852" s="95">
        <v>2.6578479189234878</v>
      </c>
      <c r="N852" s="95">
        <v>1.0333448486165586</v>
      </c>
      <c r="O852" s="95">
        <v>3035.3283927611051</v>
      </c>
      <c r="P852" s="95">
        <v>6446.3832166856928</v>
      </c>
      <c r="Q852" s="95">
        <v>10000.000000000002</v>
      </c>
      <c r="S852" s="98"/>
      <c r="T852" s="95"/>
      <c r="U852" s="99"/>
      <c r="W852" s="121"/>
      <c r="X852" s="59"/>
      <c r="Y852" s="59"/>
      <c r="Z852" s="59"/>
      <c r="AA852" s="59"/>
      <c r="AB852" s="59"/>
      <c r="AC852" s="59"/>
      <c r="AD852" s="59"/>
      <c r="AE852" s="59"/>
      <c r="AF852" s="68"/>
    </row>
    <row r="853" spans="1:32" x14ac:dyDescent="0.2">
      <c r="A853" s="95">
        <v>816</v>
      </c>
      <c r="B853" s="95">
        <v>68</v>
      </c>
      <c r="C853" s="95">
        <v>0</v>
      </c>
      <c r="D853" s="95"/>
      <c r="E853" s="95">
        <v>109.91977596404574</v>
      </c>
      <c r="F853" s="95">
        <v>235.54237706581188</v>
      </c>
      <c r="G853" s="95">
        <v>149.1768388083475</v>
      </c>
      <c r="H853" s="95">
        <v>6.0834316548486041E-2</v>
      </c>
      <c r="I853" s="95">
        <v>11.521517887359972</v>
      </c>
      <c r="J853" s="95"/>
      <c r="K853" s="95"/>
      <c r="L853" s="95">
        <v>0.60287137611062802</v>
      </c>
      <c r="M853" s="95">
        <v>2.605633469558569</v>
      </c>
      <c r="N853" s="95">
        <v>1.0133237412479008</v>
      </c>
      <c r="O853" s="95">
        <v>3035.3992848269804</v>
      </c>
      <c r="P853" s="95">
        <v>6454.1575425439914</v>
      </c>
      <c r="Q853" s="95">
        <v>10000.000000000002</v>
      </c>
      <c r="S853" s="98"/>
      <c r="T853" s="95"/>
      <c r="U853" s="99"/>
      <c r="W853" s="121"/>
      <c r="X853" s="59"/>
      <c r="Y853" s="59"/>
      <c r="Z853" s="59"/>
      <c r="AA853" s="59"/>
      <c r="AB853" s="59"/>
      <c r="AC853" s="59"/>
      <c r="AD853" s="59"/>
      <c r="AE853" s="59"/>
      <c r="AF853" s="68"/>
    </row>
    <row r="854" spans="1:32" x14ac:dyDescent="0.2">
      <c r="A854" s="95">
        <v>817</v>
      </c>
      <c r="B854" s="95">
        <v>68</v>
      </c>
      <c r="C854" s="95">
        <v>1</v>
      </c>
      <c r="D854" s="95"/>
      <c r="E854" s="95">
        <v>108.27097932458506</v>
      </c>
      <c r="F854" s="95">
        <v>232.00924140982471</v>
      </c>
      <c r="G854" s="95">
        <v>146.93918622622229</v>
      </c>
      <c r="H854" s="95">
        <v>5.933373674029005E-2</v>
      </c>
      <c r="I854" s="95">
        <v>11.298396480107034</v>
      </c>
      <c r="J854" s="95"/>
      <c r="K854" s="95"/>
      <c r="L854" s="95">
        <v>0.59172528863948293</v>
      </c>
      <c r="M854" s="95">
        <v>2.5544525950995793</v>
      </c>
      <c r="N854" s="95">
        <v>0.99368974699715662</v>
      </c>
      <c r="O854" s="95">
        <v>3035.46880505836</v>
      </c>
      <c r="P854" s="95">
        <v>6461.8141901334266</v>
      </c>
      <c r="Q854" s="95">
        <v>10000.000000000002</v>
      </c>
      <c r="S854" s="98"/>
      <c r="T854" s="95"/>
      <c r="U854" s="99"/>
      <c r="W854" s="121"/>
      <c r="X854" s="59"/>
      <c r="Y854" s="59"/>
      <c r="Z854" s="59"/>
      <c r="AA854" s="59"/>
      <c r="AB854" s="59"/>
      <c r="AC854" s="59"/>
      <c r="AD854" s="59"/>
      <c r="AE854" s="59"/>
      <c r="AF854" s="68"/>
    </row>
    <row r="855" spans="1:32" x14ac:dyDescent="0.2">
      <c r="A855" s="95">
        <v>818</v>
      </c>
      <c r="B855" s="95">
        <v>68</v>
      </c>
      <c r="C855" s="95">
        <v>2</v>
      </c>
      <c r="D855" s="95"/>
      <c r="E855" s="95">
        <v>106.64691463471628</v>
      </c>
      <c r="F855" s="95">
        <v>228.52910278867733</v>
      </c>
      <c r="G855" s="95">
        <v>144.73509843282895</v>
      </c>
      <c r="H855" s="95">
        <v>5.7870171234029565E-2</v>
      </c>
      <c r="I855" s="95">
        <v>11.079592841240112</v>
      </c>
      <c r="J855" s="95"/>
      <c r="K855" s="95"/>
      <c r="L855" s="95">
        <v>0.58077600747972324</v>
      </c>
      <c r="M855" s="95">
        <v>2.5042845974571182</v>
      </c>
      <c r="N855" s="95">
        <v>0.9744354111961967</v>
      </c>
      <c r="O855" s="95">
        <v>3035.5369799096225</v>
      </c>
      <c r="P855" s="95">
        <v>6469.3549452055504</v>
      </c>
      <c r="Q855" s="95">
        <v>10000.000000000002</v>
      </c>
      <c r="S855" s="98"/>
      <c r="T855" s="95"/>
      <c r="U855" s="99"/>
      <c r="W855" s="121"/>
      <c r="X855" s="59"/>
      <c r="Y855" s="59"/>
      <c r="Z855" s="59"/>
      <c r="AA855" s="59"/>
      <c r="AB855" s="59"/>
      <c r="AC855" s="59"/>
      <c r="AD855" s="59"/>
      <c r="AE855" s="59"/>
      <c r="AF855" s="68"/>
    </row>
    <row r="856" spans="1:32" x14ac:dyDescent="0.2">
      <c r="A856" s="95">
        <v>819</v>
      </c>
      <c r="B856" s="95">
        <v>68</v>
      </c>
      <c r="C856" s="95">
        <v>3</v>
      </c>
      <c r="D856" s="95"/>
      <c r="E856" s="95">
        <v>105.04721091519554</v>
      </c>
      <c r="F856" s="95">
        <v>225.10116624684719</v>
      </c>
      <c r="G856" s="95">
        <v>142.56407195633651</v>
      </c>
      <c r="H856" s="95">
        <v>5.6442707010256839E-2</v>
      </c>
      <c r="I856" s="95">
        <v>10.865023491894629</v>
      </c>
      <c r="J856" s="95"/>
      <c r="K856" s="95"/>
      <c r="L856" s="95">
        <v>0.5700204032470535</v>
      </c>
      <c r="M856" s="95">
        <v>2.4551092002320813</v>
      </c>
      <c r="N856" s="95">
        <v>0.95555342172261126</v>
      </c>
      <c r="O856" s="95">
        <v>3035.603835328694</v>
      </c>
      <c r="P856" s="95">
        <v>6476.7815663288229</v>
      </c>
      <c r="Q856" s="95">
        <v>10000.000000000004</v>
      </c>
      <c r="S856" s="98"/>
      <c r="T856" s="95"/>
      <c r="U856" s="99"/>
      <c r="W856" s="121"/>
      <c r="X856" s="59"/>
      <c r="Y856" s="59"/>
      <c r="Z856" s="59"/>
      <c r="AA856" s="59"/>
      <c r="AB856" s="59"/>
      <c r="AC856" s="59"/>
      <c r="AD856" s="59"/>
      <c r="AE856" s="59"/>
      <c r="AF856" s="68"/>
    </row>
    <row r="857" spans="1:32" x14ac:dyDescent="0.2">
      <c r="A857" s="95">
        <v>820</v>
      </c>
      <c r="B857" s="95">
        <v>68</v>
      </c>
      <c r="C857" s="95">
        <v>4</v>
      </c>
      <c r="D857" s="95"/>
      <c r="E857" s="95">
        <v>103.4715027514676</v>
      </c>
      <c r="F857" s="95">
        <v>221.72464875314446</v>
      </c>
      <c r="G857" s="95">
        <v>140.42561087699147</v>
      </c>
      <c r="H857" s="95">
        <v>5.5050453570670503E-2</v>
      </c>
      <c r="I857" s="95">
        <v>10.654606565261441</v>
      </c>
      <c r="J857" s="95"/>
      <c r="K857" s="95"/>
      <c r="L857" s="95">
        <v>0.55945538279332763</v>
      </c>
      <c r="M857" s="95">
        <v>2.4069065399111498</v>
      </c>
      <c r="N857" s="95">
        <v>0.93703660630073471</v>
      </c>
      <c r="O857" s="95">
        <v>3035.6693967666015</v>
      </c>
      <c r="P857" s="95">
        <v>6484.0957853039599</v>
      </c>
      <c r="Q857" s="95">
        <v>10000.000000000002</v>
      </c>
      <c r="S857" s="98"/>
      <c r="T857" s="95"/>
      <c r="U857" s="99"/>
      <c r="W857" s="121"/>
      <c r="X857" s="59"/>
      <c r="Y857" s="59"/>
      <c r="Z857" s="59"/>
      <c r="AA857" s="59"/>
      <c r="AB857" s="59"/>
      <c r="AC857" s="59"/>
      <c r="AD857" s="59"/>
      <c r="AE857" s="59"/>
      <c r="AF857" s="68"/>
    </row>
    <row r="858" spans="1:32" x14ac:dyDescent="0.2">
      <c r="A858" s="95">
        <v>821</v>
      </c>
      <c r="B858" s="95">
        <v>68</v>
      </c>
      <c r="C858" s="95">
        <v>5</v>
      </c>
      <c r="D858" s="95"/>
      <c r="E858" s="95">
        <v>101.91943021019559</v>
      </c>
      <c r="F858" s="95">
        <v>218.3987790218473</v>
      </c>
      <c r="G858" s="95">
        <v>138.3192267138366</v>
      </c>
      <c r="H858" s="95">
        <v>5.3692542382593966E-2</v>
      </c>
      <c r="I858" s="95">
        <v>10.448261775503797</v>
      </c>
      <c r="J858" s="95"/>
      <c r="K858" s="95"/>
      <c r="L858" s="95">
        <v>0.54907788937519453</v>
      </c>
      <c r="M858" s="95">
        <v>2.3596571572522871</v>
      </c>
      <c r="N858" s="95">
        <v>0.91887792985348626</v>
      </c>
      <c r="O858" s="95">
        <v>3035.733689186854</v>
      </c>
      <c r="P858" s="95">
        <v>6491.2993075729009</v>
      </c>
      <c r="Q858" s="95">
        <v>10000.000000000002</v>
      </c>
      <c r="S858" s="98"/>
      <c r="T858" s="95"/>
      <c r="U858" s="99"/>
      <c r="W858" s="121"/>
      <c r="X858" s="59"/>
      <c r="Y858" s="59"/>
      <c r="Z858" s="59"/>
      <c r="AA858" s="59"/>
      <c r="AB858" s="59"/>
      <c r="AC858" s="59"/>
      <c r="AD858" s="59"/>
      <c r="AE858" s="59"/>
      <c r="AF858" s="68"/>
    </row>
    <row r="859" spans="1:32" x14ac:dyDescent="0.2">
      <c r="A859" s="95">
        <v>822</v>
      </c>
      <c r="B859" s="95">
        <v>68</v>
      </c>
      <c r="C859" s="95">
        <v>6</v>
      </c>
      <c r="D859" s="95"/>
      <c r="E859" s="95">
        <v>100.39063875704265</v>
      </c>
      <c r="F859" s="95">
        <v>215.1227973365196</v>
      </c>
      <c r="G859" s="95">
        <v>136.24443831312905</v>
      </c>
      <c r="H859" s="95">
        <v>5.2368126337156651E-2</v>
      </c>
      <c r="I859" s="95">
        <v>10.245910387272463</v>
      </c>
      <c r="J859" s="95"/>
      <c r="K859" s="95"/>
      <c r="L859" s="95">
        <v>0.53888490278837653</v>
      </c>
      <c r="M859" s="95">
        <v>2.3133419888559792</v>
      </c>
      <c r="N859" s="95">
        <v>0.90107049190404087</v>
      </c>
      <c r="O859" s="95">
        <v>3035.7967370746478</v>
      </c>
      <c r="P859" s="95">
        <v>6498.3938126215044</v>
      </c>
      <c r="Q859" s="95">
        <v>10000.000000000002</v>
      </c>
      <c r="S859" s="98"/>
      <c r="T859" s="95"/>
      <c r="U859" s="99"/>
      <c r="W859" s="121"/>
      <c r="X859" s="59"/>
      <c r="Y859" s="59"/>
      <c r="Z859" s="59"/>
      <c r="AA859" s="59"/>
      <c r="AB859" s="59"/>
      <c r="AC859" s="59"/>
      <c r="AD859" s="59"/>
      <c r="AE859" s="59"/>
      <c r="AF859" s="68"/>
    </row>
    <row r="860" spans="1:32" x14ac:dyDescent="0.2">
      <c r="A860" s="95">
        <v>823</v>
      </c>
      <c r="B860" s="95">
        <v>68</v>
      </c>
      <c r="C860" s="95">
        <v>7</v>
      </c>
      <c r="D860" s="95"/>
      <c r="E860" s="95">
        <v>98.884779175687015</v>
      </c>
      <c r="F860" s="95">
        <v>211.89595537647179</v>
      </c>
      <c r="G860" s="95">
        <v>134.20077173843211</v>
      </c>
      <c r="H860" s="95">
        <v>5.1076379220840122E-2</v>
      </c>
      <c r="I860" s="95">
        <v>10.047475185807516</v>
      </c>
      <c r="J860" s="95"/>
      <c r="K860" s="95"/>
      <c r="L860" s="95">
        <v>0.52887343946935983</v>
      </c>
      <c r="M860" s="95">
        <v>2.2679423589180354</v>
      </c>
      <c r="N860" s="95">
        <v>0.883607524026364</v>
      </c>
      <c r="O860" s="95">
        <v>3035.8585644459063</v>
      </c>
      <c r="P860" s="95">
        <v>6505.3809543760626</v>
      </c>
      <c r="Q860" s="95">
        <v>10000.000000000002</v>
      </c>
      <c r="S860" s="98"/>
      <c r="T860" s="95"/>
      <c r="U860" s="99"/>
      <c r="W860" s="121"/>
      <c r="X860" s="59"/>
      <c r="Y860" s="59"/>
      <c r="Z860" s="59"/>
      <c r="AA860" s="59"/>
      <c r="AB860" s="59"/>
      <c r="AC860" s="59"/>
      <c r="AD860" s="59"/>
      <c r="AE860" s="59"/>
      <c r="AF860" s="68"/>
    </row>
    <row r="861" spans="1:32" x14ac:dyDescent="0.2">
      <c r="A861" s="95">
        <v>824</v>
      </c>
      <c r="B861" s="95">
        <v>68</v>
      </c>
      <c r="C861" s="95">
        <v>8</v>
      </c>
      <c r="D861" s="95"/>
      <c r="E861" s="95">
        <v>97.401507488051706</v>
      </c>
      <c r="F861" s="95">
        <v>208.71751604582471</v>
      </c>
      <c r="G861" s="95">
        <v>132.18776016235563</v>
      </c>
      <c r="H861" s="95">
        <v>4.9816495200059402E-2</v>
      </c>
      <c r="I861" s="95">
        <v>9.8528804476155543</v>
      </c>
      <c r="J861" s="95"/>
      <c r="K861" s="95"/>
      <c r="L861" s="95">
        <v>0.51904055256619852</v>
      </c>
      <c r="M861" s="95">
        <v>2.2234399711598782</v>
      </c>
      <c r="N861" s="95">
        <v>0.86648238734366778</v>
      </c>
      <c r="O861" s="95">
        <v>3035.9191948561515</v>
      </c>
      <c r="P861" s="95">
        <v>6512.2623615937327</v>
      </c>
      <c r="Q861" s="95">
        <v>10000.000000000002</v>
      </c>
      <c r="S861" s="98"/>
      <c r="T861" s="95"/>
      <c r="U861" s="99"/>
      <c r="W861" s="121"/>
      <c r="X861" s="59"/>
      <c r="Y861" s="59"/>
      <c r="Z861" s="59"/>
      <c r="AA861" s="59"/>
      <c r="AB861" s="59"/>
      <c r="AC861" s="59"/>
      <c r="AD861" s="59"/>
      <c r="AE861" s="59"/>
      <c r="AF861" s="68"/>
    </row>
    <row r="862" spans="1:32" x14ac:dyDescent="0.2">
      <c r="A862" s="95">
        <v>825</v>
      </c>
      <c r="B862" s="95">
        <v>68</v>
      </c>
      <c r="C862" s="95">
        <v>9</v>
      </c>
      <c r="D862" s="95"/>
      <c r="E862" s="95">
        <v>95.940484875730931</v>
      </c>
      <c r="F862" s="95">
        <v>205.58675330513734</v>
      </c>
      <c r="G862" s="95">
        <v>130.2049437599203</v>
      </c>
      <c r="H862" s="95">
        <v>4.8587688318457938E-2</v>
      </c>
      <c r="I862" s="95">
        <v>9.662051911711286</v>
      </c>
      <c r="J862" s="95"/>
      <c r="K862" s="95"/>
      <c r="L862" s="95">
        <v>0.50938333198006558</v>
      </c>
      <c r="M862" s="95">
        <v>2.1798169009323431</v>
      </c>
      <c r="N862" s="95">
        <v>0.84968857007386656</v>
      </c>
      <c r="O862" s="95">
        <v>3035.9786514092125</v>
      </c>
      <c r="P862" s="95">
        <v>6519.0396382469844</v>
      </c>
      <c r="Q862" s="95">
        <v>10000.000000000002</v>
      </c>
      <c r="S862" s="98"/>
      <c r="T862" s="95"/>
      <c r="U862" s="99"/>
      <c r="W862" s="121"/>
      <c r="X862" s="59"/>
      <c r="Y862" s="59"/>
      <c r="Z862" s="59"/>
      <c r="AA862" s="59"/>
      <c r="AB862" s="59"/>
      <c r="AC862" s="59"/>
      <c r="AD862" s="59"/>
      <c r="AE862" s="59"/>
      <c r="AF862" s="68"/>
    </row>
    <row r="863" spans="1:32" x14ac:dyDescent="0.2">
      <c r="A863" s="95">
        <v>826</v>
      </c>
      <c r="B863" s="95">
        <v>68</v>
      </c>
      <c r="C863" s="95">
        <v>10</v>
      </c>
      <c r="D863" s="95"/>
      <c r="E863" s="95">
        <v>94.501377602594971</v>
      </c>
      <c r="F863" s="95">
        <v>202.50295200556027</v>
      </c>
      <c r="G863" s="95">
        <v>128.2518696035215</v>
      </c>
      <c r="H863" s="95">
        <v>4.7389192006602639E-2</v>
      </c>
      <c r="I863" s="95">
        <v>9.4749167514126373</v>
      </c>
      <c r="J863" s="95"/>
      <c r="K863" s="95"/>
      <c r="L863" s="95">
        <v>0.499898904379113</v>
      </c>
      <c r="M863" s="95">
        <v>2.1370555874891015</v>
      </c>
      <c r="N863" s="95">
        <v>0.83321968512113032</v>
      </c>
      <c r="O863" s="95">
        <v>3036.0369567657749</v>
      </c>
      <c r="P863" s="95">
        <v>6525.7143639021415</v>
      </c>
      <c r="Q863" s="95">
        <v>10000.000000000002</v>
      </c>
      <c r="S863" s="98"/>
      <c r="T863" s="95"/>
      <c r="U863" s="99"/>
      <c r="W863" s="121"/>
      <c r="X863" s="59"/>
      <c r="Y863" s="59"/>
      <c r="Z863" s="59"/>
      <c r="AA863" s="59"/>
      <c r="AB863" s="59"/>
      <c r="AC863" s="59"/>
      <c r="AD863" s="59"/>
      <c r="AE863" s="59"/>
      <c r="AF863" s="68"/>
    </row>
    <row r="864" spans="1:32" x14ac:dyDescent="0.2">
      <c r="A864" s="95">
        <v>827</v>
      </c>
      <c r="B864" s="95">
        <v>68</v>
      </c>
      <c r="C864" s="95">
        <v>11</v>
      </c>
      <c r="D864" s="95"/>
      <c r="E864" s="95">
        <v>93.083856938556053</v>
      </c>
      <c r="F864" s="95">
        <v>199.46540772547687</v>
      </c>
      <c r="G864" s="95">
        <v>126.32809155946867</v>
      </c>
      <c r="H864" s="95">
        <v>4.6220258603773108E-2</v>
      </c>
      <c r="I864" s="95">
        <v>9.2914035466787723</v>
      </c>
      <c r="J864" s="95"/>
      <c r="K864" s="95"/>
      <c r="L864" s="95">
        <v>0.49058443318613892</v>
      </c>
      <c r="M864" s="95">
        <v>2.0951388264259085</v>
      </c>
      <c r="N864" s="95">
        <v>0.81706946771265443</v>
      </c>
      <c r="O864" s="95">
        <v>3036.0941331517702</v>
      </c>
      <c r="P864" s="95">
        <v>6532.2880940921223</v>
      </c>
      <c r="Q864" s="95">
        <v>10000.000000000002</v>
      </c>
      <c r="S864" s="98"/>
      <c r="T864" s="95"/>
      <c r="U864" s="99"/>
      <c r="W864" s="121"/>
      <c r="X864" s="59"/>
      <c r="Y864" s="59"/>
      <c r="Z864" s="59"/>
      <c r="AA864" s="59"/>
      <c r="AB864" s="59"/>
      <c r="AC864" s="59"/>
      <c r="AD864" s="59"/>
      <c r="AE864" s="59"/>
      <c r="AF864" s="68"/>
    </row>
    <row r="865" spans="1:32" x14ac:dyDescent="0.2">
      <c r="A865" s="95">
        <v>828</v>
      </c>
      <c r="B865" s="95">
        <v>69</v>
      </c>
      <c r="C865" s="95">
        <v>0</v>
      </c>
      <c r="D865" s="95"/>
      <c r="E865" s="95">
        <v>91.687599084477711</v>
      </c>
      <c r="F865" s="95">
        <v>196.47342660959472</v>
      </c>
      <c r="G865" s="95">
        <v>124.43317018607665</v>
      </c>
      <c r="H865" s="95">
        <v>4.5080158891546707E-2</v>
      </c>
      <c r="I865" s="95">
        <v>9.1114422569805953</v>
      </c>
      <c r="J865" s="95"/>
      <c r="K865" s="95"/>
      <c r="L865" s="95">
        <v>0.48143711854149568</v>
      </c>
      <c r="M865" s="95">
        <v>2.0540497622819771</v>
      </c>
      <c r="N865" s="95">
        <v>0.80123177307978288</v>
      </c>
      <c r="O865" s="95">
        <v>3036.150202366613</v>
      </c>
      <c r="P865" s="95">
        <v>6538.7623606834641</v>
      </c>
      <c r="Q865" s="95">
        <v>10000.000000000002</v>
      </c>
      <c r="S865" s="98"/>
      <c r="T865" s="95"/>
      <c r="U865" s="99"/>
      <c r="W865" s="121"/>
      <c r="X865" s="59"/>
      <c r="Y865" s="59"/>
      <c r="Z865" s="59"/>
      <c r="AA865" s="59"/>
      <c r="AB865" s="59"/>
      <c r="AC865" s="59"/>
      <c r="AD865" s="59"/>
      <c r="AE865" s="59"/>
      <c r="AF865" s="68"/>
    </row>
    <row r="866" spans="1:32" x14ac:dyDescent="0.2">
      <c r="A866" s="95">
        <v>829</v>
      </c>
      <c r="B866" s="95">
        <v>69</v>
      </c>
      <c r="C866" s="95">
        <v>1</v>
      </c>
      <c r="D866" s="95"/>
      <c r="E866" s="95">
        <v>90.312285098210552</v>
      </c>
      <c r="F866" s="95">
        <v>193.52632521045081</v>
      </c>
      <c r="G866" s="95">
        <v>122.56667263328551</v>
      </c>
      <c r="H866" s="95">
        <v>4.3968181638888555E-2</v>
      </c>
      <c r="I866" s="95">
        <v>8.9349641946935066</v>
      </c>
      <c r="J866" s="95"/>
      <c r="K866" s="95"/>
      <c r="L866" s="95">
        <v>0.47245419724261134</v>
      </c>
      <c r="M866" s="95">
        <v>2.013771881299852</v>
      </c>
      <c r="N866" s="95">
        <v>0.78570057418264094</v>
      </c>
      <c r="O866" s="95">
        <v>3036.2051857912843</v>
      </c>
      <c r="P866" s="95">
        <v>6545.1386722377129</v>
      </c>
      <c r="Q866" s="95">
        <v>10000.000000000002</v>
      </c>
      <c r="S866" s="98"/>
      <c r="T866" s="95"/>
      <c r="U866" s="99"/>
      <c r="W866" s="121"/>
      <c r="X866" s="59"/>
      <c r="Y866" s="59"/>
      <c r="Z866" s="59"/>
      <c r="AA866" s="59"/>
      <c r="AB866" s="59"/>
      <c r="AC866" s="59"/>
      <c r="AD866" s="59"/>
      <c r="AE866" s="59"/>
      <c r="AF866" s="68"/>
    </row>
    <row r="867" spans="1:32" x14ac:dyDescent="0.2">
      <c r="A867" s="95">
        <v>830</v>
      </c>
      <c r="B867" s="95">
        <v>69</v>
      </c>
      <c r="C867" s="95">
        <v>2</v>
      </c>
      <c r="D867" s="95"/>
      <c r="E867" s="95">
        <v>88.957600821737387</v>
      </c>
      <c r="F867" s="95">
        <v>190.62343033229405</v>
      </c>
      <c r="G867" s="95">
        <v>120.72817254378623</v>
      </c>
      <c r="H867" s="95">
        <v>4.2883633158462636E-2</v>
      </c>
      <c r="I867" s="95">
        <v>8.761901999002383</v>
      </c>
      <c r="J867" s="95"/>
      <c r="K867" s="95"/>
      <c r="L867" s="95">
        <v>0.46363294266144006</v>
      </c>
      <c r="M867" s="95">
        <v>1.9742890043402548</v>
      </c>
      <c r="N867" s="95">
        <v>0.77046995947745212</v>
      </c>
      <c r="O867" s="95">
        <v>3036.2591043962661</v>
      </c>
      <c r="P867" s="95">
        <v>6551.4185143672785</v>
      </c>
      <c r="Q867" s="95">
        <v>10000.000000000002</v>
      </c>
      <c r="S867" s="98"/>
      <c r="T867" s="95"/>
      <c r="U867" s="99"/>
      <c r="W867" s="121"/>
      <c r="X867" s="59"/>
      <c r="Y867" s="59"/>
      <c r="Z867" s="59"/>
      <c r="AA867" s="59"/>
      <c r="AB867" s="59"/>
      <c r="AC867" s="59"/>
      <c r="AD867" s="59"/>
      <c r="AE867" s="59"/>
      <c r="AF867" s="68"/>
    </row>
    <row r="868" spans="1:32" x14ac:dyDescent="0.2">
      <c r="A868" s="95">
        <v>831</v>
      </c>
      <c r="B868" s="95">
        <v>69</v>
      </c>
      <c r="C868" s="95">
        <v>3</v>
      </c>
      <c r="D868" s="95"/>
      <c r="E868" s="95">
        <v>87.623236809411324</v>
      </c>
      <c r="F868" s="95">
        <v>187.76407887730963</v>
      </c>
      <c r="G868" s="95">
        <v>118.91724995562943</v>
      </c>
      <c r="H868" s="95">
        <v>4.1825836873887225E-2</v>
      </c>
      <c r="I868" s="95">
        <v>8.5921896103089512</v>
      </c>
      <c r="J868" s="95"/>
      <c r="K868" s="95"/>
      <c r="L868" s="95">
        <v>0.45497066464109892</v>
      </c>
      <c r="M868" s="95">
        <v>1.9355852799484445</v>
      </c>
      <c r="N868" s="95">
        <v>0.75553413072573006</v>
      </c>
      <c r="O868" s="95">
        <v>3036.3119787493283</v>
      </c>
      <c r="P868" s="95">
        <v>6557.6033500858257</v>
      </c>
      <c r="Q868" s="95">
        <v>10000.000000000002</v>
      </c>
      <c r="S868" s="98"/>
      <c r="T868" s="95"/>
      <c r="U868" s="99"/>
      <c r="W868" s="121"/>
      <c r="X868" s="59"/>
      <c r="Y868" s="59"/>
      <c r="Z868" s="59"/>
      <c r="AA868" s="59"/>
      <c r="AB868" s="59"/>
      <c r="AC868" s="59"/>
      <c r="AD868" s="59"/>
      <c r="AE868" s="59"/>
      <c r="AF868" s="68"/>
    </row>
    <row r="869" spans="1:32" x14ac:dyDescent="0.2">
      <c r="A869" s="95">
        <v>832</v>
      </c>
      <c r="B869" s="95">
        <v>69</v>
      </c>
      <c r="C869" s="95">
        <v>4</v>
      </c>
      <c r="D869" s="95"/>
      <c r="E869" s="95">
        <v>86.308888257270155</v>
      </c>
      <c r="F869" s="95">
        <v>184.94761769414998</v>
      </c>
      <c r="G869" s="95">
        <v>117.13349120629499</v>
      </c>
      <c r="H869" s="95">
        <v>4.0794132897664676E-2</v>
      </c>
      <c r="I869" s="95">
        <v>8.4257622451318994</v>
      </c>
      <c r="J869" s="95"/>
      <c r="K869" s="95"/>
      <c r="L869" s="95">
        <v>0.44646470937289551</v>
      </c>
      <c r="M869" s="95">
        <v>1.897645177568726</v>
      </c>
      <c r="N869" s="95">
        <v>0.74088740084455473</v>
      </c>
      <c r="O869" s="95">
        <v>3036.3638290231734</v>
      </c>
      <c r="P869" s="95">
        <v>6563.6946201532992</v>
      </c>
      <c r="Q869" s="95">
        <v>10000.000000000004</v>
      </c>
      <c r="S869" s="98"/>
      <c r="T869" s="95"/>
      <c r="U869" s="99"/>
      <c r="W869" s="121"/>
      <c r="X869" s="59"/>
      <c r="Y869" s="59"/>
      <c r="Z869" s="59"/>
      <c r="AA869" s="59"/>
      <c r="AB869" s="59"/>
      <c r="AC869" s="59"/>
      <c r="AD869" s="59"/>
      <c r="AE869" s="59"/>
      <c r="AF869" s="68"/>
    </row>
    <row r="870" spans="1:32" x14ac:dyDescent="0.2">
      <c r="A870" s="95">
        <v>833</v>
      </c>
      <c r="B870" s="95">
        <v>69</v>
      </c>
      <c r="C870" s="95">
        <v>5</v>
      </c>
      <c r="D870" s="95"/>
      <c r="E870" s="95">
        <v>85.01425493341111</v>
      </c>
      <c r="F870" s="95">
        <v>182.17340342873774</v>
      </c>
      <c r="G870" s="95">
        <v>115.37648883820057</v>
      </c>
      <c r="H870" s="95">
        <v>3.978787761952228E-2</v>
      </c>
      <c r="I870" s="95">
        <v>8.2625563714902661</v>
      </c>
      <c r="J870" s="95"/>
      <c r="K870" s="95"/>
      <c r="L870" s="95">
        <v>0.43811245925489861</v>
      </c>
      <c r="M870" s="95">
        <v>1.8604534809038109</v>
      </c>
      <c r="N870" s="95">
        <v>0.72652419179715744</v>
      </c>
      <c r="O870" s="95">
        <v>3036.4146750029363</v>
      </c>
      <c r="P870" s="95">
        <v>6569.6937434156525</v>
      </c>
      <c r="Q870" s="95">
        <v>10000.000000000004</v>
      </c>
      <c r="S870" s="98"/>
      <c r="T870" s="95"/>
      <c r="U870" s="99"/>
      <c r="W870" s="121"/>
      <c r="X870" s="59"/>
      <c r="Y870" s="59"/>
      <c r="Z870" s="59"/>
      <c r="AA870" s="59"/>
      <c r="AB870" s="59"/>
      <c r="AC870" s="59"/>
      <c r="AD870" s="59"/>
      <c r="AE870" s="59"/>
      <c r="AF870" s="68"/>
    </row>
    <row r="871" spans="1:32" x14ac:dyDescent="0.2">
      <c r="A871" s="95">
        <v>834</v>
      </c>
      <c r="B871" s="95">
        <v>69</v>
      </c>
      <c r="C871" s="95">
        <v>6</v>
      </c>
      <c r="D871" s="95"/>
      <c r="E871" s="95">
        <v>83.739041109409939</v>
      </c>
      <c r="F871" s="95">
        <v>179.44080237730668</v>
      </c>
      <c r="G871" s="95">
        <v>113.64584150562756</v>
      </c>
      <c r="H871" s="95">
        <v>3.8806443304907394E-2</v>
      </c>
      <c r="I871" s="95">
        <v>8.1025096847608182</v>
      </c>
      <c r="J871" s="95"/>
      <c r="K871" s="95"/>
      <c r="L871" s="95">
        <v>0.42991133273315396</v>
      </c>
      <c r="M871" s="95">
        <v>1.8239952814158173</v>
      </c>
      <c r="N871" s="95">
        <v>0.71243903252305585</v>
      </c>
      <c r="O871" s="95">
        <v>3036.4645360935483</v>
      </c>
      <c r="P871" s="95">
        <v>6575.6021171393731</v>
      </c>
      <c r="Q871" s="95">
        <v>10000.000000000004</v>
      </c>
      <c r="S871" s="98"/>
      <c r="T871" s="95"/>
      <c r="U871" s="99"/>
      <c r="W871" s="121"/>
      <c r="X871" s="59"/>
      <c r="Y871" s="59"/>
      <c r="Z871" s="59"/>
      <c r="AA871" s="59"/>
      <c r="AB871" s="59"/>
      <c r="AC871" s="59"/>
      <c r="AD871" s="59"/>
      <c r="AE871" s="59"/>
      <c r="AF871" s="68"/>
    </row>
    <row r="872" spans="1:32" x14ac:dyDescent="0.2">
      <c r="A872" s="95">
        <v>835</v>
      </c>
      <c r="B872" s="95">
        <v>69</v>
      </c>
      <c r="C872" s="95">
        <v>7</v>
      </c>
      <c r="D872" s="95"/>
      <c r="E872" s="95">
        <v>82.482955492768795</v>
      </c>
      <c r="F872" s="95">
        <v>176.74919034164708</v>
      </c>
      <c r="G872" s="95">
        <v>111.94115388304314</v>
      </c>
      <c r="H872" s="95">
        <v>3.7849217703386347E-2</v>
      </c>
      <c r="I872" s="95">
        <v>7.9455610840003263</v>
      </c>
      <c r="J872" s="95"/>
      <c r="K872" s="95"/>
      <c r="L872" s="95">
        <v>0.42185878412659972</v>
      </c>
      <c r="M872" s="95">
        <v>1.7882559719657651</v>
      </c>
      <c r="N872" s="95">
        <v>0.69862655690699638</v>
      </c>
      <c r="O872" s="95">
        <v>3036.5134313269618</v>
      </c>
      <c r="P872" s="95">
        <v>6581.4211173408794</v>
      </c>
      <c r="Q872" s="95">
        <v>10000.000000000004</v>
      </c>
      <c r="S872" s="98"/>
      <c r="T872" s="95"/>
      <c r="U872" s="99"/>
      <c r="W872" s="121"/>
      <c r="X872" s="59"/>
      <c r="Y872" s="59"/>
      <c r="Z872" s="59"/>
      <c r="AA872" s="59"/>
      <c r="AB872" s="59"/>
      <c r="AC872" s="59"/>
      <c r="AD872" s="59"/>
      <c r="AE872" s="59"/>
      <c r="AF872" s="68"/>
    </row>
    <row r="873" spans="1:32" x14ac:dyDescent="0.2">
      <c r="A873" s="95">
        <v>836</v>
      </c>
      <c r="B873" s="95">
        <v>69</v>
      </c>
      <c r="C873" s="95">
        <v>8</v>
      </c>
      <c r="D873" s="95"/>
      <c r="E873" s="95">
        <v>81.245711160377269</v>
      </c>
      <c r="F873" s="95">
        <v>174.09795248652236</v>
      </c>
      <c r="G873" s="95">
        <v>110.26203657479749</v>
      </c>
      <c r="H873" s="95">
        <v>3.6915603666702816E-2</v>
      </c>
      <c r="I873" s="95">
        <v>7.7916506487237864</v>
      </c>
      <c r="J873" s="95"/>
      <c r="K873" s="95"/>
      <c r="L873" s="95">
        <v>0.41395230343668921</v>
      </c>
      <c r="M873" s="95">
        <v>1.7532212405885006</v>
      </c>
      <c r="N873" s="95">
        <v>0.6850815017859746</v>
      </c>
      <c r="O873" s="95">
        <v>3036.5613793692428</v>
      </c>
      <c r="P873" s="95">
        <v>6587.1520991108619</v>
      </c>
      <c r="Q873" s="95">
        <v>10000.000000000004</v>
      </c>
      <c r="S873" s="98"/>
      <c r="T873" s="95"/>
      <c r="U873" s="99"/>
      <c r="W873" s="121"/>
      <c r="X873" s="59"/>
      <c r="Y873" s="59"/>
      <c r="Z873" s="59"/>
      <c r="AA873" s="59"/>
      <c r="AB873" s="59"/>
      <c r="AC873" s="59"/>
      <c r="AD873" s="59"/>
      <c r="AE873" s="59"/>
      <c r="AF873" s="68"/>
    </row>
    <row r="874" spans="1:32" x14ac:dyDescent="0.2">
      <c r="A874" s="95">
        <v>837</v>
      </c>
      <c r="B874" s="95">
        <v>69</v>
      </c>
      <c r="C874" s="95">
        <v>9</v>
      </c>
      <c r="D874" s="95"/>
      <c r="E874" s="95">
        <v>80.027025492971603</v>
      </c>
      <c r="F874" s="95">
        <v>171.48648319922452</v>
      </c>
      <c r="G874" s="95">
        <v>108.60810602617553</v>
      </c>
      <c r="H874" s="95">
        <v>3.6005018776257482E-2</v>
      </c>
      <c r="I874" s="95">
        <v>7.6407196161298447</v>
      </c>
      <c r="J874" s="95"/>
      <c r="K874" s="95"/>
      <c r="L874" s="95">
        <v>0.40618941614268567</v>
      </c>
      <c r="M874" s="95">
        <v>1.7188770644000535</v>
      </c>
      <c r="N874" s="95">
        <v>0.67179870499362127</v>
      </c>
      <c r="O874" s="95">
        <v>3036.6083985275291</v>
      </c>
      <c r="P874" s="95">
        <v>6592.7963969336606</v>
      </c>
      <c r="Q874" s="95">
        <v>10000.000000000004</v>
      </c>
      <c r="S874" s="98"/>
      <c r="T874" s="95"/>
      <c r="U874" s="99"/>
      <c r="W874" s="121"/>
      <c r="X874" s="59"/>
      <c r="Y874" s="59"/>
      <c r="Z874" s="59"/>
      <c r="AA874" s="59"/>
      <c r="AB874" s="59"/>
      <c r="AC874" s="59"/>
      <c r="AD874" s="59"/>
      <c r="AE874" s="59"/>
      <c r="AF874" s="68"/>
    </row>
    <row r="875" spans="1:32" x14ac:dyDescent="0.2">
      <c r="A875" s="95">
        <v>838</v>
      </c>
      <c r="B875" s="95">
        <v>69</v>
      </c>
      <c r="C875" s="95">
        <v>10</v>
      </c>
      <c r="D875" s="95"/>
      <c r="E875" s="95">
        <v>78.826620110577025</v>
      </c>
      <c r="F875" s="95">
        <v>168.91418595123616</v>
      </c>
      <c r="G875" s="95">
        <v>106.97898443578291</v>
      </c>
      <c r="H875" s="95">
        <v>3.5116894979776464E-2</v>
      </c>
      <c r="I875" s="95">
        <v>7.4927103587648274</v>
      </c>
      <c r="J875" s="95"/>
      <c r="K875" s="95"/>
      <c r="L875" s="95">
        <v>0.39856768298354961</v>
      </c>
      <c r="M875" s="95">
        <v>1.6852097036344971</v>
      </c>
      <c r="N875" s="95">
        <v>0.65877310344125428</v>
      </c>
      <c r="O875" s="95">
        <v>3036.6545067568609</v>
      </c>
      <c r="P875" s="95">
        <v>6598.3553250017421</v>
      </c>
      <c r="Q875" s="95">
        <v>10000.000000000004</v>
      </c>
      <c r="S875" s="98"/>
      <c r="T875" s="95"/>
      <c r="U875" s="99"/>
      <c r="W875" s="121"/>
      <c r="X875" s="59"/>
      <c r="Y875" s="59"/>
      <c r="Z875" s="59"/>
      <c r="AA875" s="59"/>
      <c r="AB875" s="59"/>
      <c r="AC875" s="59"/>
      <c r="AD875" s="59"/>
      <c r="AE875" s="59"/>
      <c r="AF875" s="68"/>
    </row>
    <row r="876" spans="1:32" x14ac:dyDescent="0.2">
      <c r="A876" s="95">
        <v>839</v>
      </c>
      <c r="B876" s="95">
        <v>69</v>
      </c>
      <c r="C876" s="95">
        <v>11</v>
      </c>
      <c r="D876" s="95"/>
      <c r="E876" s="95">
        <v>77.644220808918377</v>
      </c>
      <c r="F876" s="95">
        <v>166.38047316196761</v>
      </c>
      <c r="G876" s="95">
        <v>105.37429966924616</v>
      </c>
      <c r="H876" s="95">
        <v>3.425067823694198E-2</v>
      </c>
      <c r="I876" s="95">
        <v>7.3475663626169485</v>
      </c>
      <c r="J876" s="95"/>
      <c r="K876" s="95"/>
      <c r="L876" s="95">
        <v>0.39108469972729948</v>
      </c>
      <c r="M876" s="95">
        <v>1.652205695807454</v>
      </c>
      <c r="N876" s="95">
        <v>0.64599973123491206</v>
      </c>
      <c r="O876" s="95">
        <v>3036.6997216668842</v>
      </c>
      <c r="P876" s="95">
        <v>6603.8301775253631</v>
      </c>
      <c r="Q876" s="95">
        <v>10000.000000000004</v>
      </c>
      <c r="S876" s="98"/>
      <c r="T876" s="95"/>
      <c r="U876" s="99"/>
      <c r="W876" s="121"/>
      <c r="X876" s="59"/>
      <c r="Y876" s="59"/>
      <c r="Z876" s="59"/>
      <c r="AA876" s="59"/>
      <c r="AB876" s="59"/>
      <c r="AC876" s="59"/>
      <c r="AD876" s="59"/>
      <c r="AE876" s="59"/>
      <c r="AF876" s="68"/>
    </row>
    <row r="877" spans="1:32" x14ac:dyDescent="0.2">
      <c r="A877" s="95">
        <v>840</v>
      </c>
      <c r="B877" s="95">
        <v>70</v>
      </c>
      <c r="C877" s="95">
        <v>0</v>
      </c>
      <c r="D877" s="95"/>
      <c r="E877" s="95">
        <v>76.479557496784608</v>
      </c>
      <c r="F877" s="95">
        <v>163.8847660645381</v>
      </c>
      <c r="G877" s="95">
        <v>103.79368517420747</v>
      </c>
      <c r="H877" s="95">
        <v>3.3405828173764078E-2</v>
      </c>
      <c r="I877" s="95">
        <v>7.2052322056324263</v>
      </c>
      <c r="J877" s="95"/>
      <c r="K877" s="95"/>
      <c r="L877" s="95">
        <v>0.38373809692868727</v>
      </c>
      <c r="M877" s="95">
        <v>1.6198518500034529</v>
      </c>
      <c r="N877" s="95">
        <v>0.63347371782769613</v>
      </c>
      <c r="O877" s="95">
        <v>3036.7440605284273</v>
      </c>
      <c r="P877" s="95">
        <v>6609.2222290374793</v>
      </c>
      <c r="Q877" s="95">
        <v>10000.000000000004</v>
      </c>
      <c r="S877" s="98"/>
      <c r="T877" s="95"/>
      <c r="U877" s="99"/>
      <c r="W877" s="121"/>
      <c r="X877" s="59"/>
      <c r="Y877" s="59"/>
      <c r="Z877" s="59"/>
      <c r="AA877" s="59"/>
      <c r="AB877" s="59"/>
      <c r="AC877" s="59"/>
      <c r="AD877" s="59"/>
      <c r="AE877" s="59"/>
      <c r="AF877" s="68"/>
    </row>
    <row r="878" spans="1:32" x14ac:dyDescent="0.2">
      <c r="A878" s="95">
        <v>841</v>
      </c>
      <c r="B878" s="95">
        <v>70</v>
      </c>
      <c r="C878" s="95">
        <v>1</v>
      </c>
      <c r="D878" s="95"/>
      <c r="E878" s="95">
        <v>75.332364134332835</v>
      </c>
      <c r="F878" s="95">
        <v>161.42649457357004</v>
      </c>
      <c r="G878" s="95">
        <v>102.23677989659436</v>
      </c>
      <c r="H878" s="95">
        <v>3.2581817745477901E-2</v>
      </c>
      <c r="I878" s="95">
        <v>7.0656535366454101</v>
      </c>
      <c r="J878" s="95"/>
      <c r="K878" s="95"/>
      <c r="L878" s="95">
        <v>0.37652553967599145</v>
      </c>
      <c r="M878" s="95">
        <v>1.5881352412844059</v>
      </c>
      <c r="N878" s="95">
        <v>0.62119028620676509</v>
      </c>
      <c r="O878" s="95">
        <v>3036.7875402799568</v>
      </c>
      <c r="P878" s="95">
        <v>6614.5327346939912</v>
      </c>
      <c r="Q878" s="95">
        <v>10000.000000000004</v>
      </c>
      <c r="S878" s="98"/>
      <c r="T878" s="95"/>
      <c r="U878" s="99"/>
      <c r="W878" s="121"/>
      <c r="X878" s="59"/>
      <c r="Y878" s="59"/>
      <c r="Z878" s="59"/>
      <c r="AA878" s="59"/>
      <c r="AB878" s="59"/>
      <c r="AC878" s="59"/>
      <c r="AD878" s="59"/>
      <c r="AE878" s="59"/>
      <c r="AF878" s="68"/>
    </row>
    <row r="879" spans="1:32" x14ac:dyDescent="0.2">
      <c r="A879" s="95">
        <v>842</v>
      </c>
      <c r="B879" s="95">
        <v>70</v>
      </c>
      <c r="C879" s="95">
        <v>2</v>
      </c>
      <c r="D879" s="95"/>
      <c r="E879" s="95">
        <v>74.202378672317849</v>
      </c>
      <c r="F879" s="95">
        <v>159.00509715496648</v>
      </c>
      <c r="G879" s="95">
        <v>100.70322819814544</v>
      </c>
      <c r="H879" s="95">
        <v>3.1778132907756114E-2</v>
      </c>
      <c r="I879" s="95">
        <v>6.928777054713751</v>
      </c>
      <c r="J879" s="95"/>
      <c r="K879" s="95"/>
      <c r="L879" s="95">
        <v>0.36944472732769629</v>
      </c>
      <c r="M879" s="95">
        <v>1.5570432052165435</v>
      </c>
      <c r="N879" s="95">
        <v>0.60914475111433475</v>
      </c>
      <c r="O879" s="95">
        <v>3036.8301775339114</v>
      </c>
      <c r="P879" s="95">
        <v>6619.7629305693827</v>
      </c>
      <c r="Q879" s="95">
        <v>10000.000000000004</v>
      </c>
      <c r="S879" s="98"/>
      <c r="T879" s="95"/>
      <c r="U879" s="99"/>
      <c r="W879" s="121"/>
      <c r="X879" s="59"/>
      <c r="Y879" s="59"/>
      <c r="Z879" s="59"/>
      <c r="AA879" s="59"/>
      <c r="AB879" s="59"/>
      <c r="AC879" s="59"/>
      <c r="AD879" s="59"/>
      <c r="AE879" s="59"/>
      <c r="AF879" s="68"/>
    </row>
    <row r="880" spans="1:32" x14ac:dyDescent="0.2">
      <c r="A880" s="95">
        <v>843</v>
      </c>
      <c r="B880" s="95">
        <v>70</v>
      </c>
      <c r="C880" s="95">
        <v>3</v>
      </c>
      <c r="D880" s="95"/>
      <c r="E880" s="95">
        <v>73.089342992233085</v>
      </c>
      <c r="F880" s="95">
        <v>156.62002069764199</v>
      </c>
      <c r="G880" s="95">
        <v>99.192679775173261</v>
      </c>
      <c r="H880" s="95">
        <v>3.0994272296031463E-2</v>
      </c>
      <c r="I880" s="95">
        <v>6.7945504888528339</v>
      </c>
      <c r="J880" s="95"/>
      <c r="K880" s="95"/>
      <c r="L880" s="95">
        <v>0.36249339323978824</v>
      </c>
      <c r="M880" s="95">
        <v>1.5265633325131991</v>
      </c>
      <c r="N880" s="95">
        <v>0.59733251730205139</v>
      </c>
      <c r="O880" s="95">
        <v>3036.8719885829182</v>
      </c>
      <c r="P880" s="95">
        <v>6624.9140339478336</v>
      </c>
      <c r="Q880" s="95">
        <v>10000.000000000004</v>
      </c>
      <c r="S880" s="98"/>
      <c r="T880" s="95"/>
      <c r="U880" s="99"/>
      <c r="W880" s="121"/>
      <c r="X880" s="59"/>
      <c r="Y880" s="59"/>
      <c r="Z880" s="59"/>
      <c r="AA880" s="59"/>
      <c r="AB880" s="59"/>
      <c r="AC880" s="59"/>
      <c r="AD880" s="59"/>
      <c r="AE880" s="59"/>
      <c r="AF880" s="68"/>
    </row>
    <row r="881" spans="1:32" x14ac:dyDescent="0.2">
      <c r="A881" s="95">
        <v>844</v>
      </c>
      <c r="B881" s="95">
        <v>70</v>
      </c>
      <c r="C881" s="95">
        <v>4</v>
      </c>
      <c r="D881" s="95"/>
      <c r="E881" s="95">
        <v>71.993002847349587</v>
      </c>
      <c r="F881" s="95">
        <v>154.27072038717736</v>
      </c>
      <c r="G881" s="95">
        <v>97.704789578545657</v>
      </c>
      <c r="H881" s="95">
        <v>3.0229746912729352E-2</v>
      </c>
      <c r="I881" s="95">
        <v>6.6629225781598027</v>
      </c>
      <c r="J881" s="95"/>
      <c r="K881" s="95"/>
      <c r="L881" s="95">
        <v>0.35566930448437017</v>
      </c>
      <c r="M881" s="95">
        <v>1.4966834637909006</v>
      </c>
      <c r="N881" s="95">
        <v>0.58574907781811791</v>
      </c>
      <c r="O881" s="95">
        <v>3036.9129894058933</v>
      </c>
      <c r="P881" s="95">
        <v>6629.9872436098722</v>
      </c>
      <c r="Q881" s="95">
        <v>10000.000000000004</v>
      </c>
      <c r="S881" s="98"/>
      <c r="T881" s="95"/>
      <c r="U881" s="99"/>
      <c r="W881" s="121"/>
      <c r="X881" s="59"/>
      <c r="Y881" s="59"/>
      <c r="Z881" s="59"/>
      <c r="AA881" s="59"/>
      <c r="AB881" s="59"/>
      <c r="AC881" s="59"/>
      <c r="AD881" s="59"/>
      <c r="AE881" s="59"/>
      <c r="AF881" s="68"/>
    </row>
    <row r="882" spans="1:32" x14ac:dyDescent="0.2">
      <c r="A882" s="95">
        <v>845</v>
      </c>
      <c r="B882" s="95">
        <v>70</v>
      </c>
      <c r="C882" s="95">
        <v>5</v>
      </c>
      <c r="D882" s="95"/>
      <c r="E882" s="95">
        <v>70.913107804639338</v>
      </c>
      <c r="F882" s="95">
        <v>151.95665958136971</v>
      </c>
      <c r="G882" s="95">
        <v>96.239217734867466</v>
      </c>
      <c r="H882" s="95">
        <v>2.9484079822215362E-2</v>
      </c>
      <c r="I882" s="95">
        <v>6.5338430523206892</v>
      </c>
      <c r="J882" s="95"/>
      <c r="K882" s="95"/>
      <c r="L882" s="95">
        <v>0.34897026156025945</v>
      </c>
      <c r="M882" s="95">
        <v>1.4673916844362804</v>
      </c>
      <c r="N882" s="95">
        <v>0.57439001232656439</v>
      </c>
      <c r="O882" s="95">
        <v>3036.9531956740257</v>
      </c>
      <c r="P882" s="95">
        <v>6634.9837401146351</v>
      </c>
      <c r="Q882" s="95">
        <v>10000.000000000004</v>
      </c>
      <c r="S882" s="98"/>
      <c r="T882" s="95"/>
      <c r="U882" s="99"/>
      <c r="W882" s="121"/>
      <c r="X882" s="59"/>
      <c r="Y882" s="59"/>
      <c r="Z882" s="59"/>
      <c r="AA882" s="59"/>
      <c r="AB882" s="59"/>
      <c r="AC882" s="59"/>
      <c r="AD882" s="59"/>
      <c r="AE882" s="59"/>
      <c r="AF882" s="68"/>
    </row>
    <row r="883" spans="1:32" x14ac:dyDescent="0.2">
      <c r="A883" s="95">
        <v>846</v>
      </c>
      <c r="B883" s="95">
        <v>70</v>
      </c>
      <c r="C883" s="95">
        <v>6</v>
      </c>
      <c r="D883" s="95"/>
      <c r="E883" s="95">
        <v>69.849411187569743</v>
      </c>
      <c r="F883" s="95">
        <v>149.67730968764917</v>
      </c>
      <c r="G883" s="95">
        <v>94.795629468844453</v>
      </c>
      <c r="H883" s="95">
        <v>2.8756805853267384E-2</v>
      </c>
      <c r="I883" s="95">
        <v>6.4072626124930769</v>
      </c>
      <c r="J883" s="95"/>
      <c r="K883" s="95"/>
      <c r="L883" s="95">
        <v>0.34239409809620669</v>
      </c>
      <c r="M883" s="95">
        <v>1.4386763195813776</v>
      </c>
      <c r="N883" s="95">
        <v>0.56325098545806684</v>
      </c>
      <c r="O883" s="95">
        <v>3036.9926227566525</v>
      </c>
      <c r="P883" s="95">
        <v>6639.9046860778053</v>
      </c>
      <c r="Q883" s="95">
        <v>10000.000000000004</v>
      </c>
      <c r="S883" s="98"/>
      <c r="T883" s="95"/>
      <c r="U883" s="99"/>
      <c r="W883" s="121"/>
      <c r="X883" s="59"/>
      <c r="Y883" s="59"/>
      <c r="Z883" s="59"/>
      <c r="AA883" s="59"/>
      <c r="AB883" s="59"/>
      <c r="AC883" s="59"/>
      <c r="AD883" s="59"/>
      <c r="AE883" s="59"/>
      <c r="AF883" s="68"/>
    </row>
    <row r="884" spans="1:32" x14ac:dyDescent="0.2">
      <c r="A884" s="95">
        <v>847</v>
      </c>
      <c r="B884" s="95">
        <v>70</v>
      </c>
      <c r="C884" s="95">
        <v>7</v>
      </c>
      <c r="D884" s="95"/>
      <c r="E884" s="95">
        <v>68.801670019756202</v>
      </c>
      <c r="F884" s="95">
        <v>147.43215004233443</v>
      </c>
      <c r="G884" s="95">
        <v>93.373695026811788</v>
      </c>
      <c r="H884" s="95">
        <v>2.8047471308886789E-2</v>
      </c>
      <c r="I884" s="95">
        <v>6.2831329125570843</v>
      </c>
      <c r="J884" s="95"/>
      <c r="K884" s="95"/>
      <c r="L884" s="95">
        <v>0.33593868054734238</v>
      </c>
      <c r="M884" s="95">
        <v>1.4105259291849557</v>
      </c>
      <c r="N884" s="95">
        <v>0.55232774519172789</v>
      </c>
      <c r="O884" s="95">
        <v>3037.0312857270224</v>
      </c>
      <c r="P884" s="95">
        <v>6644.7512264452889</v>
      </c>
      <c r="Q884" s="95">
        <v>10000.000000000004</v>
      </c>
      <c r="S884" s="98"/>
      <c r="T884" s="95"/>
      <c r="U884" s="99"/>
      <c r="W884" s="121"/>
      <c r="X884" s="59"/>
      <c r="Y884" s="59"/>
      <c r="Z884" s="59"/>
      <c r="AA884" s="59"/>
      <c r="AB884" s="59"/>
      <c r="AC884" s="59"/>
      <c r="AD884" s="59"/>
      <c r="AE884" s="59"/>
      <c r="AF884" s="68"/>
    </row>
    <row r="885" spans="1:32" x14ac:dyDescent="0.2">
      <c r="A885" s="95">
        <v>848</v>
      </c>
      <c r="B885" s="95">
        <v>70</v>
      </c>
      <c r="C885" s="95">
        <v>8</v>
      </c>
      <c r="D885" s="95"/>
      <c r="E885" s="95">
        <v>67.769644969459861</v>
      </c>
      <c r="F885" s="95">
        <v>145.22066779169941</v>
      </c>
      <c r="G885" s="95">
        <v>91.973089601409612</v>
      </c>
      <c r="H885" s="95">
        <v>2.7355633683267582E-2</v>
      </c>
      <c r="I885" s="95">
        <v>6.1614065407275866</v>
      </c>
      <c r="J885" s="95"/>
      <c r="K885" s="95"/>
      <c r="L885" s="95">
        <v>0.3296019078854292</v>
      </c>
      <c r="M885" s="95">
        <v>1.3829293032175176</v>
      </c>
      <c r="N885" s="95">
        <v>0.5416161212672459</v>
      </c>
      <c r="O885" s="95">
        <v>3037.0691993679493</v>
      </c>
      <c r="P885" s="95">
        <v>6649.5244887627041</v>
      </c>
      <c r="Q885" s="95">
        <v>10000.000000000004</v>
      </c>
      <c r="S885" s="98"/>
      <c r="T885" s="95"/>
      <c r="U885" s="99"/>
      <c r="W885" s="121"/>
      <c r="X885" s="59"/>
      <c r="Y885" s="59"/>
      <c r="Z885" s="59"/>
      <c r="AA885" s="59"/>
      <c r="AB885" s="59"/>
      <c r="AC885" s="59"/>
      <c r="AD885" s="59"/>
      <c r="AE885" s="59"/>
      <c r="AF885" s="68"/>
    </row>
    <row r="886" spans="1:32" x14ac:dyDescent="0.2">
      <c r="A886" s="95">
        <v>849</v>
      </c>
      <c r="B886" s="95">
        <v>70</v>
      </c>
      <c r="C886" s="95">
        <v>9</v>
      </c>
      <c r="D886" s="95"/>
      <c r="E886" s="95">
        <v>66.753100294917957</v>
      </c>
      <c r="F886" s="95">
        <v>143.04235777482393</v>
      </c>
      <c r="G886" s="95">
        <v>90.593493257388474</v>
      </c>
      <c r="H886" s="95">
        <v>2.6680861385746983E-2</v>
      </c>
      <c r="I886" s="95">
        <v>6.0420370015207308</v>
      </c>
      <c r="J886" s="95"/>
      <c r="K886" s="95"/>
      <c r="L886" s="95">
        <v>0.32338171128347182</v>
      </c>
      <c r="M886" s="95">
        <v>1.3558754569477529</v>
      </c>
      <c r="N886" s="95">
        <v>0.5311120236269099</v>
      </c>
      <c r="O886" s="95">
        <v>3037.1063781773641</v>
      </c>
      <c r="P886" s="95">
        <v>6654.2255834407442</v>
      </c>
      <c r="Q886" s="95">
        <v>10000.000000000004</v>
      </c>
      <c r="S886" s="98"/>
      <c r="T886" s="95"/>
      <c r="U886" s="99"/>
      <c r="W886" s="121"/>
      <c r="X886" s="59"/>
      <c r="Y886" s="59"/>
      <c r="Z886" s="59"/>
      <c r="AA886" s="59"/>
      <c r="AB886" s="59"/>
      <c r="AC886" s="59"/>
      <c r="AD886" s="59"/>
      <c r="AE886" s="59"/>
      <c r="AF886" s="68"/>
    </row>
    <row r="887" spans="1:32" x14ac:dyDescent="0.2">
      <c r="A887" s="95">
        <v>850</v>
      </c>
      <c r="B887" s="95">
        <v>70</v>
      </c>
      <c r="C887" s="95">
        <v>10</v>
      </c>
      <c r="D887" s="95"/>
      <c r="E887" s="95">
        <v>65.751803790494193</v>
      </c>
      <c r="F887" s="95">
        <v>140.89672240820155</v>
      </c>
      <c r="G887" s="95">
        <v>89.234590858527653</v>
      </c>
      <c r="H887" s="95">
        <v>2.6022733471565224E-2</v>
      </c>
      <c r="I887" s="95">
        <v>5.9249786980679318</v>
      </c>
      <c r="J887" s="95"/>
      <c r="K887" s="95"/>
      <c r="L887" s="95">
        <v>0.31727605379520923</v>
      </c>
      <c r="M887" s="95">
        <v>1.3293536263282009</v>
      </c>
      <c r="N887" s="95">
        <v>0.52081144088686648</v>
      </c>
      <c r="O887" s="95">
        <v>3037.1428363737577</v>
      </c>
      <c r="P887" s="95">
        <v>6658.8556040164731</v>
      </c>
      <c r="Q887" s="95">
        <v>10000.000000000004</v>
      </c>
      <c r="S887" s="98"/>
      <c r="T887" s="95"/>
      <c r="U887" s="99"/>
      <c r="W887" s="121"/>
      <c r="X887" s="59"/>
      <c r="Y887" s="59"/>
      <c r="Z887" s="59"/>
      <c r="AA887" s="59"/>
      <c r="AB887" s="59"/>
      <c r="AC887" s="59"/>
      <c r="AD887" s="59"/>
      <c r="AE887" s="59"/>
      <c r="AF887" s="68"/>
    </row>
    <row r="888" spans="1:32" x14ac:dyDescent="0.2">
      <c r="A888" s="95">
        <v>851</v>
      </c>
      <c r="B888" s="95">
        <v>70</v>
      </c>
      <c r="C888" s="95">
        <v>11</v>
      </c>
      <c r="D888" s="95"/>
      <c r="E888" s="95">
        <v>64.765526733636776</v>
      </c>
      <c r="F888" s="95">
        <v>138.78327157207852</v>
      </c>
      <c r="G888" s="95">
        <v>87.896071995649734</v>
      </c>
      <c r="H888" s="95">
        <v>2.5380839379266613E-2</v>
      </c>
      <c r="I888" s="95">
        <v>5.8101869147706715</v>
      </c>
      <c r="J888" s="95"/>
      <c r="K888" s="95"/>
      <c r="L888" s="95">
        <v>0.31128293002998986</v>
      </c>
      <c r="M888" s="95">
        <v>1.3033532634779668</v>
      </c>
      <c r="N888" s="95">
        <v>0.51071043883711775</v>
      </c>
      <c r="O888" s="95">
        <v>3037.1785879015242</v>
      </c>
      <c r="P888" s="95">
        <v>6663.4156274106199</v>
      </c>
      <c r="Q888" s="95">
        <v>10000.000000000004</v>
      </c>
      <c r="S888" s="98"/>
      <c r="T888" s="95"/>
      <c r="U888" s="99"/>
      <c r="W888" s="121"/>
      <c r="X888" s="59"/>
      <c r="Y888" s="59"/>
      <c r="Z888" s="59"/>
      <c r="AA888" s="59"/>
      <c r="AB888" s="59"/>
      <c r="AC888" s="59"/>
      <c r="AD888" s="59"/>
      <c r="AE888" s="59"/>
      <c r="AF888" s="68"/>
    </row>
    <row r="889" spans="1:32" x14ac:dyDescent="0.2">
      <c r="A889" s="95">
        <v>852</v>
      </c>
      <c r="B889" s="95">
        <v>71</v>
      </c>
      <c r="C889" s="95">
        <v>0</v>
      </c>
      <c r="D889" s="95"/>
      <c r="E889" s="95">
        <v>63.794043832632227</v>
      </c>
      <c r="F889" s="95">
        <v>136.70152249849735</v>
      </c>
      <c r="G889" s="95">
        <v>86.577630915714991</v>
      </c>
      <c r="H889" s="95">
        <v>2.4754778674578037E-2</v>
      </c>
      <c r="I889" s="95">
        <v>5.6976178002895406</v>
      </c>
      <c r="J889" s="95"/>
      <c r="K889" s="95"/>
      <c r="L889" s="95">
        <v>0.30540036582350533</v>
      </c>
      <c r="M889" s="95">
        <v>1.2778640322603756</v>
      </c>
      <c r="N889" s="95">
        <v>0.50080515896971778</v>
      </c>
      <c r="O889" s="95">
        <v>3037.2136464362043</v>
      </c>
      <c r="P889" s="95">
        <v>6667.9067141809383</v>
      </c>
      <c r="Q889" s="95">
        <v>10000.000000000005</v>
      </c>
      <c r="S889" s="98"/>
      <c r="T889" s="95"/>
      <c r="U889" s="99"/>
      <c r="W889" s="121"/>
      <c r="X889" s="59"/>
      <c r="Y889" s="59"/>
      <c r="Z889" s="59"/>
      <c r="AA889" s="59"/>
      <c r="AB889" s="59"/>
      <c r="AC889" s="59"/>
      <c r="AD889" s="59"/>
      <c r="AE889" s="59"/>
      <c r="AF889" s="68"/>
    </row>
    <row r="890" spans="1:32" x14ac:dyDescent="0.2">
      <c r="A890" s="95">
        <v>853</v>
      </c>
      <c r="B890" s="95">
        <v>71</v>
      </c>
      <c r="C890" s="95">
        <v>1</v>
      </c>
      <c r="D890" s="95"/>
      <c r="E890" s="95">
        <v>62.837133175142746</v>
      </c>
      <c r="F890" s="95">
        <v>134.65099966101988</v>
      </c>
      <c r="G890" s="95">
        <v>85.278966451979272</v>
      </c>
      <c r="H890" s="95">
        <v>2.4144160800605111E-2</v>
      </c>
      <c r="I890" s="95">
        <v>5.587228350861106</v>
      </c>
      <c r="J890" s="95"/>
      <c r="K890" s="95"/>
      <c r="L890" s="95">
        <v>0.29962641790483668</v>
      </c>
      <c r="M890" s="95">
        <v>1.2528758039534984</v>
      </c>
      <c r="N890" s="95">
        <v>0.49109181703464599</v>
      </c>
      <c r="O890" s="95">
        <v>3037.2480253896269</v>
      </c>
      <c r="P890" s="95">
        <v>6672.3299087716814</v>
      </c>
      <c r="Q890" s="95">
        <v>10000.000000000005</v>
      </c>
      <c r="S890" s="98"/>
      <c r="T890" s="95"/>
      <c r="U890" s="99"/>
      <c r="W890" s="121"/>
      <c r="X890" s="59"/>
      <c r="Y890" s="59"/>
      <c r="Z890" s="59"/>
      <c r="AA890" s="59"/>
      <c r="AB890" s="59"/>
      <c r="AC890" s="59"/>
      <c r="AD890" s="59"/>
      <c r="AE890" s="59"/>
      <c r="AF890" s="68"/>
    </row>
    <row r="891" spans="1:32" x14ac:dyDescent="0.2">
      <c r="A891" s="95">
        <v>854</v>
      </c>
      <c r="B891" s="95">
        <v>71</v>
      </c>
      <c r="C891" s="95">
        <v>2</v>
      </c>
      <c r="D891" s="95"/>
      <c r="E891" s="95">
        <v>61.894576177515603</v>
      </c>
      <c r="F891" s="95">
        <v>132.63123466610458</v>
      </c>
      <c r="G891" s="95">
        <v>83.99978195519958</v>
      </c>
      <c r="H891" s="95">
        <v>2.3548604834190186E-2</v>
      </c>
      <c r="I891" s="95">
        <v>5.4789763939362919</v>
      </c>
      <c r="J891" s="95"/>
      <c r="K891" s="95"/>
      <c r="L891" s="95">
        <v>0.29395917356024298</v>
      </c>
      <c r="M891" s="95">
        <v>1.228378653011529</v>
      </c>
      <c r="N891" s="95">
        <v>0.48156670162284532</v>
      </c>
      <c r="O891" s="95">
        <v>3037.2817379149583</v>
      </c>
      <c r="P891" s="95">
        <v>6676.6862397592613</v>
      </c>
      <c r="Q891" s="95">
        <v>10000.000000000004</v>
      </c>
      <c r="S891" s="98"/>
      <c r="T891" s="95"/>
      <c r="U891" s="99"/>
      <c r="W891" s="121"/>
      <c r="X891" s="59"/>
      <c r="Y891" s="59"/>
      <c r="Z891" s="59"/>
      <c r="AA891" s="59"/>
      <c r="AB891" s="59"/>
      <c r="AC891" s="59"/>
      <c r="AD891" s="59"/>
      <c r="AE891" s="59"/>
      <c r="AF891" s="68"/>
    </row>
    <row r="892" spans="1:32" x14ac:dyDescent="0.2">
      <c r="A892" s="95">
        <v>855</v>
      </c>
      <c r="B892" s="95">
        <v>71</v>
      </c>
      <c r="C892" s="95">
        <v>3</v>
      </c>
      <c r="D892" s="95"/>
      <c r="E892" s="95">
        <v>60.966157534852869</v>
      </c>
      <c r="F892" s="95">
        <v>130.64176614611301</v>
      </c>
      <c r="G892" s="95">
        <v>82.739785225871586</v>
      </c>
      <c r="H892" s="95">
        <v>2.2967739248280161E-2</v>
      </c>
      <c r="I892" s="95">
        <v>5.3728205721340929</v>
      </c>
      <c r="J892" s="95"/>
      <c r="K892" s="95"/>
      <c r="L892" s="95">
        <v>0.28839675029410333</v>
      </c>
      <c r="M892" s="95">
        <v>1.2043628529150403</v>
      </c>
      <c r="N892" s="95">
        <v>0.4722261727759221</v>
      </c>
      <c r="O892" s="95">
        <v>3037.3147969116517</v>
      </c>
      <c r="P892" s="95">
        <v>6680.9767200941487</v>
      </c>
      <c r="Q892" s="95">
        <v>10000.000000000005</v>
      </c>
      <c r="S892" s="98"/>
      <c r="T892" s="95"/>
      <c r="U892" s="99"/>
      <c r="W892" s="121"/>
      <c r="X892" s="59"/>
      <c r="Y892" s="59"/>
      <c r="Z892" s="59"/>
      <c r="AA892" s="59"/>
      <c r="AB892" s="59"/>
      <c r="AC892" s="59"/>
      <c r="AD892" s="59"/>
      <c r="AE892" s="59"/>
      <c r="AF892" s="68"/>
    </row>
    <row r="893" spans="1:32" x14ac:dyDescent="0.2">
      <c r="A893" s="95">
        <v>856</v>
      </c>
      <c r="B893" s="95">
        <v>71</v>
      </c>
      <c r="C893" s="95">
        <v>4</v>
      </c>
      <c r="D893" s="95"/>
      <c r="E893" s="95">
        <v>60.051665171830074</v>
      </c>
      <c r="F893" s="95">
        <v>128.68213965392133</v>
      </c>
      <c r="G893" s="95">
        <v>81.498688447483516</v>
      </c>
      <c r="H893" s="95">
        <v>2.2401201680155917E-2</v>
      </c>
      <c r="I893" s="95">
        <v>5.268720327504556</v>
      </c>
      <c r="J893" s="95"/>
      <c r="K893" s="95"/>
      <c r="L893" s="95">
        <v>0.28293729548740054</v>
      </c>
      <c r="M893" s="95">
        <v>1.1808188721081889</v>
      </c>
      <c r="N893" s="95">
        <v>0.46306666062201496</v>
      </c>
      <c r="O893" s="95">
        <v>3037.3472150303064</v>
      </c>
      <c r="P893" s="95">
        <v>6685.2023473390618</v>
      </c>
      <c r="Q893" s="95">
        <v>10000.000000000005</v>
      </c>
      <c r="S893" s="98"/>
      <c r="T893" s="95"/>
      <c r="U893" s="99"/>
      <c r="W893" s="121"/>
      <c r="X893" s="59"/>
      <c r="Y893" s="59"/>
      <c r="Z893" s="59"/>
      <c r="AA893" s="59"/>
      <c r="AB893" s="59"/>
      <c r="AC893" s="59"/>
      <c r="AD893" s="59"/>
      <c r="AE893" s="59"/>
      <c r="AF893" s="68"/>
    </row>
    <row r="894" spans="1:32" x14ac:dyDescent="0.2">
      <c r="A894" s="95">
        <v>857</v>
      </c>
      <c r="B894" s="95">
        <v>71</v>
      </c>
      <c r="C894" s="95">
        <v>5</v>
      </c>
      <c r="D894" s="95"/>
      <c r="E894" s="95">
        <v>59.150890194252625</v>
      </c>
      <c r="F894" s="95">
        <v>126.75190755911251</v>
      </c>
      <c r="G894" s="95">
        <v>80.276208120771258</v>
      </c>
      <c r="H894" s="95">
        <v>2.1848638705378738E-2</v>
      </c>
      <c r="I894" s="95">
        <v>5.1666358860950838</v>
      </c>
      <c r="J894" s="95"/>
      <c r="K894" s="95"/>
      <c r="L894" s="95">
        <v>0.27757898605411746</v>
      </c>
      <c r="M894" s="95">
        <v>1.1577373700209843</v>
      </c>
      <c r="N894" s="95">
        <v>0.45408466403734837</v>
      </c>
      <c r="O894" s="95">
        <v>3037.3790046774348</v>
      </c>
      <c r="P894" s="95">
        <v>6689.364103903521</v>
      </c>
      <c r="Q894" s="95">
        <v>10000.000000000005</v>
      </c>
      <c r="S894" s="98"/>
      <c r="T894" s="95"/>
      <c r="U894" s="99"/>
      <c r="W894" s="121"/>
      <c r="X894" s="59"/>
      <c r="Y894" s="59"/>
      <c r="Z894" s="59"/>
      <c r="AA894" s="59"/>
      <c r="AB894" s="59"/>
      <c r="AC894" s="59"/>
      <c r="AD894" s="59"/>
      <c r="AE894" s="59"/>
      <c r="AF894" s="68"/>
    </row>
    <row r="895" spans="1:32" x14ac:dyDescent="0.2">
      <c r="A895" s="95">
        <v>858</v>
      </c>
      <c r="B895" s="95">
        <v>71</v>
      </c>
      <c r="C895" s="95">
        <v>6</v>
      </c>
      <c r="D895" s="95"/>
      <c r="E895" s="95">
        <v>58.263626841338834</v>
      </c>
      <c r="F895" s="95">
        <v>124.85062894572582</v>
      </c>
      <c r="G895" s="95">
        <v>79.072064998959689</v>
      </c>
      <c r="H895" s="95">
        <v>2.130970561731273E-2</v>
      </c>
      <c r="I895" s="95">
        <v>5.0665282428142229</v>
      </c>
      <c r="J895" s="95"/>
      <c r="K895" s="95"/>
      <c r="L895" s="95">
        <v>0.27232002809589656</v>
      </c>
      <c r="M895" s="95">
        <v>1.1351091931747788</v>
      </c>
      <c r="N895" s="95">
        <v>0.44527674933299566</v>
      </c>
      <c r="O895" s="95">
        <v>3037.4101780201386</v>
      </c>
      <c r="P895" s="95">
        <v>6693.4629572748063</v>
      </c>
      <c r="Q895" s="95">
        <v>10000.000000000004</v>
      </c>
      <c r="S895" s="98"/>
      <c r="T895" s="95"/>
      <c r="U895" s="99"/>
      <c r="W895" s="121"/>
      <c r="X895" s="59"/>
      <c r="Y895" s="59"/>
      <c r="Z895" s="59"/>
      <c r="AA895" s="59"/>
      <c r="AB895" s="59"/>
      <c r="AC895" s="59"/>
      <c r="AD895" s="59"/>
      <c r="AE895" s="59"/>
      <c r="AF895" s="68"/>
    </row>
    <row r="896" spans="1:32" x14ac:dyDescent="0.2">
      <c r="A896" s="95">
        <v>859</v>
      </c>
      <c r="B896" s="95">
        <v>71</v>
      </c>
      <c r="C896" s="95">
        <v>7</v>
      </c>
      <c r="D896" s="95"/>
      <c r="E896" s="95">
        <v>57.389672438718755</v>
      </c>
      <c r="F896" s="95">
        <v>122.97786951153994</v>
      </c>
      <c r="G896" s="95">
        <v>77.885984023975297</v>
      </c>
      <c r="H896" s="95">
        <v>2.0784066212085683E-2</v>
      </c>
      <c r="I896" s="95">
        <v>4.9683591465872139</v>
      </c>
      <c r="J896" s="95"/>
      <c r="K896" s="95"/>
      <c r="L896" s="95">
        <v>0.26715865655529636</v>
      </c>
      <c r="M896" s="95">
        <v>1.1129253713691789</v>
      </c>
      <c r="N896" s="95">
        <v>0.4366395489663854</v>
      </c>
      <c r="O896" s="95">
        <v>3037.4407469906982</v>
      </c>
      <c r="P896" s="95">
        <v>6697.4998602453825</v>
      </c>
      <c r="Q896" s="95">
        <v>10000.000000000005</v>
      </c>
      <c r="S896" s="98"/>
      <c r="T896" s="95"/>
      <c r="U896" s="99"/>
      <c r="W896" s="121"/>
      <c r="X896" s="59"/>
      <c r="Y896" s="59"/>
      <c r="Z896" s="59"/>
      <c r="AA896" s="59"/>
      <c r="AB896" s="59"/>
      <c r="AC896" s="59"/>
      <c r="AD896" s="59"/>
      <c r="AE896" s="59"/>
      <c r="AF896" s="68"/>
    </row>
    <row r="897" spans="1:32" x14ac:dyDescent="0.2">
      <c r="A897" s="95">
        <v>860</v>
      </c>
      <c r="B897" s="95">
        <v>71</v>
      </c>
      <c r="C897" s="95">
        <v>8</v>
      </c>
      <c r="D897" s="95"/>
      <c r="E897" s="95">
        <v>56.528827352137974</v>
      </c>
      <c r="F897" s="95">
        <v>121.13320146886684</v>
      </c>
      <c r="G897" s="95">
        <v>76.71769426361567</v>
      </c>
      <c r="H897" s="95">
        <v>2.0271392578854235E-2</v>
      </c>
      <c r="I897" s="95">
        <v>4.8720910857976953</v>
      </c>
      <c r="J897" s="95"/>
      <c r="K897" s="95"/>
      <c r="L897" s="95">
        <v>0.26209313486796137</v>
      </c>
      <c r="M897" s="95">
        <v>1.0911771139486155</v>
      </c>
      <c r="N897" s="95">
        <v>0.42816976027709286</v>
      </c>
      <c r="O897" s="95">
        <v>3037.4707232910728</v>
      </c>
      <c r="P897" s="95">
        <v>6701.4757511368416</v>
      </c>
      <c r="Q897" s="95">
        <v>10000.000000000005</v>
      </c>
      <c r="S897" s="98"/>
      <c r="T897" s="95"/>
      <c r="U897" s="99"/>
      <c r="W897" s="121"/>
      <c r="X897" s="59"/>
      <c r="Y897" s="59"/>
      <c r="Z897" s="59"/>
      <c r="AA897" s="59"/>
      <c r="AB897" s="59"/>
      <c r="AC897" s="59"/>
      <c r="AD897" s="59"/>
      <c r="AE897" s="59"/>
      <c r="AF897" s="68"/>
    </row>
    <row r="898" spans="1:32" x14ac:dyDescent="0.2">
      <c r="A898" s="95">
        <v>861</v>
      </c>
      <c r="B898" s="95">
        <v>71</v>
      </c>
      <c r="C898" s="95">
        <v>9</v>
      </c>
      <c r="D898" s="95"/>
      <c r="E898" s="95">
        <v>55.680894941855904</v>
      </c>
      <c r="F898" s="95">
        <v>119.31620344683384</v>
      </c>
      <c r="G898" s="95">
        <v>75.566928849661437</v>
      </c>
      <c r="H898" s="95">
        <v>1.9771364895242498E-2</v>
      </c>
      <c r="I898" s="95">
        <v>4.7776872740100522</v>
      </c>
      <c r="J898" s="95"/>
      <c r="K898" s="95"/>
      <c r="L898" s="95">
        <v>0.25712175461400405</v>
      </c>
      <c r="M898" s="95">
        <v>1.0698558061468548</v>
      </c>
      <c r="N898" s="95">
        <v>0.41986414424646784</v>
      </c>
      <c r="O898" s="95">
        <v>3037.5001183973181</v>
      </c>
      <c r="P898" s="95">
        <v>6705.3915540204234</v>
      </c>
      <c r="Q898" s="95">
        <v>10000.000000000005</v>
      </c>
      <c r="S898" s="98"/>
      <c r="T898" s="95"/>
      <c r="U898" s="99"/>
      <c r="W898" s="121"/>
      <c r="X898" s="59"/>
      <c r="Y898" s="59"/>
      <c r="Z898" s="59"/>
      <c r="AA898" s="59"/>
      <c r="AB898" s="59"/>
      <c r="AC898" s="59"/>
      <c r="AD898" s="59"/>
      <c r="AE898" s="59"/>
      <c r="AF898" s="68"/>
    </row>
    <row r="899" spans="1:32" x14ac:dyDescent="0.2">
      <c r="A899" s="95">
        <v>862</v>
      </c>
      <c r="B899" s="95">
        <v>71</v>
      </c>
      <c r="C899" s="95">
        <v>10</v>
      </c>
      <c r="D899" s="95"/>
      <c r="E899" s="95">
        <v>54.845681517728067</v>
      </c>
      <c r="F899" s="95">
        <v>117.52646039513134</v>
      </c>
      <c r="G899" s="95">
        <v>74.433424916916522</v>
      </c>
      <c r="H899" s="95">
        <v>1.9283671227826517E-2</v>
      </c>
      <c r="I899" s="95">
        <v>4.6851116359670106</v>
      </c>
      <c r="J899" s="95"/>
      <c r="K899" s="95"/>
      <c r="L899" s="95">
        <v>0.25224283516888441</v>
      </c>
      <c r="M899" s="95">
        <v>1.0489530055077663</v>
      </c>
      <c r="N899" s="95">
        <v>0.41171952428065728</v>
      </c>
      <c r="O899" s="95">
        <v>3037.5289435639197</v>
      </c>
      <c r="P899" s="95">
        <v>6709.2481789341573</v>
      </c>
      <c r="Q899" s="95">
        <v>10000.000000000005</v>
      </c>
      <c r="S899" s="98"/>
      <c r="T899" s="95"/>
      <c r="U899" s="99"/>
      <c r="W899" s="121"/>
      <c r="X899" s="59"/>
      <c r="Y899" s="59"/>
      <c r="Z899" s="59"/>
      <c r="AA899" s="59"/>
      <c r="AB899" s="59"/>
      <c r="AC899" s="59"/>
      <c r="AD899" s="59"/>
      <c r="AE899" s="59"/>
      <c r="AF899" s="68"/>
    </row>
    <row r="900" spans="1:32" x14ac:dyDescent="0.2">
      <c r="A900" s="95">
        <v>863</v>
      </c>
      <c r="B900" s="95">
        <v>71</v>
      </c>
      <c r="C900" s="95">
        <v>11</v>
      </c>
      <c r="D900" s="95"/>
      <c r="E900" s="95">
        <v>54.022996294962148</v>
      </c>
      <c r="F900" s="95">
        <v>115.76356348920437</v>
      </c>
      <c r="G900" s="95">
        <v>73.316923543162773</v>
      </c>
      <c r="H900" s="95">
        <v>1.8808007337540129E-2</v>
      </c>
      <c r="I900" s="95">
        <v>4.5943287938571871</v>
      </c>
      <c r="J900" s="95"/>
      <c r="K900" s="95"/>
      <c r="L900" s="95">
        <v>0.24745472335405466</v>
      </c>
      <c r="M900" s="95">
        <v>1.0284604383807041</v>
      </c>
      <c r="N900" s="95">
        <v>0.40373278501658988</v>
      </c>
      <c r="O900" s="95">
        <v>3037.5572098280436</v>
      </c>
      <c r="P900" s="95">
        <v>6713.0465220966871</v>
      </c>
      <c r="Q900" s="95">
        <v>10000.000000000005</v>
      </c>
      <c r="S900" s="98"/>
      <c r="T900" s="95"/>
      <c r="U900" s="99"/>
      <c r="W900" s="121"/>
      <c r="X900" s="59"/>
      <c r="Y900" s="59"/>
      <c r="Z900" s="59"/>
      <c r="AA900" s="59"/>
      <c r="AB900" s="59"/>
      <c r="AC900" s="59"/>
      <c r="AD900" s="59"/>
      <c r="AE900" s="59"/>
      <c r="AF900" s="68"/>
    </row>
    <row r="901" spans="1:32" x14ac:dyDescent="0.2">
      <c r="A901" s="95">
        <v>864</v>
      </c>
      <c r="B901" s="95">
        <v>72</v>
      </c>
      <c r="C901" s="95">
        <v>0</v>
      </c>
      <c r="D901" s="95"/>
      <c r="E901" s="95">
        <v>53.212651350537719</v>
      </c>
      <c r="F901" s="95">
        <v>114.0271100368663</v>
      </c>
      <c r="G901" s="95">
        <v>72.217169690015325</v>
      </c>
      <c r="H901" s="95">
        <v>1.8344076489880807E-2</v>
      </c>
      <c r="I901" s="95">
        <v>4.5053040538473894</v>
      </c>
      <c r="J901" s="95"/>
      <c r="K901" s="95"/>
      <c r="L901" s="95">
        <v>0.24275579308762421</v>
      </c>
      <c r="M901" s="95">
        <v>1.0083699964888957</v>
      </c>
      <c r="N901" s="95">
        <v>0.39590087115049771</v>
      </c>
      <c r="O901" s="95">
        <v>3037.5849280137063</v>
      </c>
      <c r="P901" s="95">
        <v>6716.7874661178157</v>
      </c>
      <c r="Q901" s="95">
        <v>10000.000000000005</v>
      </c>
      <c r="S901" s="98"/>
      <c r="T901" s="95"/>
      <c r="U901" s="99"/>
      <c r="W901" s="121"/>
      <c r="X901" s="59"/>
      <c r="Y901" s="59"/>
      <c r="Z901" s="59"/>
      <c r="AA901" s="59"/>
      <c r="AB901" s="59"/>
      <c r="AC901" s="59"/>
      <c r="AD901" s="59"/>
      <c r="AE901" s="59"/>
      <c r="AF901" s="68"/>
    </row>
    <row r="902" spans="1:32" x14ac:dyDescent="0.2">
      <c r="A902" s="95">
        <v>865</v>
      </c>
      <c r="B902" s="95">
        <v>72</v>
      </c>
      <c r="C902" s="95">
        <v>1</v>
      </c>
      <c r="D902" s="95"/>
      <c r="E902" s="95">
        <v>52.414461580279657</v>
      </c>
      <c r="F902" s="95">
        <v>112.31670338631331</v>
      </c>
      <c r="G902" s="95">
        <v>71.133912144665089</v>
      </c>
      <c r="H902" s="95">
        <v>1.789158926979708E-2</v>
      </c>
      <c r="I902" s="95">
        <v>4.4180033928745885</v>
      </c>
      <c r="J902" s="95"/>
      <c r="K902" s="95"/>
      <c r="L902" s="95">
        <v>0.23814444503528531</v>
      </c>
      <c r="M902" s="95">
        <v>0.98867373356926525</v>
      </c>
      <c r="N902" s="95">
        <v>0.38822078628855727</v>
      </c>
      <c r="O902" s="95">
        <v>3037.612108735867</v>
      </c>
      <c r="P902" s="95">
        <v>6720.4718802058433</v>
      </c>
      <c r="Q902" s="95">
        <v>10000.000000000005</v>
      </c>
      <c r="S902" s="98"/>
      <c r="T902" s="95"/>
      <c r="U902" s="99"/>
      <c r="W902" s="121"/>
      <c r="X902" s="59"/>
      <c r="Y902" s="59"/>
      <c r="Z902" s="59"/>
      <c r="AA902" s="59"/>
      <c r="AB902" s="59"/>
      <c r="AC902" s="59"/>
      <c r="AD902" s="59"/>
      <c r="AE902" s="59"/>
      <c r="AF902" s="68"/>
    </row>
    <row r="903" spans="1:32" x14ac:dyDescent="0.2">
      <c r="A903" s="95">
        <v>866</v>
      </c>
      <c r="B903" s="95">
        <v>72</v>
      </c>
      <c r="C903" s="95">
        <v>2</v>
      </c>
      <c r="D903" s="95"/>
      <c r="E903" s="95">
        <v>51.628244656575461</v>
      </c>
      <c r="F903" s="95">
        <v>110.6319528355186</v>
      </c>
      <c r="G903" s="95">
        <v>70.066903462495119</v>
      </c>
      <c r="H903" s="95">
        <v>1.7450263401142085E-2</v>
      </c>
      <c r="I903" s="95">
        <v>4.3323934456925484</v>
      </c>
      <c r="J903" s="95"/>
      <c r="K903" s="95"/>
      <c r="L903" s="95">
        <v>0.23361910626172647</v>
      </c>
      <c r="M903" s="95">
        <v>0.96936386208215752</v>
      </c>
      <c r="N903" s="95">
        <v>0.38068959181924056</v>
      </c>
      <c r="O903" s="95">
        <v>3037.6387624044419</v>
      </c>
      <c r="P903" s="95">
        <v>6724.1006203717179</v>
      </c>
      <c r="Q903" s="95">
        <v>10000.000000000005</v>
      </c>
      <c r="S903" s="98"/>
      <c r="T903" s="95"/>
      <c r="U903" s="99"/>
      <c r="W903" s="121"/>
      <c r="X903" s="59"/>
      <c r="Y903" s="59"/>
      <c r="Z903" s="59"/>
      <c r="AA903" s="59"/>
      <c r="AB903" s="59"/>
      <c r="AC903" s="59"/>
      <c r="AD903" s="59"/>
      <c r="AE903" s="59"/>
      <c r="AF903" s="68"/>
    </row>
    <row r="904" spans="1:32" x14ac:dyDescent="0.2">
      <c r="A904" s="95">
        <v>867</v>
      </c>
      <c r="B904" s="95">
        <v>72</v>
      </c>
      <c r="C904" s="95">
        <v>3</v>
      </c>
      <c r="D904" s="95"/>
      <c r="E904" s="95">
        <v>50.853820986726831</v>
      </c>
      <c r="F904" s="95">
        <v>108.97247354298582</v>
      </c>
      <c r="G904" s="95">
        <v>69.015899910557692</v>
      </c>
      <c r="H904" s="95">
        <v>1.7019823570580579E-2</v>
      </c>
      <c r="I904" s="95">
        <v>4.2484414921682294</v>
      </c>
      <c r="J904" s="95"/>
      <c r="K904" s="95"/>
      <c r="L904" s="95">
        <v>0.22917822988274839</v>
      </c>
      <c r="M904" s="95">
        <v>0.95043274998945981</v>
      </c>
      <c r="N904" s="95">
        <v>0.37330440580697394</v>
      </c>
      <c r="O904" s="95">
        <v>3037.6648992282417</v>
      </c>
      <c r="P904" s="95">
        <v>6727.6745296300751</v>
      </c>
      <c r="Q904" s="95">
        <v>10000.000000000005</v>
      </c>
      <c r="S904" s="98"/>
      <c r="T904" s="95"/>
      <c r="U904" s="99"/>
      <c r="W904" s="121"/>
      <c r="X904" s="59"/>
      <c r="Y904" s="59"/>
      <c r="Z904" s="59"/>
      <c r="AA904" s="59"/>
      <c r="AB904" s="59"/>
      <c r="AC904" s="59"/>
      <c r="AD904" s="59"/>
      <c r="AE904" s="59"/>
      <c r="AF904" s="68"/>
    </row>
    <row r="905" spans="1:32" x14ac:dyDescent="0.2">
      <c r="A905" s="95">
        <v>868</v>
      </c>
      <c r="B905" s="95">
        <v>72</v>
      </c>
      <c r="C905" s="95">
        <v>4</v>
      </c>
      <c r="D905" s="95"/>
      <c r="E905" s="95">
        <v>50.091013671925928</v>
      </c>
      <c r="F905" s="95">
        <v>107.33788643984104</v>
      </c>
      <c r="G905" s="95">
        <v>67.980661411899334</v>
      </c>
      <c r="H905" s="95">
        <v>1.6600001255839592E-2</v>
      </c>
      <c r="I905" s="95">
        <v>4.166115444823145</v>
      </c>
      <c r="J905" s="95"/>
      <c r="K905" s="95"/>
      <c r="L905" s="95">
        <v>0.22482029471828491</v>
      </c>
      <c r="M905" s="95">
        <v>0.9318729175996544</v>
      </c>
      <c r="N905" s="95">
        <v>0.36606240190670997</v>
      </c>
      <c r="O905" s="95">
        <v>3037.6905292188349</v>
      </c>
      <c r="P905" s="95">
        <v>6731.1944381972007</v>
      </c>
      <c r="Q905" s="95">
        <v>10000.000000000005</v>
      </c>
      <c r="S905" s="98"/>
      <c r="T905" s="95"/>
      <c r="U905" s="99"/>
      <c r="W905" s="121"/>
      <c r="X905" s="59"/>
      <c r="Y905" s="59"/>
      <c r="Z905" s="59"/>
      <c r="AA905" s="59"/>
      <c r="AB905" s="59"/>
      <c r="AC905" s="59"/>
      <c r="AD905" s="59"/>
      <c r="AE905" s="59"/>
      <c r="AF905" s="68"/>
    </row>
    <row r="906" spans="1:32" x14ac:dyDescent="0.2">
      <c r="A906" s="95">
        <v>869</v>
      </c>
      <c r="B906" s="95">
        <v>72</v>
      </c>
      <c r="C906" s="95">
        <v>5</v>
      </c>
      <c r="D906" s="95"/>
      <c r="E906" s="95">
        <v>49.339648466847038</v>
      </c>
      <c r="F906" s="95">
        <v>105.72781814324343</v>
      </c>
      <c r="G906" s="95">
        <v>66.960951490720845</v>
      </c>
      <c r="H906" s="95">
        <v>1.6190534558195548E-2</v>
      </c>
      <c r="I906" s="95">
        <v>4.0853838366149686</v>
      </c>
      <c r="J906" s="95"/>
      <c r="K906" s="95"/>
      <c r="L906" s="95">
        <v>0.2205438049465194</v>
      </c>
      <c r="M906" s="95">
        <v>0.91367703447836701</v>
      </c>
      <c r="N906" s="95">
        <v>0.35896080829902421</v>
      </c>
      <c r="O906" s="95">
        <v>3037.7156621943368</v>
      </c>
      <c r="P906" s="95">
        <v>6734.6611636859607</v>
      </c>
      <c r="Q906" s="95">
        <v>10000.000000000005</v>
      </c>
      <c r="S906" s="98"/>
      <c r="T906" s="95"/>
      <c r="U906" s="99"/>
      <c r="W906" s="121"/>
      <c r="X906" s="59"/>
      <c r="Y906" s="59"/>
      <c r="Z906" s="59"/>
      <c r="AA906" s="59"/>
      <c r="AB906" s="59"/>
      <c r="AC906" s="59"/>
      <c r="AD906" s="59"/>
      <c r="AE906" s="59"/>
      <c r="AF906" s="68"/>
    </row>
    <row r="907" spans="1:32" x14ac:dyDescent="0.2">
      <c r="A907" s="95">
        <v>870</v>
      </c>
      <c r="B907" s="95">
        <v>72</v>
      </c>
      <c r="C907" s="95">
        <v>6</v>
      </c>
      <c r="D907" s="95"/>
      <c r="E907" s="95">
        <v>48.599553739844332</v>
      </c>
      <c r="F907" s="95">
        <v>104.14190087109478</v>
      </c>
      <c r="G907" s="95">
        <v>65.956537218360026</v>
      </c>
      <c r="H907" s="95">
        <v>1.5791168039093393E-2</v>
      </c>
      <c r="I907" s="95">
        <v>4.0062158089547575</v>
      </c>
      <c r="J907" s="95"/>
      <c r="K907" s="95"/>
      <c r="L907" s="95">
        <v>0.21634728975927664</v>
      </c>
      <c r="M907" s="95">
        <v>0.89583791642300714</v>
      </c>
      <c r="N907" s="95">
        <v>0.35199690664535704</v>
      </c>
      <c r="O907" s="95">
        <v>3037.7403077831291</v>
      </c>
      <c r="P907" s="95">
        <v>6738.0755112977567</v>
      </c>
      <c r="Q907" s="95">
        <v>10000.000000000007</v>
      </c>
      <c r="S907" s="98"/>
      <c r="T907" s="95"/>
      <c r="U907" s="99"/>
      <c r="W907" s="121"/>
      <c r="X907" s="59"/>
      <c r="Y907" s="59"/>
      <c r="Z907" s="59"/>
      <c r="AA907" s="59"/>
      <c r="AB907" s="59"/>
      <c r="AC907" s="59"/>
      <c r="AD907" s="59"/>
      <c r="AE907" s="59"/>
      <c r="AF907" s="68"/>
    </row>
    <row r="908" spans="1:32" x14ac:dyDescent="0.2">
      <c r="A908" s="95">
        <v>871</v>
      </c>
      <c r="B908" s="95">
        <v>72</v>
      </c>
      <c r="C908" s="95">
        <v>7</v>
      </c>
      <c r="D908" s="95"/>
      <c r="E908" s="95">
        <v>47.870560433746668</v>
      </c>
      <c r="F908" s="95">
        <v>102.57977235802835</v>
      </c>
      <c r="G908" s="95">
        <v>64.967189160084629</v>
      </c>
      <c r="H908" s="95">
        <v>1.5401652560795755E-2</v>
      </c>
      <c r="I908" s="95">
        <v>3.9285810999552639</v>
      </c>
      <c r="J908" s="95"/>
      <c r="K908" s="95"/>
      <c r="L908" s="95">
        <v>0.21222930301885884</v>
      </c>
      <c r="M908" s="95">
        <v>0.87834852250013029</v>
      </c>
      <c r="N908" s="95">
        <v>0.34516803106302624</v>
      </c>
      <c r="O908" s="95">
        <v>3037.7644754275052</v>
      </c>
      <c r="P908" s="95">
        <v>6741.4382740115443</v>
      </c>
      <c r="Q908" s="95">
        <v>10000.000000000007</v>
      </c>
      <c r="S908" s="98"/>
      <c r="T908" s="95"/>
      <c r="U908" s="99"/>
      <c r="W908" s="121"/>
      <c r="X908" s="59"/>
      <c r="Y908" s="59"/>
      <c r="Z908" s="59"/>
      <c r="AA908" s="59"/>
      <c r="AB908" s="59"/>
      <c r="AC908" s="59"/>
      <c r="AD908" s="59"/>
      <c r="AE908" s="59"/>
      <c r="AF908" s="68"/>
    </row>
    <row r="909" spans="1:32" x14ac:dyDescent="0.2">
      <c r="A909" s="95">
        <v>872</v>
      </c>
      <c r="B909" s="95">
        <v>72</v>
      </c>
      <c r="C909" s="95">
        <v>8</v>
      </c>
      <c r="D909" s="95"/>
      <c r="E909" s="95">
        <v>47.152502027240466</v>
      </c>
      <c r="F909" s="95">
        <v>101.04107577265792</v>
      </c>
      <c r="G909" s="95">
        <v>63.99268132268336</v>
      </c>
      <c r="H909" s="95">
        <v>1.5021745130962794E-2</v>
      </c>
      <c r="I909" s="95">
        <v>3.8524500329058871</v>
      </c>
      <c r="J909" s="95"/>
      <c r="K909" s="95"/>
      <c r="L909" s="95">
        <v>0.20818842291648487</v>
      </c>
      <c r="M909" s="95">
        <v>0.86120195214417916</v>
      </c>
      <c r="N909" s="95">
        <v>0.33847156711964355</v>
      </c>
      <c r="O909" s="95">
        <v>3037.7881743872495</v>
      </c>
      <c r="P909" s="95">
        <v>6744.7502327699594</v>
      </c>
      <c r="Q909" s="95">
        <v>10000.000000000007</v>
      </c>
      <c r="S909" s="98"/>
      <c r="T909" s="95"/>
      <c r="U909" s="99"/>
      <c r="W909" s="121"/>
      <c r="X909" s="59"/>
      <c r="Y909" s="59"/>
      <c r="Z909" s="59"/>
      <c r="AA909" s="59"/>
      <c r="AB909" s="59"/>
      <c r="AC909" s="59"/>
      <c r="AD909" s="59"/>
      <c r="AE909" s="59"/>
      <c r="AF909" s="68"/>
    </row>
    <row r="910" spans="1:32" x14ac:dyDescent="0.2">
      <c r="A910" s="95">
        <v>873</v>
      </c>
      <c r="B910" s="95">
        <v>72</v>
      </c>
      <c r="C910" s="95">
        <v>9</v>
      </c>
      <c r="D910" s="95"/>
      <c r="E910" s="95">
        <v>46.445214496831859</v>
      </c>
      <c r="F910" s="95">
        <v>99.525459636068049</v>
      </c>
      <c r="G910" s="95">
        <v>63.032791102843113</v>
      </c>
      <c r="H910" s="95">
        <v>1.4651208751065712E-2</v>
      </c>
      <c r="I910" s="95">
        <v>3.777793504969897</v>
      </c>
      <c r="J910" s="95"/>
      <c r="K910" s="95"/>
      <c r="L910" s="95">
        <v>0.2042232516324814</v>
      </c>
      <c r="M910" s="95">
        <v>0.84439144231629404</v>
      </c>
      <c r="N910" s="95">
        <v>0.33190495084657556</v>
      </c>
      <c r="O910" s="95">
        <v>3037.8114137431471</v>
      </c>
      <c r="P910" s="95">
        <v>6748.0121566626012</v>
      </c>
      <c r="Q910" s="95">
        <v>10000.000000000007</v>
      </c>
      <c r="S910" s="98"/>
      <c r="T910" s="95"/>
      <c r="U910" s="99"/>
      <c r="W910" s="121"/>
      <c r="X910" s="59"/>
      <c r="Y910" s="59"/>
      <c r="Z910" s="59"/>
      <c r="AA910" s="59"/>
      <c r="AB910" s="59"/>
      <c r="AC910" s="59"/>
      <c r="AD910" s="59"/>
      <c r="AE910" s="59"/>
      <c r="AF910" s="68"/>
    </row>
    <row r="911" spans="1:32" x14ac:dyDescent="0.2">
      <c r="A911" s="95">
        <v>874</v>
      </c>
      <c r="B911" s="95">
        <v>72</v>
      </c>
      <c r="C911" s="95">
        <v>10</v>
      </c>
      <c r="D911" s="95"/>
      <c r="E911" s="95">
        <v>45.74853627937938</v>
      </c>
      <c r="F911" s="95">
        <v>98.032577741527035</v>
      </c>
      <c r="G911" s="95">
        <v>62.087299236300467</v>
      </c>
      <c r="H911" s="95">
        <v>1.4289812268539424E-2</v>
      </c>
      <c r="I911" s="95">
        <v>3.7045829760996583</v>
      </c>
      <c r="J911" s="95"/>
      <c r="K911" s="95"/>
      <c r="L911" s="95">
        <v>0.20033241499836602</v>
      </c>
      <c r="M911" s="95">
        <v>0.82791036472190882</v>
      </c>
      <c r="N911" s="95">
        <v>0.3254656677710942</v>
      </c>
      <c r="O911" s="95">
        <v>3037.834202400426</v>
      </c>
      <c r="P911" s="95">
        <v>6751.2248031065146</v>
      </c>
      <c r="Q911" s="95">
        <v>10000.000000000007</v>
      </c>
      <c r="S911" s="98"/>
      <c r="T911" s="95"/>
      <c r="U911" s="99"/>
      <c r="W911" s="121"/>
      <c r="X911" s="59"/>
      <c r="Y911" s="59"/>
      <c r="Z911" s="59"/>
      <c r="AA911" s="59"/>
      <c r="AB911" s="59"/>
      <c r="AC911" s="59"/>
      <c r="AD911" s="59"/>
      <c r="AE911" s="59"/>
      <c r="AF911" s="68"/>
    </row>
    <row r="912" spans="1:32" x14ac:dyDescent="0.2">
      <c r="A912" s="95">
        <v>875</v>
      </c>
      <c r="B912" s="95">
        <v>72</v>
      </c>
      <c r="C912" s="95">
        <v>11</v>
      </c>
      <c r="D912" s="95"/>
      <c r="E912" s="95">
        <v>45.062308235188688</v>
      </c>
      <c r="F912" s="95">
        <v>96.562089075404131</v>
      </c>
      <c r="G912" s="95">
        <v>61.15598974775596</v>
      </c>
      <c r="H912" s="95">
        <v>1.3937330232582118E-2</v>
      </c>
      <c r="I912" s="95">
        <v>3.6327904581656525</v>
      </c>
      <c r="J912" s="95"/>
      <c r="K912" s="95"/>
      <c r="L912" s="95">
        <v>0.19651456216095289</v>
      </c>
      <c r="M912" s="95">
        <v>0.81175222308588046</v>
      </c>
      <c r="N912" s="95">
        <v>0.31915125196687083</v>
      </c>
      <c r="O912" s="95">
        <v>3037.8565490921355</v>
      </c>
      <c r="P912" s="95">
        <v>6754.3889180239112</v>
      </c>
      <c r="Q912" s="95">
        <v>10000.000000000007</v>
      </c>
      <c r="S912" s="98"/>
      <c r="T912" s="95"/>
      <c r="U912" s="99"/>
      <c r="W912" s="121"/>
      <c r="X912" s="59"/>
      <c r="Y912" s="59"/>
      <c r="Z912" s="59"/>
      <c r="AA912" s="59"/>
      <c r="AB912" s="59"/>
      <c r="AC912" s="59"/>
      <c r="AD912" s="59"/>
      <c r="AE912" s="59"/>
      <c r="AF912" s="68"/>
    </row>
    <row r="913" spans="1:32" x14ac:dyDescent="0.2">
      <c r="A913" s="95">
        <v>876</v>
      </c>
      <c r="B913" s="95">
        <v>73</v>
      </c>
      <c r="C913" s="95">
        <v>0</v>
      </c>
      <c r="D913" s="95"/>
      <c r="E913" s="95">
        <v>44.386373611660858</v>
      </c>
      <c r="F913" s="95">
        <v>95.113657739273066</v>
      </c>
      <c r="G913" s="95">
        <v>60.238649901539624</v>
      </c>
      <c r="H913" s="95">
        <v>1.3593542753511758E-2</v>
      </c>
      <c r="I913" s="95">
        <v>3.5623885042951842</v>
      </c>
      <c r="J913" s="95"/>
      <c r="K913" s="95"/>
      <c r="L913" s="95">
        <v>0.19276836524860333</v>
      </c>
      <c r="M913" s="95">
        <v>0.79591065048392451</v>
      </c>
      <c r="N913" s="95">
        <v>0.31295928512247195</v>
      </c>
      <c r="O913" s="95">
        <v>3037.8784623824595</v>
      </c>
      <c r="P913" s="95">
        <v>6757.5052360171712</v>
      </c>
      <c r="Q913" s="95">
        <v>10000.000000000007</v>
      </c>
      <c r="S913" s="98"/>
      <c r="T913" s="95"/>
      <c r="U913" s="99"/>
      <c r="W913" s="121"/>
      <c r="X913" s="59"/>
      <c r="Y913" s="59"/>
      <c r="Z913" s="59"/>
      <c r="AA913" s="59"/>
      <c r="AB913" s="59"/>
      <c r="AC913" s="59"/>
      <c r="AD913" s="59"/>
      <c r="AE913" s="59"/>
      <c r="AF913" s="68"/>
    </row>
    <row r="914" spans="1:32" x14ac:dyDescent="0.2">
      <c r="A914" s="95">
        <v>877</v>
      </c>
      <c r="B914" s="95">
        <v>73</v>
      </c>
      <c r="C914" s="95">
        <v>1</v>
      </c>
      <c r="D914" s="95"/>
      <c r="E914" s="95">
        <v>43.720578007485948</v>
      </c>
      <c r="F914" s="95">
        <v>93.686952873183969</v>
      </c>
      <c r="G914" s="95">
        <v>59.335070153016531</v>
      </c>
      <c r="H914" s="95">
        <v>1.3258235365591802E-2</v>
      </c>
      <c r="I914" s="95">
        <v>3.4933501984167368</v>
      </c>
      <c r="J914" s="95"/>
      <c r="K914" s="95"/>
      <c r="L914" s="95">
        <v>0.18909251903973542</v>
      </c>
      <c r="M914" s="95">
        <v>0.78037940672915906</v>
      </c>
      <c r="N914" s="95">
        <v>0.30688739562752226</v>
      </c>
      <c r="O914" s="95">
        <v>3037.8999506699661</v>
      </c>
      <c r="P914" s="95">
        <v>6760.5744805411769</v>
      </c>
      <c r="Q914" s="95">
        <v>10000.000000000007</v>
      </c>
      <c r="S914" s="98"/>
      <c r="T914" s="95"/>
      <c r="U914" s="99"/>
      <c r="W914" s="121"/>
      <c r="X914" s="59"/>
      <c r="Y914" s="59"/>
      <c r="Z914" s="59"/>
      <c r="AA914" s="59"/>
      <c r="AB914" s="59"/>
      <c r="AC914" s="59"/>
      <c r="AD914" s="59"/>
      <c r="AE914" s="59"/>
      <c r="AF914" s="68"/>
    </row>
    <row r="915" spans="1:32" x14ac:dyDescent="0.2">
      <c r="A915" s="95">
        <v>878</v>
      </c>
      <c r="B915" s="95">
        <v>73</v>
      </c>
      <c r="C915" s="95">
        <v>2</v>
      </c>
      <c r="D915" s="95"/>
      <c r="E915" s="95">
        <v>43.064769337373662</v>
      </c>
      <c r="F915" s="95">
        <v>92.281648580086213</v>
      </c>
      <c r="G915" s="95">
        <v>58.445044100721283</v>
      </c>
      <c r="H915" s="95">
        <v>1.2931198893240537E-2</v>
      </c>
      <c r="I915" s="95">
        <v>3.4256491450060125</v>
      </c>
      <c r="J915" s="95"/>
      <c r="K915" s="95"/>
      <c r="L915" s="95">
        <v>0.18548574063369913</v>
      </c>
      <c r="M915" s="95">
        <v>0.76515237581258444</v>
      </c>
      <c r="N915" s="95">
        <v>0.30093325767620671</v>
      </c>
      <c r="O915" s="95">
        <v>3037.9210221907956</v>
      </c>
      <c r="P915" s="95">
        <v>6763.5973640730099</v>
      </c>
      <c r="Q915" s="95">
        <v>10000.000000000009</v>
      </c>
      <c r="S915" s="98"/>
      <c r="T915" s="95"/>
      <c r="U915" s="99"/>
      <c r="W915" s="121"/>
      <c r="X915" s="59"/>
      <c r="Y915" s="59"/>
      <c r="Z915" s="59"/>
      <c r="AA915" s="59"/>
      <c r="AB915" s="59"/>
      <c r="AC915" s="59"/>
      <c r="AD915" s="59"/>
      <c r="AE915" s="59"/>
      <c r="AF915" s="68"/>
    </row>
    <row r="916" spans="1:32" x14ac:dyDescent="0.2">
      <c r="A916" s="95">
        <v>879</v>
      </c>
      <c r="B916" s="95">
        <v>73</v>
      </c>
      <c r="C916" s="95">
        <v>3</v>
      </c>
      <c r="D916" s="95"/>
      <c r="E916" s="95">
        <v>42.418797797313054</v>
      </c>
      <c r="F916" s="95">
        <v>90.897423851384914</v>
      </c>
      <c r="G916" s="95">
        <v>57.568368439210467</v>
      </c>
      <c r="H916" s="95">
        <v>1.2612229320540604E-2</v>
      </c>
      <c r="I916" s="95">
        <v>3.3592594590297802</v>
      </c>
      <c r="J916" s="95"/>
      <c r="K916" s="95"/>
      <c r="L916" s="95">
        <v>0.18194676912411567</v>
      </c>
      <c r="M916" s="95">
        <v>0.75022356339635232</v>
      </c>
      <c r="N916" s="95">
        <v>0.2950945903877879</v>
      </c>
      <c r="O916" s="95">
        <v>3037.9416850217885</v>
      </c>
      <c r="P916" s="95">
        <v>6766.5745882790534</v>
      </c>
      <c r="Q916" s="95">
        <v>10000.000000000009</v>
      </c>
      <c r="S916" s="98"/>
      <c r="T916" s="95"/>
      <c r="U916" s="99"/>
      <c r="W916" s="121"/>
      <c r="X916" s="59"/>
      <c r="Y916" s="59"/>
      <c r="Z916" s="59"/>
      <c r="AA916" s="59"/>
      <c r="AB916" s="59"/>
      <c r="AC916" s="59"/>
      <c r="AD916" s="59"/>
      <c r="AE916" s="59"/>
      <c r="AF916" s="68"/>
    </row>
    <row r="917" spans="1:32" x14ac:dyDescent="0.2">
      <c r="A917" s="95">
        <v>880</v>
      </c>
      <c r="B917" s="95">
        <v>73</v>
      </c>
      <c r="C917" s="95">
        <v>4</v>
      </c>
      <c r="D917" s="95"/>
      <c r="E917" s="95">
        <v>41.782515830353361</v>
      </c>
      <c r="F917" s="95">
        <v>89.53396249361414</v>
      </c>
      <c r="G917" s="95">
        <v>56.704842912622311</v>
      </c>
      <c r="H917" s="95">
        <v>1.2301127663967269E-2</v>
      </c>
      <c r="I917" s="95">
        <v>3.2941557560837174</v>
      </c>
      <c r="J917" s="95"/>
      <c r="K917" s="95"/>
      <c r="L917" s="95">
        <v>0.17847436527477331</v>
      </c>
      <c r="M917" s="95">
        <v>0.7355870943587034</v>
      </c>
      <c r="N917" s="95">
        <v>0.28936915694382304</v>
      </c>
      <c r="O917" s="95">
        <v>3037.9619470835532</v>
      </c>
      <c r="P917" s="95">
        <v>6769.5068441795402</v>
      </c>
      <c r="Q917" s="95">
        <v>10000.000000000009</v>
      </c>
      <c r="S917" s="98"/>
      <c r="T917" s="95"/>
      <c r="U917" s="99"/>
      <c r="W917" s="121"/>
      <c r="X917" s="59"/>
      <c r="Y917" s="59"/>
      <c r="Z917" s="59"/>
      <c r="AA917" s="59"/>
      <c r="AB917" s="59"/>
      <c r="AC917" s="59"/>
      <c r="AD917" s="59"/>
      <c r="AE917" s="59"/>
      <c r="AF917" s="68"/>
    </row>
    <row r="918" spans="1:32" x14ac:dyDescent="0.2">
      <c r="A918" s="95">
        <v>881</v>
      </c>
      <c r="B918" s="95">
        <v>73</v>
      </c>
      <c r="C918" s="95">
        <v>5</v>
      </c>
      <c r="D918" s="95"/>
      <c r="E918" s="95">
        <v>41.155778092898061</v>
      </c>
      <c r="F918" s="95">
        <v>88.190953056209935</v>
      </c>
      <c r="G918" s="95">
        <v>55.854270268932979</v>
      </c>
      <c r="H918" s="95">
        <v>1.1997699848256075E-2</v>
      </c>
      <c r="I918" s="95">
        <v>3.2303131427205103</v>
      </c>
      <c r="J918" s="95"/>
      <c r="K918" s="95"/>
      <c r="L918" s="95">
        <v>0.17506731119816446</v>
      </c>
      <c r="M918" s="95">
        <v>0.72123721038947719</v>
      </c>
      <c r="N918" s="95">
        <v>0.28375476374176867</v>
      </c>
      <c r="O918" s="95">
        <v>3037.981816143475</v>
      </c>
      <c r="P918" s="95">
        <v>6772.3948123105938</v>
      </c>
      <c r="Q918" s="95">
        <v>10000.000000000007</v>
      </c>
      <c r="S918" s="98"/>
      <c r="T918" s="95"/>
      <c r="U918" s="99"/>
      <c r="W918" s="121"/>
      <c r="X918" s="59"/>
      <c r="Y918" s="59"/>
      <c r="Z918" s="59"/>
      <c r="AA918" s="59"/>
      <c r="AB918" s="59"/>
      <c r="AC918" s="59"/>
      <c r="AD918" s="59"/>
      <c r="AE918" s="59"/>
      <c r="AF918" s="68"/>
    </row>
    <row r="919" spans="1:32" x14ac:dyDescent="0.2">
      <c r="A919" s="95">
        <v>882</v>
      </c>
      <c r="B919" s="95">
        <v>73</v>
      </c>
      <c r="C919" s="95">
        <v>6</v>
      </c>
      <c r="D919" s="95"/>
      <c r="E919" s="95">
        <v>40.538441421504587</v>
      </c>
      <c r="F919" s="95">
        <v>86.868088760366788</v>
      </c>
      <c r="G919" s="95">
        <v>55.016456214898987</v>
      </c>
      <c r="H919" s="95">
        <v>1.1701756585332426E-2</v>
      </c>
      <c r="I919" s="95">
        <v>3.1677072069645535</v>
      </c>
      <c r="J919" s="95"/>
      <c r="K919" s="95"/>
      <c r="L919" s="95">
        <v>0.17172441003674266</v>
      </c>
      <c r="M919" s="95">
        <v>0.70716826763512208</v>
      </c>
      <c r="N919" s="95">
        <v>0.27824925956466812</v>
      </c>
      <c r="O919" s="95">
        <v>3038.0012998186685</v>
      </c>
      <c r="P919" s="95">
        <v>6775.2391628837822</v>
      </c>
      <c r="Q919" s="95">
        <v>10000.000000000007</v>
      </c>
      <c r="S919" s="98"/>
      <c r="T919" s="95"/>
      <c r="U919" s="99"/>
      <c r="W919" s="121"/>
      <c r="X919" s="59"/>
      <c r="Y919" s="59"/>
      <c r="Z919" s="59"/>
      <c r="AA919" s="59"/>
      <c r="AB919" s="59"/>
      <c r="AC919" s="59"/>
      <c r="AD919" s="59"/>
      <c r="AE919" s="59"/>
      <c r="AF919" s="68"/>
    </row>
    <row r="920" spans="1:32" x14ac:dyDescent="0.2">
      <c r="A920" s="95">
        <v>883</v>
      </c>
      <c r="B920" s="95">
        <v>73</v>
      </c>
      <c r="C920" s="95">
        <v>7</v>
      </c>
      <c r="D920" s="95"/>
      <c r="E920" s="95">
        <v>39.930364800182019</v>
      </c>
      <c r="F920" s="95">
        <v>85.565067428961285</v>
      </c>
      <c r="G920" s="95">
        <v>54.191209371675505</v>
      </c>
      <c r="H920" s="95">
        <v>1.1413113256227559E-2</v>
      </c>
      <c r="I920" s="95">
        <v>3.1063140090096502</v>
      </c>
      <c r="J920" s="95"/>
      <c r="K920" s="95"/>
      <c r="L920" s="95">
        <v>0.16844448564697215</v>
      </c>
      <c r="M920" s="95">
        <v>0.69337473439215713</v>
      </c>
      <c r="N920" s="95">
        <v>0.27285053476662119</v>
      </c>
      <c r="O920" s="95">
        <v>3038.0204055788713</v>
      </c>
      <c r="P920" s="95">
        <v>6778.0405559432456</v>
      </c>
      <c r="Q920" s="95">
        <v>10000.000000000007</v>
      </c>
      <c r="S920" s="98"/>
      <c r="T920" s="95"/>
      <c r="U920" s="99"/>
      <c r="W920" s="121"/>
      <c r="X920" s="59"/>
      <c r="Y920" s="59"/>
      <c r="Z920" s="59"/>
      <c r="AA920" s="59"/>
      <c r="AB920" s="59"/>
      <c r="AC920" s="59"/>
      <c r="AD920" s="59"/>
      <c r="AE920" s="59"/>
      <c r="AF920" s="68"/>
    </row>
    <row r="921" spans="1:32" x14ac:dyDescent="0.2">
      <c r="A921" s="95">
        <v>884</v>
      </c>
      <c r="B921" s="95">
        <v>73</v>
      </c>
      <c r="C921" s="95">
        <v>8</v>
      </c>
      <c r="D921" s="95"/>
      <c r="E921" s="95">
        <v>39.331409328179291</v>
      </c>
      <c r="F921" s="95">
        <v>84.281591417526869</v>
      </c>
      <c r="G921" s="95">
        <v>53.378341231100372</v>
      </c>
      <c r="H921" s="95">
        <v>1.113158979590728E-2</v>
      </c>
      <c r="I921" s="95">
        <v>3.0461100720961896</v>
      </c>
      <c r="J921" s="95"/>
      <c r="K921" s="95"/>
      <c r="L921" s="95">
        <v>0.16522638228623654</v>
      </c>
      <c r="M921" s="95">
        <v>0.67985118884805951</v>
      </c>
      <c r="N921" s="95">
        <v>0.26755652047374257</v>
      </c>
      <c r="O921" s="95">
        <v>3038.0391407492866</v>
      </c>
      <c r="P921" s="95">
        <v>6780.7996415204134</v>
      </c>
      <c r="Q921" s="95">
        <v>10000.000000000007</v>
      </c>
      <c r="S921" s="98"/>
      <c r="T921" s="95"/>
      <c r="U921" s="99"/>
      <c r="W921" s="121"/>
      <c r="X921" s="59"/>
      <c r="Y921" s="59"/>
      <c r="Z921" s="59"/>
      <c r="AA921" s="59"/>
      <c r="AB921" s="59"/>
      <c r="AC921" s="59"/>
      <c r="AD921" s="59"/>
      <c r="AE921" s="59"/>
      <c r="AF921" s="68"/>
    </row>
    <row r="922" spans="1:32" x14ac:dyDescent="0.2">
      <c r="A922" s="95">
        <v>885</v>
      </c>
      <c r="B922" s="95">
        <v>73</v>
      </c>
      <c r="C922" s="95">
        <v>9</v>
      </c>
      <c r="D922" s="95"/>
      <c r="E922" s="95">
        <v>38.741438188256602</v>
      </c>
      <c r="F922" s="95">
        <v>83.017367546263969</v>
      </c>
      <c r="G922" s="95">
        <v>52.577666112633864</v>
      </c>
      <c r="H922" s="95">
        <v>1.0857010580941568E-2</v>
      </c>
      <c r="I922" s="95">
        <v>2.9870723735643492</v>
      </c>
      <c r="J922" s="95"/>
      <c r="K922" s="95"/>
      <c r="L922" s="95">
        <v>0.16206896430266751</v>
      </c>
      <c r="M922" s="95">
        <v>0.6665923168685759</v>
      </c>
      <c r="N922" s="95">
        <v>0.26236518780031898</v>
      </c>
      <c r="O922" s="95">
        <v>3038.0575125133673</v>
      </c>
      <c r="P922" s="95">
        <v>6783.517059786368</v>
      </c>
      <c r="Q922" s="95">
        <v>10000.000000000007</v>
      </c>
      <c r="S922" s="98"/>
      <c r="T922" s="95"/>
      <c r="U922" s="99"/>
      <c r="W922" s="121"/>
      <c r="X922" s="59"/>
      <c r="Y922" s="59"/>
      <c r="Z922" s="59"/>
      <c r="AA922" s="59"/>
      <c r="AB922" s="59"/>
      <c r="AC922" s="59"/>
      <c r="AD922" s="59"/>
      <c r="AE922" s="59"/>
      <c r="AF922" s="68"/>
    </row>
    <row r="923" spans="1:32" x14ac:dyDescent="0.2">
      <c r="A923" s="95">
        <v>886</v>
      </c>
      <c r="B923" s="95">
        <v>73</v>
      </c>
      <c r="C923" s="95">
        <v>10</v>
      </c>
      <c r="D923" s="95"/>
      <c r="E923" s="95">
        <v>38.160316615432755</v>
      </c>
      <c r="F923" s="95">
        <v>81.772107033070014</v>
      </c>
      <c r="G923" s="95">
        <v>51.789001120944356</v>
      </c>
      <c r="H923" s="95">
        <v>1.0589204319945009E-2</v>
      </c>
      <c r="I923" s="95">
        <v>2.9291783360799237</v>
      </c>
      <c r="J923" s="95"/>
      <c r="K923" s="95"/>
      <c r="L923" s="95">
        <v>0.15897111582794932</v>
      </c>
      <c r="M923" s="95">
        <v>0.65359290983047535</v>
      </c>
      <c r="N923" s="95">
        <v>0.25727454707988162</v>
      </c>
      <c r="O923" s="95">
        <v>3038.0755279155492</v>
      </c>
      <c r="P923" s="95">
        <v>6786.1934412018727</v>
      </c>
      <c r="Q923" s="95">
        <v>10000.000000000007</v>
      </c>
      <c r="S923" s="98"/>
      <c r="T923" s="95"/>
      <c r="U923" s="99"/>
      <c r="W923" s="121"/>
      <c r="X923" s="59"/>
      <c r="Y923" s="59"/>
      <c r="Z923" s="59"/>
      <c r="AA923" s="59"/>
      <c r="AB923" s="59"/>
      <c r="AC923" s="59"/>
      <c r="AD923" s="59"/>
      <c r="AE923" s="59"/>
      <c r="AF923" s="68"/>
    </row>
    <row r="924" spans="1:32" x14ac:dyDescent="0.2">
      <c r="A924" s="95">
        <v>887</v>
      </c>
      <c r="B924" s="95">
        <v>73</v>
      </c>
      <c r="C924" s="95">
        <v>11</v>
      </c>
      <c r="D924" s="95"/>
      <c r="E924" s="95">
        <v>37.587911866201267</v>
      </c>
      <c r="F924" s="95">
        <v>80.545525427573963</v>
      </c>
      <c r="G924" s="95">
        <v>51.012166104130188</v>
      </c>
      <c r="H924" s="95">
        <v>1.03280039467197E-2</v>
      </c>
      <c r="I924" s="95">
        <v>2.8724058190294648</v>
      </c>
      <c r="J924" s="95"/>
      <c r="K924" s="95"/>
      <c r="L924" s="95">
        <v>0.15593174047314959</v>
      </c>
      <c r="M924" s="95">
        <v>0.64084786249878567</v>
      </c>
      <c r="N924" s="95">
        <v>0.25228264711091525</v>
      </c>
      <c r="O924" s="95">
        <v>3038.0931938639314</v>
      </c>
      <c r="P924" s="95">
        <v>6788.8294066651115</v>
      </c>
      <c r="Q924" s="95">
        <v>10000.000000000007</v>
      </c>
      <c r="S924" s="98"/>
      <c r="T924" s="95"/>
      <c r="U924" s="99"/>
      <c r="W924" s="121"/>
      <c r="X924" s="59"/>
      <c r="Y924" s="59"/>
      <c r="Z924" s="59"/>
      <c r="AA924" s="59"/>
      <c r="AB924" s="59"/>
      <c r="AC924" s="59"/>
      <c r="AD924" s="59"/>
      <c r="AE924" s="59"/>
      <c r="AF924" s="68"/>
    </row>
    <row r="925" spans="1:32" x14ac:dyDescent="0.2">
      <c r="A925" s="95">
        <v>888</v>
      </c>
      <c r="B925" s="95">
        <v>74</v>
      </c>
      <c r="C925" s="95">
        <v>0</v>
      </c>
      <c r="D925" s="95"/>
      <c r="E925" s="95">
        <v>37.024093188208248</v>
      </c>
      <c r="F925" s="95">
        <v>79.337342546160357</v>
      </c>
      <c r="G925" s="95">
        <v>50.246983612568236</v>
      </c>
      <c r="H925" s="95">
        <v>1.0073246516033947E-2</v>
      </c>
      <c r="I925" s="95">
        <v>2.816733110081461</v>
      </c>
      <c r="J925" s="95"/>
      <c r="K925" s="95"/>
      <c r="L925" s="95">
        <v>0.15294976102762228</v>
      </c>
      <c r="M925" s="95">
        <v>0.62835217094757401</v>
      </c>
      <c r="N925" s="95">
        <v>0.24738757441693013</v>
      </c>
      <c r="O925" s="95">
        <v>3038.110517132905</v>
      </c>
      <c r="P925" s="95">
        <v>6791.4255676571756</v>
      </c>
      <c r="Q925" s="95">
        <v>10000.000000000007</v>
      </c>
      <c r="S925" s="98"/>
      <c r="T925" s="95"/>
      <c r="U925" s="99"/>
      <c r="W925" s="121"/>
      <c r="X925" s="59"/>
      <c r="Y925" s="59"/>
      <c r="Z925" s="59"/>
      <c r="AA925" s="59"/>
      <c r="AB925" s="59"/>
      <c r="AC925" s="59"/>
      <c r="AD925" s="59"/>
      <c r="AE925" s="59"/>
      <c r="AF925" s="68"/>
    </row>
    <row r="926" spans="1:32" x14ac:dyDescent="0.2">
      <c r="A926" s="95">
        <v>889</v>
      </c>
      <c r="B926" s="95">
        <v>74</v>
      </c>
      <c r="C926" s="95">
        <v>1</v>
      </c>
      <c r="D926" s="95"/>
      <c r="E926" s="95">
        <v>36.468731790385121</v>
      </c>
      <c r="F926" s="95">
        <v>78.14728240796795</v>
      </c>
      <c r="G926" s="95">
        <v>49.493278858379711</v>
      </c>
      <c r="H926" s="95">
        <v>9.8247731019717767E-3</v>
      </c>
      <c r="I926" s="95">
        <v>2.7621389169103678</v>
      </c>
      <c r="J926" s="95"/>
      <c r="K926" s="95"/>
      <c r="L926" s="95">
        <v>0.15002411916102373</v>
      </c>
      <c r="M926" s="95">
        <v>0.61610093052335357</v>
      </c>
      <c r="N926" s="95">
        <v>0.24258745252062822</v>
      </c>
      <c r="O926" s="95">
        <v>3038.1275043657324</v>
      </c>
      <c r="P926" s="95">
        <v>6793.9825263853245</v>
      </c>
      <c r="Q926" s="95">
        <v>10000.000000000007</v>
      </c>
      <c r="S926" s="98"/>
      <c r="T926" s="95"/>
      <c r="U926" s="99"/>
      <c r="W926" s="121"/>
      <c r="X926" s="59"/>
      <c r="Y926" s="59"/>
      <c r="Z926" s="59"/>
      <c r="AA926" s="59"/>
      <c r="AB926" s="59"/>
      <c r="AC926" s="59"/>
      <c r="AD926" s="59"/>
      <c r="AE926" s="59"/>
      <c r="AF926" s="68"/>
    </row>
    <row r="927" spans="1:32" x14ac:dyDescent="0.2">
      <c r="A927" s="95">
        <v>890</v>
      </c>
      <c r="B927" s="95">
        <v>74</v>
      </c>
      <c r="C927" s="95">
        <v>2</v>
      </c>
      <c r="D927" s="95"/>
      <c r="E927" s="95">
        <v>35.921700813529341</v>
      </c>
      <c r="F927" s="95">
        <v>76.975073171848436</v>
      </c>
      <c r="G927" s="95">
        <v>48.750879675504017</v>
      </c>
      <c r="H927" s="95">
        <v>9.582428698789806E-3</v>
      </c>
      <c r="I927" s="95">
        <v>2.7086023590803441</v>
      </c>
      <c r="J927" s="95"/>
      <c r="K927" s="95"/>
      <c r="L927" s="95">
        <v>0.14715377512847874</v>
      </c>
      <c r="M927" s="95">
        <v>0.60408933385022001</v>
      </c>
      <c r="N927" s="95">
        <v>0.2378804412319</v>
      </c>
      <c r="O927" s="95">
        <v>3038.144162077077</v>
      </c>
      <c r="P927" s="95">
        <v>6796.5008759240591</v>
      </c>
      <c r="Q927" s="95">
        <v>10000.000000000007</v>
      </c>
      <c r="S927" s="98"/>
      <c r="T927" s="95"/>
      <c r="U927" s="99"/>
      <c r="W927" s="121"/>
      <c r="X927" s="59"/>
      <c r="Y927" s="59"/>
      <c r="Z927" s="59"/>
      <c r="AA927" s="59"/>
      <c r="AB927" s="59"/>
      <c r="AC927" s="59"/>
      <c r="AD927" s="59"/>
      <c r="AE927" s="59"/>
      <c r="AF927" s="68"/>
    </row>
    <row r="928" spans="1:32" x14ac:dyDescent="0.2">
      <c r="A928" s="95">
        <v>891</v>
      </c>
      <c r="B928" s="95">
        <v>74</v>
      </c>
      <c r="C928" s="95">
        <v>3</v>
      </c>
      <c r="D928" s="95"/>
      <c r="E928" s="95">
        <v>35.382875301326401</v>
      </c>
      <c r="F928" s="95">
        <v>75.820447074270703</v>
      </c>
      <c r="G928" s="95">
        <v>48.019616480371454</v>
      </c>
      <c r="H928" s="95">
        <v>9.3460621242196576E-3</v>
      </c>
      <c r="I928" s="95">
        <v>2.6561029600856223</v>
      </c>
      <c r="J928" s="95"/>
      <c r="K928" s="95"/>
      <c r="L928" s="95">
        <v>0.14433770747892907</v>
      </c>
      <c r="M928" s="95">
        <v>0.592312668875837</v>
      </c>
      <c r="N928" s="95">
        <v>0.23326473594939276</v>
      </c>
      <c r="O928" s="95">
        <v>3038.1604966554828</v>
      </c>
      <c r="P928" s="95">
        <v>6798.9812003540419</v>
      </c>
      <c r="Q928" s="95">
        <v>10000.000000000007</v>
      </c>
      <c r="S928" s="98"/>
      <c r="T928" s="95"/>
      <c r="U928" s="99"/>
      <c r="W928" s="121"/>
      <c r="X928" s="59"/>
      <c r="Y928" s="59"/>
      <c r="Z928" s="59"/>
      <c r="AA928" s="59"/>
      <c r="AB928" s="59"/>
      <c r="AC928" s="59"/>
      <c r="AD928" s="59"/>
      <c r="AE928" s="59"/>
      <c r="AF928" s="68"/>
    </row>
    <row r="929" spans="1:32" x14ac:dyDescent="0.2">
      <c r="A929" s="95">
        <v>892</v>
      </c>
      <c r="B929" s="95">
        <v>74</v>
      </c>
      <c r="C929" s="95">
        <v>4</v>
      </c>
      <c r="D929" s="95"/>
      <c r="E929" s="95">
        <v>34.852132171806502</v>
      </c>
      <c r="F929" s="95">
        <v>74.683140368156643</v>
      </c>
      <c r="G929" s="95">
        <v>47.299322233165881</v>
      </c>
      <c r="H929" s="95">
        <v>9.115525925155573E-3</v>
      </c>
      <c r="I929" s="95">
        <v>2.604620639544494</v>
      </c>
      <c r="J929" s="95"/>
      <c r="K929" s="95"/>
      <c r="L929" s="95">
        <v>0.14157491276669304</v>
      </c>
      <c r="M929" s="95">
        <v>0.58076631695741454</v>
      </c>
      <c r="N929" s="95">
        <v>0.22873856697539621</v>
      </c>
      <c r="O929" s="95">
        <v>3038.1765143658099</v>
      </c>
      <c r="P929" s="95">
        <v>6801.4240748988996</v>
      </c>
      <c r="Q929" s="95">
        <v>10000.000000000007</v>
      </c>
      <c r="S929" s="98"/>
      <c r="T929" s="95"/>
      <c r="U929" s="99"/>
      <c r="W929" s="121"/>
      <c r="X929" s="59"/>
      <c r="Y929" s="59"/>
      <c r="Z929" s="59"/>
      <c r="AA929" s="59"/>
      <c r="AB929" s="59"/>
      <c r="AC929" s="59"/>
      <c r="AD929" s="59"/>
      <c r="AE929" s="59"/>
      <c r="AF929" s="68"/>
    </row>
    <row r="930" spans="1:32" x14ac:dyDescent="0.2">
      <c r="A930" s="95">
        <v>893</v>
      </c>
      <c r="B930" s="95">
        <v>74</v>
      </c>
      <c r="C930" s="95">
        <v>5</v>
      </c>
      <c r="D930" s="95"/>
      <c r="E930" s="95">
        <v>34.329350189229402</v>
      </c>
      <c r="F930" s="95">
        <v>73.56289326263429</v>
      </c>
      <c r="G930" s="95">
        <v>46.589832399668396</v>
      </c>
      <c r="H930" s="95">
        <v>8.8906762856684023E-3</v>
      </c>
      <c r="I930" s="95">
        <v>2.5541357055439482</v>
      </c>
      <c r="J930" s="95"/>
      <c r="K930" s="95"/>
      <c r="L930" s="95">
        <v>0.13886440526626107</v>
      </c>
      <c r="M930" s="95">
        <v>0.56944575098683714</v>
      </c>
      <c r="N930" s="95">
        <v>0.22430019884379593</v>
      </c>
      <c r="O930" s="95">
        <v>3038.19222135162</v>
      </c>
      <c r="P930" s="95">
        <v>6803.8300660599289</v>
      </c>
      <c r="Q930" s="95">
        <v>10000.000000000007</v>
      </c>
      <c r="S930" s="98"/>
      <c r="T930" s="95"/>
      <c r="U930" s="99"/>
      <c r="W930" s="121"/>
      <c r="X930" s="59"/>
      <c r="Y930" s="59"/>
      <c r="Z930" s="59"/>
      <c r="AA930" s="59"/>
      <c r="AB930" s="59"/>
      <c r="AC930" s="59"/>
      <c r="AD930" s="59"/>
      <c r="AE930" s="59"/>
      <c r="AF930" s="68"/>
    </row>
    <row r="931" spans="1:32" x14ac:dyDescent="0.2">
      <c r="A931" s="95">
        <v>894</v>
      </c>
      <c r="B931" s="95">
        <v>74</v>
      </c>
      <c r="C931" s="95">
        <v>6</v>
      </c>
      <c r="D931" s="95"/>
      <c r="E931" s="95">
        <v>33.814409936390959</v>
      </c>
      <c r="F931" s="95">
        <v>72.459449863694772</v>
      </c>
      <c r="G931" s="95">
        <v>45.890984913673371</v>
      </c>
      <c r="H931" s="95">
        <v>8.6713729372885819E-3</v>
      </c>
      <c r="I931" s="95">
        <v>2.5046288471320648</v>
      </c>
      <c r="J931" s="95"/>
      <c r="K931" s="95"/>
      <c r="L931" s="95">
        <v>0.13620521669034813</v>
      </c>
      <c r="M931" s="95">
        <v>0.55834653355412178</v>
      </c>
      <c r="N931" s="95">
        <v>0.21994792966084942</v>
      </c>
      <c r="O931" s="95">
        <v>3038.2076236375178</v>
      </c>
      <c r="P931" s="95">
        <v>6806.1997317487558</v>
      </c>
      <c r="Q931" s="95">
        <v>10000.000000000007</v>
      </c>
      <c r="S931" s="98"/>
      <c r="T931" s="95"/>
      <c r="U931" s="99"/>
      <c r="W931" s="121"/>
      <c r="X931" s="59"/>
      <c r="Y931" s="59"/>
      <c r="Z931" s="59"/>
      <c r="AA931" s="59"/>
      <c r="AB931" s="59"/>
      <c r="AC931" s="59"/>
      <c r="AD931" s="59"/>
      <c r="AE931" s="59"/>
      <c r="AF931" s="68"/>
    </row>
    <row r="932" spans="1:32" x14ac:dyDescent="0.2">
      <c r="A932" s="95">
        <v>895</v>
      </c>
      <c r="B932" s="95">
        <v>74</v>
      </c>
      <c r="C932" s="95">
        <v>7</v>
      </c>
      <c r="D932" s="95"/>
      <c r="E932" s="95">
        <v>33.307193787345092</v>
      </c>
      <c r="F932" s="95">
        <v>71.372558115739352</v>
      </c>
      <c r="G932" s="95">
        <v>45.202620139968268</v>
      </c>
      <c r="H932" s="95">
        <v>8.457479071502131E-3</v>
      </c>
      <c r="I932" s="95">
        <v>2.4560811269553109</v>
      </c>
      <c r="J932" s="95"/>
      <c r="K932" s="95"/>
      <c r="L932" s="95">
        <v>0.13359639591122136</v>
      </c>
      <c r="M932" s="95">
        <v>0.54746431514839999</v>
      </c>
      <c r="N932" s="95">
        <v>0.21568009045854419</v>
      </c>
      <c r="O932" s="95">
        <v>3038.2227271314478</v>
      </c>
      <c r="P932" s="95">
        <v>6808.5336214179615</v>
      </c>
      <c r="Q932" s="95">
        <v>10000.000000000007</v>
      </c>
      <c r="S932" s="98"/>
      <c r="T932" s="95"/>
      <c r="U932" s="99"/>
      <c r="W932" s="121"/>
      <c r="X932" s="59"/>
      <c r="Y932" s="59"/>
      <c r="Z932" s="59"/>
      <c r="AA932" s="59"/>
      <c r="AB932" s="59"/>
      <c r="AC932" s="59"/>
      <c r="AD932" s="59"/>
      <c r="AE932" s="59"/>
      <c r="AF932" s="68"/>
    </row>
    <row r="933" spans="1:32" x14ac:dyDescent="0.2">
      <c r="A933" s="95">
        <v>896</v>
      </c>
      <c r="B933" s="95">
        <v>74</v>
      </c>
      <c r="C933" s="95">
        <v>8</v>
      </c>
      <c r="D933" s="95"/>
      <c r="E933" s="95">
        <v>32.807585880534916</v>
      </c>
      <c r="F933" s="95">
        <v>70.301969744003259</v>
      </c>
      <c r="G933" s="95">
        <v>44.524580837868747</v>
      </c>
      <c r="H933" s="95">
        <v>8.2488612544050783E-3</v>
      </c>
      <c r="I933" s="95">
        <v>2.4084739740379533</v>
      </c>
      <c r="J933" s="95"/>
      <c r="K933" s="95"/>
      <c r="L933" s="95">
        <v>0.13103700868531698</v>
      </c>
      <c r="M933" s="95">
        <v>0.53679483239563841</v>
      </c>
      <c r="N933" s="95">
        <v>0.21149504456030188</v>
      </c>
      <c r="O933" s="95">
        <v>3038.2375376269461</v>
      </c>
      <c r="P933" s="95">
        <v>6810.8322761897207</v>
      </c>
      <c r="Q933" s="95">
        <v>10000.000000000007</v>
      </c>
      <c r="S933" s="98"/>
      <c r="T933" s="95"/>
      <c r="U933" s="99"/>
      <c r="W933" s="121"/>
      <c r="X933" s="59"/>
      <c r="Y933" s="59"/>
      <c r="Z933" s="59"/>
      <c r="AA933" s="59"/>
      <c r="AB933" s="59"/>
      <c r="AC933" s="59"/>
      <c r="AD933" s="59"/>
      <c r="AE933" s="59"/>
      <c r="AF933" s="68"/>
    </row>
    <row r="934" spans="1:32" x14ac:dyDescent="0.2">
      <c r="A934" s="95">
        <v>897</v>
      </c>
      <c r="B934" s="95">
        <v>74</v>
      </c>
      <c r="C934" s="95">
        <v>9</v>
      </c>
      <c r="D934" s="95"/>
      <c r="E934" s="95">
        <v>32.315472092326893</v>
      </c>
      <c r="F934" s="95">
        <v>69.247440197843204</v>
      </c>
      <c r="G934" s="95">
        <v>43.856712125300717</v>
      </c>
      <c r="H934" s="95">
        <v>8.0453893434630861E-3</v>
      </c>
      <c r="I934" s="95">
        <v>2.3617891767008423</v>
      </c>
      <c r="J934" s="95"/>
      <c r="K934" s="95"/>
      <c r="L934" s="95">
        <v>0.12852613738115828</v>
      </c>
      <c r="M934" s="95">
        <v>0.52633390633232746</v>
      </c>
      <c r="N934" s="95">
        <v>0.2073911869587963</v>
      </c>
      <c r="O934" s="95">
        <v>3038.2520608053492</v>
      </c>
      <c r="P934" s="95">
        <v>6813.0962289824711</v>
      </c>
      <c r="Q934" s="95">
        <v>10000.000000000007</v>
      </c>
      <c r="S934" s="98"/>
      <c r="T934" s="95"/>
      <c r="U934" s="99"/>
      <c r="W934" s="121"/>
      <c r="X934" s="59"/>
      <c r="Y934" s="59"/>
      <c r="Z934" s="59"/>
      <c r="AA934" s="59"/>
      <c r="AB934" s="59"/>
      <c r="AC934" s="59"/>
      <c r="AD934" s="59"/>
      <c r="AE934" s="59"/>
      <c r="AF934" s="68"/>
    </row>
    <row r="935" spans="1:32" x14ac:dyDescent="0.2">
      <c r="A935" s="95">
        <v>898</v>
      </c>
      <c r="B935" s="95">
        <v>74</v>
      </c>
      <c r="C935" s="95">
        <v>10</v>
      </c>
      <c r="D935" s="95"/>
      <c r="E935" s="95">
        <v>31.830740010941991</v>
      </c>
      <c r="F935" s="95">
        <v>68.208728594875552</v>
      </c>
      <c r="G935" s="95">
        <v>43.198861443421208</v>
      </c>
      <c r="H935" s="95">
        <v>7.8469364063243306E-3</v>
      </c>
      <c r="I935" s="95">
        <v>2.316008875616888</v>
      </c>
      <c r="J935" s="95"/>
      <c r="K935" s="95"/>
      <c r="L935" s="95">
        <v>0.12606288071058322</v>
      </c>
      <c r="M935" s="95">
        <v>0.51607744071438555</v>
      </c>
      <c r="N935" s="95">
        <v>0.20336694370565792</v>
      </c>
      <c r="O935" s="95">
        <v>3038.2663022379611</v>
      </c>
      <c r="P935" s="95">
        <v>6815.3260046356545</v>
      </c>
      <c r="Q935" s="95">
        <v>10000.000000000009</v>
      </c>
      <c r="S935" s="98"/>
      <c r="T935" s="95"/>
      <c r="U935" s="99"/>
      <c r="W935" s="121"/>
      <c r="X935" s="59"/>
      <c r="Y935" s="59"/>
      <c r="Z935" s="59"/>
      <c r="AA935" s="59"/>
      <c r="AB935" s="59"/>
      <c r="AC935" s="59"/>
      <c r="AD935" s="59"/>
      <c r="AE935" s="59"/>
      <c r="AF935" s="68"/>
    </row>
    <row r="936" spans="1:32" x14ac:dyDescent="0.2">
      <c r="A936" s="95">
        <v>899</v>
      </c>
      <c r="B936" s="95">
        <v>74</v>
      </c>
      <c r="C936" s="95">
        <v>11</v>
      </c>
      <c r="D936" s="95"/>
      <c r="E936" s="95">
        <v>31.35327891077786</v>
      </c>
      <c r="F936" s="95">
        <v>67.185597665952415</v>
      </c>
      <c r="G936" s="95">
        <v>42.550878521769889</v>
      </c>
      <c r="H936" s="95">
        <v>7.6533786416349975E-3</v>
      </c>
      <c r="I936" s="95">
        <v>2.2711155570005879</v>
      </c>
      <c r="J936" s="95"/>
      <c r="K936" s="95"/>
      <c r="L936" s="95">
        <v>0.12364635346328746</v>
      </c>
      <c r="M936" s="95">
        <v>0.5060214203605421</v>
      </c>
      <c r="N936" s="95">
        <v>0.19942077131284125</v>
      </c>
      <c r="O936" s="95">
        <v>3038.2802673881788</v>
      </c>
      <c r="P936" s="95">
        <v>6817.5221200325504</v>
      </c>
      <c r="Q936" s="95">
        <v>10000.000000000009</v>
      </c>
      <c r="S936" s="98"/>
      <c r="T936" s="95"/>
      <c r="U936" s="99"/>
      <c r="W936" s="121"/>
      <c r="X936" s="59"/>
      <c r="Y936" s="59"/>
      <c r="Z936" s="59"/>
      <c r="AA936" s="59"/>
      <c r="AB936" s="59"/>
      <c r="AC936" s="59"/>
      <c r="AD936" s="59"/>
      <c r="AE936" s="59"/>
      <c r="AF936" s="68"/>
    </row>
    <row r="937" spans="1:32" ht="13.5" thickBot="1" x14ac:dyDescent="0.25">
      <c r="A937" s="95">
        <v>900</v>
      </c>
      <c r="B937" s="95">
        <v>75</v>
      </c>
      <c r="C937" s="95">
        <v>0</v>
      </c>
      <c r="D937" s="95"/>
      <c r="E937" s="95">
        <v>30.882979727116194</v>
      </c>
      <c r="F937" s="95">
        <v>66.177813700963128</v>
      </c>
      <c r="G937" s="95">
        <v>41.912615343943344</v>
      </c>
      <c r="H937" s="95">
        <v>7.4645953018080006E-3</v>
      </c>
      <c r="I937" s="95">
        <v>2.2270920459290289</v>
      </c>
      <c r="J937" s="95"/>
      <c r="K937" s="95"/>
      <c r="L937" s="95">
        <v>0.12127568624468614</v>
      </c>
      <c r="M937" s="95">
        <v>0.49616190952947792</v>
      </c>
      <c r="N937" s="95">
        <v>0.19555115616543575</v>
      </c>
      <c r="O937" s="95">
        <v>3038.2939616135754</v>
      </c>
      <c r="P937" s="95">
        <v>6819.6850842212398</v>
      </c>
      <c r="Q937" s="95">
        <v>10000.000000000009</v>
      </c>
      <c r="S937" s="100"/>
      <c r="T937" s="101"/>
      <c r="U937" s="102"/>
      <c r="W937" s="122"/>
      <c r="X937" s="123"/>
      <c r="Y937" s="123"/>
      <c r="Z937" s="123"/>
      <c r="AA937" s="123"/>
      <c r="AB937" s="123"/>
      <c r="AC937" s="123"/>
      <c r="AD937" s="123"/>
      <c r="AE937" s="123"/>
      <c r="AF937" s="74"/>
    </row>
  </sheetData>
  <mergeCells count="8">
    <mergeCell ref="A35:D35"/>
    <mergeCell ref="E35:P35"/>
    <mergeCell ref="S35:U35"/>
    <mergeCell ref="W35:AF35"/>
    <mergeCell ref="A6:D6"/>
    <mergeCell ref="E6:P6"/>
    <mergeCell ref="S6:U6"/>
    <mergeCell ref="W6:AF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ejecutarModelo_SinTratamiento">
                <anchor moveWithCells="1" sizeWithCells="1">
                  <from>
                    <xdr:col>0</xdr:col>
                    <xdr:colOff>0</xdr:colOff>
                    <xdr:row>0</xdr:row>
                    <xdr:rowOff>142875</xdr:rowOff>
                  </from>
                  <to>
                    <xdr:col>4</xdr:col>
                    <xdr:colOff>352425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Check Box 2">
              <controlPr defaultSize="0" autoFill="0" autoLine="0" autoPict="0" macro="[0]!Casilla2_Haga_clic_en">
                <anchor moveWithCells="1">
                  <from>
                    <xdr:col>4</xdr:col>
                    <xdr:colOff>752475</xdr:colOff>
                    <xdr:row>0</xdr:row>
                    <xdr:rowOff>142875</xdr:rowOff>
                  </from>
                  <to>
                    <xdr:col>6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2</xdr:row>
                    <xdr:rowOff>9525</xdr:rowOff>
                  </from>
                  <to>
                    <xdr:col>6</xdr:col>
                    <xdr:colOff>142875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EF4B-F7D1-4219-80D7-F964048BF1B9}">
  <sheetPr codeName="Hoja17"/>
  <dimension ref="A1:AD908"/>
  <sheetViews>
    <sheetView workbookViewId="0">
      <selection activeCell="H9" sqref="H9"/>
    </sheetView>
  </sheetViews>
  <sheetFormatPr baseColWidth="10" defaultRowHeight="12.75" x14ac:dyDescent="0.2"/>
  <cols>
    <col min="1" max="1" width="6.140625" customWidth="1"/>
    <col min="2" max="3" width="4.7109375" customWidth="1"/>
    <col min="4" max="4" width="5.7109375" customWidth="1"/>
    <col min="6" max="6" width="13.5703125" customWidth="1"/>
    <col min="9" max="9" width="16.5703125" customWidth="1"/>
    <col min="30" max="30" width="23.5703125" customWidth="1"/>
  </cols>
  <sheetData>
    <row r="1" spans="1:30" ht="13.5" thickBot="1" x14ac:dyDescent="0.25">
      <c r="F1" s="87" t="s">
        <v>230</v>
      </c>
      <c r="G1" s="86">
        <v>85</v>
      </c>
      <c r="H1">
        <v>101</v>
      </c>
      <c r="I1" s="88" t="s">
        <v>229</v>
      </c>
      <c r="J1" s="76"/>
      <c r="K1" s="76"/>
      <c r="L1" s="76"/>
      <c r="M1" s="76"/>
      <c r="N1" s="76"/>
      <c r="O1" s="76"/>
      <c r="P1" s="76"/>
      <c r="Q1" s="76"/>
      <c r="R1" s="76"/>
      <c r="S1" s="77"/>
    </row>
    <row r="2" spans="1:30" x14ac:dyDescent="0.2">
      <c r="I2" s="89" t="s">
        <v>228</v>
      </c>
      <c r="J2" s="91">
        <v>180</v>
      </c>
      <c r="K2" s="53"/>
      <c r="L2" s="93" t="s">
        <v>34</v>
      </c>
      <c r="M2" s="91">
        <v>626.73869546111757</v>
      </c>
      <c r="N2" s="53"/>
      <c r="O2" s="93" t="s">
        <v>231</v>
      </c>
      <c r="P2" s="91">
        <v>65842745.47716254</v>
      </c>
      <c r="Q2" s="53"/>
      <c r="R2" s="93" t="s">
        <v>248</v>
      </c>
      <c r="S2" s="103">
        <v>52593253.426517382</v>
      </c>
    </row>
    <row r="3" spans="1:30" ht="13.5" thickBot="1" x14ac:dyDescent="0.25">
      <c r="I3" s="90" t="s">
        <v>32</v>
      </c>
      <c r="J3" s="92">
        <v>929.96532848058996</v>
      </c>
      <c r="K3" s="79"/>
      <c r="L3" s="94" t="s">
        <v>33</v>
      </c>
      <c r="M3" s="92">
        <v>1111.454675469575</v>
      </c>
      <c r="N3" s="79"/>
      <c r="O3" s="128" t="s">
        <v>247</v>
      </c>
      <c r="P3" s="130">
        <v>6584.2745477162543</v>
      </c>
      <c r="Q3" s="79"/>
      <c r="R3" s="128" t="s">
        <v>249</v>
      </c>
      <c r="S3" s="129">
        <v>5259.3253426517385</v>
      </c>
    </row>
    <row r="4" spans="1:30" x14ac:dyDescent="0.2">
      <c r="I4" s="43"/>
    </row>
    <row r="5" spans="1:30" ht="13.5" thickBot="1" x14ac:dyDescent="0.25"/>
    <row r="6" spans="1:30" ht="13.5" thickBot="1" x14ac:dyDescent="0.25">
      <c r="A6" s="216" t="s">
        <v>224</v>
      </c>
      <c r="B6" s="217"/>
      <c r="C6" s="217"/>
      <c r="D6" s="218"/>
      <c r="E6" s="216" t="s">
        <v>223</v>
      </c>
      <c r="F6" s="217"/>
      <c r="G6" s="217"/>
      <c r="H6" s="217"/>
      <c r="I6" s="217"/>
      <c r="J6" s="217"/>
      <c r="K6" s="217"/>
      <c r="L6" s="217"/>
      <c r="M6" s="217"/>
      <c r="N6" s="218"/>
      <c r="P6" s="54"/>
      <c r="Q6" s="219" t="s">
        <v>250</v>
      </c>
      <c r="R6" s="220"/>
      <c r="S6" s="221"/>
      <c r="U6" s="216" t="s">
        <v>7</v>
      </c>
      <c r="V6" s="217"/>
      <c r="W6" s="217"/>
      <c r="X6" s="217"/>
      <c r="Y6" s="217"/>
      <c r="Z6" s="217"/>
      <c r="AA6" s="217"/>
      <c r="AB6" s="217"/>
      <c r="AC6" s="217"/>
      <c r="AD6" s="218"/>
    </row>
    <row r="7" spans="1:30" ht="13.5" thickBot="1" x14ac:dyDescent="0.25">
      <c r="A7" s="71" t="s">
        <v>35</v>
      </c>
      <c r="B7" s="72" t="s">
        <v>36</v>
      </c>
      <c r="C7" s="72" t="s">
        <v>221</v>
      </c>
      <c r="D7" s="73" t="s">
        <v>222</v>
      </c>
      <c r="E7" s="72" t="s">
        <v>2</v>
      </c>
      <c r="F7" s="72" t="s">
        <v>3</v>
      </c>
      <c r="G7" s="72" t="s">
        <v>4</v>
      </c>
      <c r="H7" s="72" t="s">
        <v>5</v>
      </c>
      <c r="I7" s="72" t="s">
        <v>37</v>
      </c>
      <c r="J7" s="72" t="s">
        <v>13</v>
      </c>
      <c r="K7" s="72" t="s">
        <v>38</v>
      </c>
      <c r="L7" s="72" t="s">
        <v>39</v>
      </c>
      <c r="M7" s="72" t="s">
        <v>40</v>
      </c>
      <c r="N7" s="72" t="s">
        <v>41</v>
      </c>
      <c r="O7" s="81" t="s">
        <v>42</v>
      </c>
      <c r="P7" s="57"/>
      <c r="Q7" s="83">
        <v>1884.7235116342022</v>
      </c>
      <c r="R7" s="84">
        <v>1882.6541350867119</v>
      </c>
      <c r="S7" s="85">
        <v>1880.5129028093477</v>
      </c>
      <c r="U7" s="117" t="s">
        <v>2</v>
      </c>
      <c r="V7" s="117" t="s">
        <v>3</v>
      </c>
      <c r="W7" s="117" t="s">
        <v>4</v>
      </c>
      <c r="X7" s="117" t="s">
        <v>5</v>
      </c>
      <c r="Y7" s="117" t="s">
        <v>37</v>
      </c>
      <c r="Z7" s="117" t="s">
        <v>13</v>
      </c>
      <c r="AA7" s="117" t="s">
        <v>39</v>
      </c>
      <c r="AB7" s="117" t="s">
        <v>251</v>
      </c>
      <c r="AC7" s="117" t="s">
        <v>252</v>
      </c>
      <c r="AD7" s="117" t="s">
        <v>253</v>
      </c>
    </row>
    <row r="8" spans="1:30" x14ac:dyDescent="0.2">
      <c r="A8" s="95">
        <v>101</v>
      </c>
      <c r="B8" s="95">
        <v>0</v>
      </c>
      <c r="C8" s="95">
        <v>0</v>
      </c>
      <c r="D8" s="95"/>
      <c r="E8" s="95">
        <v>1400.0000000000002</v>
      </c>
      <c r="F8" s="95">
        <v>3000</v>
      </c>
      <c r="G8" s="95">
        <v>1900</v>
      </c>
      <c r="H8" s="95">
        <v>2200</v>
      </c>
      <c r="I8" s="95">
        <v>1500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6">
        <v>0</v>
      </c>
      <c r="Q8" s="98">
        <v>0</v>
      </c>
      <c r="R8" s="95">
        <v>0</v>
      </c>
      <c r="S8" s="99">
        <v>0</v>
      </c>
      <c r="U8" s="118">
        <v>0</v>
      </c>
      <c r="V8" s="119">
        <v>0</v>
      </c>
      <c r="W8" s="119">
        <v>0</v>
      </c>
      <c r="X8" s="119">
        <v>0</v>
      </c>
      <c r="Y8" s="119">
        <v>0</v>
      </c>
      <c r="Z8" s="119">
        <v>0</v>
      </c>
      <c r="AA8" s="119">
        <v>0</v>
      </c>
      <c r="AB8" s="119">
        <v>0</v>
      </c>
      <c r="AC8" s="119">
        <v>0</v>
      </c>
      <c r="AD8" s="120">
        <v>0</v>
      </c>
    </row>
    <row r="9" spans="1:30" x14ac:dyDescent="0.2">
      <c r="A9" s="95">
        <v>1</v>
      </c>
      <c r="B9" s="95">
        <v>0</v>
      </c>
      <c r="C9" s="95">
        <v>1</v>
      </c>
      <c r="D9" s="95"/>
      <c r="E9" s="95">
        <v>1383.666666666667</v>
      </c>
      <c r="F9" s="95">
        <v>2986.65</v>
      </c>
      <c r="G9" s="95">
        <v>1898.6083333333333</v>
      </c>
      <c r="H9" s="95">
        <v>2193.5166666666669</v>
      </c>
      <c r="I9" s="95">
        <v>1511.7666666666667</v>
      </c>
      <c r="J9" s="97">
        <v>4.875</v>
      </c>
      <c r="K9" s="95">
        <v>0</v>
      </c>
      <c r="L9" s="95">
        <v>1.7500000000000002</v>
      </c>
      <c r="M9" s="95">
        <v>0</v>
      </c>
      <c r="N9" s="95">
        <v>19.166666666666664</v>
      </c>
      <c r="O9" s="95">
        <v>10000</v>
      </c>
      <c r="Q9" s="98">
        <v>0</v>
      </c>
      <c r="R9" s="95">
        <v>4.875</v>
      </c>
      <c r="S9" s="99">
        <v>1.7500000000000002</v>
      </c>
      <c r="U9" s="121">
        <v>1642.6667328324529</v>
      </c>
      <c r="V9" s="59">
        <v>1652.7572824650554</v>
      </c>
      <c r="W9" s="59">
        <v>1662.7278836058781</v>
      </c>
      <c r="X9" s="59">
        <v>1672.5797176677499</v>
      </c>
      <c r="Y9" s="59">
        <v>1682.3139470271451</v>
      </c>
      <c r="Z9" s="59">
        <v>1691.9317153488491</v>
      </c>
      <c r="AA9" s="59">
        <v>1701.4341479065424</v>
      </c>
      <c r="AB9" s="59">
        <v>1710.8223518993232</v>
      </c>
      <c r="AC9" s="59">
        <v>1720.0974167641916</v>
      </c>
      <c r="AD9" s="68">
        <v>1729.2604144845197</v>
      </c>
    </row>
    <row r="10" spans="1:30" x14ac:dyDescent="0.2">
      <c r="A10" s="95">
        <v>2</v>
      </c>
      <c r="B10" s="95">
        <v>0</v>
      </c>
      <c r="C10" s="95">
        <v>2</v>
      </c>
      <c r="D10" s="95"/>
      <c r="E10" s="95">
        <v>1367.5238888888891</v>
      </c>
      <c r="F10" s="95">
        <v>2973.2609000000002</v>
      </c>
      <c r="G10" s="95">
        <v>1897.1386881944445</v>
      </c>
      <c r="H10" s="95">
        <v>2187.0945152777781</v>
      </c>
      <c r="I10" s="95">
        <v>1523.3961388888888</v>
      </c>
      <c r="J10" s="95">
        <v>9.6773354166666667</v>
      </c>
      <c r="K10" s="95">
        <v>0</v>
      </c>
      <c r="L10" s="95">
        <v>3.4757277777777782</v>
      </c>
      <c r="M10" s="95">
        <v>0.13620833333333335</v>
      </c>
      <c r="N10" s="95">
        <v>38.296597222222218</v>
      </c>
      <c r="O10" s="95">
        <v>10000</v>
      </c>
      <c r="Q10" s="98">
        <v>0.13620833333333335</v>
      </c>
      <c r="R10" s="95">
        <v>9.7882416666666661</v>
      </c>
      <c r="S10" s="99">
        <v>3.541352777777778</v>
      </c>
      <c r="U10" s="121">
        <v>54.492615143897844</v>
      </c>
      <c r="V10" s="59">
        <v>55.019648339412974</v>
      </c>
      <c r="W10" s="59">
        <v>55.540008280543034</v>
      </c>
      <c r="X10" s="59">
        <v>56.053777657021008</v>
      </c>
      <c r="Y10" s="59">
        <v>56.561037722449583</v>
      </c>
      <c r="Z10" s="59">
        <v>57.061868320057556</v>
      </c>
      <c r="AA10" s="59">
        <v>57.556347908039115</v>
      </c>
      <c r="AB10" s="59">
        <v>58.044553584482323</v>
      </c>
      <c r="AC10" s="59">
        <v>58.526561111893159</v>
      </c>
      <c r="AD10" s="68">
        <v>59.00244494132118</v>
      </c>
    </row>
    <row r="11" spans="1:30" x14ac:dyDescent="0.2">
      <c r="A11" s="95">
        <v>3</v>
      </c>
      <c r="B11" s="95">
        <v>0</v>
      </c>
      <c r="C11" s="95">
        <v>3</v>
      </c>
      <c r="D11" s="95"/>
      <c r="E11" s="95">
        <v>1351.5694435185187</v>
      </c>
      <c r="F11" s="95">
        <v>2959.8349098166668</v>
      </c>
      <c r="G11" s="95">
        <v>1895.5917168684607</v>
      </c>
      <c r="H11" s="95">
        <v>2180.7320573577549</v>
      </c>
      <c r="I11" s="95">
        <v>1534.8898769902778</v>
      </c>
      <c r="J11" s="95">
        <v>14.408213487326389</v>
      </c>
      <c r="K11" s="95">
        <v>0</v>
      </c>
      <c r="L11" s="95">
        <v>5.1775217155092594</v>
      </c>
      <c r="M11" s="95">
        <v>0.40665923391203707</v>
      </c>
      <c r="N11" s="95">
        <v>57.389601011574065</v>
      </c>
      <c r="O11" s="95">
        <v>10000</v>
      </c>
      <c r="Q11" s="98">
        <v>0.40665923391203707</v>
      </c>
      <c r="R11" s="95">
        <v>14.739279118055554</v>
      </c>
      <c r="S11" s="99">
        <v>5.3734865071759259</v>
      </c>
      <c r="U11" s="121">
        <v>3.5441250000000002</v>
      </c>
      <c r="V11" s="59">
        <v>7.0560969104166666</v>
      </c>
      <c r="W11" s="59">
        <v>10.536135498175174</v>
      </c>
      <c r="X11" s="59">
        <v>13.984460262856489</v>
      </c>
      <c r="Y11" s="59">
        <v>17.401290385370885</v>
      </c>
      <c r="Z11" s="59">
        <v>20.786844678396214</v>
      </c>
      <c r="AA11" s="59">
        <v>24.141341538540907</v>
      </c>
      <c r="AB11" s="59">
        <v>27.464998900192423</v>
      </c>
      <c r="AC11" s="59">
        <v>30.758034191012491</v>
      </c>
      <c r="AD11" s="68">
        <v>34.020664289041228</v>
      </c>
    </row>
    <row r="12" spans="1:30" x14ac:dyDescent="0.2">
      <c r="A12" s="95">
        <v>4</v>
      </c>
      <c r="B12" s="95">
        <v>0</v>
      </c>
      <c r="C12" s="95">
        <v>4</v>
      </c>
      <c r="D12" s="95"/>
      <c r="E12" s="95">
        <v>1335.8011333441359</v>
      </c>
      <c r="F12" s="95">
        <v>2946.3741977026225</v>
      </c>
      <c r="G12" s="95">
        <v>1893.968079520313</v>
      </c>
      <c r="H12" s="95">
        <v>2174.4278281953789</v>
      </c>
      <c r="I12" s="95">
        <v>1546.2493176571311</v>
      </c>
      <c r="J12" s="95">
        <v>19.068818730708117</v>
      </c>
      <c r="K12" s="95">
        <v>0</v>
      </c>
      <c r="L12" s="95">
        <v>6.8557160507611696</v>
      </c>
      <c r="M12" s="95">
        <v>0.80941728618002518</v>
      </c>
      <c r="N12" s="95">
        <v>76.445491512770218</v>
      </c>
      <c r="O12" s="95">
        <v>10000.000000000002</v>
      </c>
      <c r="Q12" s="98">
        <v>0.80941728618002518</v>
      </c>
      <c r="R12" s="95">
        <v>19.727671218273958</v>
      </c>
      <c r="S12" s="99">
        <v>7.2458379067594327</v>
      </c>
      <c r="U12" s="121">
        <v>20.95058424444457</v>
      </c>
      <c r="V12" s="59">
        <v>22.410256717731183</v>
      </c>
      <c r="W12" s="59">
        <v>23.849851476774528</v>
      </c>
      <c r="X12" s="59">
        <v>25.269762725348411</v>
      </c>
      <c r="Y12" s="59">
        <v>26.670372975306194</v>
      </c>
      <c r="Z12" s="59">
        <v>28.052053452874862</v>
      </c>
      <c r="AA12" s="59">
        <v>29.41516448995695</v>
      </c>
      <c r="AB12" s="59">
        <v>30.760055901005153</v>
      </c>
      <c r="AC12" s="59">
        <v>32.087067346013157</v>
      </c>
      <c r="AD12" s="68">
        <v>33.396528680145686</v>
      </c>
    </row>
    <row r="13" spans="1:30" x14ac:dyDescent="0.2">
      <c r="A13" s="95">
        <v>5</v>
      </c>
      <c r="B13" s="95">
        <v>0</v>
      </c>
      <c r="C13" s="95">
        <v>5</v>
      </c>
      <c r="D13" s="95"/>
      <c r="E13" s="95">
        <v>1320.2167867884543</v>
      </c>
      <c r="F13" s="95">
        <v>2932.8808909734043</v>
      </c>
      <c r="G13" s="95">
        <v>1892.268443806423</v>
      </c>
      <c r="H13" s="95">
        <v>2168.1803866473188</v>
      </c>
      <c r="I13" s="95">
        <v>1557.4758743178579</v>
      </c>
      <c r="J13" s="95">
        <v>23.660313386970184</v>
      </c>
      <c r="K13" s="95">
        <v>0</v>
      </c>
      <c r="L13" s="95">
        <v>8.5106408755982912</v>
      </c>
      <c r="M13" s="95">
        <v>1.3425769330686832</v>
      </c>
      <c r="N13" s="95">
        <v>95.464086270905568</v>
      </c>
      <c r="O13" s="95">
        <v>10000.000000000002</v>
      </c>
      <c r="Q13" s="98">
        <v>1.3425769330686832</v>
      </c>
      <c r="R13" s="95">
        <v>24.752981500659633</v>
      </c>
      <c r="S13" s="99">
        <v>9.1578520835000976</v>
      </c>
      <c r="U13" s="121">
        <v>10.083119614652206</v>
      </c>
      <c r="V13" s="59">
        <v>11.68816106703281</v>
      </c>
      <c r="W13" s="59">
        <v>13.385914272883731</v>
      </c>
      <c r="X13" s="59">
        <v>15.175265544836829</v>
      </c>
      <c r="Y13" s="59">
        <v>17.055118525398623</v>
      </c>
      <c r="Z13" s="59">
        <v>19.024393746157216</v>
      </c>
      <c r="AA13" s="59">
        <v>21.082028201374584</v>
      </c>
      <c r="AB13" s="59">
        <v>23.226974935440527</v>
      </c>
      <c r="AC13" s="59">
        <v>25.458202643684405</v>
      </c>
      <c r="AD13" s="68">
        <v>27.77469528605987</v>
      </c>
    </row>
    <row r="14" spans="1:30" x14ac:dyDescent="0.2">
      <c r="A14" s="95">
        <v>6</v>
      </c>
      <c r="B14" s="95">
        <v>0</v>
      </c>
      <c r="C14" s="95">
        <v>6</v>
      </c>
      <c r="D14" s="95"/>
      <c r="E14" s="95">
        <v>1304.8142576092557</v>
      </c>
      <c r="F14" s="95">
        <v>2919.3570766258313</v>
      </c>
      <c r="G14" s="95">
        <v>1890.493484495458</v>
      </c>
      <c r="H14" s="95">
        <v>2161.9883149400516</v>
      </c>
      <c r="I14" s="95">
        <v>1568.5709375181023</v>
      </c>
      <c r="J14" s="95">
        <v>28.183837848949651</v>
      </c>
      <c r="K14" s="95">
        <v>0</v>
      </c>
      <c r="L14" s="95">
        <v>10.142622138660354</v>
      </c>
      <c r="M14" s="95">
        <v>2.0042619905944368</v>
      </c>
      <c r="N14" s="95">
        <v>114.44520683309796</v>
      </c>
      <c r="O14" s="95">
        <v>10000.000000000002</v>
      </c>
      <c r="Q14" s="98">
        <v>2.0042619905944368</v>
      </c>
      <c r="R14" s="95">
        <v>29.814778092192672</v>
      </c>
      <c r="S14" s="99">
        <v>11.108982379397096</v>
      </c>
      <c r="U14" s="121">
        <v>246.24959458690623</v>
      </c>
      <c r="V14" s="59">
        <v>264.92495688468659</v>
      </c>
      <c r="W14" s="59">
        <v>283.56144840861248</v>
      </c>
      <c r="X14" s="59">
        <v>302.15896596347289</v>
      </c>
      <c r="Y14" s="59">
        <v>320.71740868641535</v>
      </c>
      <c r="Z14" s="59">
        <v>339.23667800925938</v>
      </c>
      <c r="AA14" s="59">
        <v>357.71667762172819</v>
      </c>
      <c r="AB14" s="59">
        <v>376.15731343556729</v>
      </c>
      <c r="AC14" s="59">
        <v>394.55849354952289</v>
      </c>
      <c r="AD14" s="68">
        <v>412.92012821515254</v>
      </c>
    </row>
    <row r="15" spans="1:30" x14ac:dyDescent="0.2">
      <c r="A15" s="95">
        <v>7</v>
      </c>
      <c r="B15" s="95">
        <v>0</v>
      </c>
      <c r="C15" s="95">
        <v>7</v>
      </c>
      <c r="D15" s="95"/>
      <c r="E15" s="95">
        <v>1289.5914246038144</v>
      </c>
      <c r="F15" s="95">
        <v>2905.8048019478892</v>
      </c>
      <c r="G15" s="95">
        <v>1888.6438830979869</v>
      </c>
      <c r="H15" s="95">
        <v>2155.8502184702838</v>
      </c>
      <c r="I15" s="95">
        <v>1579.5358752915747</v>
      </c>
      <c r="J15" s="95">
        <v>32.640511084819877</v>
      </c>
      <c r="K15" s="95">
        <v>0</v>
      </c>
      <c r="L15" s="95">
        <v>11.751981650042424</v>
      </c>
      <c r="M15" s="95">
        <v>2.7926251690708375</v>
      </c>
      <c r="N15" s="95">
        <v>133.38867868451922</v>
      </c>
      <c r="O15" s="95">
        <v>10000.000000000002</v>
      </c>
      <c r="Q15" s="98">
        <v>2.7926251690708375</v>
      </c>
      <c r="R15" s="95">
        <v>34.912633639126504</v>
      </c>
      <c r="S15" s="99">
        <v>13.098690220978931</v>
      </c>
      <c r="U15" s="121">
        <v>10000.000000000002</v>
      </c>
      <c r="V15" s="59">
        <v>10000.000000000002</v>
      </c>
      <c r="W15" s="59">
        <v>10000.000000000002</v>
      </c>
      <c r="X15" s="59">
        <v>10000.000000000002</v>
      </c>
      <c r="Y15" s="59">
        <v>10000.000000000002</v>
      </c>
      <c r="Z15" s="59">
        <v>10000.000000000002</v>
      </c>
      <c r="AA15" s="59">
        <v>10000.000000000002</v>
      </c>
      <c r="AB15" s="59">
        <v>10000.000000000002</v>
      </c>
      <c r="AC15" s="59">
        <v>10000.000000000002</v>
      </c>
      <c r="AD15" s="68">
        <v>10000.000000000002</v>
      </c>
    </row>
    <row r="16" spans="1:30" x14ac:dyDescent="0.2">
      <c r="A16" s="95">
        <v>8</v>
      </c>
      <c r="B16" s="95">
        <v>0</v>
      </c>
      <c r="C16" s="95">
        <v>8</v>
      </c>
      <c r="D16" s="95"/>
      <c r="E16" s="95">
        <v>1274.5461913167699</v>
      </c>
      <c r="F16" s="95">
        <v>2892.2260751202452</v>
      </c>
      <c r="G16" s="95">
        <v>1886.7203275048666</v>
      </c>
      <c r="H16" s="95">
        <v>2149.7647256039827</v>
      </c>
      <c r="I16" s="95">
        <v>1590.3720335266075</v>
      </c>
      <c r="J16" s="95">
        <v>37.031431052337844</v>
      </c>
      <c r="K16" s="95">
        <v>0</v>
      </c>
      <c r="L16" s="95">
        <v>13.339037088819984</v>
      </c>
      <c r="M16" s="95">
        <v>3.7058476009046153</v>
      </c>
      <c r="N16" s="95">
        <v>152.29433118546652</v>
      </c>
      <c r="O16" s="95">
        <v>10000.000000000002</v>
      </c>
      <c r="Q16" s="98">
        <v>3.7058476009046153</v>
      </c>
      <c r="R16" s="95">
        <v>40.046125233824121</v>
      </c>
      <c r="S16" s="99">
        <v>15.126444971633081</v>
      </c>
      <c r="U16" s="121">
        <v>263891.02441765124</v>
      </c>
      <c r="V16" s="59">
        <v>598764.5419918457</v>
      </c>
      <c r="W16" s="59">
        <v>390578.19777590147</v>
      </c>
      <c r="X16" s="59">
        <v>916266.99325096817</v>
      </c>
      <c r="Y16" s="59">
        <v>789092.80525869015</v>
      </c>
      <c r="Z16" s="59">
        <v>203957.19766527205</v>
      </c>
      <c r="AA16" s="59">
        <v>135096.54490629578</v>
      </c>
      <c r="AB16" s="59">
        <v>3297647.3052666243</v>
      </c>
      <c r="AC16" s="59">
        <v>25159220.254134431</v>
      </c>
      <c r="AD16" s="68">
        <v>3297647.3052666243</v>
      </c>
    </row>
    <row r="17" spans="1:30" x14ac:dyDescent="0.2">
      <c r="A17" s="95">
        <v>9</v>
      </c>
      <c r="B17" s="95">
        <v>0</v>
      </c>
      <c r="C17" s="95">
        <v>9</v>
      </c>
      <c r="D17" s="95"/>
      <c r="E17" s="95">
        <v>1259.6764857514077</v>
      </c>
      <c r="F17" s="95">
        <v>2878.6228658095015</v>
      </c>
      <c r="G17" s="95">
        <v>1884.7235116342022</v>
      </c>
      <c r="H17" s="95">
        <v>2143.7304874741185</v>
      </c>
      <c r="I17" s="95">
        <v>1601.0807363284441</v>
      </c>
      <c r="J17" s="95">
        <v>41.357675104858629</v>
      </c>
      <c r="K17" s="95">
        <v>0</v>
      </c>
      <c r="L17" s="95">
        <v>14.904102013066858</v>
      </c>
      <c r="M17" s="95">
        <v>4.7421383749422503</v>
      </c>
      <c r="N17" s="95">
        <v>171.1619975094593</v>
      </c>
      <c r="O17" s="95">
        <v>10000.000000000002</v>
      </c>
      <c r="Q17" s="98">
        <v>4.7421383749422503</v>
      </c>
      <c r="R17" s="95">
        <v>45.214834342785593</v>
      </c>
      <c r="S17" s="99">
        <v>17.191723786710703</v>
      </c>
      <c r="U17" s="121">
        <v>10.083119614652206</v>
      </c>
      <c r="V17" s="59">
        <v>11.68816106703281</v>
      </c>
      <c r="W17" s="59">
        <v>13.385914272883731</v>
      </c>
      <c r="X17" s="59">
        <v>15.175265544836829</v>
      </c>
      <c r="Y17" s="59">
        <v>17.055118525398623</v>
      </c>
      <c r="Z17" s="59">
        <v>19.024393746157216</v>
      </c>
      <c r="AA17" s="59">
        <v>21.082028201374584</v>
      </c>
      <c r="AB17" s="59">
        <v>23.226974935440527</v>
      </c>
      <c r="AC17" s="59">
        <v>25.458202643684405</v>
      </c>
      <c r="AD17" s="68">
        <v>27.77469528605987</v>
      </c>
    </row>
    <row r="18" spans="1:30" x14ac:dyDescent="0.2">
      <c r="A18" s="95">
        <v>10</v>
      </c>
      <c r="B18" s="95">
        <v>0</v>
      </c>
      <c r="C18" s="95">
        <v>10</v>
      </c>
      <c r="D18" s="95"/>
      <c r="E18" s="95">
        <v>1244.9802600843079</v>
      </c>
      <c r="F18" s="95">
        <v>2864.9971057532921</v>
      </c>
      <c r="G18" s="95">
        <v>1882.6541350867119</v>
      </c>
      <c r="H18" s="95">
        <v>2137.7461777772187</v>
      </c>
      <c r="I18" s="95">
        <v>1611.6632863772804</v>
      </c>
      <c r="J18" s="95">
        <v>45.620300389290541</v>
      </c>
      <c r="K18" s="95">
        <v>0</v>
      </c>
      <c r="L18" s="95">
        <v>16.447485872220902</v>
      </c>
      <c r="M18" s="95">
        <v>5.8997340773309022</v>
      </c>
      <c r="N18" s="95">
        <v>189.99151458234755</v>
      </c>
      <c r="O18" s="95">
        <v>10000.000000000002</v>
      </c>
      <c r="Q18" s="98">
        <v>5.8997340773309022</v>
      </c>
      <c r="R18" s="95">
        <v>50.418346735853035</v>
      </c>
      <c r="S18" s="99">
        <v>19.294011471354754</v>
      </c>
      <c r="U18" s="121">
        <v>66.233624414018806</v>
      </c>
      <c r="V18" s="59">
        <v>71.572291295724284</v>
      </c>
      <c r="W18" s="59">
        <v>76.94375246373572</v>
      </c>
      <c r="X18" s="59">
        <v>82.347618085454826</v>
      </c>
      <c r="Y18" s="59">
        <v>87.783502167875014</v>
      </c>
      <c r="Z18" s="59">
        <v>93.251022495713229</v>
      </c>
      <c r="AA18" s="59">
        <v>98.749800570596989</v>
      </c>
      <c r="AB18" s="59">
        <v>104.27946155129325</v>
      </c>
      <c r="AC18" s="59">
        <v>109.83963419496605</v>
      </c>
      <c r="AD18" s="68">
        <v>115.42995079944967</v>
      </c>
    </row>
    <row r="19" spans="1:30" x14ac:dyDescent="0.2">
      <c r="A19" s="95">
        <v>11</v>
      </c>
      <c r="B19" s="95">
        <v>0</v>
      </c>
      <c r="C19" s="95">
        <v>11</v>
      </c>
      <c r="D19" s="95"/>
      <c r="E19" s="95">
        <v>1230.4554903833243</v>
      </c>
      <c r="F19" s="95">
        <v>2851.3506893373346</v>
      </c>
      <c r="G19" s="95">
        <v>1880.5129028093477</v>
      </c>
      <c r="H19" s="95">
        <v>2131.8104925688331</v>
      </c>
      <c r="I19" s="95">
        <v>1622.1209652820708</v>
      </c>
      <c r="J19" s="95">
        <v>49.820344236160345</v>
      </c>
      <c r="K19" s="95">
        <v>0</v>
      </c>
      <c r="L19" s="95">
        <v>17.969494021658758</v>
      </c>
      <c r="M19" s="95">
        <v>7.1768983388550023</v>
      </c>
      <c r="N19" s="95">
        <v>208.78272302241652</v>
      </c>
      <c r="O19" s="95">
        <v>10000.000000000002</v>
      </c>
      <c r="Q19" s="98">
        <v>7.1768983388550023</v>
      </c>
      <c r="R19" s="95">
        <v>55.656252416579193</v>
      </c>
      <c r="S19" s="99">
        <v>21.432800341000895</v>
      </c>
      <c r="U19" s="121">
        <v>25.81788762982443</v>
      </c>
      <c r="V19" s="59">
        <v>28.063207012277712</v>
      </c>
      <c r="W19" s="59">
        <v>30.343186398235979</v>
      </c>
      <c r="X19" s="59">
        <v>32.657467077188905</v>
      </c>
      <c r="Y19" s="59">
        <v>35.005693429347254</v>
      </c>
      <c r="Z19" s="59">
        <v>37.387512893489905</v>
      </c>
      <c r="AA19" s="59">
        <v>39.802575935054804</v>
      </c>
      <c r="AB19" s="59">
        <v>42.250536014476388</v>
      </c>
      <c r="AC19" s="59">
        <v>44.731049555772088</v>
      </c>
      <c r="AD19" s="68">
        <v>47.243775915380112</v>
      </c>
    </row>
    <row r="20" spans="1:30" x14ac:dyDescent="0.2">
      <c r="A20" s="95">
        <v>12</v>
      </c>
      <c r="B20" s="95">
        <v>1</v>
      </c>
      <c r="C20" s="95">
        <v>0</v>
      </c>
      <c r="D20" s="95"/>
      <c r="E20" s="95">
        <v>1216.1001763288523</v>
      </c>
      <c r="F20" s="95">
        <v>2837.6854741645361</v>
      </c>
      <c r="G20" s="95">
        <v>1878.3005247670092</v>
      </c>
      <c r="H20" s="95">
        <v>2125.9221500580043</v>
      </c>
      <c r="I20" s="95">
        <v>1632.4550339301163</v>
      </c>
      <c r="J20" s="95">
        <v>53.958824541954428</v>
      </c>
      <c r="K20" s="95">
        <v>0</v>
      </c>
      <c r="L20" s="95">
        <v>19.470427739347212</v>
      </c>
      <c r="M20" s="95">
        <v>8.5719213887074588</v>
      </c>
      <c r="N20" s="95">
        <v>227.53546708147408</v>
      </c>
      <c r="O20" s="95">
        <v>10000.000000000002</v>
      </c>
      <c r="Q20" s="98">
        <v>8.5719213887074588</v>
      </c>
      <c r="R20" s="95">
        <v>60.928145553745921</v>
      </c>
      <c r="S20" s="99">
        <v>23.607590084501552</v>
      </c>
      <c r="U20" s="121">
        <v>253663.41037324638</v>
      </c>
      <c r="V20" s="59">
        <v>591815.15060101775</v>
      </c>
      <c r="W20" s="59">
        <v>391698.76997364516</v>
      </c>
      <c r="X20" s="59">
        <v>912785.63143162453</v>
      </c>
      <c r="Y20" s="59">
        <v>815897.18226594804</v>
      </c>
      <c r="Z20" s="59">
        <v>299388.66865386715</v>
      </c>
      <c r="AA20" s="59">
        <v>198654.5160284607</v>
      </c>
      <c r="AB20" s="59">
        <v>3463903.3293278096</v>
      </c>
      <c r="AC20" s="59">
        <v>38767681.11238686</v>
      </c>
      <c r="AD20" s="68">
        <v>3463903.3293278096</v>
      </c>
    </row>
    <row r="21" spans="1:30" x14ac:dyDescent="0.2">
      <c r="A21" s="95">
        <v>13</v>
      </c>
      <c r="B21" s="95">
        <v>1</v>
      </c>
      <c r="C21" s="95">
        <v>1</v>
      </c>
      <c r="D21" s="95"/>
      <c r="E21" s="95">
        <v>1201.912340938349</v>
      </c>
      <c r="F21" s="95">
        <v>2824.0032816162616</v>
      </c>
      <c r="G21" s="95">
        <v>1876.0177156222012</v>
      </c>
      <c r="H21" s="95">
        <v>2120.0798904008357</v>
      </c>
      <c r="I21" s="95">
        <v>1642.6667328324529</v>
      </c>
      <c r="J21" s="95">
        <v>54.492615143897844</v>
      </c>
      <c r="K21" s="95">
        <v>3.5441250000000002</v>
      </c>
      <c r="L21" s="95">
        <v>20.95058424444457</v>
      </c>
      <c r="M21" s="95">
        <v>10.083119614652206</v>
      </c>
      <c r="N21" s="95">
        <v>246.24959458690623</v>
      </c>
      <c r="O21" s="95">
        <v>10000.000000000002</v>
      </c>
      <c r="Q21" s="98">
        <v>10.083119614652206</v>
      </c>
      <c r="R21" s="95">
        <v>66.233624414018806</v>
      </c>
      <c r="S21" s="99">
        <v>25.81788762982443</v>
      </c>
      <c r="U21" s="121">
        <v>251169.05350457612</v>
      </c>
      <c r="V21" s="59">
        <v>590047.0269395163</v>
      </c>
      <c r="W21" s="59">
        <v>391941.16469316807</v>
      </c>
      <c r="X21" s="59">
        <v>911950.3579658001</v>
      </c>
      <c r="Y21" s="59">
        <v>822498.82989760197</v>
      </c>
      <c r="Z21" s="59">
        <v>322609.292446865</v>
      </c>
      <c r="AA21" s="59">
        <v>214150.85674186403</v>
      </c>
      <c r="AB21" s="59">
        <v>3504366.5821893914</v>
      </c>
      <c r="AC21" s="59">
        <v>42272047.694576249</v>
      </c>
      <c r="AD21" s="68">
        <v>3504366.5821893914</v>
      </c>
    </row>
    <row r="22" spans="1:30" x14ac:dyDescent="0.2">
      <c r="A22" s="95">
        <v>14</v>
      </c>
      <c r="B22" s="95">
        <v>1</v>
      </c>
      <c r="C22" s="95">
        <v>2</v>
      </c>
      <c r="D22" s="95"/>
      <c r="E22" s="95">
        <v>1187.8900302940683</v>
      </c>
      <c r="F22" s="95">
        <v>2810.305897405864</v>
      </c>
      <c r="G22" s="95">
        <v>1873.6651944224852</v>
      </c>
      <c r="H22" s="95">
        <v>2114.2824754932481</v>
      </c>
      <c r="I22" s="95">
        <v>1652.7572824650554</v>
      </c>
      <c r="J22" s="95">
        <v>55.019648339412974</v>
      </c>
      <c r="K22" s="95">
        <v>7.0560969104166666</v>
      </c>
      <c r="L22" s="95">
        <v>22.410256717731183</v>
      </c>
      <c r="M22" s="95">
        <v>11.68816106703281</v>
      </c>
      <c r="N22" s="95">
        <v>264.92495688468659</v>
      </c>
      <c r="O22" s="95">
        <v>10000.000000000002</v>
      </c>
      <c r="Q22" s="98">
        <v>11.68816106703281</v>
      </c>
      <c r="R22" s="95">
        <v>71.572291295724284</v>
      </c>
      <c r="S22" s="99">
        <v>28.063207012277712</v>
      </c>
      <c r="U22" s="121">
        <v>248699.22447844775</v>
      </c>
      <c r="V22" s="59">
        <v>588267.25485145277</v>
      </c>
      <c r="W22" s="59">
        <v>392168.59105666686</v>
      </c>
      <c r="X22" s="59">
        <v>911128.21889578702</v>
      </c>
      <c r="Y22" s="59">
        <v>829061.36931093025</v>
      </c>
      <c r="Z22" s="59">
        <v>345698.57830287097</v>
      </c>
      <c r="AA22" s="59">
        <v>229493.93321699722</v>
      </c>
      <c r="AB22" s="59">
        <v>3544517.1701131528</v>
      </c>
      <c r="AC22" s="59">
        <v>45816564.864689402</v>
      </c>
      <c r="AD22" s="68">
        <v>3544517.1701131528</v>
      </c>
    </row>
    <row r="23" spans="1:30" x14ac:dyDescent="0.2">
      <c r="A23" s="95">
        <v>15</v>
      </c>
      <c r="B23" s="95">
        <v>1</v>
      </c>
      <c r="C23" s="95">
        <v>3</v>
      </c>
      <c r="D23" s="95"/>
      <c r="E23" s="95">
        <v>1174.0313132739709</v>
      </c>
      <c r="F23" s="95">
        <v>2796.5950721245786</v>
      </c>
      <c r="G23" s="95">
        <v>1871.2436842955756</v>
      </c>
      <c r="H23" s="95">
        <v>2108.5286887630095</v>
      </c>
      <c r="I23" s="95">
        <v>1662.7278836058781</v>
      </c>
      <c r="J23" s="95">
        <v>55.540008280543034</v>
      </c>
      <c r="K23" s="95">
        <v>10.536135498175174</v>
      </c>
      <c r="L23" s="95">
        <v>23.849851476774528</v>
      </c>
      <c r="M23" s="95">
        <v>13.385914272883731</v>
      </c>
      <c r="N23" s="95">
        <v>283.56144840861248</v>
      </c>
      <c r="O23" s="95">
        <v>10000.000000000002</v>
      </c>
      <c r="Q23" s="98">
        <v>13.385914272883731</v>
      </c>
      <c r="R23" s="95">
        <v>76.94375246373572</v>
      </c>
      <c r="S23" s="99">
        <v>30.343186398235979</v>
      </c>
      <c r="U23" s="121">
        <v>246253.68210440967</v>
      </c>
      <c r="V23" s="59">
        <v>586476.15696368227</v>
      </c>
      <c r="W23" s="59">
        <v>392381.11748537666</v>
      </c>
      <c r="X23" s="59">
        <v>910318.7779891903</v>
      </c>
      <c r="Y23" s="59">
        <v>835585.12431741296</v>
      </c>
      <c r="Z23" s="59">
        <v>368657.23418153613</v>
      </c>
      <c r="AA23" s="59">
        <v>244686.91042810163</v>
      </c>
      <c r="AB23" s="59">
        <v>3584359.0034697098</v>
      </c>
      <c r="AC23" s="59">
        <v>49400923.868159115</v>
      </c>
      <c r="AD23" s="68">
        <v>3584359.0034697098</v>
      </c>
    </row>
    <row r="24" spans="1:30" x14ac:dyDescent="0.2">
      <c r="A24" s="95">
        <v>16</v>
      </c>
      <c r="B24" s="95">
        <v>1</v>
      </c>
      <c r="C24" s="95">
        <v>4</v>
      </c>
      <c r="D24" s="95"/>
      <c r="E24" s="95">
        <v>1160.3342812857745</v>
      </c>
      <c r="F24" s="95">
        <v>2782.8725217798788</v>
      </c>
      <c r="G24" s="95">
        <v>1868.7539121519358</v>
      </c>
      <c r="H24" s="95">
        <v>2102.817334961127</v>
      </c>
      <c r="I24" s="95">
        <v>1672.5797176677499</v>
      </c>
      <c r="J24" s="95">
        <v>56.053777657021008</v>
      </c>
      <c r="K24" s="95">
        <v>13.984460262856489</v>
      </c>
      <c r="L24" s="95">
        <v>25.269762725348411</v>
      </c>
      <c r="M24" s="95">
        <v>15.175265544836829</v>
      </c>
      <c r="N24" s="95">
        <v>302.15896596347289</v>
      </c>
      <c r="O24" s="95">
        <v>10000.000000000002</v>
      </c>
      <c r="Q24" s="98">
        <v>15.175265544836829</v>
      </c>
      <c r="R24" s="95">
        <v>82.347618085454826</v>
      </c>
      <c r="S24" s="99">
        <v>32.657467077188905</v>
      </c>
      <c r="U24" s="121">
        <v>243832.18756371629</v>
      </c>
      <c r="V24" s="59">
        <v>584674.05123929388</v>
      </c>
      <c r="W24" s="59">
        <v>392578.81399589183</v>
      </c>
      <c r="X24" s="59">
        <v>909521.60467555339</v>
      </c>
      <c r="Y24" s="59">
        <v>842070.4123616867</v>
      </c>
      <c r="Z24" s="59">
        <v>391485.9675057517</v>
      </c>
      <c r="AA24" s="59">
        <v>259732.85556652886</v>
      </c>
      <c r="AB24" s="59">
        <v>3623895.8929084227</v>
      </c>
      <c r="AC24" s="59">
        <v>53024819.761067539</v>
      </c>
      <c r="AD24" s="68">
        <v>3623895.8929084227</v>
      </c>
    </row>
    <row r="25" spans="1:30" x14ac:dyDescent="0.2">
      <c r="A25" s="95">
        <v>17</v>
      </c>
      <c r="B25" s="95">
        <v>1</v>
      </c>
      <c r="C25" s="95">
        <v>5</v>
      </c>
      <c r="D25" s="95"/>
      <c r="E25" s="95">
        <v>1146.7970480041072</v>
      </c>
      <c r="F25" s="95">
        <v>2769.1399283263963</v>
      </c>
      <c r="G25" s="95">
        <v>1866.1966083947327</v>
      </c>
      <c r="H25" s="95">
        <v>2097.1472399526801</v>
      </c>
      <c r="I25" s="95">
        <v>1682.3139470271451</v>
      </c>
      <c r="J25" s="95">
        <v>56.561037722449583</v>
      </c>
      <c r="K25" s="95">
        <v>17.401290385370885</v>
      </c>
      <c r="L25" s="95">
        <v>26.670372975306194</v>
      </c>
      <c r="M25" s="95">
        <v>17.055118525398623</v>
      </c>
      <c r="N25" s="95">
        <v>320.71740868641535</v>
      </c>
      <c r="O25" s="95">
        <v>10000.000000000002</v>
      </c>
      <c r="Q25" s="98">
        <v>17.055118525398623</v>
      </c>
      <c r="R25" s="95">
        <v>87.783502167875014</v>
      </c>
      <c r="S25" s="99">
        <v>35.005693429347254</v>
      </c>
      <c r="U25" s="121">
        <v>241434.50438600642</v>
      </c>
      <c r="V25" s="59">
        <v>582861.2510341584</v>
      </c>
      <c r="W25" s="59">
        <v>392761.7521510449</v>
      </c>
      <c r="X25" s="59">
        <v>908736.27402399981</v>
      </c>
      <c r="Y25" s="59">
        <v>848517.54461391945</v>
      </c>
      <c r="Z25" s="59">
        <v>414185.4849683987</v>
      </c>
      <c r="AA25" s="59">
        <v>274634.74137086619</v>
      </c>
      <c r="AB25" s="59">
        <v>3663131.5525483941</v>
      </c>
      <c r="AC25" s="59">
        <v>56687951.313615933</v>
      </c>
      <c r="AD25" s="68">
        <v>3663131.5525483941</v>
      </c>
    </row>
    <row r="26" spans="1:30" x14ac:dyDescent="0.2">
      <c r="A26" s="95">
        <v>18</v>
      </c>
      <c r="B26" s="95">
        <v>1</v>
      </c>
      <c r="C26" s="95">
        <v>6</v>
      </c>
      <c r="D26" s="95"/>
      <c r="E26" s="95">
        <v>1133.4177491107259</v>
      </c>
      <c r="F26" s="95">
        <v>2755.3989401894987</v>
      </c>
      <c r="G26" s="95">
        <v>1863.5725066370076</v>
      </c>
      <c r="H26" s="95">
        <v>2091.5172505071755</v>
      </c>
      <c r="I26" s="95">
        <v>1691.9317153488491</v>
      </c>
      <c r="J26" s="95">
        <v>57.061868320057556</v>
      </c>
      <c r="K26" s="95">
        <v>20.786844678396214</v>
      </c>
      <c r="L26" s="95">
        <v>28.052053452874862</v>
      </c>
      <c r="M26" s="95">
        <v>19.024393746157216</v>
      </c>
      <c r="N26" s="95">
        <v>339.23667800925938</v>
      </c>
      <c r="O26" s="95">
        <v>10000.000000000002</v>
      </c>
      <c r="Q26" s="98">
        <v>19.024393746157216</v>
      </c>
      <c r="R26" s="95">
        <v>93.251022495713229</v>
      </c>
      <c r="S26" s="99">
        <v>37.387512893489905</v>
      </c>
      <c r="U26" s="121">
        <v>239060.39842621071</v>
      </c>
      <c r="V26" s="59">
        <v>581038.06515284383</v>
      </c>
      <c r="W26" s="59">
        <v>392930.00501168054</v>
      </c>
      <c r="X26" s="59">
        <v>907962.36672008131</v>
      </c>
      <c r="Y26" s="59">
        <v>854926.82606151747</v>
      </c>
      <c r="Z26" s="59">
        <v>436756.49234490463</v>
      </c>
      <c r="AA26" s="59">
        <v>289395.44933847722</v>
      </c>
      <c r="AB26" s="59">
        <v>3702069.6030557156</v>
      </c>
      <c r="AC26" s="59">
        <v>60390020.916671649</v>
      </c>
      <c r="AD26" s="68">
        <v>3702069.6030557156</v>
      </c>
    </row>
    <row r="27" spans="1:30" x14ac:dyDescent="0.2">
      <c r="A27" s="95">
        <v>19</v>
      </c>
      <c r="B27" s="95">
        <v>1</v>
      </c>
      <c r="C27" s="95">
        <v>7</v>
      </c>
      <c r="D27" s="95"/>
      <c r="E27" s="95">
        <v>1120.1945420377674</v>
      </c>
      <c r="F27" s="95">
        <v>2741.6511727816228</v>
      </c>
      <c r="G27" s="95">
        <v>1860.8823434259255</v>
      </c>
      <c r="H27" s="95">
        <v>2085.9262340885043</v>
      </c>
      <c r="I27" s="95">
        <v>1701.4341479065424</v>
      </c>
      <c r="J27" s="95">
        <v>57.556347908039115</v>
      </c>
      <c r="K27" s="95">
        <v>24.141341538540907</v>
      </c>
      <c r="L27" s="95">
        <v>29.41516448995695</v>
      </c>
      <c r="M27" s="95">
        <v>21.082028201374584</v>
      </c>
      <c r="N27" s="95">
        <v>357.71667762172819</v>
      </c>
      <c r="O27" s="95">
        <v>10000.000000000002</v>
      </c>
      <c r="Q27" s="98">
        <v>21.082028201374584</v>
      </c>
      <c r="R27" s="95">
        <v>98.749800570596989</v>
      </c>
      <c r="S27" s="99">
        <v>39.802575935054804</v>
      </c>
      <c r="U27" s="121">
        <v>236709.63784168629</v>
      </c>
      <c r="V27" s="59">
        <v>579204.79790390399</v>
      </c>
      <c r="W27" s="59">
        <v>393083.64708931203</v>
      </c>
      <c r="X27" s="59">
        <v>907199.46904185985</v>
      </c>
      <c r="Y27" s="59">
        <v>861298.55560015922</v>
      </c>
      <c r="Z27" s="59">
        <v>459199.69431150012</v>
      </c>
      <c r="AA27" s="59">
        <v>304017.77282273193</v>
      </c>
      <c r="AB27" s="59">
        <v>3740713.5746111535</v>
      </c>
      <c r="AC27" s="59">
        <v>64130734.491282806</v>
      </c>
      <c r="AD27" s="68">
        <v>3740713.5746111535</v>
      </c>
    </row>
    <row r="28" spans="1:30" x14ac:dyDescent="0.2">
      <c r="A28" s="95">
        <v>20</v>
      </c>
      <c r="B28" s="95">
        <v>1</v>
      </c>
      <c r="C28" s="95">
        <v>8</v>
      </c>
      <c r="D28" s="95"/>
      <c r="E28" s="95">
        <v>1107.1256057139935</v>
      </c>
      <c r="F28" s="95">
        <v>2727.8982090114564</v>
      </c>
      <c r="G28" s="95">
        <v>1858.1268579739697</v>
      </c>
      <c r="H28" s="95">
        <v>2080.3730786445717</v>
      </c>
      <c r="I28" s="95">
        <v>1710.8223518993232</v>
      </c>
      <c r="J28" s="95">
        <v>58.044553584482323</v>
      </c>
      <c r="K28" s="95">
        <v>27.464998900192423</v>
      </c>
      <c r="L28" s="95">
        <v>30.760055901005153</v>
      </c>
      <c r="M28" s="95">
        <v>23.226974935440527</v>
      </c>
      <c r="N28" s="95">
        <v>376.15731343556729</v>
      </c>
      <c r="O28" s="95">
        <v>10000.000000000002</v>
      </c>
      <c r="Q28" s="98">
        <v>23.226974935440527</v>
      </c>
      <c r="R28" s="95">
        <v>104.27946155129325</v>
      </c>
      <c r="S28" s="99">
        <v>42.250536014476388</v>
      </c>
      <c r="U28" s="121">
        <v>234381.99306957639</v>
      </c>
      <c r="V28" s="59">
        <v>577361.74915454921</v>
      </c>
      <c r="W28" s="59">
        <v>393222.75429964747</v>
      </c>
      <c r="X28" s="59">
        <v>906447.17283524631</v>
      </c>
      <c r="Y28" s="59">
        <v>867633.02612415119</v>
      </c>
      <c r="Z28" s="59">
        <v>481515.79426907032</v>
      </c>
      <c r="AA28" s="59">
        <v>318504.42002004629</v>
      </c>
      <c r="AB28" s="59">
        <v>3779066.9097722871</v>
      </c>
      <c r="AC28" s="59">
        <v>67909801.401055098</v>
      </c>
      <c r="AD28" s="68">
        <v>3779066.9097722871</v>
      </c>
    </row>
    <row r="29" spans="1:30" x14ac:dyDescent="0.2">
      <c r="A29" s="95">
        <v>21</v>
      </c>
      <c r="B29" s="95">
        <v>1</v>
      </c>
      <c r="C29" s="95">
        <v>9</v>
      </c>
      <c r="D29" s="95"/>
      <c r="E29" s="95">
        <v>1094.2091403139968</v>
      </c>
      <c r="F29" s="95">
        <v>2714.1415997860649</v>
      </c>
      <c r="G29" s="95">
        <v>1855.3067918969443</v>
      </c>
      <c r="H29" s="95">
        <v>2074.8566923966782</v>
      </c>
      <c r="I29" s="95">
        <v>1720.0974167641916</v>
      </c>
      <c r="J29" s="95">
        <v>58.526561111893159</v>
      </c>
      <c r="K29" s="95">
        <v>30.758034191012491</v>
      </c>
      <c r="L29" s="95">
        <v>32.087067346013157</v>
      </c>
      <c r="M29" s="95">
        <v>25.458202643684405</v>
      </c>
      <c r="N29" s="95">
        <v>394.55849354952289</v>
      </c>
      <c r="O29" s="95">
        <v>10000.000000000002</v>
      </c>
      <c r="Q29" s="98">
        <v>25.458202643684405</v>
      </c>
      <c r="R29" s="95">
        <v>109.83963419496605</v>
      </c>
      <c r="S29" s="99">
        <v>44.731049555772088</v>
      </c>
      <c r="U29" s="121">
        <v>232077.23680439222</v>
      </c>
      <c r="V29" s="59">
        <v>575509.21438470331</v>
      </c>
      <c r="W29" s="59">
        <v>393347.40391697077</v>
      </c>
      <c r="X29" s="59">
        <v>905705.07548862498</v>
      </c>
      <c r="Y29" s="59">
        <v>873930.52461609768</v>
      </c>
      <c r="Z29" s="59">
        <v>503705.49417249893</v>
      </c>
      <c r="AA29" s="59">
        <v>332858.01685070409</v>
      </c>
      <c r="AB29" s="59">
        <v>3817132.966233992</v>
      </c>
      <c r="AC29" s="59">
        <v>71726934.367289096</v>
      </c>
      <c r="AD29" s="68">
        <v>3817132.966233992</v>
      </c>
    </row>
    <row r="30" spans="1:30" x14ac:dyDescent="0.2">
      <c r="A30" s="95">
        <v>22</v>
      </c>
      <c r="B30" s="95">
        <v>1</v>
      </c>
      <c r="C30" s="95">
        <v>10</v>
      </c>
      <c r="D30" s="95"/>
      <c r="E30" s="95">
        <v>1081.4433670103335</v>
      </c>
      <c r="F30" s="95">
        <v>2700.3828645060516</v>
      </c>
      <c r="G30" s="95">
        <v>1852.422888958657</v>
      </c>
      <c r="H30" s="95">
        <v>2069.3760036287194</v>
      </c>
      <c r="I30" s="95">
        <v>1729.2604144845197</v>
      </c>
      <c r="J30" s="95">
        <v>59.00244494132118</v>
      </c>
      <c r="K30" s="95">
        <v>34.020664289041228</v>
      </c>
      <c r="L30" s="95">
        <v>33.396528680145686</v>
      </c>
      <c r="M30" s="95">
        <v>27.77469528605987</v>
      </c>
      <c r="N30" s="95">
        <v>412.92012821515254</v>
      </c>
      <c r="O30" s="95">
        <v>10000.000000000002</v>
      </c>
      <c r="Q30" s="98">
        <v>27.77469528605987</v>
      </c>
      <c r="R30" s="95">
        <v>115.42995079944967</v>
      </c>
      <c r="S30" s="99">
        <v>47.243775915380112</v>
      </c>
      <c r="U30" s="121">
        <v>229795.14397581571</v>
      </c>
      <c r="V30" s="59">
        <v>573647.48474045575</v>
      </c>
      <c r="W30" s="59">
        <v>393457.67452936631</v>
      </c>
      <c r="X30" s="59">
        <v>904972.77990678372</v>
      </c>
      <c r="Y30" s="59">
        <v>880191.33223588415</v>
      </c>
      <c r="Z30" s="59">
        <v>525769.49436540133</v>
      </c>
      <c r="AA30" s="59">
        <v>347081.10973729019</v>
      </c>
      <c r="AB30" s="59">
        <v>3854915.0194909973</v>
      </c>
      <c r="AC30" s="59">
        <v>75581849.386780098</v>
      </c>
      <c r="AD30" s="68">
        <v>3854915.0194909973</v>
      </c>
    </row>
    <row r="31" spans="1:30" x14ac:dyDescent="0.2">
      <c r="A31" s="95">
        <v>23</v>
      </c>
      <c r="B31" s="95">
        <v>1</v>
      </c>
      <c r="C31" s="95">
        <v>11</v>
      </c>
      <c r="D31" s="95"/>
      <c r="E31" s="95">
        <v>1068.8265277285464</v>
      </c>
      <c r="F31" s="95">
        <v>2686.623491553848</v>
      </c>
      <c r="G31" s="95">
        <v>1849.4758948221508</v>
      </c>
      <c r="H31" s="95">
        <v>2063.9299604762732</v>
      </c>
      <c r="I31" s="95">
        <v>1738.3123998945287</v>
      </c>
      <c r="J31" s="95">
        <v>59.47227823609289</v>
      </c>
      <c r="K31" s="95">
        <v>37.253105481372863</v>
      </c>
      <c r="L31" s="95">
        <v>34.688760290510885</v>
      </c>
      <c r="M31" s="95">
        <v>30.175451713236143</v>
      </c>
      <c r="N31" s="95">
        <v>431.24212980344191</v>
      </c>
      <c r="O31" s="95">
        <v>10000.000000000002</v>
      </c>
      <c r="Q31" s="98">
        <v>30.175451713236143</v>
      </c>
      <c r="R31" s="95">
        <v>121.05004714652436</v>
      </c>
      <c r="S31" s="99">
        <v>49.788377351250773</v>
      </c>
      <c r="U31" s="121">
        <v>227535.49172672018</v>
      </c>
      <c r="V31" s="59">
        <v>571776.8470869133</v>
      </c>
      <c r="W31" s="59">
        <v>393553.64599477343</v>
      </c>
      <c r="X31" s="59">
        <v>904249.89448417944</v>
      </c>
      <c r="Y31" s="59">
        <v>886415.72440896393</v>
      </c>
      <c r="Z31" s="59">
        <v>547708.49342014675</v>
      </c>
      <c r="AA31" s="59">
        <v>361176.1682844265</v>
      </c>
      <c r="AB31" s="59">
        <v>3892416.2654061234</v>
      </c>
      <c r="AC31" s="59">
        <v>79474265.652186215</v>
      </c>
      <c r="AD31" s="68">
        <v>3892416.2654061234</v>
      </c>
    </row>
    <row r="32" spans="1:30" x14ac:dyDescent="0.2">
      <c r="A32" s="95">
        <v>24</v>
      </c>
      <c r="B32" s="95">
        <v>2</v>
      </c>
      <c r="C32" s="95">
        <v>0</v>
      </c>
      <c r="D32" s="95"/>
      <c r="E32" s="95">
        <v>1056.3568849050466</v>
      </c>
      <c r="F32" s="95">
        <v>2672.8649387752166</v>
      </c>
      <c r="G32" s="95">
        <v>1846.4665568073599</v>
      </c>
      <c r="H32" s="95">
        <v>2058.5175307156446</v>
      </c>
      <c r="I32" s="95">
        <v>1747.2544109798007</v>
      </c>
      <c r="J32" s="95">
        <v>59.936132895158785</v>
      </c>
      <c r="K32" s="95">
        <v>40.45557342436652</v>
      </c>
      <c r="L32" s="95">
        <v>35.964073420559316</v>
      </c>
      <c r="M32" s="95">
        <v>32.659485304647042</v>
      </c>
      <c r="N32" s="95">
        <v>449.52441277220163</v>
      </c>
      <c r="O32" s="95">
        <v>10000.000000000002</v>
      </c>
      <c r="Q32" s="98">
        <v>32.659485304647042</v>
      </c>
      <c r="R32" s="95">
        <v>126.69956244618159</v>
      </c>
      <c r="S32" s="99">
        <v>52.364518992193361</v>
      </c>
      <c r="U32" s="121">
        <v>225298.05939140744</v>
      </c>
      <c r="V32" s="59">
        <v>569897.58406045928</v>
      </c>
      <c r="W32" s="59">
        <v>393635.39939785842</v>
      </c>
      <c r="X32" s="59">
        <v>903536.03307755699</v>
      </c>
      <c r="Y32" s="59">
        <v>892603.97091394919</v>
      </c>
      <c r="Z32" s="59">
        <v>569523.18798307015</v>
      </c>
      <c r="AA32" s="59">
        <v>375145.58786336979</v>
      </c>
      <c r="AB32" s="59">
        <v>3929639.8226876711</v>
      </c>
      <c r="AC32" s="59">
        <v>83403905.474873886</v>
      </c>
      <c r="AD32" s="68">
        <v>3929639.8226876711</v>
      </c>
    </row>
    <row r="33" spans="1:30" x14ac:dyDescent="0.2">
      <c r="A33" s="95">
        <v>25</v>
      </c>
      <c r="B33" s="95">
        <v>2</v>
      </c>
      <c r="C33" s="95">
        <v>1</v>
      </c>
      <c r="D33" s="95"/>
      <c r="E33" s="95">
        <v>1044.032721247821</v>
      </c>
      <c r="F33" s="95">
        <v>2659.1086339540639</v>
      </c>
      <c r="G33" s="95">
        <v>1843.3956236550632</v>
      </c>
      <c r="H33" s="95">
        <v>2053.1377015529288</v>
      </c>
      <c r="I33" s="95">
        <v>1756.0874691738466</v>
      </c>
      <c r="J33" s="95">
        <v>60.394079576059887</v>
      </c>
      <c r="K33" s="95">
        <v>43.628283105356033</v>
      </c>
      <c r="L33" s="95">
        <v>37.22277048257542</v>
      </c>
      <c r="M33" s="95">
        <v>35.225823618065938</v>
      </c>
      <c r="N33" s="95">
        <v>467.76689363422105</v>
      </c>
      <c r="O33" s="95">
        <v>10000.000000000002</v>
      </c>
      <c r="Q33" s="98">
        <v>35.225823618065938</v>
      </c>
      <c r="R33" s="95">
        <v>132.37813928186594</v>
      </c>
      <c r="S33" s="99">
        <v>54.97186880748044</v>
      </c>
      <c r="U33" s="121">
        <v>223082.62847405861</v>
      </c>
      <c r="V33" s="59">
        <v>568009.97412042564</v>
      </c>
      <c r="W33" s="59">
        <v>393703.01700769161</v>
      </c>
      <c r="X33" s="59">
        <v>902830.81497794786</v>
      </c>
      <c r="Y33" s="59">
        <v>898756.33596949733</v>
      </c>
      <c r="Z33" s="59">
        <v>591214.27262477472</v>
      </c>
      <c r="AA33" s="59">
        <v>388991.69210490189</v>
      </c>
      <c r="AB33" s="59">
        <v>3966588.7352792975</v>
      </c>
      <c r="AC33" s="59">
        <v>87370494.210153177</v>
      </c>
      <c r="AD33" s="68">
        <v>3966588.7352792975</v>
      </c>
    </row>
    <row r="34" spans="1:30" x14ac:dyDescent="0.2">
      <c r="A34" s="95">
        <v>26</v>
      </c>
      <c r="B34" s="95">
        <v>2</v>
      </c>
      <c r="C34" s="95">
        <v>2</v>
      </c>
      <c r="D34" s="95"/>
      <c r="E34" s="95">
        <v>1031.8523394999297</v>
      </c>
      <c r="F34" s="95">
        <v>2645.3559752806436</v>
      </c>
      <c r="G34" s="95">
        <v>1840.263845297015</v>
      </c>
      <c r="H34" s="95">
        <v>2047.789479413158</v>
      </c>
      <c r="I34" s="95">
        <v>1764.8125796507572</v>
      </c>
      <c r="J34" s="95">
        <v>60.846187717519655</v>
      </c>
      <c r="K34" s="95">
        <v>46.771448805823638</v>
      </c>
      <c r="L34" s="95">
        <v>38.465145358709684</v>
      </c>
      <c r="M34" s="95">
        <v>37.873508050291143</v>
      </c>
      <c r="N34" s="95">
        <v>485.96949092615421</v>
      </c>
      <c r="O34" s="95">
        <v>10000.000000000002</v>
      </c>
      <c r="Q34" s="98">
        <v>37.873508050291143</v>
      </c>
      <c r="R34" s="95">
        <v>138.08542355668095</v>
      </c>
      <c r="S34" s="99">
        <v>57.610097576711283</v>
      </c>
      <c r="U34" s="121">
        <v>220888.98262739705</v>
      </c>
      <c r="V34" s="59">
        <v>566114.29160018463</v>
      </c>
      <c r="W34" s="59">
        <v>393756.58223621704</v>
      </c>
      <c r="X34" s="59">
        <v>902133.86488207127</v>
      </c>
      <c r="Y34" s="59">
        <v>904873.07832049357</v>
      </c>
      <c r="Z34" s="59">
        <v>612782.43969542941</v>
      </c>
      <c r="AA34" s="59">
        <v>402716.7353038193</v>
      </c>
      <c r="AB34" s="59">
        <v>4003265.9746656124</v>
      </c>
      <c r="AC34" s="59">
        <v>91373760.184818789</v>
      </c>
      <c r="AD34" s="68">
        <v>4003265.9746656124</v>
      </c>
    </row>
    <row r="35" spans="1:30" x14ac:dyDescent="0.2">
      <c r="A35" s="95">
        <v>27</v>
      </c>
      <c r="B35" s="95">
        <v>2</v>
      </c>
      <c r="C35" s="95">
        <v>3</v>
      </c>
      <c r="D35" s="95"/>
      <c r="E35" s="95">
        <v>1019.8140622057639</v>
      </c>
      <c r="F35" s="95">
        <v>2631.6083318132423</v>
      </c>
      <c r="G35" s="95">
        <v>1837.0719726321302</v>
      </c>
      <c r="H35" s="95">
        <v>2042.4718897295925</v>
      </c>
      <c r="I35" s="95">
        <v>1773.430731613963</v>
      </c>
      <c r="J35" s="95">
        <v>61.292525561666736</v>
      </c>
      <c r="K35" s="95">
        <v>49.885284066002768</v>
      </c>
      <c r="L35" s="95">
        <v>39.691483690982899</v>
      </c>
      <c r="M35" s="95">
        <v>40.601593508541967</v>
      </c>
      <c r="N35" s="95">
        <v>504.13212517811604</v>
      </c>
      <c r="O35" s="95">
        <v>10000.000000000002</v>
      </c>
      <c r="Q35" s="98">
        <v>40.601593508541967</v>
      </c>
      <c r="R35" s="95">
        <v>143.82106444054591</v>
      </c>
      <c r="S35" s="99">
        <v>60.278878859936114</v>
      </c>
      <c r="U35" s="121">
        <v>218716.90763156096</v>
      </c>
      <c r="V35" s="59">
        <v>564210.8067576671</v>
      </c>
      <c r="W35" s="59">
        <v>393796.17959750316</v>
      </c>
      <c r="X35" s="59">
        <v>901444.81286315783</v>
      </c>
      <c r="Y35" s="59">
        <v>910954.45132352179</v>
      </c>
      <c r="Z35" s="59">
        <v>634228.37918496318</v>
      </c>
      <c r="AA35" s="59">
        <v>416322.90473821072</v>
      </c>
      <c r="AB35" s="59">
        <v>4039674.4420965849</v>
      </c>
      <c r="AC35" s="59">
        <v>95413434.62691538</v>
      </c>
      <c r="AD35" s="68">
        <v>4039674.4420965849</v>
      </c>
    </row>
    <row r="36" spans="1:30" x14ac:dyDescent="0.2">
      <c r="A36" s="95">
        <v>28</v>
      </c>
      <c r="B36" s="95">
        <v>2</v>
      </c>
      <c r="C36" s="95">
        <v>4</v>
      </c>
      <c r="D36" s="95"/>
      <c r="E36" s="95">
        <v>1007.91623148003</v>
      </c>
      <c r="F36" s="95">
        <v>2617.8670439334292</v>
      </c>
      <c r="G36" s="95">
        <v>1833.8207573086077</v>
      </c>
      <c r="H36" s="95">
        <v>2037.1839767332126</v>
      </c>
      <c r="I36" s="95">
        <v>1781.9428985811273</v>
      </c>
      <c r="J36" s="95">
        <v>61.733160175894405</v>
      </c>
      <c r="K36" s="95">
        <v>52.970001650876007</v>
      </c>
      <c r="L36" s="95">
        <v>40.902063160677457</v>
      </c>
      <c r="M36" s="95">
        <v>43.409148092180743</v>
      </c>
      <c r="N36" s="95">
        <v>522.25471888396658</v>
      </c>
      <c r="O36" s="95">
        <v>10000.000000000002</v>
      </c>
      <c r="Q36" s="98">
        <v>43.409148092180743</v>
      </c>
      <c r="R36" s="95">
        <v>149.58471431829128</v>
      </c>
      <c r="S36" s="99">
        <v>62.977888968042535</v>
      </c>
      <c r="U36" s="121">
        <v>216566.19137318397</v>
      </c>
      <c r="V36" s="59">
        <v>562299.78582531156</v>
      </c>
      <c r="W36" s="59">
        <v>393821.89466776181</v>
      </c>
      <c r="X36" s="59">
        <v>900763.29434122005</v>
      </c>
      <c r="Y36" s="59">
        <v>917000.70303162339</v>
      </c>
      <c r="Z36" s="59">
        <v>655552.77858806495</v>
      </c>
      <c r="AA36" s="59">
        <v>429812.32290659589</v>
      </c>
      <c r="AB36" s="59">
        <v>4075816.9707337618</v>
      </c>
      <c r="AC36" s="59">
        <v>99489251.597649142</v>
      </c>
      <c r="AD36" s="68">
        <v>4075816.9707337618</v>
      </c>
    </row>
    <row r="37" spans="1:30" x14ac:dyDescent="0.2">
      <c r="A37" s="95">
        <v>29</v>
      </c>
      <c r="B37" s="95">
        <v>2</v>
      </c>
      <c r="C37" s="95">
        <v>5</v>
      </c>
      <c r="D37" s="95"/>
      <c r="E37" s="95">
        <v>996.15720877942965</v>
      </c>
      <c r="F37" s="95">
        <v>2604.1334237949586</v>
      </c>
      <c r="G37" s="95">
        <v>1830.5109515118752</v>
      </c>
      <c r="H37" s="95">
        <v>2031.9248032424723</v>
      </c>
      <c r="I37" s="95">
        <v>1790.3500386652013</v>
      </c>
      <c r="J37" s="95">
        <v>62.168157474361998</v>
      </c>
      <c r="K37" s="95">
        <v>56.025813517534829</v>
      </c>
      <c r="L37" s="95">
        <v>42.097153757515066</v>
      </c>
      <c r="M37" s="95">
        <v>46.295252784390755</v>
      </c>
      <c r="N37" s="95">
        <v>540.33719647226224</v>
      </c>
      <c r="O37" s="95">
        <v>10000.000000000002</v>
      </c>
      <c r="Q37" s="98">
        <v>46.295252784390755</v>
      </c>
      <c r="R37" s="95">
        <v>155.37602873867993</v>
      </c>
      <c r="S37" s="99">
        <v>65.706806933405545</v>
      </c>
      <c r="U37" s="121">
        <v>214436.62382468101</v>
      </c>
      <c r="V37" s="59">
        <v>560381.49105945206</v>
      </c>
      <c r="W37" s="59">
        <v>393833.81404612452</v>
      </c>
      <c r="X37" s="59">
        <v>900088.95005278813</v>
      </c>
      <c r="Y37" s="59">
        <v>923012.07627834054</v>
      </c>
      <c r="Z37" s="59">
        <v>676756.32277389325</v>
      </c>
      <c r="AA37" s="59">
        <v>443187.04968588758</v>
      </c>
      <c r="AB37" s="59">
        <v>4111696.3277211669</v>
      </c>
      <c r="AC37" s="59">
        <v>103600947.92537031</v>
      </c>
      <c r="AD37" s="68">
        <v>4111696.3277211669</v>
      </c>
    </row>
    <row r="38" spans="1:30" x14ac:dyDescent="0.2">
      <c r="A38" s="95">
        <v>30</v>
      </c>
      <c r="B38" s="95">
        <v>2</v>
      </c>
      <c r="C38" s="95">
        <v>6</v>
      </c>
      <c r="D38" s="95"/>
      <c r="E38" s="95">
        <v>984.53537467700301</v>
      </c>
      <c r="F38" s="95">
        <v>2590.4087557664034</v>
      </c>
      <c r="G38" s="95">
        <v>1827.1433077582396</v>
      </c>
      <c r="H38" s="95">
        <v>2026.6934504533658</v>
      </c>
      <c r="I38" s="95">
        <v>1798.6530948516656</v>
      </c>
      <c r="J38" s="95">
        <v>62.597582239143776</v>
      </c>
      <c r="K38" s="95">
        <v>59.052930783868248</v>
      </c>
      <c r="L38" s="95">
        <v>43.277018039005071</v>
      </c>
      <c r="M38" s="95">
        <v>49.259001153453816</v>
      </c>
      <c r="N38" s="95">
        <v>558.37948427785363</v>
      </c>
      <c r="O38" s="95">
        <v>10000.000000000002</v>
      </c>
      <c r="Q38" s="98">
        <v>49.259001153453816</v>
      </c>
      <c r="R38" s="95">
        <v>161.19466636434183</v>
      </c>
      <c r="S38" s="99">
        <v>68.465314480802363</v>
      </c>
      <c r="U38" s="121">
        <v>212327.99702373831</v>
      </c>
      <c r="V38" s="59">
        <v>558456.18078914995</v>
      </c>
      <c r="W38" s="59">
        <v>393832.02531616384</v>
      </c>
      <c r="X38" s="59">
        <v>899421.42602013482</v>
      </c>
      <c r="Y38" s="59">
        <v>928988.80876103928</v>
      </c>
      <c r="Z38" s="59">
        <v>697839.69386040512</v>
      </c>
      <c r="AA38" s="59">
        <v>456449.08441303379</v>
      </c>
      <c r="AB38" s="59">
        <v>4147315.2161836652</v>
      </c>
      <c r="AC38" s="59">
        <v>107748263.14155397</v>
      </c>
      <c r="AD38" s="68">
        <v>4147315.2161836652</v>
      </c>
    </row>
    <row r="39" spans="1:30" x14ac:dyDescent="0.2">
      <c r="A39" s="95">
        <v>31</v>
      </c>
      <c r="B39" s="95">
        <v>2</v>
      </c>
      <c r="C39" s="95">
        <v>7</v>
      </c>
      <c r="D39" s="95"/>
      <c r="E39" s="95">
        <v>973.04912863910465</v>
      </c>
      <c r="F39" s="95">
        <v>2576.6942968676067</v>
      </c>
      <c r="G39" s="95">
        <v>1823.7185786941327</v>
      </c>
      <c r="H39" s="95">
        <v>2021.4890177298635</v>
      </c>
      <c r="I39" s="95">
        <v>1806.8529952719875</v>
      </c>
      <c r="J39" s="95">
        <v>63.021498141030683</v>
      </c>
      <c r="K39" s="95">
        <v>62.051563698548307</v>
      </c>
      <c r="L39" s="95">
        <v>44.44191138033306</v>
      </c>
      <c r="M39" s="95">
        <v>52.299499063284863</v>
      </c>
      <c r="N39" s="95">
        <v>576.38151051411023</v>
      </c>
      <c r="O39" s="95">
        <v>10000.000000000002</v>
      </c>
      <c r="Q39" s="98">
        <v>52.299499063284863</v>
      </c>
      <c r="R39" s="95">
        <v>167.04028892260973</v>
      </c>
      <c r="S39" s="99">
        <v>71.253095998593039</v>
      </c>
      <c r="U39" s="121">
        <v>210240.10505300487</v>
      </c>
      <c r="V39" s="59">
        <v>556524.10946447589</v>
      </c>
      <c r="W39" s="59">
        <v>393816.61700814904</v>
      </c>
      <c r="X39" s="59">
        <v>898760.37352000654</v>
      </c>
      <c r="Y39" s="59">
        <v>934931.13312351261</v>
      </c>
      <c r="Z39" s="59">
        <v>718803.57109321223</v>
      </c>
      <c r="AA39" s="59">
        <v>469600.36789309245</v>
      </c>
      <c r="AB39" s="59">
        <v>4182676.2771554538</v>
      </c>
      <c r="AC39" s="59">
        <v>111930939.41870943</v>
      </c>
      <c r="AD39" s="68">
        <v>4182676.2771554538</v>
      </c>
    </row>
    <row r="40" spans="1:30" x14ac:dyDescent="0.2">
      <c r="A40" s="95">
        <v>32</v>
      </c>
      <c r="B40" s="95">
        <v>2</v>
      </c>
      <c r="C40" s="95">
        <v>8</v>
      </c>
      <c r="D40" s="95"/>
      <c r="E40" s="95">
        <v>961.69688880498177</v>
      </c>
      <c r="F40" s="95">
        <v>2562.9912772000293</v>
      </c>
      <c r="G40" s="95">
        <v>1820.2375169008399</v>
      </c>
      <c r="H40" s="95">
        <v>2016.3106223947673</v>
      </c>
      <c r="I40" s="95">
        <v>1814.9506534733202</v>
      </c>
      <c r="J40" s="95">
        <v>63.439967759990004</v>
      </c>
      <c r="K40" s="95">
        <v>65.021921612280721</v>
      </c>
      <c r="L40" s="95">
        <v>45.592082215145503</v>
      </c>
      <c r="M40" s="95">
        <v>55.415864392893795</v>
      </c>
      <c r="N40" s="95">
        <v>594.34320524575355</v>
      </c>
      <c r="O40" s="95">
        <v>10000.000000000002</v>
      </c>
      <c r="Q40" s="98">
        <v>55.415864392893795</v>
      </c>
      <c r="R40" s="95">
        <v>172.91256115724369</v>
      </c>
      <c r="S40" s="99">
        <v>74.069838510167969</v>
      </c>
      <c r="U40" s="121">
        <v>208172.74401998366</v>
      </c>
      <c r="V40" s="59">
        <v>554585.52770424727</v>
      </c>
      <c r="W40" s="59">
        <v>393787.67856202356</v>
      </c>
      <c r="X40" s="59">
        <v>898105.44905188354</v>
      </c>
      <c r="Y40" s="59">
        <v>940839.27703785931</v>
      </c>
      <c r="Z40" s="59">
        <v>739648.63072887633</v>
      </c>
      <c r="AA40" s="59">
        <v>482642.78433639335</v>
      </c>
      <c r="AB40" s="59">
        <v>4217782.0914412672</v>
      </c>
      <c r="AC40" s="59">
        <v>116148721.5101507</v>
      </c>
      <c r="AD40" s="68">
        <v>4217782.0914412672</v>
      </c>
    </row>
    <row r="41" spans="1:30" x14ac:dyDescent="0.2">
      <c r="A41" s="95">
        <v>33</v>
      </c>
      <c r="B41" s="95">
        <v>2</v>
      </c>
      <c r="C41" s="95">
        <v>9</v>
      </c>
      <c r="D41" s="95"/>
      <c r="E41" s="95">
        <v>950.47709176892363</v>
      </c>
      <c r="F41" s="95">
        <v>2549.3009003710777</v>
      </c>
      <c r="G41" s="95">
        <v>1816.700874704605</v>
      </c>
      <c r="H41" s="95">
        <v>2011.1573995210363</v>
      </c>
      <c r="I41" s="95">
        <v>1822.946968684472</v>
      </c>
      <c r="J41" s="95">
        <v>63.853052605288397</v>
      </c>
      <c r="K41" s="95">
        <v>67.964212950289763</v>
      </c>
      <c r="L41" s="95">
        <v>46.727772267572618</v>
      </c>
      <c r="M41" s="95">
        <v>58.607226764457188</v>
      </c>
      <c r="N41" s="95">
        <v>612.26450036227948</v>
      </c>
      <c r="O41" s="95">
        <v>10000.000000000002</v>
      </c>
      <c r="Q41" s="98">
        <v>58.607226764457188</v>
      </c>
      <c r="R41" s="95">
        <v>178.81115078103198</v>
      </c>
      <c r="S41" s="99">
        <v>76.915231645663042</v>
      </c>
      <c r="U41" s="121">
        <v>206125.71203712048</v>
      </c>
      <c r="V41" s="59">
        <v>552640.68234322837</v>
      </c>
      <c r="W41" s="59">
        <v>393745.30029109493</v>
      </c>
      <c r="X41" s="59">
        <v>897456.31430578697</v>
      </c>
      <c r="Y41" s="59">
        <v>946713.4632856372</v>
      </c>
      <c r="Z41" s="59">
        <v>760375.54592255421</v>
      </c>
      <c r="AA41" s="59">
        <v>495578.16322734387</v>
      </c>
      <c r="AB41" s="59">
        <v>4252635.1814127658</v>
      </c>
      <c r="AC41" s="59">
        <v>120401356.69156347</v>
      </c>
      <c r="AD41" s="68">
        <v>4252635.1814127658</v>
      </c>
    </row>
    <row r="42" spans="1:30" x14ac:dyDescent="0.2">
      <c r="A42" s="95">
        <v>34</v>
      </c>
      <c r="B42" s="95">
        <v>2</v>
      </c>
      <c r="C42" s="95">
        <v>10</v>
      </c>
      <c r="D42" s="95"/>
      <c r="E42" s="95">
        <v>939.38819236495283</v>
      </c>
      <c r="F42" s="95">
        <v>2535.6243439124851</v>
      </c>
      <c r="G42" s="95">
        <v>1813.1094039920035</v>
      </c>
      <c r="H42" s="95">
        <v>2006.0285017236304</v>
      </c>
      <c r="I42" s="95">
        <v>1830.8428260781736</v>
      </c>
      <c r="J42" s="95">
        <v>64.26081313528303</v>
      </c>
      <c r="K42" s="95">
        <v>70.878645186006949</v>
      </c>
      <c r="L42" s="95">
        <v>47.849216775818803</v>
      </c>
      <c r="M42" s="95">
        <v>61.872727279694558</v>
      </c>
      <c r="N42" s="95">
        <v>630.14532955195318</v>
      </c>
      <c r="O42" s="95">
        <v>10000.000000000002</v>
      </c>
      <c r="Q42" s="98">
        <v>61.872727279694558</v>
      </c>
      <c r="R42" s="95">
        <v>184.73572842925651</v>
      </c>
      <c r="S42" s="99">
        <v>79.7889676139432</v>
      </c>
      <c r="U42" s="121">
        <v>204098.8092020888</v>
      </c>
      <c r="V42" s="59">
        <v>550689.81647879712</v>
      </c>
      <c r="W42" s="59">
        <v>393689.57334642421</v>
      </c>
      <c r="X42" s="59">
        <v>896812.63612965168</v>
      </c>
      <c r="Y42" s="59">
        <v>952553.90983828867</v>
      </c>
      <c r="Z42" s="59">
        <v>780984.98661990627</v>
      </c>
      <c r="AA42" s="59">
        <v>508408.28112734703</v>
      </c>
      <c r="AB42" s="59">
        <v>4287238.0127425035</v>
      </c>
      <c r="AC42" s="59">
        <v>124688594.70430598</v>
      </c>
      <c r="AD42" s="68">
        <v>4287238.0127425035</v>
      </c>
    </row>
    <row r="43" spans="1:30" x14ac:dyDescent="0.2">
      <c r="A43" s="95">
        <v>35</v>
      </c>
      <c r="B43" s="95">
        <v>2</v>
      </c>
      <c r="C43" s="95">
        <v>11</v>
      </c>
      <c r="D43" s="95"/>
      <c r="E43" s="95">
        <v>928.42866345402842</v>
      </c>
      <c r="F43" s="95">
        <v>2521.9627596928308</v>
      </c>
      <c r="G43" s="95">
        <v>1809.4638560304788</v>
      </c>
      <c r="H43" s="95">
        <v>2000.9230989519183</v>
      </c>
      <c r="I43" s="95">
        <v>1838.6390970296736</v>
      </c>
      <c r="J43" s="95">
        <v>64.663308776886112</v>
      </c>
      <c r="K43" s="95">
        <v>73.765424815933628</v>
      </c>
      <c r="L43" s="95">
        <v>48.956644707637444</v>
      </c>
      <c r="M43" s="95">
        <v>65.211518264255304</v>
      </c>
      <c r="N43" s="95">
        <v>647.98562827635919</v>
      </c>
      <c r="O43" s="95">
        <v>10000.000000000002</v>
      </c>
      <c r="Q43" s="98">
        <v>65.211518264255304</v>
      </c>
      <c r="R43" s="95">
        <v>190.68596761401056</v>
      </c>
      <c r="S43" s="99">
        <v>82.690741174855049</v>
      </c>
      <c r="U43" s="121">
        <v>202091.83757826826</v>
      </c>
      <c r="V43" s="59">
        <v>548733.16951708624</v>
      </c>
      <c r="W43" s="59">
        <v>393620.58968190593</v>
      </c>
      <c r="X43" s="59">
        <v>896174.08649628458</v>
      </c>
      <c r="Y43" s="59">
        <v>958360.82993683743</v>
      </c>
      <c r="Z43" s="59">
        <v>801477.61945318128</v>
      </c>
      <c r="AA43" s="59">
        <v>521134.86341420619</v>
      </c>
      <c r="AB43" s="59">
        <v>4321592.9960777704</v>
      </c>
      <c r="AC43" s="59">
        <v>129010187.70038375</v>
      </c>
      <c r="AD43" s="68">
        <v>4321592.9960777704</v>
      </c>
    </row>
    <row r="44" spans="1:30" x14ac:dyDescent="0.2">
      <c r="A44" s="95">
        <v>36</v>
      </c>
      <c r="B44" s="95">
        <v>3</v>
      </c>
      <c r="C44" s="95">
        <v>0</v>
      </c>
      <c r="D44" s="95"/>
      <c r="E44" s="95">
        <v>917.59699571373142</v>
      </c>
      <c r="F44" s="95">
        <v>2508.3172743242721</v>
      </c>
      <c r="G44" s="95">
        <v>1805.7649812939399</v>
      </c>
      <c r="H44" s="95">
        <v>1995.8403782826967</v>
      </c>
      <c r="I44" s="95">
        <v>1846.3366393716876</v>
      </c>
      <c r="J44" s="95">
        <v>65.060597944707581</v>
      </c>
      <c r="K44" s="95">
        <v>76.624757335648212</v>
      </c>
      <c r="L44" s="95">
        <v>50.05027896799497</v>
      </c>
      <c r="M44" s="95">
        <v>68.622763019833556</v>
      </c>
      <c r="N44" s="95">
        <v>665.78533374548965</v>
      </c>
      <c r="O44" s="95">
        <v>10000.000000000002</v>
      </c>
      <c r="Q44" s="98">
        <v>68.622763019833556</v>
      </c>
      <c r="R44" s="95">
        <v>196.66154467935701</v>
      </c>
      <c r="S44" s="99">
        <v>85.620249611748974</v>
      </c>
      <c r="U44" s="121">
        <v>200104.60117541527</v>
      </c>
      <c r="V44" s="59">
        <v>546770.97721860185</v>
      </c>
      <c r="W44" s="59">
        <v>393538.44202002604</v>
      </c>
      <c r="X44" s="59">
        <v>895540.34246992611</v>
      </c>
      <c r="Y44" s="59">
        <v>964134.43217085488</v>
      </c>
      <c r="Z44" s="59">
        <v>821854.10764139425</v>
      </c>
      <c r="AA44" s="59">
        <v>533759.58596031042</v>
      </c>
      <c r="AB44" s="59">
        <v>4355702.4886565292</v>
      </c>
      <c r="AC44" s="59">
        <v>133365890.18904029</v>
      </c>
      <c r="AD44" s="68">
        <v>4355702.4886565292</v>
      </c>
    </row>
    <row r="45" spans="1:30" x14ac:dyDescent="0.2">
      <c r="A45" s="95">
        <v>37</v>
      </c>
      <c r="B45" s="95">
        <v>3</v>
      </c>
      <c r="C45" s="95">
        <v>1</v>
      </c>
      <c r="D45" s="95"/>
      <c r="E45" s="95">
        <v>906.89169743040452</v>
      </c>
      <c r="F45" s="95">
        <v>2494.6889895635627</v>
      </c>
      <c r="G45" s="95">
        <v>1802.0135292933173</v>
      </c>
      <c r="H45" s="95">
        <v>1990.7795437138616</v>
      </c>
      <c r="I45" s="95">
        <v>1853.936297645733</v>
      </c>
      <c r="J45" s="95">
        <v>65.452738059880943</v>
      </c>
      <c r="K45" s="95">
        <v>79.456847216929347</v>
      </c>
      <c r="L45" s="95">
        <v>51.130336599217479</v>
      </c>
      <c r="M45" s="95">
        <v>72.105635583738831</v>
      </c>
      <c r="N45" s="95">
        <v>683.5443848933561</v>
      </c>
      <c r="O45" s="95">
        <v>10000.000000000002</v>
      </c>
      <c r="Q45" s="98">
        <v>72.105635583738831</v>
      </c>
      <c r="R45" s="95">
        <v>202.66213875731501</v>
      </c>
      <c r="S45" s="99">
        <v>88.577192704271297</v>
      </c>
      <c r="U45" s="121">
        <v>198136.9059305237</v>
      </c>
      <c r="V45" s="59">
        <v>544803.47174332885</v>
      </c>
      <c r="W45" s="59">
        <v>393443.22381828923</v>
      </c>
      <c r="X45" s="59">
        <v>894911.0861724331</v>
      </c>
      <c r="Y45" s="59">
        <v>969874.92055669392</v>
      </c>
      <c r="Z45" s="59">
        <v>842115.11089451297</v>
      </c>
      <c r="AA45" s="59">
        <v>546284.07675180677</v>
      </c>
      <c r="AB45" s="59">
        <v>4389568.7958675884</v>
      </c>
      <c r="AC45" s="59">
        <v>137755458.98490787</v>
      </c>
      <c r="AD45" s="68">
        <v>4389568.7958675884</v>
      </c>
    </row>
    <row r="46" spans="1:30" x14ac:dyDescent="0.2">
      <c r="A46" s="95">
        <v>38</v>
      </c>
      <c r="B46" s="95">
        <v>3</v>
      </c>
      <c r="C46" s="95">
        <v>2</v>
      </c>
      <c r="D46" s="95"/>
      <c r="E46" s="95">
        <v>896.31129429371651</v>
      </c>
      <c r="F46" s="95">
        <v>2481.0789827074373</v>
      </c>
      <c r="G46" s="95">
        <v>1798.2102484119805</v>
      </c>
      <c r="H46" s="95">
        <v>1985.7398159587758</v>
      </c>
      <c r="I46" s="95">
        <v>1861.4389033498774</v>
      </c>
      <c r="J46" s="95">
        <v>65.839785568576772</v>
      </c>
      <c r="K46" s="95">
        <v>82.261897885966803</v>
      </c>
      <c r="L46" s="95">
        <v>52.197028973902107</v>
      </c>
      <c r="M46" s="95">
        <v>75.659320495660523</v>
      </c>
      <c r="N46" s="95">
        <v>701.2627223541084</v>
      </c>
      <c r="O46" s="95">
        <v>10000.000000000002</v>
      </c>
      <c r="Q46" s="98">
        <v>75.659320495660523</v>
      </c>
      <c r="R46" s="95">
        <v>208.68743172466364</v>
      </c>
      <c r="S46" s="99">
        <v>91.561272701426574</v>
      </c>
      <c r="U46" s="121">
        <v>196188.55968887353</v>
      </c>
      <c r="V46" s="59">
        <v>542830.88169532421</v>
      </c>
      <c r="W46" s="59">
        <v>393335.02923630335</v>
      </c>
      <c r="X46" s="59">
        <v>894286.00474909891</v>
      </c>
      <c r="Y46" s="59">
        <v>975582.49461499136</v>
      </c>
      <c r="Z46" s="59">
        <v>862261.28532157082</v>
      </c>
      <c r="AA46" s="59">
        <v>558709.91745089111</v>
      </c>
      <c r="AB46" s="59">
        <v>4423194.1727570537</v>
      </c>
      <c r="AC46" s="59">
        <v>142178653.15766492</v>
      </c>
      <c r="AD46" s="68">
        <v>4423194.1727570537</v>
      </c>
    </row>
    <row r="47" spans="1:30" x14ac:dyDescent="0.2">
      <c r="A47" s="95">
        <v>39</v>
      </c>
      <c r="B47" s="95">
        <v>3</v>
      </c>
      <c r="C47" s="95">
        <v>3</v>
      </c>
      <c r="D47" s="95"/>
      <c r="E47" s="95">
        <v>885.85432919362313</v>
      </c>
      <c r="F47" s="95">
        <v>2467.4883069824341</v>
      </c>
      <c r="G47" s="95">
        <v>1794.3558857459154</v>
      </c>
      <c r="H47" s="95">
        <v>1980.7204322413731</v>
      </c>
      <c r="I47" s="95">
        <v>1868.8452751829298</v>
      </c>
      <c r="J47" s="95">
        <v>66.221795960208922</v>
      </c>
      <c r="K47" s="95">
        <v>85.040111702632359</v>
      </c>
      <c r="L47" s="95">
        <v>53.250561980864717</v>
      </c>
      <c r="M47" s="95">
        <v>79.283012571374314</v>
      </c>
      <c r="N47" s="95">
        <v>718.94028843864635</v>
      </c>
      <c r="O47" s="95">
        <v>10000.000000000002</v>
      </c>
      <c r="Q47" s="98">
        <v>79.283012571374314</v>
      </c>
      <c r="R47" s="95">
        <v>214.73710816055075</v>
      </c>
      <c r="S47" s="99">
        <v>94.572194294910517</v>
      </c>
      <c r="U47" s="121">
        <v>194259.37218526629</v>
      </c>
      <c r="V47" s="59">
        <v>540853.43216680759</v>
      </c>
      <c r="W47" s="59">
        <v>393213.95310351253</v>
      </c>
      <c r="X47" s="59">
        <v>893664.79033413087</v>
      </c>
      <c r="Y47" s="59">
        <v>981257.34944743582</v>
      </c>
      <c r="Z47" s="59">
        <v>882293.28334262478</v>
      </c>
      <c r="AA47" s="59">
        <v>571038.6449032675</v>
      </c>
      <c r="AB47" s="59">
        <v>4456580.8254830455</v>
      </c>
      <c r="AC47" s="59">
        <v>146635233.98314798</v>
      </c>
      <c r="AD47" s="68">
        <v>4456580.8254830455</v>
      </c>
    </row>
    <row r="48" spans="1:30" x14ac:dyDescent="0.2">
      <c r="A48" s="95">
        <v>40</v>
      </c>
      <c r="B48" s="95">
        <v>3</v>
      </c>
      <c r="C48" s="95">
        <v>4</v>
      </c>
      <c r="D48" s="95"/>
      <c r="E48" s="95">
        <v>875.5193620196975</v>
      </c>
      <c r="F48" s="95">
        <v>2453.9179919292301</v>
      </c>
      <c r="G48" s="95">
        <v>1790.4511869485689</v>
      </c>
      <c r="H48" s="95">
        <v>1975.7206460920363</v>
      </c>
      <c r="I48" s="95">
        <v>1876.1562192851045</v>
      </c>
      <c r="J48" s="95">
        <v>66.5988237853378</v>
      </c>
      <c r="K48" s="95">
        <v>87.791689940783712</v>
      </c>
      <c r="L48" s="95">
        <v>54.29113620438514</v>
      </c>
      <c r="M48" s="95">
        <v>82.975916683147815</v>
      </c>
      <c r="N48" s="95">
        <v>736.57702711171044</v>
      </c>
      <c r="O48" s="95">
        <v>10000.000000000002</v>
      </c>
      <c r="Q48" s="98">
        <v>82.975916683147815</v>
      </c>
      <c r="R48" s="95">
        <v>220.81085530489526</v>
      </c>
      <c r="S48" s="99">
        <v>97.609664592713372</v>
      </c>
      <c r="U48" s="121">
        <v>192349.15502544449</v>
      </c>
      <c r="V48" s="59">
        <v>538871.34478175186</v>
      </c>
      <c r="W48" s="59">
        <v>393080.09088756697</v>
      </c>
      <c r="X48" s="59">
        <v>893047.14001579839</v>
      </c>
      <c r="Y48" s="59">
        <v>986899.67581280193</v>
      </c>
      <c r="Z48" s="59">
        <v>902211.75360447809</v>
      </c>
      <c r="AA48" s="59">
        <v>583271.75259275548</v>
      </c>
      <c r="AB48" s="59">
        <v>4489730.9127205973</v>
      </c>
      <c r="AC48" s="59">
        <v>151124964.89586857</v>
      </c>
      <c r="AD48" s="68">
        <v>4489730.9127205973</v>
      </c>
    </row>
    <row r="49" spans="1:30" x14ac:dyDescent="0.2">
      <c r="A49" s="95">
        <v>41</v>
      </c>
      <c r="B49" s="95">
        <v>3</v>
      </c>
      <c r="C49" s="95">
        <v>5</v>
      </c>
      <c r="D49" s="95"/>
      <c r="E49" s="95">
        <v>865.30496946280107</v>
      </c>
      <c r="F49" s="95">
        <v>2440.369043781559</v>
      </c>
      <c r="G49" s="95">
        <v>1786.4968960802639</v>
      </c>
      <c r="H49" s="95">
        <v>1970.7397271442892</v>
      </c>
      <c r="I49" s="95">
        <v>1883.3725294751885</v>
      </c>
      <c r="J49" s="95">
        <v>66.970922673275396</v>
      </c>
      <c r="K49" s="95">
        <v>90.516832769574677</v>
      </c>
      <c r="L49" s="95">
        <v>55.318947097001342</v>
      </c>
      <c r="M49" s="95">
        <v>86.737247546612124</v>
      </c>
      <c r="N49" s="95">
        <v>754.17288396943695</v>
      </c>
      <c r="O49" s="95">
        <v>10000.000000000002</v>
      </c>
      <c r="Q49" s="98">
        <v>86.737247546612124</v>
      </c>
      <c r="R49" s="95">
        <v>226.90836301757184</v>
      </c>
      <c r="S49" s="99">
        <v>100.67339309299402</v>
      </c>
      <c r="U49" s="121">
        <v>190457.72166769428</v>
      </c>
      <c r="V49" s="59">
        <v>536884.83773898066</v>
      </c>
      <c r="W49" s="59">
        <v>392933.53866332141</v>
      </c>
      <c r="X49" s="59">
        <v>892432.75580127072</v>
      </c>
      <c r="Y49" s="59">
        <v>992509.6602022507</v>
      </c>
      <c r="Z49" s="59">
        <v>922017.34090008994</v>
      </c>
      <c r="AA49" s="59">
        <v>595410.6920449523</v>
      </c>
      <c r="AB49" s="59">
        <v>4522646.5470185596</v>
      </c>
      <c r="AC49" s="59">
        <v>155647611.44288713</v>
      </c>
      <c r="AD49" s="68">
        <v>4522646.5470185596</v>
      </c>
    </row>
    <row r="50" spans="1:30" x14ac:dyDescent="0.2">
      <c r="A50" s="95">
        <v>42</v>
      </c>
      <c r="B50" s="95">
        <v>3</v>
      </c>
      <c r="C50" s="95">
        <v>6</v>
      </c>
      <c r="D50" s="95"/>
      <c r="E50" s="95">
        <v>855.20974481906842</v>
      </c>
      <c r="F50" s="95">
        <v>2426.8424458397872</v>
      </c>
      <c r="G50" s="95">
        <v>1782.4937554620935</v>
      </c>
      <c r="H50" s="95">
        <v>1965.776960932337</v>
      </c>
      <c r="I50" s="95">
        <v>1890.4949874842405</v>
      </c>
      <c r="J50" s="95">
        <v>67.338145349396541</v>
      </c>
      <c r="K50" s="95">
        <v>93.215739235745573</v>
      </c>
      <c r="L50" s="95">
        <v>56.334185146094327</v>
      </c>
      <c r="M50" s="95">
        <v>90.566229513874461</v>
      </c>
      <c r="N50" s="95">
        <v>771.72780621736445</v>
      </c>
      <c r="O50" s="95">
        <v>10000.000000000002</v>
      </c>
      <c r="Q50" s="98">
        <v>90.566229513874461</v>
      </c>
      <c r="R50" s="95">
        <v>233.0293237383662</v>
      </c>
      <c r="S50" s="99">
        <v>103.76309165822455</v>
      </c>
      <c r="U50" s="121">
        <v>188584.88740462862</v>
      </c>
      <c r="V50" s="59">
        <v>534894.12585477799</v>
      </c>
      <c r="W50" s="59">
        <v>392774.39308245073</v>
      </c>
      <c r="X50" s="59">
        <v>891821.34458115906</v>
      </c>
      <c r="Y50" s="59">
        <v>998087.48491389432</v>
      </c>
      <c r="Z50" s="59">
        <v>941710.686091593</v>
      </c>
      <c r="AA50" s="59">
        <v>607456.8741817869</v>
      </c>
      <c r="AB50" s="59">
        <v>4555329.796110291</v>
      </c>
      <c r="AC50" s="59">
        <v>160202941.23899743</v>
      </c>
      <c r="AD50" s="68">
        <v>4555329.796110291</v>
      </c>
    </row>
    <row r="51" spans="1:30" x14ac:dyDescent="0.2">
      <c r="A51" s="95">
        <v>43</v>
      </c>
      <c r="B51" s="95">
        <v>3</v>
      </c>
      <c r="C51" s="95">
        <v>7</v>
      </c>
      <c r="D51" s="95"/>
      <c r="E51" s="95">
        <v>845.2322977961793</v>
      </c>
      <c r="F51" s="95">
        <v>2413.3391588392151</v>
      </c>
      <c r="G51" s="95">
        <v>1778.4425055342022</v>
      </c>
      <c r="H51" s="95">
        <v>1960.8316486894917</v>
      </c>
      <c r="I51" s="95">
        <v>1897.524363185853</v>
      </c>
      <c r="J51" s="95">
        <v>67.700543652160775</v>
      </c>
      <c r="K51" s="95">
        <v>95.888607246868318</v>
      </c>
      <c r="L51" s="95">
        <v>57.337036034496542</v>
      </c>
      <c r="M51" s="95">
        <v>94.462096372655793</v>
      </c>
      <c r="N51" s="95">
        <v>789.24174264887949</v>
      </c>
      <c r="O51" s="95">
        <v>10000.000000000002</v>
      </c>
      <c r="Q51" s="98">
        <v>94.462096372655793</v>
      </c>
      <c r="R51" s="95">
        <v>239.17343244768998</v>
      </c>
      <c r="S51" s="99">
        <v>106.87847448960531</v>
      </c>
      <c r="U51" s="121">
        <v>186730.46934514979</v>
      </c>
      <c r="V51" s="59">
        <v>532899.42060501385</v>
      </c>
      <c r="W51" s="59">
        <v>392602.75134367403</v>
      </c>
      <c r="X51" s="59">
        <v>891212.6180937785</v>
      </c>
      <c r="Y51" s="59">
        <v>1003633.3281266274</v>
      </c>
      <c r="Z51" s="59">
        <v>961292.42603684182</v>
      </c>
      <c r="AA51" s="59">
        <v>619411.67062873859</v>
      </c>
      <c r="AB51" s="59">
        <v>4587782.6841798238</v>
      </c>
      <c r="AC51" s="59">
        <v>164790723.92317724</v>
      </c>
      <c r="AD51" s="68">
        <v>4587782.6841798238</v>
      </c>
    </row>
    <row r="52" spans="1:30" x14ac:dyDescent="0.2">
      <c r="A52" s="95">
        <v>44</v>
      </c>
      <c r="B52" s="95">
        <v>3</v>
      </c>
      <c r="C52" s="95">
        <v>8</v>
      </c>
      <c r="D52" s="95"/>
      <c r="E52" s="95">
        <v>835.37125432189055</v>
      </c>
      <c r="F52" s="95">
        <v>2399.8601213131751</v>
      </c>
      <c r="G52" s="95">
        <v>1774.3438847183641</v>
      </c>
      <c r="H52" s="95">
        <v>1955.9031071475138</v>
      </c>
      <c r="I52" s="95">
        <v>1904.4614148230075</v>
      </c>
      <c r="J52" s="95">
        <v>68.058168549849256</v>
      </c>
      <c r="K52" s="95">
        <v>98.535633555521017</v>
      </c>
      <c r="L52" s="95">
        <v>58.327680795347582</v>
      </c>
      <c r="M52" s="95">
        <v>98.424091151245165</v>
      </c>
      <c r="N52" s="95">
        <v>806.71464362408824</v>
      </c>
      <c r="O52" s="95">
        <v>10000.000000000002</v>
      </c>
      <c r="Q52" s="98">
        <v>98.424091151245165</v>
      </c>
      <c r="R52" s="95">
        <v>245.340386628044</v>
      </c>
      <c r="S52" s="99">
        <v>110.01925810174997</v>
      </c>
      <c r="U52" s="121">
        <v>184894.28639658913</v>
      </c>
      <c r="V52" s="59">
        <v>530900.93016679317</v>
      </c>
      <c r="W52" s="59">
        <v>392418.71116357745</v>
      </c>
      <c r="X52" s="59">
        <v>890606.29288914567</v>
      </c>
      <c r="Y52" s="59">
        <v>1009147.3639732226</v>
      </c>
      <c r="Z52" s="59">
        <v>980763.19351941859</v>
      </c>
      <c r="AA52" s="59">
        <v>631276.41497642663</v>
      </c>
      <c r="AB52" s="59">
        <v>4620007.1930851731</v>
      </c>
      <c r="AC52" s="59">
        <v>169410731.11626241</v>
      </c>
      <c r="AD52" s="68">
        <v>4620007.1930851731</v>
      </c>
    </row>
    <row r="53" spans="1:30" x14ac:dyDescent="0.2">
      <c r="A53" s="95">
        <v>45</v>
      </c>
      <c r="B53" s="95">
        <v>3</v>
      </c>
      <c r="C53" s="95">
        <v>9</v>
      </c>
      <c r="D53" s="95"/>
      <c r="E53" s="95">
        <v>825.62525635480188</v>
      </c>
      <c r="F53" s="95">
        <v>2386.4062499509951</v>
      </c>
      <c r="G53" s="95">
        <v>1770.1986292847719</v>
      </c>
      <c r="H53" s="95">
        <v>1950.9906683369054</v>
      </c>
      <c r="I53" s="95">
        <v>1911.3068892315544</v>
      </c>
      <c r="J53" s="95">
        <v>68.411070157020873</v>
      </c>
      <c r="K53" s="95">
        <v>101.15701374436755</v>
      </c>
      <c r="L53" s="95">
        <v>59.306295961412658</v>
      </c>
      <c r="M53" s="95">
        <v>102.45146592907052</v>
      </c>
      <c r="N53" s="95">
        <v>824.14646104910219</v>
      </c>
      <c r="O53" s="95">
        <v>10000.000000000002</v>
      </c>
      <c r="Q53" s="98">
        <v>102.45146592907052</v>
      </c>
      <c r="R53" s="95">
        <v>251.52988622621876</v>
      </c>
      <c r="S53" s="99">
        <v>113.18516129764058</v>
      </c>
      <c r="U53" s="121">
        <v>183076.15924702268</v>
      </c>
      <c r="V53" s="59">
        <v>528898.85945963126</v>
      </c>
      <c r="W53" s="59">
        <v>392222.37074802618</v>
      </c>
      <c r="X53" s="59">
        <v>890002.09029272664</v>
      </c>
      <c r="Y53" s="59">
        <v>1014629.7626126929</v>
      </c>
      <c r="Z53" s="59">
        <v>1000123.6171820194</v>
      </c>
      <c r="AA53" s="59">
        <v>643052.40399821789</v>
      </c>
      <c r="AB53" s="59">
        <v>4652005.2635403369</v>
      </c>
      <c r="AC53" s="59">
        <v>174062736.37980273</v>
      </c>
      <c r="AD53" s="68">
        <v>4652005.2635403369</v>
      </c>
    </row>
    <row r="54" spans="1:30" x14ac:dyDescent="0.2">
      <c r="A54" s="95">
        <v>46</v>
      </c>
      <c r="B54" s="95">
        <v>3</v>
      </c>
      <c r="C54" s="95">
        <v>10</v>
      </c>
      <c r="D54" s="95"/>
      <c r="E54" s="95">
        <v>815.99296169732918</v>
      </c>
      <c r="F54" s="95">
        <v>2372.9784399508953</v>
      </c>
      <c r="G54" s="95">
        <v>1766.007473222948</v>
      </c>
      <c r="H54" s="95">
        <v>1946.093679388184</v>
      </c>
      <c r="I54" s="95">
        <v>1918.0615220603445</v>
      </c>
      <c r="J54" s="95">
        <v>68.759297750691957</v>
      </c>
      <c r="K54" s="95">
        <v>103.7529422121179</v>
      </c>
      <c r="L54" s="95">
        <v>60.273053709071029</v>
      </c>
      <c r="M54" s="95">
        <v>106.54348165269303</v>
      </c>
      <c r="N54" s="95">
        <v>841.53714835572737</v>
      </c>
      <c r="O54" s="95">
        <v>10000.000000000002</v>
      </c>
      <c r="Q54" s="98">
        <v>106.54348165269303</v>
      </c>
      <c r="R54" s="95">
        <v>257.74163361622129</v>
      </c>
      <c r="S54" s="99">
        <v>116.37590514385192</v>
      </c>
      <c r="U54" s="121">
        <v>181275.91034776028</v>
      </c>
      <c r="V54" s="59">
        <v>526893.41018616233</v>
      </c>
      <c r="W54" s="59">
        <v>392013.82876415597</v>
      </c>
      <c r="X54" s="59">
        <v>889399.73636894964</v>
      </c>
      <c r="Y54" s="59">
        <v>1020080.690301921</v>
      </c>
      <c r="Z54" s="59">
        <v>1019374.3214631488</v>
      </c>
      <c r="AA54" s="59">
        <v>654740.89882543846</v>
      </c>
      <c r="AB54" s="59">
        <v>4683778.7962575369</v>
      </c>
      <c r="AC54" s="59">
        <v>178746515.17606026</v>
      </c>
      <c r="AD54" s="68">
        <v>4683778.7962575369</v>
      </c>
    </row>
    <row r="55" spans="1:30" x14ac:dyDescent="0.2">
      <c r="A55" s="95">
        <v>47</v>
      </c>
      <c r="B55" s="95">
        <v>3</v>
      </c>
      <c r="C55" s="95">
        <v>11</v>
      </c>
      <c r="D55" s="95"/>
      <c r="E55" s="95">
        <v>806.4730438108603</v>
      </c>
      <c r="F55" s="95">
        <v>2359.5775653678861</v>
      </c>
      <c r="G55" s="95">
        <v>1761.7711481166934</v>
      </c>
      <c r="H55" s="95">
        <v>1941.2115023341671</v>
      </c>
      <c r="I55" s="95">
        <v>1924.7260379880481</v>
      </c>
      <c r="J55" s="95">
        <v>69.102899786243626</v>
      </c>
      <c r="K55" s="95">
        <v>106.32361216034577</v>
      </c>
      <c r="L55" s="95">
        <v>61.228121997173858</v>
      </c>
      <c r="M55" s="95">
        <v>110.6994079570394</v>
      </c>
      <c r="N55" s="95">
        <v>858.88666048154448</v>
      </c>
      <c r="O55" s="95">
        <v>10000.000000000002</v>
      </c>
      <c r="Q55" s="98">
        <v>110.6994079570394</v>
      </c>
      <c r="R55" s="95">
        <v>263.9753335629174</v>
      </c>
      <c r="S55" s="99">
        <v>119.59121294604492</v>
      </c>
      <c r="U55" s="121">
        <v>179493.3638960073</v>
      </c>
      <c r="V55" s="59">
        <v>524884.78087238548</v>
      </c>
      <c r="W55" s="59">
        <v>391793.18431293603</v>
      </c>
      <c r="X55" s="59">
        <v>888798.96188449685</v>
      </c>
      <c r="Y55" s="59">
        <v>1025500.3094665527</v>
      </c>
      <c r="Z55" s="59">
        <v>1038515.9265370501</v>
      </c>
      <c r="AA55" s="59">
        <v>666343.12608171802</v>
      </c>
      <c r="AB55" s="59">
        <v>4715329.6530511463</v>
      </c>
      <c r="AC55" s="59">
        <v>183461844.8291114</v>
      </c>
      <c r="AD55" s="68">
        <v>4715329.6530511463</v>
      </c>
    </row>
    <row r="56" spans="1:30" x14ac:dyDescent="0.2">
      <c r="A56" s="95">
        <v>48</v>
      </c>
      <c r="B56" s="95">
        <v>4</v>
      </c>
      <c r="C56" s="95">
        <v>0</v>
      </c>
      <c r="D56" s="95"/>
      <c r="E56" s="95">
        <v>797.06419163306691</v>
      </c>
      <c r="F56" s="95">
        <v>2346.204479456731</v>
      </c>
      <c r="G56" s="95">
        <v>1757.4903830229921</v>
      </c>
      <c r="H56" s="95">
        <v>1936.3435139132966</v>
      </c>
      <c r="I56" s="95">
        <v>1931.3011509366875</v>
      </c>
      <c r="J56" s="95">
        <v>69.44192391306089</v>
      </c>
      <c r="K56" s="95">
        <v>108.86921558114012</v>
      </c>
      <c r="L56" s="95">
        <v>62.171664700963234</v>
      </c>
      <c r="M56" s="95">
        <v>114.91852299169342</v>
      </c>
      <c r="N56" s="95">
        <v>876.19495385037055</v>
      </c>
      <c r="O56" s="95">
        <v>10000.000000000002</v>
      </c>
      <c r="Q56" s="98">
        <v>114.91852299169342</v>
      </c>
      <c r="R56" s="95">
        <v>270.23069318637857</v>
      </c>
      <c r="S56" s="99">
        <v>122.83081022472831</v>
      </c>
      <c r="U56" s="121">
        <v>177728.34581769654</v>
      </c>
      <c r="V56" s="59">
        <v>522873.16690745286</v>
      </c>
      <c r="W56" s="59">
        <v>391560.53690229333</v>
      </c>
      <c r="X56" s="59">
        <v>888199.50227138936</v>
      </c>
      <c r="Y56" s="59">
        <v>1030888.7787711628</v>
      </c>
      <c r="Z56" s="59">
        <v>1057549.0482568003</v>
      </c>
      <c r="AA56" s="59">
        <v>677860.27897794067</v>
      </c>
      <c r="AB56" s="59">
        <v>4746659.6579047358</v>
      </c>
      <c r="AC56" s="59">
        <v>188208504.48701614</v>
      </c>
      <c r="AD56" s="68">
        <v>4746659.6579047358</v>
      </c>
    </row>
    <row r="57" spans="1:30" x14ac:dyDescent="0.2">
      <c r="A57" s="95">
        <v>49</v>
      </c>
      <c r="B57" s="95">
        <v>4</v>
      </c>
      <c r="C57" s="95">
        <v>1</v>
      </c>
      <c r="D57" s="95"/>
      <c r="E57" s="95">
        <v>787.76510939734783</v>
      </c>
      <c r="F57" s="95">
        <v>2332.8600150100428</v>
      </c>
      <c r="G57" s="95">
        <v>1753.1659043547866</v>
      </c>
      <c r="H57" s="95">
        <v>1931.4891053740309</v>
      </c>
      <c r="I57" s="95">
        <v>1937.787564281917</v>
      </c>
      <c r="J57" s="95">
        <v>69.776416989907531</v>
      </c>
      <c r="K57" s="95">
        <v>111.38994324556796</v>
      </c>
      <c r="L57" s="95">
        <v>63.103841741237055</v>
      </c>
      <c r="M57" s="95">
        <v>119.20011325207476</v>
      </c>
      <c r="N57" s="95">
        <v>893.46198635308986</v>
      </c>
      <c r="O57" s="95">
        <v>10000.000000000002</v>
      </c>
      <c r="Q57" s="98">
        <v>119.20011325207476</v>
      </c>
      <c r="R57" s="95">
        <v>276.5074219269228</v>
      </c>
      <c r="S57" s="99">
        <v>126.09442469128825</v>
      </c>
      <c r="U57" s="121">
        <v>175980.6837504892</v>
      </c>
      <c r="V57" s="59">
        <v>520858.76058300532</v>
      </c>
      <c r="W57" s="59">
        <v>391315.98642078962</v>
      </c>
      <c r="X57" s="59">
        <v>887601.09758987883</v>
      </c>
      <c r="Y57" s="59">
        <v>1036246.253188685</v>
      </c>
      <c r="Z57" s="59">
        <v>1076474.2981004994</v>
      </c>
      <c r="AA57" s="59">
        <v>689293.51836922462</v>
      </c>
      <c r="AB57" s="59">
        <v>4777770.5980025716</v>
      </c>
      <c r="AC57" s="59">
        <v>192986275.08501872</v>
      </c>
      <c r="AD57" s="68">
        <v>4777770.5980025716</v>
      </c>
    </row>
    <row r="58" spans="1:30" x14ac:dyDescent="0.2">
      <c r="A58" s="95">
        <v>50</v>
      </c>
      <c r="B58" s="95">
        <v>4</v>
      </c>
      <c r="C58" s="95">
        <v>2</v>
      </c>
      <c r="D58" s="95"/>
      <c r="E58" s="95">
        <v>778.5745164543788</v>
      </c>
      <c r="F58" s="95">
        <v>2319.5449846915767</v>
      </c>
      <c r="G58" s="95">
        <v>1748.7984357675464</v>
      </c>
      <c r="H58" s="95">
        <v>1926.6476822803297</v>
      </c>
      <c r="I58" s="95">
        <v>1944.1859710600804</v>
      </c>
      <c r="J58" s="95">
        <v>70.106425100040909</v>
      </c>
      <c r="K58" s="95">
        <v>113.88598469292623</v>
      </c>
      <c r="L58" s="95">
        <v>64.024809208937256</v>
      </c>
      <c r="M58" s="95">
        <v>123.54347341533934</v>
      </c>
      <c r="N58" s="95">
        <v>910.68771732884659</v>
      </c>
      <c r="O58" s="95">
        <v>10000.000000000002</v>
      </c>
      <c r="Q58" s="98">
        <v>123.54347341533934</v>
      </c>
      <c r="R58" s="95">
        <v>282.80523151083901</v>
      </c>
      <c r="S58" s="99">
        <v>129.38178622428484</v>
      </c>
      <c r="U58" s="121">
        <v>174250.20702694272</v>
      </c>
      <c r="V58" s="59">
        <v>518841.75113206101</v>
      </c>
      <c r="W58" s="59">
        <v>391059.63311184297</v>
      </c>
      <c r="X58" s="59">
        <v>887003.49249115854</v>
      </c>
      <c r="Y58" s="59">
        <v>1041572.8840691154</v>
      </c>
      <c r="Z58" s="59">
        <v>1095292.2831204841</v>
      </c>
      <c r="AA58" s="59">
        <v>700643.97377529659</v>
      </c>
      <c r="AB58" s="59">
        <v>4808664.2247269014</v>
      </c>
      <c r="AC58" s="59">
        <v>197794939.30974564</v>
      </c>
      <c r="AD58" s="68">
        <v>4808664.2247269014</v>
      </c>
    </row>
    <row r="59" spans="1:30" x14ac:dyDescent="0.2">
      <c r="A59" s="95">
        <v>51</v>
      </c>
      <c r="B59" s="95">
        <v>4</v>
      </c>
      <c r="C59" s="95">
        <v>3</v>
      </c>
      <c r="D59" s="95"/>
      <c r="E59" s="95">
        <v>769.4911470957444</v>
      </c>
      <c r="F59" s="95">
        <v>2306.2601813647825</v>
      </c>
      <c r="G59" s="95">
        <v>1744.3886980495486</v>
      </c>
      <c r="H59" s="95">
        <v>1921.818664318258</v>
      </c>
      <c r="I59" s="95">
        <v>1950.4970541720763</v>
      </c>
      <c r="J59" s="95">
        <v>70.431993566070318</v>
      </c>
      <c r="K59" s="95">
        <v>116.35752822076081</v>
      </c>
      <c r="L59" s="95">
        <v>64.934719485332351</v>
      </c>
      <c r="M59" s="95">
        <v>127.94790618084195</v>
      </c>
      <c r="N59" s="95">
        <v>927.8721075465869</v>
      </c>
      <c r="O59" s="95">
        <v>10000.000000000002</v>
      </c>
      <c r="Q59" s="98">
        <v>127.94790618084195</v>
      </c>
      <c r="R59" s="95">
        <v>289.12383591678429</v>
      </c>
      <c r="S59" s="99">
        <v>132.69262684601509</v>
      </c>
      <c r="U59" s="121">
        <v>172536.74665784446</v>
      </c>
      <c r="V59" s="59">
        <v>516822.32476746058</v>
      </c>
      <c r="W59" s="59">
        <v>390791.57754848397</v>
      </c>
      <c r="X59" s="59">
        <v>886406.43617990764</v>
      </c>
      <c r="Y59" s="59">
        <v>1046868.8192074847</v>
      </c>
      <c r="Z59" s="59">
        <v>1114003.6058954999</v>
      </c>
      <c r="AA59" s="59">
        <v>711912.74436558387</v>
      </c>
      <c r="AB59" s="59">
        <v>4839342.2546222648</v>
      </c>
      <c r="AC59" s="59">
        <v>202634281.56436789</v>
      </c>
      <c r="AD59" s="68">
        <v>4839342.2546222648</v>
      </c>
    </row>
    <row r="60" spans="1:30" x14ac:dyDescent="0.2">
      <c r="A60" s="95">
        <v>52</v>
      </c>
      <c r="B60" s="95">
        <v>4</v>
      </c>
      <c r="C60" s="95">
        <v>4</v>
      </c>
      <c r="D60" s="95"/>
      <c r="E60" s="95">
        <v>760.51375037962737</v>
      </c>
      <c r="F60" s="95">
        <v>2293.0063784166828</v>
      </c>
      <c r="G60" s="95">
        <v>1739.9374090157919</v>
      </c>
      <c r="H60" s="95">
        <v>1917.0014851037338</v>
      </c>
      <c r="I60" s="95">
        <v>1956.7214865840631</v>
      </c>
      <c r="J60" s="95">
        <v>70.753166964563007</v>
      </c>
      <c r="K60" s="95">
        <v>118.8047608756314</v>
      </c>
      <c r="L60" s="95">
        <v>65.833721357958524</v>
      </c>
      <c r="M60" s="95">
        <v>132.41272211500754</v>
      </c>
      <c r="N60" s="95">
        <v>945.01511918694268</v>
      </c>
      <c r="O60" s="95">
        <v>10000.000000000002</v>
      </c>
      <c r="Q60" s="98">
        <v>132.41272211500754</v>
      </c>
      <c r="R60" s="95">
        <v>295.46295134284355</v>
      </c>
      <c r="S60" s="99">
        <v>136.02668069934123</v>
      </c>
      <c r="U60" s="121">
        <v>170840.13531570899</v>
      </c>
      <c r="V60" s="59">
        <v>514800.66471987439</v>
      </c>
      <c r="W60" s="59">
        <v>390511.9206086396</v>
      </c>
      <c r="X60" s="59">
        <v>885809.68237668124</v>
      </c>
      <c r="Y60" s="59">
        <v>1052134.2029111043</v>
      </c>
      <c r="Z60" s="59">
        <v>1132608.8644857616</v>
      </c>
      <c r="AA60" s="59">
        <v>723100.89991029375</v>
      </c>
      <c r="AB60" s="59">
        <v>4869806.3703280641</v>
      </c>
      <c r="AC60" s="59">
        <v>207504087.93469596</v>
      </c>
      <c r="AD60" s="68">
        <v>4869806.3703280641</v>
      </c>
    </row>
    <row r="61" spans="1:30" x14ac:dyDescent="0.2">
      <c r="A61" s="95">
        <v>53</v>
      </c>
      <c r="B61" s="95">
        <v>4</v>
      </c>
      <c r="C61" s="95">
        <v>5</v>
      </c>
      <c r="D61" s="95"/>
      <c r="E61" s="95">
        <v>751.64108995853167</v>
      </c>
      <c r="F61" s="95">
        <v>2279.7843300771342</v>
      </c>
      <c r="G61" s="95">
        <v>1735.4452834054719</v>
      </c>
      <c r="H61" s="95">
        <v>1912.1955919914401</v>
      </c>
      <c r="I61" s="95">
        <v>1962.8599315250335</v>
      </c>
      <c r="J61" s="95">
        <v>71.069989140401518</v>
      </c>
      <c r="K61" s="95">
        <v>121.22786844460119</v>
      </c>
      <c r="L61" s="95">
        <v>66.721960132477591</v>
      </c>
      <c r="M61" s="95">
        <v>136.93723950046333</v>
      </c>
      <c r="N61" s="95">
        <v>962.11671582444728</v>
      </c>
      <c r="O61" s="95">
        <v>10000.000000000002</v>
      </c>
      <c r="Q61" s="98">
        <v>136.93723950046333</v>
      </c>
      <c r="R61" s="95">
        <v>301.82229617424179</v>
      </c>
      <c r="S61" s="99">
        <v>139.38368402478375</v>
      </c>
      <c r="U61" s="121">
        <v>169160.20731843784</v>
      </c>
      <c r="V61" s="59">
        <v>512776.95127537684</v>
      </c>
      <c r="W61" s="59">
        <v>390220.76345093496</v>
      </c>
      <c r="X61" s="59">
        <v>885212.98928015714</v>
      </c>
      <c r="Y61" s="59">
        <v>1057369.1760660866</v>
      </c>
      <c r="Z61" s="59">
        <v>1151108.6523908379</v>
      </c>
      <c r="AA61" s="59">
        <v>734209.48169870686</v>
      </c>
      <c r="AB61" s="59">
        <v>4900058.2214805381</v>
      </c>
      <c r="AC61" s="59">
        <v>212404146.15617651</v>
      </c>
      <c r="AD61" s="68">
        <v>4900058.2214805381</v>
      </c>
    </row>
    <row r="62" spans="1:30" x14ac:dyDescent="0.2">
      <c r="A62" s="95">
        <v>54</v>
      </c>
      <c r="B62" s="95">
        <v>4</v>
      </c>
      <c r="C62" s="95">
        <v>6</v>
      </c>
      <c r="D62" s="95"/>
      <c r="E62" s="95">
        <v>742.8719439090155</v>
      </c>
      <c r="F62" s="95">
        <v>2266.5947717335357</v>
      </c>
      <c r="G62" s="95">
        <v>1730.9130327829364</v>
      </c>
      <c r="H62" s="95">
        <v>1907.4004458849272</v>
      </c>
      <c r="I62" s="95">
        <v>1968.9130426812922</v>
      </c>
      <c r="J62" s="95">
        <v>71.38250322089624</v>
      </c>
      <c r="K62" s="95">
        <v>123.62703544743086</v>
      </c>
      <c r="L62" s="95">
        <v>67.599577740603905</v>
      </c>
      <c r="M62" s="95">
        <v>141.52078418928969</v>
      </c>
      <c r="N62" s="95">
        <v>979.17686241007459</v>
      </c>
      <c r="O62" s="95">
        <v>10000.000000000002</v>
      </c>
      <c r="Q62" s="98">
        <v>141.52078418928969</v>
      </c>
      <c r="R62" s="95">
        <v>308.20159095169817</v>
      </c>
      <c r="S62" s="99">
        <v>142.76337513787797</v>
      </c>
      <c r="U62" s="121">
        <v>167496.79861313989</v>
      </c>
      <c r="V62" s="59">
        <v>510751.36181259138</v>
      </c>
      <c r="W62" s="59">
        <v>389918.20749100525</v>
      </c>
      <c r="X62" s="59">
        <v>884616.11952925369</v>
      </c>
      <c r="Y62" s="59">
        <v>1062573.87620314</v>
      </c>
      <c r="Z62" s="59">
        <v>1169503.5585102967</v>
      </c>
      <c r="AA62" s="59">
        <v>745239.50342586637</v>
      </c>
      <c r="AB62" s="59">
        <v>4930099.4255852932</v>
      </c>
      <c r="AC62" s="59">
        <v>217334245.58176181</v>
      </c>
      <c r="AD62" s="68">
        <v>4930099.4255852932</v>
      </c>
    </row>
    <row r="63" spans="1:30" x14ac:dyDescent="0.2">
      <c r="A63" s="95">
        <v>55</v>
      </c>
      <c r="B63" s="95">
        <v>4</v>
      </c>
      <c r="C63" s="95">
        <v>7</v>
      </c>
      <c r="D63" s="95"/>
      <c r="E63" s="95">
        <v>734.20510456341037</v>
      </c>
      <c r="F63" s="95">
        <v>2253.438420241047</v>
      </c>
      <c r="G63" s="95">
        <v>1726.3413654420524</v>
      </c>
      <c r="H63" s="95">
        <v>1902.6155210479228</v>
      </c>
      <c r="I63" s="95">
        <v>1974.881464387865</v>
      </c>
      <c r="J63" s="95">
        <v>71.69075162965666</v>
      </c>
      <c r="K63" s="95">
        <v>126.00244512945687</v>
      </c>
      <c r="L63" s="95">
        <v>68.466712844246615</v>
      </c>
      <c r="M63" s="95">
        <v>146.16268946025247</v>
      </c>
      <c r="N63" s="95">
        <v>996.19552525409244</v>
      </c>
      <c r="O63" s="95">
        <v>10000.000000000002</v>
      </c>
      <c r="Q63" s="98">
        <v>146.16268946025247</v>
      </c>
      <c r="R63" s="95">
        <v>314.60055834041236</v>
      </c>
      <c r="S63" s="99">
        <v>146.16549440679333</v>
      </c>
      <c r="U63" s="121">
        <v>165849.74676011069</v>
      </c>
      <c r="V63" s="59">
        <v>508724.07083941263</v>
      </c>
      <c r="W63" s="59">
        <v>389604.35437831015</v>
      </c>
      <c r="X63" s="59">
        <v>884018.84016512893</v>
      </c>
      <c r="Y63" s="59">
        <v>1067748.4375626419</v>
      </c>
      <c r="Z63" s="59">
        <v>1187794.1671070422</v>
      </c>
      <c r="AA63" s="59">
        <v>756191.95204880042</v>
      </c>
      <c r="AB63" s="59">
        <v>4959931.5688614473</v>
      </c>
      <c r="AC63" s="59">
        <v>222294177.15062326</v>
      </c>
      <c r="AD63" s="68">
        <v>4959931.5688614473</v>
      </c>
    </row>
    <row r="64" spans="1:30" x14ac:dyDescent="0.2">
      <c r="A64" s="95">
        <v>56</v>
      </c>
      <c r="B64" s="95">
        <v>4</v>
      </c>
      <c r="C64" s="95">
        <v>8</v>
      </c>
      <c r="D64" s="95"/>
      <c r="E64" s="95">
        <v>725.63937834350395</v>
      </c>
      <c r="F64" s="95">
        <v>2240.3159742283706</v>
      </c>
      <c r="G64" s="95">
        <v>1721.7309863139087</v>
      </c>
      <c r="H64" s="95">
        <v>1897.8403049168717</v>
      </c>
      <c r="I64" s="95">
        <v>1980.7658318168717</v>
      </c>
      <c r="J64" s="95">
        <v>71.994776100225153</v>
      </c>
      <c r="K64" s="95">
        <v>128.35427945513428</v>
      </c>
      <c r="L64" s="95">
        <v>69.323500936008188</v>
      </c>
      <c r="M64" s="95">
        <v>150.86229587988495</v>
      </c>
      <c r="N64" s="95">
        <v>1013.1726720092232</v>
      </c>
      <c r="O64" s="95">
        <v>10000.000000000002</v>
      </c>
      <c r="Q64" s="98">
        <v>150.86229587988495</v>
      </c>
      <c r="R64" s="95">
        <v>321.01892309967292</v>
      </c>
      <c r="S64" s="99">
        <v>149.58978423021415</v>
      </c>
      <c r="U64" s="121">
        <v>164218.8909169696</v>
      </c>
      <c r="V64" s="59">
        <v>506695.25002930791</v>
      </c>
      <c r="W64" s="59">
        <v>389279.30597344134</v>
      </c>
      <c r="X64" s="59">
        <v>883420.92259307229</v>
      </c>
      <c r="Y64" s="59">
        <v>1072892.9911589925</v>
      </c>
      <c r="Z64" s="59">
        <v>1205981.0577732862</v>
      </c>
      <c r="AA64" s="59">
        <v>767067.78861337772</v>
      </c>
      <c r="AB64" s="59">
        <v>4989556.2070584474</v>
      </c>
      <c r="AC64" s="59">
        <v>227283733.35768172</v>
      </c>
      <c r="AD64" s="68">
        <v>4989556.2070584474</v>
      </c>
    </row>
    <row r="65" spans="1:30" x14ac:dyDescent="0.2">
      <c r="A65" s="95">
        <v>57</v>
      </c>
      <c r="B65" s="95">
        <v>4</v>
      </c>
      <c r="C65" s="95">
        <v>9</v>
      </c>
      <c r="D65" s="95"/>
      <c r="E65" s="95">
        <v>717.17358559616309</v>
      </c>
      <c r="F65" s="95">
        <v>2227.2281143991645</v>
      </c>
      <c r="G65" s="95">
        <v>1717.0825968777856</v>
      </c>
      <c r="H65" s="95">
        <v>1893.0742979147237</v>
      </c>
      <c r="I65" s="95">
        <v>1986.5667711628946</v>
      </c>
      <c r="J65" s="95">
        <v>72.294617689476794</v>
      </c>
      <c r="K65" s="95">
        <v>130.68271910222464</v>
      </c>
      <c r="L65" s="95">
        <v>70.170074436174602</v>
      </c>
      <c r="M65" s="95">
        <v>155.61895116729258</v>
      </c>
      <c r="N65" s="95">
        <v>1030.1082716541025</v>
      </c>
      <c r="O65" s="95">
        <v>10000.000000000002</v>
      </c>
      <c r="Q65" s="98">
        <v>155.61895116729258</v>
      </c>
      <c r="R65" s="95">
        <v>327.45641205307777</v>
      </c>
      <c r="S65" s="99">
        <v>153.03598901548088</v>
      </c>
      <c r="U65" s="121">
        <v>162604.07182295274</v>
      </c>
      <c r="V65" s="59">
        <v>504665.06825720501</v>
      </c>
      <c r="W65" s="59">
        <v>388943.16432591673</v>
      </c>
      <c r="X65" s="59">
        <v>882822.14254430193</v>
      </c>
      <c r="Y65" s="59">
        <v>1078007.664844247</v>
      </c>
      <c r="Z65" s="59">
        <v>1224064.805399087</v>
      </c>
      <c r="AA65" s="59">
        <v>777867.94905285013</v>
      </c>
      <c r="AB65" s="59">
        <v>5018974.8662465606</v>
      </c>
      <c r="AC65" s="59">
        <v>232302708.22392827</v>
      </c>
      <c r="AD65" s="68">
        <v>5018974.8662465606</v>
      </c>
    </row>
    <row r="66" spans="1:30" x14ac:dyDescent="0.2">
      <c r="A66" s="95">
        <v>58</v>
      </c>
      <c r="B66" s="95">
        <v>4</v>
      </c>
      <c r="C66" s="95">
        <v>10</v>
      </c>
      <c r="D66" s="95"/>
      <c r="E66" s="95">
        <v>708.80656043087447</v>
      </c>
      <c r="F66" s="95">
        <v>2214.1755038291344</v>
      </c>
      <c r="G66" s="95">
        <v>1712.3968950753194</v>
      </c>
      <c r="H66" s="95">
        <v>1888.3170132659893</v>
      </c>
      <c r="I66" s="95">
        <v>1992.2848998253719</v>
      </c>
      <c r="J66" s="95">
        <v>72.590316790788748</v>
      </c>
      <c r="K66" s="95">
        <v>132.98794345661054</v>
      </c>
      <c r="L66" s="95">
        <v>71.006562786327734</v>
      </c>
      <c r="M66" s="95">
        <v>160.43201006255762</v>
      </c>
      <c r="N66" s="95">
        <v>1047.0022944770283</v>
      </c>
      <c r="O66" s="95">
        <v>10000.000000000002</v>
      </c>
      <c r="Q66" s="98">
        <v>160.43201006255762</v>
      </c>
      <c r="R66" s="95">
        <v>333.91275405935716</v>
      </c>
      <c r="S66" s="99">
        <v>156.50385515699057</v>
      </c>
      <c r="U66" s="121">
        <v>161005.13178336035</v>
      </c>
      <c r="V66" s="59">
        <v>502633.69163496885</v>
      </c>
      <c r="W66" s="59">
        <v>388596.03165245225</v>
      </c>
      <c r="X66" s="59">
        <v>882222.28003767552</v>
      </c>
      <c r="Y66" s="59">
        <v>1083092.5833710358</v>
      </c>
      <c r="Z66" s="59">
        <v>1242045.980143399</v>
      </c>
      <c r="AA66" s="59">
        <v>788593.3449591063</v>
      </c>
      <c r="AB66" s="59">
        <v>5048189.043581998</v>
      </c>
      <c r="AC66" s="59">
        <v>237350897.26751027</v>
      </c>
      <c r="AD66" s="68">
        <v>5048189.043581998</v>
      </c>
    </row>
    <row r="67" spans="1:30" x14ac:dyDescent="0.2">
      <c r="A67" s="95">
        <v>59</v>
      </c>
      <c r="B67" s="95">
        <v>4</v>
      </c>
      <c r="C67" s="95">
        <v>11</v>
      </c>
      <c r="D67" s="95"/>
      <c r="E67" s="95">
        <v>700.53715055918099</v>
      </c>
      <c r="F67" s="95">
        <v>2201.1587882588733</v>
      </c>
      <c r="G67" s="95">
        <v>1707.674575227795</v>
      </c>
      <c r="H67" s="95">
        <v>1883.5679768130781</v>
      </c>
      <c r="I67" s="95">
        <v>1997.9208265880491</v>
      </c>
      <c r="J67" s="95">
        <v>72.881913146982683</v>
      </c>
      <c r="K67" s="95">
        <v>135.27013060771762</v>
      </c>
      <c r="L67" s="95">
        <v>71.833092539705305</v>
      </c>
      <c r="M67" s="95">
        <v>165.30083419862643</v>
      </c>
      <c r="N67" s="95">
        <v>1063.8547120599942</v>
      </c>
      <c r="O67" s="95">
        <v>10000.000000000002</v>
      </c>
      <c r="Q67" s="98">
        <v>165.30083419862643</v>
      </c>
      <c r="R67" s="95">
        <v>340.38767998378961</v>
      </c>
      <c r="S67" s="99">
        <v>159.99313101485544</v>
      </c>
      <c r="U67" s="121">
        <v>159421.9146541573</v>
      </c>
      <c r="V67" s="59">
        <v>500601.28354647261</v>
      </c>
      <c r="W67" s="59">
        <v>388238.01031570439</v>
      </c>
      <c r="X67" s="59">
        <v>881621.11934132932</v>
      </c>
      <c r="Y67" s="59">
        <v>1088147.8684547662</v>
      </c>
      <c r="Z67" s="59">
        <v>1259925.1474075683</v>
      </c>
      <c r="AA67" s="59">
        <v>799244.86432761489</v>
      </c>
      <c r="AB67" s="59">
        <v>5077200.2080476135</v>
      </c>
      <c r="AC67" s="59">
        <v>242428097.47555786</v>
      </c>
      <c r="AD67" s="68">
        <v>5077200.2080476135</v>
      </c>
    </row>
    <row r="68" spans="1:30" x14ac:dyDescent="0.2">
      <c r="A68" s="95">
        <v>60</v>
      </c>
      <c r="B68" s="95">
        <v>5</v>
      </c>
      <c r="C68" s="95">
        <v>0</v>
      </c>
      <c r="D68" s="95"/>
      <c r="E68" s="95">
        <v>692.36421713599054</v>
      </c>
      <c r="F68" s="95">
        <v>2188.1785963824955</v>
      </c>
      <c r="G68" s="95">
        <v>1702.9163279564975</v>
      </c>
      <c r="H68" s="95">
        <v>1878.826726833938</v>
      </c>
      <c r="I68" s="95">
        <v>2003.4751517955178</v>
      </c>
      <c r="J68" s="95">
        <v>73.16944586304372</v>
      </c>
      <c r="K68" s="95">
        <v>137.52945734452666</v>
      </c>
      <c r="L68" s="95">
        <v>72.649787448429052</v>
      </c>
      <c r="M68" s="95">
        <v>170.22479197656554</v>
      </c>
      <c r="N68" s="95">
        <v>1080.6654972629985</v>
      </c>
      <c r="O68" s="95">
        <v>10000.000000000004</v>
      </c>
      <c r="Q68" s="98">
        <v>170.22479197656554</v>
      </c>
      <c r="R68" s="95">
        <v>346.88092267020079</v>
      </c>
      <c r="S68" s="99">
        <v>163.50356689381812</v>
      </c>
      <c r="U68" s="121">
        <v>157854.26582672476</v>
      </c>
      <c r="V68" s="59">
        <v>498568.00468226761</v>
      </c>
      <c r="W68" s="59">
        <v>387869.2028034752</v>
      </c>
      <c r="X68" s="59">
        <v>881018.44893425121</v>
      </c>
      <c r="Y68" s="59">
        <v>1093173.6388351163</v>
      </c>
      <c r="Z68" s="59">
        <v>1277702.8678112184</v>
      </c>
      <c r="AA68" s="59">
        <v>809823.37227700581</v>
      </c>
      <c r="AB68" s="59">
        <v>5106009.8011700595</v>
      </c>
      <c r="AC68" s="59">
        <v>247534107.27672791</v>
      </c>
      <c r="AD68" s="68">
        <v>5106009.8011700595</v>
      </c>
    </row>
    <row r="69" spans="1:30" x14ac:dyDescent="0.2">
      <c r="A69" s="95">
        <v>61</v>
      </c>
      <c r="B69" s="95">
        <v>5</v>
      </c>
      <c r="C69" s="95">
        <v>1</v>
      </c>
      <c r="D69" s="95"/>
      <c r="E69" s="95">
        <v>683.47887634941196</v>
      </c>
      <c r="F69" s="95">
        <v>2172.682665103016</v>
      </c>
      <c r="G69" s="95">
        <v>1696.1361043901093</v>
      </c>
      <c r="H69" s="95">
        <v>1871.9008493463703</v>
      </c>
      <c r="I69" s="95">
        <v>2006.6110798497796</v>
      </c>
      <c r="J69" s="95">
        <v>73.367589065112355</v>
      </c>
      <c r="K69" s="95">
        <v>139.60564811858879</v>
      </c>
      <c r="L69" s="95">
        <v>73.372010462360805</v>
      </c>
      <c r="M69" s="95">
        <v>175.20325844407722</v>
      </c>
      <c r="N69" s="95">
        <v>1107.6419188711766</v>
      </c>
      <c r="O69" s="95">
        <v>10000.000000000004</v>
      </c>
      <c r="Q69" s="98">
        <v>175.20325844407722</v>
      </c>
      <c r="R69" s="95">
        <v>353.39221691353623</v>
      </c>
      <c r="S69" s="99">
        <v>167.03491502242247</v>
      </c>
      <c r="U69" s="121">
        <v>156288.87769060975</v>
      </c>
      <c r="V69" s="59">
        <v>496492.46574013174</v>
      </c>
      <c r="W69" s="59">
        <v>387457.38927480596</v>
      </c>
      <c r="X69" s="59">
        <v>880340.64326372405</v>
      </c>
      <c r="Y69" s="59">
        <v>1098078.9125335796</v>
      </c>
      <c r="Z69" s="59">
        <v>1295273.2219314838</v>
      </c>
      <c r="AA69" s="59">
        <v>820262.22646317992</v>
      </c>
      <c r="AB69" s="59">
        <v>5134193.7368975151</v>
      </c>
      <c r="AC69" s="59">
        <v>252668301.01362544</v>
      </c>
      <c r="AD69" s="68">
        <v>5134193.7368975151</v>
      </c>
    </row>
    <row r="70" spans="1:30" x14ac:dyDescent="0.2">
      <c r="A70" s="95">
        <v>62</v>
      </c>
      <c r="B70" s="95">
        <v>5</v>
      </c>
      <c r="C70" s="95">
        <v>2</v>
      </c>
      <c r="D70" s="95"/>
      <c r="E70" s="95">
        <v>674.70756410292779</v>
      </c>
      <c r="F70" s="95">
        <v>2157.2576437188754</v>
      </c>
      <c r="G70" s="95">
        <v>1689.3348259021518</v>
      </c>
      <c r="H70" s="95">
        <v>1864.9954745611051</v>
      </c>
      <c r="I70" s="95">
        <v>2009.6565382945878</v>
      </c>
      <c r="J70" s="95">
        <v>73.555859335309762</v>
      </c>
      <c r="K70" s="95">
        <v>141.65962021595141</v>
      </c>
      <c r="L70" s="95">
        <v>74.082853995015242</v>
      </c>
      <c r="M70" s="95">
        <v>180.2298069662906</v>
      </c>
      <c r="N70" s="95">
        <v>1134.5198129077878</v>
      </c>
      <c r="O70" s="95">
        <v>10000.000000000004</v>
      </c>
      <c r="Q70" s="98">
        <v>180.2298069662906</v>
      </c>
      <c r="R70" s="95">
        <v>359.91370292304799</v>
      </c>
      <c r="S70" s="99">
        <v>170.5828096262882</v>
      </c>
      <c r="U70" s="121">
        <v>154739.01298684452</v>
      </c>
      <c r="V70" s="59">
        <v>494416.71192099922</v>
      </c>
      <c r="W70" s="59">
        <v>387035.06078283803</v>
      </c>
      <c r="X70" s="59">
        <v>879661.02416846505</v>
      </c>
      <c r="Y70" s="59">
        <v>1102954.075186152</v>
      </c>
      <c r="Z70" s="59">
        <v>1312740.2987351613</v>
      </c>
      <c r="AA70" s="59">
        <v>830627.98816113512</v>
      </c>
      <c r="AB70" s="59">
        <v>5162174.1719415952</v>
      </c>
      <c r="AC70" s="59">
        <v>257830475.18556705</v>
      </c>
      <c r="AD70" s="68">
        <v>5162174.1719415952</v>
      </c>
    </row>
    <row r="71" spans="1:30" x14ac:dyDescent="0.2">
      <c r="A71" s="95">
        <v>63</v>
      </c>
      <c r="B71" s="95">
        <v>5</v>
      </c>
      <c r="C71" s="95">
        <v>3</v>
      </c>
      <c r="D71" s="95"/>
      <c r="E71" s="95">
        <v>666.04881703027354</v>
      </c>
      <c r="F71" s="95">
        <v>2141.9039230910703</v>
      </c>
      <c r="G71" s="95">
        <v>1682.5132702396074</v>
      </c>
      <c r="H71" s="95">
        <v>1858.1101305194725</v>
      </c>
      <c r="I71" s="95">
        <v>2012.6124038448024</v>
      </c>
      <c r="J71" s="95">
        <v>73.734406712542139</v>
      </c>
      <c r="K71" s="95">
        <v>143.69156748683517</v>
      </c>
      <c r="L71" s="95">
        <v>74.782470652675485</v>
      </c>
      <c r="M71" s="95">
        <v>185.30367550954765</v>
      </c>
      <c r="N71" s="95">
        <v>1161.2993349131762</v>
      </c>
      <c r="O71" s="95">
        <v>10000.000000000004</v>
      </c>
      <c r="Q71" s="98">
        <v>185.30367550954765</v>
      </c>
      <c r="R71" s="95">
        <v>366.4450866725054</v>
      </c>
      <c r="S71" s="99">
        <v>174.14696330508903</v>
      </c>
      <c r="U71" s="121">
        <v>153204.51777472498</v>
      </c>
      <c r="V71" s="59">
        <v>492340.89613619365</v>
      </c>
      <c r="W71" s="59">
        <v>386602.32270765293</v>
      </c>
      <c r="X71" s="59">
        <v>878979.39299594541</v>
      </c>
      <c r="Y71" s="59">
        <v>1107799.2443921308</v>
      </c>
      <c r="Z71" s="59">
        <v>1330104.6833908134</v>
      </c>
      <c r="AA71" s="59">
        <v>840921.47599152266</v>
      </c>
      <c r="AB71" s="59">
        <v>5189952.5333889835</v>
      </c>
      <c r="AC71" s="59">
        <v>263020427.71895602</v>
      </c>
      <c r="AD71" s="68">
        <v>5189952.5333889835</v>
      </c>
    </row>
    <row r="72" spans="1:30" x14ac:dyDescent="0.2">
      <c r="A72" s="95">
        <v>64</v>
      </c>
      <c r="B72" s="95">
        <v>5</v>
      </c>
      <c r="C72" s="95">
        <v>4</v>
      </c>
      <c r="D72" s="95"/>
      <c r="E72" s="95">
        <v>657.50119054505171</v>
      </c>
      <c r="F72" s="95">
        <v>2126.6218758390228</v>
      </c>
      <c r="G72" s="95">
        <v>1675.6722077425343</v>
      </c>
      <c r="H72" s="95">
        <v>1851.2443590577452</v>
      </c>
      <c r="I72" s="95">
        <v>2015.4795420776547</v>
      </c>
      <c r="J72" s="95">
        <v>73.903378883084372</v>
      </c>
      <c r="K72" s="95">
        <v>145.70168188952664</v>
      </c>
      <c r="L72" s="95">
        <v>75.471010112387447</v>
      </c>
      <c r="M72" s="95">
        <v>190.42411155528936</v>
      </c>
      <c r="N72" s="95">
        <v>1187.980642297706</v>
      </c>
      <c r="O72" s="95">
        <v>10000.000000000002</v>
      </c>
      <c r="Q72" s="98">
        <v>190.42411155528936</v>
      </c>
      <c r="R72" s="95">
        <v>372.98607698500098</v>
      </c>
      <c r="S72" s="99">
        <v>177.72709163003776</v>
      </c>
      <c r="U72" s="121">
        <v>151685.23964012566</v>
      </c>
      <c r="V72" s="59">
        <v>490265.16868750984</v>
      </c>
      <c r="W72" s="59">
        <v>386159.28044108982</v>
      </c>
      <c r="X72" s="59">
        <v>878295.55521664291</v>
      </c>
      <c r="Y72" s="59">
        <v>1112614.5349760281</v>
      </c>
      <c r="Z72" s="59">
        <v>1347366.9556745975</v>
      </c>
      <c r="AA72" s="59">
        <v>851143.48821210349</v>
      </c>
      <c r="AB72" s="59">
        <v>5217530.2228480978</v>
      </c>
      <c r="AC72" s="59">
        <v>268237957.94180411</v>
      </c>
      <c r="AD72" s="68">
        <v>5217530.2228480978</v>
      </c>
    </row>
    <row r="73" spans="1:30" x14ac:dyDescent="0.2">
      <c r="A73" s="95">
        <v>65</v>
      </c>
      <c r="B73" s="95">
        <v>5</v>
      </c>
      <c r="C73" s="95">
        <v>5</v>
      </c>
      <c r="D73" s="95"/>
      <c r="E73" s="95">
        <v>649.06325859972355</v>
      </c>
      <c r="F73" s="95">
        <v>2111.4118567091405</v>
      </c>
      <c r="G73" s="95">
        <v>1668.8124013117626</v>
      </c>
      <c r="H73" s="95">
        <v>1844.3977155571843</v>
      </c>
      <c r="I73" s="95">
        <v>2018.2588076496306</v>
      </c>
      <c r="J73" s="95">
        <v>74.062921224123144</v>
      </c>
      <c r="K73" s="95">
        <v>147.69015350111752</v>
      </c>
      <c r="L73" s="95">
        <v>76.148619198177187</v>
      </c>
      <c r="M73" s="95">
        <v>195.59037194248418</v>
      </c>
      <c r="N73" s="95">
        <v>1214.5638943066592</v>
      </c>
      <c r="O73" s="95">
        <v>10000.000000000004</v>
      </c>
      <c r="Q73" s="98">
        <v>195.59037194248418</v>
      </c>
      <c r="R73" s="95">
        <v>379.53638549675338</v>
      </c>
      <c r="S73" s="99">
        <v>181.32291310683982</v>
      </c>
      <c r="U73" s="121">
        <v>150181.02768036106</v>
      </c>
      <c r="V73" s="59">
        <v>488189.67730101658</v>
      </c>
      <c r="W73" s="59">
        <v>385706.03936814191</v>
      </c>
      <c r="X73" s="59">
        <v>877609.32038374082</v>
      </c>
      <c r="Y73" s="59">
        <v>1117400.0590466952</v>
      </c>
      <c r="Z73" s="59">
        <v>1364527.6899664332</v>
      </c>
      <c r="AA73" s="59">
        <v>861294.80332334153</v>
      </c>
      <c r="AB73" s="59">
        <v>5244908.6170697305</v>
      </c>
      <c r="AC73" s="59">
        <v>273482866.55887383</v>
      </c>
      <c r="AD73" s="68">
        <v>5244908.6170697305</v>
      </c>
    </row>
    <row r="74" spans="1:30" x14ac:dyDescent="0.2">
      <c r="A74" s="95">
        <v>66</v>
      </c>
      <c r="B74" s="95">
        <v>5</v>
      </c>
      <c r="C74" s="95">
        <v>6</v>
      </c>
      <c r="D74" s="95"/>
      <c r="E74" s="95">
        <v>640.73361344769376</v>
      </c>
      <c r="F74" s="95">
        <v>2096.274202937278</v>
      </c>
      <c r="G74" s="95">
        <v>1661.9346063796236</v>
      </c>
      <c r="H74" s="95">
        <v>1837.5697686969477</v>
      </c>
      <c r="I74" s="95">
        <v>2020.9510445093113</v>
      </c>
      <c r="J74" s="95">
        <v>74.213176846496722</v>
      </c>
      <c r="K74" s="95">
        <v>149.65717052851642</v>
      </c>
      <c r="L74" s="95">
        <v>76.815441954881933</v>
      </c>
      <c r="M74" s="95">
        <v>200.80172271352896</v>
      </c>
      <c r="N74" s="95">
        <v>1241.0492519857244</v>
      </c>
      <c r="O74" s="95">
        <v>10000.000000000002</v>
      </c>
      <c r="Q74" s="98">
        <v>200.80172271352896</v>
      </c>
      <c r="R74" s="95">
        <v>386.09572662161469</v>
      </c>
      <c r="S74" s="99">
        <v>184.93414913920742</v>
      </c>
      <c r="U74" s="121">
        <v>148691.73248919749</v>
      </c>
      <c r="V74" s="59">
        <v>486114.56716046773</v>
      </c>
      <c r="W74" s="59">
        <v>385242.70484878134</v>
      </c>
      <c r="X74" s="59">
        <v>876920.50209284096</v>
      </c>
      <c r="Y74" s="59">
        <v>1122155.926055717</v>
      </c>
      <c r="Z74" s="59">
        <v>1381587.4552480893</v>
      </c>
      <c r="AA74" s="59">
        <v>871376.18065371981</v>
      </c>
      <c r="AB74" s="59">
        <v>5272089.0685488135</v>
      </c>
      <c r="AC74" s="59">
        <v>278754955.62742263</v>
      </c>
      <c r="AD74" s="68">
        <v>5272089.0685488135</v>
      </c>
    </row>
    <row r="75" spans="1:30" x14ac:dyDescent="0.2">
      <c r="A75" s="95">
        <v>67</v>
      </c>
      <c r="B75" s="95">
        <v>5</v>
      </c>
      <c r="C75" s="95">
        <v>7</v>
      </c>
      <c r="D75" s="95"/>
      <c r="E75" s="95">
        <v>632.51086540844835</v>
      </c>
      <c r="F75" s="95">
        <v>2081.2092346051973</v>
      </c>
      <c r="G75" s="95">
        <v>1655.0395708836293</v>
      </c>
      <c r="H75" s="95">
        <v>1830.7601002098579</v>
      </c>
      <c r="I75" s="95">
        <v>2023.5570861062286</v>
      </c>
      <c r="J75" s="95">
        <v>74.354286636644716</v>
      </c>
      <c r="K75" s="95">
        <v>151.60291931972097</v>
      </c>
      <c r="L75" s="95">
        <v>77.471619719679097</v>
      </c>
      <c r="M75" s="95">
        <v>206.0574389635282</v>
      </c>
      <c r="N75" s="95">
        <v>1267.4368781470685</v>
      </c>
      <c r="O75" s="95">
        <v>10000.000000000004</v>
      </c>
      <c r="Q75" s="98">
        <v>206.0574389635282</v>
      </c>
      <c r="R75" s="95">
        <v>392.66381751626994</v>
      </c>
      <c r="S75" s="99">
        <v>188.5605239929267</v>
      </c>
      <c r="U75" s="121">
        <v>147217.20614201293</v>
      </c>
      <c r="V75" s="59">
        <v>484039.98094032402</v>
      </c>
      <c r="W75" s="59">
        <v>384769.38220020535</v>
      </c>
      <c r="X75" s="59">
        <v>876228.91794169706</v>
      </c>
      <c r="Y75" s="59">
        <v>1126882.2428550874</v>
      </c>
      <c r="Z75" s="59">
        <v>1398546.8151031395</v>
      </c>
      <c r="AA75" s="59">
        <v>881388.36092550308</v>
      </c>
      <c r="AB75" s="59">
        <v>5299072.9061079696</v>
      </c>
      <c r="AC75" s="59">
        <v>284054028.53353059</v>
      </c>
      <c r="AD75" s="68">
        <v>5299072.9061079696</v>
      </c>
    </row>
    <row r="76" spans="1:30" x14ac:dyDescent="0.2">
      <c r="A76" s="95">
        <v>68</v>
      </c>
      <c r="B76" s="95">
        <v>5</v>
      </c>
      <c r="C76" s="95">
        <v>8</v>
      </c>
      <c r="D76" s="95"/>
      <c r="E76" s="95">
        <v>624.39364263570656</v>
      </c>
      <c r="F76" s="95">
        <v>2066.2172549911102</v>
      </c>
      <c r="G76" s="95">
        <v>1648.1280352430219</v>
      </c>
      <c r="H76" s="95">
        <v>1823.9683046410184</v>
      </c>
      <c r="I76" s="95">
        <v>2026.0777555957939</v>
      </c>
      <c r="J76" s="95">
        <v>74.486389297781116</v>
      </c>
      <c r="K76" s="95">
        <v>153.52758437533845</v>
      </c>
      <c r="L76" s="95">
        <v>78.117291191394841</v>
      </c>
      <c r="M76" s="95">
        <v>211.35680469285995</v>
      </c>
      <c r="N76" s="95">
        <v>1293.7269373359773</v>
      </c>
      <c r="O76" s="95">
        <v>10000.000000000002</v>
      </c>
      <c r="Q76" s="98">
        <v>211.35680469285995</v>
      </c>
      <c r="R76" s="95">
        <v>399.24037804611521</v>
      </c>
      <c r="S76" s="99">
        <v>192.20176476047004</v>
      </c>
      <c r="U76" s="121">
        <v>145757.30218110466</v>
      </c>
      <c r="V76" s="59">
        <v>481966.05883839133</v>
      </c>
      <c r="W76" s="59">
        <v>384286.17667949729</v>
      </c>
      <c r="X76" s="59">
        <v>875534.38948998053</v>
      </c>
      <c r="Y76" s="59">
        <v>1131579.1137541693</v>
      </c>
      <c r="Z76" s="59">
        <v>1415406.3277187396</v>
      </c>
      <c r="AA76" s="59">
        <v>891332.06680164929</v>
      </c>
      <c r="AB76" s="59">
        <v>5325861.4354635319</v>
      </c>
      <c r="AC76" s="59">
        <v>289379889.96899414</v>
      </c>
      <c r="AD76" s="68">
        <v>5325861.4354635319</v>
      </c>
    </row>
    <row r="77" spans="1:30" x14ac:dyDescent="0.2">
      <c r="A77" s="95">
        <v>69</v>
      </c>
      <c r="B77" s="95">
        <v>5</v>
      </c>
      <c r="C77" s="95">
        <v>9</v>
      </c>
      <c r="D77" s="95"/>
      <c r="E77" s="95">
        <v>616.38059088854834</v>
      </c>
      <c r="F77" s="95">
        <v>2051.2985509143987</v>
      </c>
      <c r="G77" s="95">
        <v>1641.2007323381129</v>
      </c>
      <c r="H77" s="95">
        <v>1817.1939891092757</v>
      </c>
      <c r="I77" s="95">
        <v>2028.5138660403552</v>
      </c>
      <c r="J77" s="95">
        <v>74.609621390303545</v>
      </c>
      <c r="K77" s="95">
        <v>155.43134836034307</v>
      </c>
      <c r="L77" s="95">
        <v>78.752592497670349</v>
      </c>
      <c r="M77" s="95">
        <v>216.69911266293994</v>
      </c>
      <c r="N77" s="95">
        <v>1319.9195957980548</v>
      </c>
      <c r="O77" s="95">
        <v>10000.000000000002</v>
      </c>
      <c r="Q77" s="98">
        <v>216.69911266293994</v>
      </c>
      <c r="R77" s="95">
        <v>405.82513075180157</v>
      </c>
      <c r="S77" s="99">
        <v>195.85760132614615</v>
      </c>
      <c r="U77" s="121">
        <v>144311.87560114203</v>
      </c>
      <c r="V77" s="59">
        <v>479892.93860807869</v>
      </c>
      <c r="W77" s="59">
        <v>383793.19346669427</v>
      </c>
      <c r="X77" s="59">
        <v>874836.74221908336</v>
      </c>
      <c r="Y77" s="59">
        <v>1136246.640575937</v>
      </c>
      <c r="Z77" s="59">
        <v>1432166.5458891708</v>
      </c>
      <c r="AA77" s="59">
        <v>901208.0034145473</v>
      </c>
      <c r="AB77" s="59">
        <v>5352455.9397746539</v>
      </c>
      <c r="AC77" s="59">
        <v>294732345.90876877</v>
      </c>
      <c r="AD77" s="68">
        <v>5352455.9397746539</v>
      </c>
    </row>
    <row r="78" spans="1:30" x14ac:dyDescent="0.2">
      <c r="A78" s="95">
        <v>70</v>
      </c>
      <c r="B78" s="95">
        <v>5</v>
      </c>
      <c r="C78" s="95">
        <v>10</v>
      </c>
      <c r="D78" s="95"/>
      <c r="E78" s="95">
        <v>608.47037330547869</v>
      </c>
      <c r="F78" s="95">
        <v>2036.453393074599</v>
      </c>
      <c r="G78" s="95">
        <v>1634.2583874923328</v>
      </c>
      <c r="H78" s="95">
        <v>1810.4367730715135</v>
      </c>
      <c r="I78" s="95">
        <v>2030.8662206064423</v>
      </c>
      <c r="J78" s="95">
        <v>74.724117371451484</v>
      </c>
      <c r="K78" s="95">
        <v>157.31439211605866</v>
      </c>
      <c r="L78" s="95">
        <v>79.37765726006117</v>
      </c>
      <c r="M78" s="95">
        <v>222.08366425509817</v>
      </c>
      <c r="N78" s="95">
        <v>1346.0150214469668</v>
      </c>
      <c r="O78" s="95">
        <v>10000.000000000002</v>
      </c>
      <c r="Q78" s="98">
        <v>222.08366425509817</v>
      </c>
      <c r="R78" s="95">
        <v>412.4178008164327</v>
      </c>
      <c r="S78" s="99">
        <v>199.52776633178024</v>
      </c>
      <c r="U78" s="121">
        <v>142880.78283476405</v>
      </c>
      <c r="V78" s="59">
        <v>477820.75559028122</v>
      </c>
      <c r="W78" s="59">
        <v>383290.53764825681</v>
      </c>
      <c r="X78" s="59">
        <v>874135.80549196876</v>
      </c>
      <c r="Y78" s="59">
        <v>1140884.9227125107</v>
      </c>
      <c r="Z78" s="59">
        <v>1448828.0170211059</v>
      </c>
      <c r="AA78" s="59">
        <v>911016.85887723067</v>
      </c>
      <c r="AB78" s="59">
        <v>5378857.6801761184</v>
      </c>
      <c r="AC78" s="59">
        <v>300111203.58894491</v>
      </c>
      <c r="AD78" s="68">
        <v>5378857.6801761184</v>
      </c>
    </row>
    <row r="79" spans="1:30" x14ac:dyDescent="0.2">
      <c r="A79" s="95">
        <v>71</v>
      </c>
      <c r="B79" s="95">
        <v>5</v>
      </c>
      <c r="C79" s="95">
        <v>11</v>
      </c>
      <c r="D79" s="95"/>
      <c r="E79" s="95">
        <v>600.66167018139174</v>
      </c>
      <c r="F79" s="95">
        <v>2021.6820363847357</v>
      </c>
      <c r="G79" s="95">
        <v>1627.3017184569198</v>
      </c>
      <c r="H79" s="95">
        <v>1803.696288089775</v>
      </c>
      <c r="I79" s="95">
        <v>2033.1356127582519</v>
      </c>
      <c r="J79" s="95">
        <v>74.830009634226144</v>
      </c>
      <c r="K79" s="95">
        <v>159.17689467235567</v>
      </c>
      <c r="L79" s="95">
        <v>79.992616657142207</v>
      </c>
      <c r="M79" s="95">
        <v>227.50976933248558</v>
      </c>
      <c r="N79" s="95">
        <v>1372.0133838327188</v>
      </c>
      <c r="O79" s="95">
        <v>10000.000000000002</v>
      </c>
      <c r="Q79" s="98">
        <v>227.50976933248558</v>
      </c>
      <c r="R79" s="95">
        <v>419.01811603340366</v>
      </c>
      <c r="S79" s="99">
        <v>203.21199514291698</v>
      </c>
      <c r="U79" s="121">
        <v>141463.88173831929</v>
      </c>
      <c r="V79" s="59">
        <v>475749.64274489065</v>
      </c>
      <c r="W79" s="59">
        <v>382778.31420093065</v>
      </c>
      <c r="X79" s="59">
        <v>873431.41251307563</v>
      </c>
      <c r="Y79" s="59">
        <v>1145494.0571799844</v>
      </c>
      <c r="Z79" s="59">
        <v>1465391.2831405445</v>
      </c>
      <c r="AA79" s="59">
        <v>920759.30477769417</v>
      </c>
      <c r="AB79" s="59">
        <v>5405067.8962954395</v>
      </c>
      <c r="AC79" s="59">
        <v>305516271.48524034</v>
      </c>
      <c r="AD79" s="68">
        <v>5405067.8962954395</v>
      </c>
    </row>
    <row r="80" spans="1:30" x14ac:dyDescent="0.2">
      <c r="A80" s="95">
        <v>72</v>
      </c>
      <c r="B80" s="95">
        <v>6</v>
      </c>
      <c r="C80" s="95">
        <v>0</v>
      </c>
      <c r="D80" s="95"/>
      <c r="E80" s="95">
        <v>592.95317874739726</v>
      </c>
      <c r="F80" s="95">
        <v>2006.9847202990927</v>
      </c>
      <c r="G80" s="95">
        <v>1620.3314353981671</v>
      </c>
      <c r="H80" s="95">
        <v>1796.9721776011995</v>
      </c>
      <c r="I80" s="95">
        <v>2035.3228264474328</v>
      </c>
      <c r="J80" s="95">
        <v>75.018333943194065</v>
      </c>
      <c r="K80" s="95">
        <v>160.92812786244173</v>
      </c>
      <c r="L80" s="95">
        <v>80.597599485687965</v>
      </c>
      <c r="M80" s="95">
        <v>232.97674610492996</v>
      </c>
      <c r="N80" s="95">
        <v>1397.9148541104594</v>
      </c>
      <c r="O80" s="95">
        <v>10000.000000000002</v>
      </c>
      <c r="Q80" s="98">
        <v>232.97674610492996</v>
      </c>
      <c r="R80" s="95">
        <v>425.62580677486795</v>
      </c>
      <c r="S80" s="99">
        <v>206.91002581553889</v>
      </c>
      <c r="U80" s="121">
        <v>140061.03157774764</v>
      </c>
      <c r="V80" s="59">
        <v>473679.73068193882</v>
      </c>
      <c r="W80" s="59">
        <v>382256.62797599752</v>
      </c>
      <c r="X80" s="59">
        <v>872723.40028828476</v>
      </c>
      <c r="Y80" s="59">
        <v>1150074.1386725507</v>
      </c>
      <c r="Z80" s="59">
        <v>1481856.8809013769</v>
      </c>
      <c r="AA80" s="59">
        <v>930435.9966569189</v>
      </c>
      <c r="AB80" s="59">
        <v>5431087.8067548154</v>
      </c>
      <c r="AC80" s="59">
        <v>310947359.29199517</v>
      </c>
      <c r="AD80" s="68">
        <v>5431087.8067548154</v>
      </c>
    </row>
    <row r="81" spans="1:30" x14ac:dyDescent="0.2">
      <c r="A81" s="95">
        <v>73</v>
      </c>
      <c r="B81" s="95">
        <v>6</v>
      </c>
      <c r="C81" s="95">
        <v>1</v>
      </c>
      <c r="D81" s="95"/>
      <c r="E81" s="95">
        <v>585.3436129534723</v>
      </c>
      <c r="F81" s="95">
        <v>1992.3616691355057</v>
      </c>
      <c r="G81" s="95">
        <v>1613.3482408871596</v>
      </c>
      <c r="H81" s="95">
        <v>1790.2640966907659</v>
      </c>
      <c r="I81" s="95">
        <v>2037.428636299222</v>
      </c>
      <c r="J81" s="95">
        <v>75.196391846842005</v>
      </c>
      <c r="K81" s="95">
        <v>162.66056367909408</v>
      </c>
      <c r="L81" s="95">
        <v>81.192732219995307</v>
      </c>
      <c r="M81" s="95">
        <v>238.48445127815026</v>
      </c>
      <c r="N81" s="95">
        <v>1423.7196050097953</v>
      </c>
      <c r="O81" s="95">
        <v>10000.000000000002</v>
      </c>
      <c r="Q81" s="98">
        <v>238.48445127815026</v>
      </c>
      <c r="R81" s="95">
        <v>432.24060596082211</v>
      </c>
      <c r="S81" s="99">
        <v>210.62159906329282</v>
      </c>
      <c r="U81" s="121">
        <v>138672.09301460162</v>
      </c>
      <c r="V81" s="59">
        <v>471611.14769237774</v>
      </c>
      <c r="W81" s="59">
        <v>381725.58368390525</v>
      </c>
      <c r="X81" s="59">
        <v>872011.60958495573</v>
      </c>
      <c r="Y81" s="59">
        <v>1154625.259615927</v>
      </c>
      <c r="Z81" s="59">
        <v>1498225.1122245025</v>
      </c>
      <c r="AA81" s="59">
        <v>940047.57447118941</v>
      </c>
      <c r="AB81" s="59">
        <v>5456918.3802874591</v>
      </c>
      <c r="AC81" s="59">
        <v>316404277.67228264</v>
      </c>
      <c r="AD81" s="68">
        <v>5456918.3802874591</v>
      </c>
    </row>
    <row r="82" spans="1:30" x14ac:dyDescent="0.2">
      <c r="A82" s="95">
        <v>74</v>
      </c>
      <c r="B82" s="95">
        <v>6</v>
      </c>
      <c r="C82" s="95">
        <v>2</v>
      </c>
      <c r="D82" s="95"/>
      <c r="E82" s="95">
        <v>577.83170325390279</v>
      </c>
      <c r="F82" s="95">
        <v>1977.8130923922579</v>
      </c>
      <c r="G82" s="95">
        <v>1606.3528298919291</v>
      </c>
      <c r="H82" s="95">
        <v>1783.5717118668301</v>
      </c>
      <c r="I82" s="95">
        <v>2039.4538077949885</v>
      </c>
      <c r="J82" s="95">
        <v>75.369768351695598</v>
      </c>
      <c r="K82" s="95">
        <v>164.36893801067905</v>
      </c>
      <c r="L82" s="95">
        <v>81.778136064484883</v>
      </c>
      <c r="M82" s="95">
        <v>244.0322032036604</v>
      </c>
      <c r="N82" s="95">
        <v>1449.4278091695742</v>
      </c>
      <c r="O82" s="95">
        <v>10000.000000000002</v>
      </c>
      <c r="Q82" s="98">
        <v>244.0322032036604</v>
      </c>
      <c r="R82" s="95">
        <v>438.86224902879457</v>
      </c>
      <c r="S82" s="99">
        <v>214.34645522028887</v>
      </c>
      <c r="U82" s="121">
        <v>137296.92809220683</v>
      </c>
      <c r="V82" s="59">
        <v>469544.01977850043</v>
      </c>
      <c r="W82" s="59">
        <v>381185.28587927326</v>
      </c>
      <c r="X82" s="59">
        <v>871295.884892039</v>
      </c>
      <c r="Y82" s="59">
        <v>1159147.5102200876</v>
      </c>
      <c r="Z82" s="59">
        <v>1514496.5102877431</v>
      </c>
      <c r="AA82" s="59">
        <v>949594.66064913955</v>
      </c>
      <c r="AB82" s="59">
        <v>5482560.7997989897</v>
      </c>
      <c r="AC82" s="59">
        <v>321886838.4720816</v>
      </c>
      <c r="AD82" s="68">
        <v>5482560.7997989897</v>
      </c>
    </row>
    <row r="83" spans="1:30" x14ac:dyDescent="0.2">
      <c r="A83" s="95">
        <v>75</v>
      </c>
      <c r="B83" s="95">
        <v>6</v>
      </c>
      <c r="C83" s="95">
        <v>3</v>
      </c>
      <c r="D83" s="95"/>
      <c r="E83" s="95">
        <v>570.41619639547775</v>
      </c>
      <c r="F83" s="95">
        <v>1963.3391850596622</v>
      </c>
      <c r="G83" s="95">
        <v>1599.3458897719549</v>
      </c>
      <c r="H83" s="95">
        <v>1776.8947008394473</v>
      </c>
      <c r="I83" s="95">
        <v>2041.3990974512387</v>
      </c>
      <c r="J83" s="95">
        <v>75.53852298725478</v>
      </c>
      <c r="K83" s="95">
        <v>166.05347632834906</v>
      </c>
      <c r="L83" s="95">
        <v>82.353930248472409</v>
      </c>
      <c r="M83" s="95">
        <v>249.61936012005538</v>
      </c>
      <c r="N83" s="95">
        <v>1475.0396407980902</v>
      </c>
      <c r="O83" s="95">
        <v>10000.000000000004</v>
      </c>
      <c r="Q83" s="98">
        <v>249.61936012005538</v>
      </c>
      <c r="R83" s="95">
        <v>445.49047390412829</v>
      </c>
      <c r="S83" s="99">
        <v>218.08433733210316</v>
      </c>
      <c r="U83" s="121">
        <v>135935.40022195911</v>
      </c>
      <c r="V83" s="59">
        <v>467478.4706840053</v>
      </c>
      <c r="W83" s="59">
        <v>380635.83894626505</v>
      </c>
      <c r="X83" s="59">
        <v>870576.07438027184</v>
      </c>
      <c r="Y83" s="59">
        <v>1163640.9785313043</v>
      </c>
      <c r="Z83" s="59">
        <v>1530671.5883858302</v>
      </c>
      <c r="AA83" s="59">
        <v>959077.86307528685</v>
      </c>
      <c r="AB83" s="59">
        <v>5508016.2142249225</v>
      </c>
      <c r="AC83" s="59">
        <v>327394854.68630654</v>
      </c>
      <c r="AD83" s="68">
        <v>5508016.2142249225</v>
      </c>
    </row>
    <row r="84" spans="1:30" x14ac:dyDescent="0.2">
      <c r="A84" s="95">
        <v>76</v>
      </c>
      <c r="B84" s="95">
        <v>6</v>
      </c>
      <c r="C84" s="95">
        <v>4</v>
      </c>
      <c r="D84" s="95"/>
      <c r="E84" s="95">
        <v>563.09585520840244</v>
      </c>
      <c r="F84" s="95">
        <v>1948.9401279264116</v>
      </c>
      <c r="G84" s="95">
        <v>1592.3281002749445</v>
      </c>
      <c r="H84" s="95">
        <v>1770.232752301464</v>
      </c>
      <c r="I84" s="95">
        <v>2043.2652529951358</v>
      </c>
      <c r="J84" s="95">
        <v>75.702714286383426</v>
      </c>
      <c r="K84" s="95">
        <v>167.71440205755411</v>
      </c>
      <c r="L84" s="95">
        <v>82.92023188867968</v>
      </c>
      <c r="M84" s="95">
        <v>255.24528751576815</v>
      </c>
      <c r="N84" s="95">
        <v>1500.5552755452593</v>
      </c>
      <c r="O84" s="95">
        <v>10000.000000000004</v>
      </c>
      <c r="Q84" s="98">
        <v>255.24528751576815</v>
      </c>
      <c r="R84" s="95">
        <v>452.12502097084484</v>
      </c>
      <c r="S84" s="99">
        <v>221.83499094191802</v>
      </c>
      <c r="U84" s="121">
        <v>134587.374169758</v>
      </c>
      <c r="V84" s="59">
        <v>465414.62192371034</v>
      </c>
      <c r="W84" s="59">
        <v>380077.347084323</v>
      </c>
      <c r="X84" s="59">
        <v>869852.02986246545</v>
      </c>
      <c r="Y84" s="59">
        <v>1168105.7504835015</v>
      </c>
      <c r="Z84" s="59">
        <v>1546750.8547021521</v>
      </c>
      <c r="AA84" s="59">
        <v>968497.77535118465</v>
      </c>
      <c r="AB84" s="59">
        <v>5533285.7535770945</v>
      </c>
      <c r="AC84" s="59">
        <v>332928140.43988365</v>
      </c>
      <c r="AD84" s="68">
        <v>5533285.7535770945</v>
      </c>
    </row>
    <row r="85" spans="1:30" x14ac:dyDescent="0.2">
      <c r="A85" s="95">
        <v>77</v>
      </c>
      <c r="B85" s="95">
        <v>6</v>
      </c>
      <c r="C85" s="95">
        <v>5</v>
      </c>
      <c r="D85" s="95"/>
      <c r="E85" s="95">
        <v>555.8694583998946</v>
      </c>
      <c r="F85" s="95">
        <v>1934.616087880775</v>
      </c>
      <c r="G85" s="95">
        <v>1585.300133535826</v>
      </c>
      <c r="H85" s="95">
        <v>1763.5855657123698</v>
      </c>
      <c r="I85" s="95">
        <v>2045.0530135365864</v>
      </c>
      <c r="J85" s="95">
        <v>75.862399806388837</v>
      </c>
      <c r="K85" s="95">
        <v>169.35193658922611</v>
      </c>
      <c r="L85" s="95">
        <v>83.477156043427371</v>
      </c>
      <c r="M85" s="95">
        <v>260.90935801968766</v>
      </c>
      <c r="N85" s="95">
        <v>1525.9748904758212</v>
      </c>
      <c r="O85" s="95">
        <v>10000.000000000004</v>
      </c>
      <c r="Q85" s="98">
        <v>260.90935801968766</v>
      </c>
      <c r="R85" s="95">
        <v>458.76563304307905</v>
      </c>
      <c r="S85" s="99">
        <v>225.59816406302798</v>
      </c>
      <c r="U85" s="121">
        <v>133252.71604257455</v>
      </c>
      <c r="V85" s="59">
        <v>463352.59281291859</v>
      </c>
      <c r="W85" s="59">
        <v>379509.91429425869</v>
      </c>
      <c r="X85" s="59">
        <v>869123.60675388738</v>
      </c>
      <c r="Y85" s="59">
        <v>1172541.9099489278</v>
      </c>
      <c r="Z85" s="59">
        <v>1562734.8123205958</v>
      </c>
      <c r="AA85" s="59">
        <v>977854.97720238869</v>
      </c>
      <c r="AB85" s="59">
        <v>5558370.5293755513</v>
      </c>
      <c r="AC85" s="59">
        <v>338486510.9692592</v>
      </c>
      <c r="AD85" s="68">
        <v>5558370.5293755513</v>
      </c>
    </row>
    <row r="86" spans="1:30" x14ac:dyDescent="0.2">
      <c r="A86" s="95">
        <v>78</v>
      </c>
      <c r="B86" s="95">
        <v>6</v>
      </c>
      <c r="C86" s="95">
        <v>6</v>
      </c>
      <c r="D86" s="95"/>
      <c r="E86" s="95">
        <v>548.73580035042926</v>
      </c>
      <c r="F86" s="95">
        <v>1920.3672182067194</v>
      </c>
      <c r="G86" s="95">
        <v>1578.2626540778879</v>
      </c>
      <c r="H86" s="95">
        <v>1756.9528510848954</v>
      </c>
      <c r="I86" s="95">
        <v>2046.7631097369483</v>
      </c>
      <c r="J86" s="95">
        <v>76.017636149653839</v>
      </c>
      <c r="K86" s="95">
        <v>170.96629929126371</v>
      </c>
      <c r="L86" s="95">
        <v>84.024815765116017</v>
      </c>
      <c r="M86" s="95">
        <v>266.61095129412928</v>
      </c>
      <c r="N86" s="95">
        <v>1551.2986640429601</v>
      </c>
      <c r="O86" s="95">
        <v>10000.000000000004</v>
      </c>
      <c r="Q86" s="98">
        <v>266.61095129412928</v>
      </c>
      <c r="R86" s="95">
        <v>465.41205533707296</v>
      </c>
      <c r="S86" s="99">
        <v>229.37360715172915</v>
      </c>
      <c r="U86" s="121">
        <v>131931.29327515239</v>
      </c>
      <c r="V86" s="59">
        <v>461292.50049644004</v>
      </c>
      <c r="W86" s="59">
        <v>378933.64436469186</v>
      </c>
      <c r="X86" s="59">
        <v>868390.66403274809</v>
      </c>
      <c r="Y86" s="59">
        <v>1176949.5387881517</v>
      </c>
      <c r="Z86" s="59">
        <v>1578623.959238824</v>
      </c>
      <c r="AA86" s="59">
        <v>987150.03487220861</v>
      </c>
      <c r="AB86" s="59">
        <v>5583271.6350682164</v>
      </c>
      <c r="AC86" s="59">
        <v>344069782.60432744</v>
      </c>
      <c r="AD86" s="68">
        <v>5583271.6350682164</v>
      </c>
    </row>
    <row r="87" spans="1:30" x14ac:dyDescent="0.2">
      <c r="A87" s="95">
        <v>79</v>
      </c>
      <c r="B87" s="95">
        <v>6</v>
      </c>
      <c r="C87" s="95">
        <v>7</v>
      </c>
      <c r="D87" s="95"/>
      <c r="E87" s="95">
        <v>541.69369091259875</v>
      </c>
      <c r="F87" s="95">
        <v>1906.1936588750343</v>
      </c>
      <c r="G87" s="95">
        <v>1571.2163188159998</v>
      </c>
      <c r="H87" s="95">
        <v>1750.3343287743419</v>
      </c>
      <c r="I87" s="95">
        <v>2048.3962639744086</v>
      </c>
      <c r="J87" s="95">
        <v>76.168478983830497</v>
      </c>
      <c r="K87" s="95">
        <v>172.55770752030256</v>
      </c>
      <c r="L87" s="95">
        <v>84.563322151056511</v>
      </c>
      <c r="M87" s="95">
        <v>272.34945393009286</v>
      </c>
      <c r="N87" s="95">
        <v>1576.5267760623374</v>
      </c>
      <c r="O87" s="95">
        <v>10000.000000000004</v>
      </c>
      <c r="Q87" s="98">
        <v>272.34945393009286</v>
      </c>
      <c r="R87" s="95">
        <v>472.06403544371801</v>
      </c>
      <c r="S87" s="99">
        <v>233.16107308058744</v>
      </c>
      <c r="U87" s="121">
        <v>130622.97461684044</v>
      </c>
      <c r="V87" s="59">
        <v>459234.4599772736</v>
      </c>
      <c r="W87" s="59">
        <v>378348.64085883397</v>
      </c>
      <c r="X87" s="59">
        <v>867653.064200797</v>
      </c>
      <c r="Y87" s="59">
        <v>1181328.7168993792</v>
      </c>
      <c r="Z87" s="59">
        <v>1594418.7883829449</v>
      </c>
      <c r="AA87" s="59">
        <v>996383.50150271144</v>
      </c>
      <c r="AB87" s="59">
        <v>5607990.1464387802</v>
      </c>
      <c r="AC87" s="59">
        <v>349677772.75076622</v>
      </c>
      <c r="AD87" s="68">
        <v>5607990.1464387802</v>
      </c>
    </row>
    <row r="88" spans="1:30" x14ac:dyDescent="0.2">
      <c r="A88" s="95">
        <v>80</v>
      </c>
      <c r="B88" s="95">
        <v>6</v>
      </c>
      <c r="C88" s="95">
        <v>8</v>
      </c>
      <c r="D88" s="95"/>
      <c r="E88" s="95">
        <v>534.74195521255376</v>
      </c>
      <c r="F88" s="95">
        <v>1892.0955368295361</v>
      </c>
      <c r="G88" s="95">
        <v>1564.1617770618552</v>
      </c>
      <c r="H88" s="95">
        <v>1743.7297292706289</v>
      </c>
      <c r="I88" s="95">
        <v>2049.9531905060858</v>
      </c>
      <c r="J88" s="95">
        <v>76.314983061604394</v>
      </c>
      <c r="K88" s="95">
        <v>174.12637663375673</v>
      </c>
      <c r="L88" s="95">
        <v>85.09278439270922</v>
      </c>
      <c r="M88" s="95">
        <v>278.12425934474555</v>
      </c>
      <c r="N88" s="95">
        <v>1601.6594076865274</v>
      </c>
      <c r="O88" s="95">
        <v>10000.000000000004</v>
      </c>
      <c r="Q88" s="98">
        <v>278.12425934474555</v>
      </c>
      <c r="R88" s="95">
        <v>478.72132330163481</v>
      </c>
      <c r="S88" s="99">
        <v>236.96031711208101</v>
      </c>
      <c r="U88" s="121">
        <v>129327.63011855677</v>
      </c>
      <c r="V88" s="59">
        <v>457178.58414495253</v>
      </c>
      <c r="W88" s="59">
        <v>377755.00710160815</v>
      </c>
      <c r="X88" s="59">
        <v>866910.67324403382</v>
      </c>
      <c r="Y88" s="59">
        <v>1185679.5222671074</v>
      </c>
      <c r="Z88" s="59">
        <v>1610119.7876235307</v>
      </c>
      <c r="AA88" s="59">
        <v>1005555.9175034355</v>
      </c>
      <c r="AB88" s="59">
        <v>5632527.1220032247</v>
      </c>
      <c r="AC88" s="59">
        <v>355310299.87276942</v>
      </c>
      <c r="AD88" s="68">
        <v>5632527.1220032247</v>
      </c>
    </row>
    <row r="89" spans="1:30" x14ac:dyDescent="0.2">
      <c r="A89" s="95">
        <v>81</v>
      </c>
      <c r="B89" s="95">
        <v>6</v>
      </c>
      <c r="C89" s="95">
        <v>9</v>
      </c>
      <c r="D89" s="95"/>
      <c r="E89" s="95">
        <v>527.87943345399265</v>
      </c>
      <c r="F89" s="95">
        <v>1878.0729662684248</v>
      </c>
      <c r="G89" s="95">
        <v>1557.0996705311718</v>
      </c>
      <c r="H89" s="95">
        <v>1737.138792993047</v>
      </c>
      <c r="I89" s="95">
        <v>2051.4345956269062</v>
      </c>
      <c r="J89" s="95">
        <v>76.457202240038114</v>
      </c>
      <c r="K89" s="95">
        <v>175.67252000211732</v>
      </c>
      <c r="L89" s="95">
        <v>85.613309823388605</v>
      </c>
      <c r="M89" s="95">
        <v>283.93476768106888</v>
      </c>
      <c r="N89" s="95">
        <v>1626.6967413798477</v>
      </c>
      <c r="O89" s="95">
        <v>10000.000000000004</v>
      </c>
      <c r="Q89" s="98">
        <v>283.93476768106888</v>
      </c>
      <c r="R89" s="95">
        <v>485.38367117077956</v>
      </c>
      <c r="S89" s="99">
        <v>240.77109687261182</v>
      </c>
      <c r="U89" s="121">
        <v>128045.13111988109</v>
      </c>
      <c r="V89" s="59">
        <v>455124.98380355758</v>
      </c>
      <c r="W89" s="59">
        <v>377152.84616710187</v>
      </c>
      <c r="X89" s="59">
        <v>866163.3605935399</v>
      </c>
      <c r="Y89" s="59">
        <v>1190002.0310101083</v>
      </c>
      <c r="Z89" s="59">
        <v>1625727.4397929469</v>
      </c>
      <c r="AA89" s="59">
        <v>1014667.810908249</v>
      </c>
      <c r="AB89" s="59">
        <v>5656883.6033953847</v>
      </c>
      <c r="AC89" s="59">
        <v>360967183.47616482</v>
      </c>
      <c r="AD89" s="68">
        <v>5656883.6033953847</v>
      </c>
    </row>
    <row r="90" spans="1:30" x14ac:dyDescent="0.2">
      <c r="A90" s="95">
        <v>82</v>
      </c>
      <c r="B90" s="95">
        <v>6</v>
      </c>
      <c r="C90" s="95">
        <v>10</v>
      </c>
      <c r="D90" s="95"/>
      <c r="E90" s="95">
        <v>521.10498072466646</v>
      </c>
      <c r="F90" s="95">
        <v>1864.1260489208723</v>
      </c>
      <c r="G90" s="95">
        <v>1550.0306333527903</v>
      </c>
      <c r="H90" s="95">
        <v>1730.5612700876973</v>
      </c>
      <c r="I90" s="95">
        <v>2052.8411778253039</v>
      </c>
      <c r="J90" s="95">
        <v>76.595189499502638</v>
      </c>
      <c r="K90" s="95">
        <v>177.19634902149437</v>
      </c>
      <c r="L90" s="95">
        <v>86.125003964487846</v>
      </c>
      <c r="M90" s="95">
        <v>289.78038570961144</v>
      </c>
      <c r="N90" s="95">
        <v>1651.6389608935765</v>
      </c>
      <c r="O90" s="95">
        <v>10000.000000000004</v>
      </c>
      <c r="Q90" s="98">
        <v>289.78038570961144</v>
      </c>
      <c r="R90" s="95">
        <v>492.05083360656698</v>
      </c>
      <c r="S90" s="99">
        <v>244.5931723268821</v>
      </c>
      <c r="U90" s="121">
        <v>126775.35023627561</v>
      </c>
      <c r="V90" s="59">
        <v>453073.7676994006</v>
      </c>
      <c r="W90" s="59">
        <v>376542.26086634485</v>
      </c>
      <c r="X90" s="59">
        <v>865410.99908643786</v>
      </c>
      <c r="Y90" s="59">
        <v>1194296.3174287539</v>
      </c>
      <c r="Z90" s="59">
        <v>1641242.2227039475</v>
      </c>
      <c r="AA90" s="59">
        <v>1023719.6977207767</v>
      </c>
      <c r="AB90" s="59">
        <v>5681060.6157419374</v>
      </c>
      <c r="AC90" s="59">
        <v>366648244.09190673</v>
      </c>
      <c r="AD90" s="68">
        <v>5681060.6157419374</v>
      </c>
    </row>
    <row r="91" spans="1:30" x14ac:dyDescent="0.2">
      <c r="A91" s="95">
        <v>83</v>
      </c>
      <c r="B91" s="95">
        <v>6</v>
      </c>
      <c r="C91" s="95">
        <v>11</v>
      </c>
      <c r="D91" s="95"/>
      <c r="E91" s="95">
        <v>514.41746680536653</v>
      </c>
      <c r="F91" s="95">
        <v>1850.2548743189091</v>
      </c>
      <c r="G91" s="95">
        <v>1542.9552920796141</v>
      </c>
      <c r="H91" s="95">
        <v>1723.996920227607</v>
      </c>
      <c r="I91" s="95">
        <v>2054.1736279357951</v>
      </c>
      <c r="J91" s="95">
        <v>76.728996962204832</v>
      </c>
      <c r="K91" s="95">
        <v>178.69807312638929</v>
      </c>
      <c r="L91" s="95">
        <v>86.627970570276148</v>
      </c>
      <c r="M91" s="95">
        <v>295.66052673229086</v>
      </c>
      <c r="N91" s="95">
        <v>1676.48625124155</v>
      </c>
      <c r="O91" s="95">
        <v>10000.000000000004</v>
      </c>
      <c r="Q91" s="98">
        <v>295.66052673229086</v>
      </c>
      <c r="R91" s="95">
        <v>498.72256743449924</v>
      </c>
      <c r="S91" s="99">
        <v>248.42630575263061</v>
      </c>
      <c r="U91" s="121">
        <v>125518.16134643253</v>
      </c>
      <c r="V91" s="59">
        <v>451025.04254838364</v>
      </c>
      <c r="W91" s="59">
        <v>375923.35373540776</v>
      </c>
      <c r="X91" s="59">
        <v>864653.46492698311</v>
      </c>
      <c r="Y91" s="59">
        <v>1198562.4540516855</v>
      </c>
      <c r="Z91" s="59">
        <v>1656664.6091694988</v>
      </c>
      <c r="AA91" s="59">
        <v>1032712.0822487997</v>
      </c>
      <c r="AB91" s="59">
        <v>5705059.1680271914</v>
      </c>
      <c r="AC91" s="59">
        <v>372353303.25993389</v>
      </c>
      <c r="AD91" s="68">
        <v>5705059.1680271914</v>
      </c>
    </row>
    <row r="92" spans="1:30" x14ac:dyDescent="0.2">
      <c r="A92" s="95">
        <v>84</v>
      </c>
      <c r="B92" s="95">
        <v>7</v>
      </c>
      <c r="C92" s="95">
        <v>0</v>
      </c>
      <c r="D92" s="95"/>
      <c r="E92" s="95">
        <v>507.81577598136431</v>
      </c>
      <c r="F92" s="95">
        <v>1836.4595200646859</v>
      </c>
      <c r="G92" s="95">
        <v>1535.8742657013313</v>
      </c>
      <c r="H92" s="95">
        <v>1717.4455124155011</v>
      </c>
      <c r="I92" s="95">
        <v>2055.4326292884771</v>
      </c>
      <c r="J92" s="95">
        <v>76.858675910319377</v>
      </c>
      <c r="K92" s="95">
        <v>180.17789980268446</v>
      </c>
      <c r="L92" s="95">
        <v>87.122311671319267</v>
      </c>
      <c r="M92" s="95">
        <v>301.57461048818959</v>
      </c>
      <c r="N92" s="95">
        <v>1701.2387986761307</v>
      </c>
      <c r="O92" s="95">
        <v>10000.000000000004</v>
      </c>
      <c r="Q92" s="98">
        <v>301.57461048818959</v>
      </c>
      <c r="R92" s="95">
        <v>505.39863172529056</v>
      </c>
      <c r="S92" s="99">
        <v>252.27026171572442</v>
      </c>
      <c r="U92" s="121">
        <v>124273.43957974708</v>
      </c>
      <c r="V92" s="59">
        <v>448978.91306303564</v>
      </c>
      <c r="W92" s="59">
        <v>375296.2270238155</v>
      </c>
      <c r="X92" s="59">
        <v>863890.63764779281</v>
      </c>
      <c r="Y92" s="59">
        <v>1202800.5116818291</v>
      </c>
      <c r="Z92" s="59">
        <v>1671995.0670237909</v>
      </c>
      <c r="AA92" s="59">
        <v>1041645.4574280212</v>
      </c>
      <c r="AB92" s="59">
        <v>5728880.2534480318</v>
      </c>
      <c r="AC92" s="59">
        <v>378082183.5133819</v>
      </c>
      <c r="AD92" s="68">
        <v>5728880.2534480318</v>
      </c>
    </row>
    <row r="93" spans="1:30" x14ac:dyDescent="0.2">
      <c r="A93" s="95">
        <v>85</v>
      </c>
      <c r="B93" s="95">
        <v>7</v>
      </c>
      <c r="C93" s="95">
        <v>1</v>
      </c>
      <c r="D93" s="95"/>
      <c r="E93" s="95">
        <v>501.29880685627012</v>
      </c>
      <c r="F93" s="95">
        <v>1822.7400520931799</v>
      </c>
      <c r="G93" s="95">
        <v>1528.7881656588638</v>
      </c>
      <c r="H93" s="95">
        <v>1710.9068247892167</v>
      </c>
      <c r="I93" s="95">
        <v>2056.6188578554966</v>
      </c>
      <c r="J93" s="95">
        <v>76.984276803733138</v>
      </c>
      <c r="K93" s="95">
        <v>181.63603460083789</v>
      </c>
      <c r="L93" s="95">
        <v>87.608127616571835</v>
      </c>
      <c r="M93" s="95">
        <v>307.52206306129227</v>
      </c>
      <c r="N93" s="95">
        <v>1725.8967906645407</v>
      </c>
      <c r="O93" s="95">
        <v>10000.000000000004</v>
      </c>
      <c r="Q93" s="98">
        <v>307.52206306129227</v>
      </c>
      <c r="R93" s="95">
        <v>512.07878777047813</v>
      </c>
      <c r="S93" s="99">
        <v>256.1248070456013</v>
      </c>
      <c r="U93" s="121">
        <v>123041.0613039146</v>
      </c>
      <c r="V93" s="59">
        <v>446935.48197923112</v>
      </c>
      <c r="W93" s="59">
        <v>374660.98268326989</v>
      </c>
      <c r="X93" s="59">
        <v>863122.40007121698</v>
      </c>
      <c r="Y93" s="59">
        <v>1207010.5594417662</v>
      </c>
      <c r="Z93" s="59">
        <v>1687234.0591443998</v>
      </c>
      <c r="AA93" s="59">
        <v>1050520.3051355728</v>
      </c>
      <c r="AB93" s="59">
        <v>5752524.849759371</v>
      </c>
      <c r="AC93" s="59">
        <v>383834708.3631413</v>
      </c>
      <c r="AD93" s="68">
        <v>5752524.849759371</v>
      </c>
    </row>
    <row r="94" spans="1:30" x14ac:dyDescent="0.2">
      <c r="A94" s="95">
        <v>86</v>
      </c>
      <c r="B94" s="95">
        <v>7</v>
      </c>
      <c r="C94" s="95">
        <v>2</v>
      </c>
      <c r="D94" s="95"/>
      <c r="E94" s="95">
        <v>494.86547216828131</v>
      </c>
      <c r="F94" s="95">
        <v>1809.0965249304145</v>
      </c>
      <c r="G94" s="95">
        <v>1521.6975958604871</v>
      </c>
      <c r="H94" s="95">
        <v>1704.3806444297427</v>
      </c>
      <c r="I94" s="95">
        <v>2057.7329823945429</v>
      </c>
      <c r="J94" s="95">
        <v>77.105849297409847</v>
      </c>
      <c r="K94" s="95">
        <v>183.07268114927044</v>
      </c>
      <c r="L94" s="95">
        <v>88.085517114188377</v>
      </c>
      <c r="M94" s="95">
        <v>313.50231679011307</v>
      </c>
      <c r="N94" s="95">
        <v>1750.4604158655529</v>
      </c>
      <c r="O94" s="95">
        <v>10000.000000000004</v>
      </c>
      <c r="Q94" s="98">
        <v>313.50231679011307</v>
      </c>
      <c r="R94" s="95">
        <v>518.76279905850845</v>
      </c>
      <c r="S94" s="99">
        <v>259.98971081105861</v>
      </c>
      <c r="U94" s="121">
        <v>121820.90411265077</v>
      </c>
      <c r="V94" s="59">
        <v>444894.85008259484</v>
      </c>
      <c r="W94" s="59">
        <v>374017.72235667618</v>
      </c>
      <c r="X94" s="59">
        <v>862348.63827085844</v>
      </c>
      <c r="Y94" s="59">
        <v>1211192.6648184597</v>
      </c>
      <c r="Z94" s="59">
        <v>1702382.0434755604</v>
      </c>
      <c r="AA94" s="59">
        <v>1059337.0964936267</v>
      </c>
      <c r="AB94" s="59">
        <v>5775993.9196104268</v>
      </c>
      <c r="AC94" s="59">
        <v>389610702.28275174</v>
      </c>
      <c r="AD94" s="68">
        <v>5775993.9196104268</v>
      </c>
    </row>
    <row r="95" spans="1:30" x14ac:dyDescent="0.2">
      <c r="A95" s="95">
        <v>87</v>
      </c>
      <c r="B95" s="95">
        <v>7</v>
      </c>
      <c r="C95" s="95">
        <v>3</v>
      </c>
      <c r="D95" s="95"/>
      <c r="E95" s="95">
        <v>488.51469860878836</v>
      </c>
      <c r="F95" s="95">
        <v>1795.5289819472628</v>
      </c>
      <c r="G95" s="95">
        <v>1514.6031526995696</v>
      </c>
      <c r="H95" s="95">
        <v>1697.8667671718683</v>
      </c>
      <c r="I95" s="95">
        <v>2058.7756645894046</v>
      </c>
      <c r="J95" s="95">
        <v>77.223442258382789</v>
      </c>
      <c r="K95" s="95">
        <v>184.48804116793406</v>
      </c>
      <c r="L95" s="95">
        <v>88.554577271097912</v>
      </c>
      <c r="M95" s="95">
        <v>319.51481017916353</v>
      </c>
      <c r="N95" s="95">
        <v>1774.9298641065313</v>
      </c>
      <c r="O95" s="95">
        <v>10000.000000000004</v>
      </c>
      <c r="Q95" s="98">
        <v>319.51481017916353</v>
      </c>
      <c r="R95" s="95">
        <v>525.45043125129075</v>
      </c>
      <c r="S95" s="99">
        <v>263.86474429638344</v>
      </c>
      <c r="U95" s="121">
        <v>120612.84681353364</v>
      </c>
      <c r="V95" s="59">
        <v>442857.11623459437</v>
      </c>
      <c r="W95" s="59">
        <v>373366.54736746836</v>
      </c>
      <c r="X95" s="59">
        <v>861569.24153324438</v>
      </c>
      <c r="Y95" s="59">
        <v>1215346.8937073424</v>
      </c>
      <c r="Z95" s="59">
        <v>1717439.4730525149</v>
      </c>
      <c r="AA95" s="59">
        <v>1068096.2921634649</v>
      </c>
      <c r="AB95" s="59">
        <v>5799288.4108721633</v>
      </c>
      <c r="AC95" s="59">
        <v>395409990.6936239</v>
      </c>
      <c r="AD95" s="68">
        <v>5799288.4108721633</v>
      </c>
    </row>
    <row r="96" spans="1:30" x14ac:dyDescent="0.2">
      <c r="A96" s="95">
        <v>88</v>
      </c>
      <c r="B96" s="95">
        <v>7</v>
      </c>
      <c r="C96" s="95">
        <v>4</v>
      </c>
      <c r="D96" s="95"/>
      <c r="E96" s="95">
        <v>482.24542664330892</v>
      </c>
      <c r="F96" s="95">
        <v>1782.0374556089014</v>
      </c>
      <c r="G96" s="95">
        <v>1507.5054250738767</v>
      </c>
      <c r="H96" s="95">
        <v>1691.3649974174227</v>
      </c>
      <c r="I96" s="95">
        <v>2059.7475591876455</v>
      </c>
      <c r="J96" s="95">
        <v>77.337103782383153</v>
      </c>
      <c r="K96" s="95">
        <v>185.88231448204945</v>
      </c>
      <c r="L96" s="95">
        <v>89.015403631385567</v>
      </c>
      <c r="M96" s="95">
        <v>325.55898781221293</v>
      </c>
      <c r="N96" s="95">
        <v>1799.3053263608172</v>
      </c>
      <c r="O96" s="95">
        <v>10000.000000000004</v>
      </c>
      <c r="Q96" s="98">
        <v>325.55898781221293</v>
      </c>
      <c r="R96" s="95">
        <v>532.1414521612063</v>
      </c>
      <c r="S96" s="99">
        <v>267.74968097782022</v>
      </c>
      <c r="U96" s="121">
        <v>119416.7694159661</v>
      </c>
      <c r="V96" s="59">
        <v>440822.3773983256</v>
      </c>
      <c r="W96" s="59">
        <v>372707.55870922742</v>
      </c>
      <c r="X96" s="59">
        <v>860784.10231965454</v>
      </c>
      <c r="Y96" s="59">
        <v>1219473.3104557735</v>
      </c>
      <c r="Z96" s="59">
        <v>1732406.7960268983</v>
      </c>
      <c r="AA96" s="59">
        <v>1076798.342630337</v>
      </c>
      <c r="AB96" s="59">
        <v>5822409.2569561824</v>
      </c>
      <c r="AC96" s="59">
        <v>401232399.95058006</v>
      </c>
      <c r="AD96" s="68">
        <v>5822409.2569561824</v>
      </c>
    </row>
    <row r="97" spans="1:30" x14ac:dyDescent="0.2">
      <c r="A97" s="95">
        <v>89</v>
      </c>
      <c r="B97" s="95">
        <v>7</v>
      </c>
      <c r="C97" s="95">
        <v>5</v>
      </c>
      <c r="D97" s="95"/>
      <c r="E97" s="95">
        <v>476.05661033471978</v>
      </c>
      <c r="F97" s="95">
        <v>1768.6219677199831</v>
      </c>
      <c r="G97" s="95">
        <v>1500.40499440639</v>
      </c>
      <c r="H97" s="95">
        <v>1684.8751479510893</v>
      </c>
      <c r="I97" s="95">
        <v>2060.6493141354399</v>
      </c>
      <c r="J97" s="95">
        <v>77.446881210111371</v>
      </c>
      <c r="K97" s="95">
        <v>187.25569903600203</v>
      </c>
      <c r="L97" s="95">
        <v>89.4680902135227</v>
      </c>
      <c r="M97" s="95">
        <v>331.63430026729503</v>
      </c>
      <c r="N97" s="95">
        <v>1823.5869947254503</v>
      </c>
      <c r="O97" s="95">
        <v>10000.000000000004</v>
      </c>
      <c r="Q97" s="98">
        <v>331.63430026729503</v>
      </c>
      <c r="R97" s="95">
        <v>538.83563172856611</v>
      </c>
      <c r="S97" s="99">
        <v>271.6442965003709</v>
      </c>
      <c r="U97" s="121">
        <v>118232.55311925776</v>
      </c>
      <c r="V97" s="59">
        <v>438790.72866399342</v>
      </c>
      <c r="W97" s="59">
        <v>372040.85703558847</v>
      </c>
      <c r="X97" s="59">
        <v>859993.11622811295</v>
      </c>
      <c r="Y97" s="59">
        <v>1223571.977905863</v>
      </c>
      <c r="Z97" s="59">
        <v>1747284.4556931269</v>
      </c>
      <c r="AA97" s="59">
        <v>1085443.6884794398</v>
      </c>
      <c r="AB97" s="59">
        <v>5845357.3771253824</v>
      </c>
      <c r="AC97" s="59">
        <v>407077757.32770544</v>
      </c>
      <c r="AD97" s="68">
        <v>5845357.3771253824</v>
      </c>
    </row>
    <row r="98" spans="1:30" x14ac:dyDescent="0.2">
      <c r="A98" s="95">
        <v>90</v>
      </c>
      <c r="B98" s="95">
        <v>7</v>
      </c>
      <c r="C98" s="95">
        <v>6</v>
      </c>
      <c r="D98" s="95"/>
      <c r="E98" s="95">
        <v>469.94721716875756</v>
      </c>
      <c r="F98" s="95">
        <v>1755.2825296655935</v>
      </c>
      <c r="G98" s="95">
        <v>1493.3024346675895</v>
      </c>
      <c r="H98" s="95">
        <v>1678.3970397587768</v>
      </c>
      <c r="I98" s="95">
        <v>2061.4815707096182</v>
      </c>
      <c r="J98" s="95">
        <v>77.552821143158738</v>
      </c>
      <c r="K98" s="95">
        <v>188.60839090738531</v>
      </c>
      <c r="L98" s="95">
        <v>89.912729546485807</v>
      </c>
      <c r="M98" s="95">
        <v>337.74020403341558</v>
      </c>
      <c r="N98" s="95">
        <v>1847.7750623992226</v>
      </c>
      <c r="O98" s="95">
        <v>10000.000000000004</v>
      </c>
      <c r="Q98" s="98">
        <v>337.74020403341558</v>
      </c>
      <c r="R98" s="95">
        <v>545.53274199950624</v>
      </c>
      <c r="S98" s="99">
        <v>275.54836865492354</v>
      </c>
      <c r="U98" s="121">
        <v>117060.08030082514</v>
      </c>
      <c r="V98" s="59">
        <v>436762.26327409223</v>
      </c>
      <c r="W98" s="59">
        <v>371366.54265042988</v>
      </c>
      <c r="X98" s="59">
        <v>859196.18195554381</v>
      </c>
      <c r="Y98" s="59">
        <v>1227642.9574366759</v>
      </c>
      <c r="Z98" s="59">
        <v>1762072.8905157542</v>
      </c>
      <c r="AA98" s="59">
        <v>1094032.7606633231</v>
      </c>
      <c r="AB98" s="59">
        <v>5868133.676796644</v>
      </c>
      <c r="AC98" s="59">
        <v>412945891.00450206</v>
      </c>
      <c r="AD98" s="68">
        <v>5868133.676796644</v>
      </c>
    </row>
    <row r="99" spans="1:30" x14ac:dyDescent="0.2">
      <c r="A99" s="95">
        <v>91</v>
      </c>
      <c r="B99" s="95">
        <v>7</v>
      </c>
      <c r="C99" s="95">
        <v>7</v>
      </c>
      <c r="D99" s="95"/>
      <c r="E99" s="95">
        <v>463.91622788175852</v>
      </c>
      <c r="F99" s="95">
        <v>1742.0191426480553</v>
      </c>
      <c r="G99" s="95">
        <v>1486.1983123991531</v>
      </c>
      <c r="H99" s="95">
        <v>1671.9305018485284</v>
      </c>
      <c r="I99" s="95">
        <v>2062.2449636469642</v>
      </c>
      <c r="J99" s="95">
        <v>77.654969459586511</v>
      </c>
      <c r="K99" s="95">
        <v>189.94058432118138</v>
      </c>
      <c r="L99" s="95">
        <v>90.34941270480266</v>
      </c>
      <c r="M99" s="95">
        <v>343.87616142891818</v>
      </c>
      <c r="N99" s="95">
        <v>1871.8697236610553</v>
      </c>
      <c r="O99" s="95">
        <v>10000.000000000004</v>
      </c>
      <c r="Q99" s="98">
        <v>343.87616142891818</v>
      </c>
      <c r="R99" s="95">
        <v>552.23255710431249</v>
      </c>
      <c r="S99" s="99">
        <v>279.46167735570452</v>
      </c>
      <c r="U99" s="121">
        <v>115899.23450450864</v>
      </c>
      <c r="V99" s="59">
        <v>434737.0726482881</v>
      </c>
      <c r="W99" s="59">
        <v>370684.715498342</v>
      </c>
      <c r="X99" s="59">
        <v>858393.20126009767</v>
      </c>
      <c r="Y99" s="59">
        <v>1231686.3090058146</v>
      </c>
      <c r="Z99" s="59">
        <v>1776772.5341577581</v>
      </c>
      <c r="AA99" s="59">
        <v>1102565.9807610312</v>
      </c>
      <c r="AB99" s="59">
        <v>5890739.0478358399</v>
      </c>
      <c r="AC99" s="59">
        <v>418836630.05233788</v>
      </c>
      <c r="AD99" s="68">
        <v>5890739.0478358399</v>
      </c>
    </row>
    <row r="100" spans="1:30" x14ac:dyDescent="0.2">
      <c r="A100" s="95">
        <v>92</v>
      </c>
      <c r="B100" s="95">
        <v>7</v>
      </c>
      <c r="C100" s="95">
        <v>8</v>
      </c>
      <c r="D100" s="95"/>
      <c r="E100" s="95">
        <v>457.96263629060928</v>
      </c>
      <c r="F100" s="95">
        <v>1728.8317979196472</v>
      </c>
      <c r="G100" s="95">
        <v>1479.0931867390213</v>
      </c>
      <c r="H100" s="95">
        <v>1665.4753710739512</v>
      </c>
      <c r="I100" s="95">
        <v>2062.9401212708144</v>
      </c>
      <c r="J100" s="95">
        <v>77.75337132916934</v>
      </c>
      <c r="K100" s="95">
        <v>191.25247166406805</v>
      </c>
      <c r="L100" s="95">
        <v>90.778229342562767</v>
      </c>
      <c r="M100" s="95">
        <v>350.04164052146552</v>
      </c>
      <c r="N100" s="95">
        <v>1895.8711738486945</v>
      </c>
      <c r="O100" s="95">
        <v>10000.000000000004</v>
      </c>
      <c r="Q100" s="98">
        <v>350.04164052146552</v>
      </c>
      <c r="R100" s="95">
        <v>558.93485323616517</v>
      </c>
      <c r="S100" s="99">
        <v>283.38400461805031</v>
      </c>
      <c r="U100" s="121">
        <v>114749.90042900559</v>
      </c>
      <c r="V100" s="59">
        <v>432715.24640800699</v>
      </c>
      <c r="W100" s="59">
        <v>369995.47515536757</v>
      </c>
      <c r="X100" s="59">
        <v>857584.078923653</v>
      </c>
      <c r="Y100" s="59">
        <v>1235702.0911903866</v>
      </c>
      <c r="Z100" s="59">
        <v>1791383.8155097286</v>
      </c>
      <c r="AA100" s="59">
        <v>1111043.7612292632</v>
      </c>
      <c r="AB100" s="59">
        <v>5913174.3688454116</v>
      </c>
      <c r="AC100" s="59">
        <v>424749804.42118329</v>
      </c>
      <c r="AD100" s="68">
        <v>5913174.3688454116</v>
      </c>
    </row>
    <row r="101" spans="1:30" x14ac:dyDescent="0.2">
      <c r="A101" s="95">
        <v>93</v>
      </c>
      <c r="B101" s="95">
        <v>7</v>
      </c>
      <c r="C101" s="95">
        <v>9</v>
      </c>
      <c r="D101" s="95"/>
      <c r="E101" s="95">
        <v>452.0854491248798</v>
      </c>
      <c r="F101" s="95">
        <v>1715.7204770112976</v>
      </c>
      <c r="G101" s="95">
        <v>1471.9876094477834</v>
      </c>
      <c r="H101" s="95">
        <v>1659.0314919601485</v>
      </c>
      <c r="I101" s="95">
        <v>2063.5676656149981</v>
      </c>
      <c r="J101" s="95">
        <v>77.848071228309948</v>
      </c>
      <c r="K101" s="95">
        <v>192.54424349884306</v>
      </c>
      <c r="L101" s="95">
        <v>91.199267726427962</v>
      </c>
      <c r="M101" s="95">
        <v>356.23611504959541</v>
      </c>
      <c r="N101" s="95">
        <v>1919.7796093377199</v>
      </c>
      <c r="O101" s="95">
        <v>10000.000000000004</v>
      </c>
      <c r="Q101" s="98">
        <v>356.23611504959541</v>
      </c>
      <c r="R101" s="95">
        <v>565.63940863029529</v>
      </c>
      <c r="S101" s="99">
        <v>287.31513453649461</v>
      </c>
      <c r="U101" s="121">
        <v>113611.96391641795</v>
      </c>
      <c r="V101" s="59">
        <v>430696.87240073166</v>
      </c>
      <c r="W101" s="59">
        <v>369298.92082001141</v>
      </c>
      <c r="X101" s="59">
        <v>856768.72271449456</v>
      </c>
      <c r="Y101" s="59">
        <v>1239690.3612273643</v>
      </c>
      <c r="Z101" s="59">
        <v>1805907.1587199199</v>
      </c>
      <c r="AA101" s="59">
        <v>1119466.5056458386</v>
      </c>
      <c r="AB101" s="59">
        <v>5935440.5054447781</v>
      </c>
      <c r="AC101" s="59">
        <v>430685244.92662805</v>
      </c>
      <c r="AD101" s="68">
        <v>5935440.5054447781</v>
      </c>
    </row>
    <row r="102" spans="1:30" x14ac:dyDescent="0.2">
      <c r="A102" s="95">
        <v>94</v>
      </c>
      <c r="B102" s="95">
        <v>7</v>
      </c>
      <c r="C102" s="95">
        <v>10</v>
      </c>
      <c r="D102" s="95"/>
      <c r="E102" s="95">
        <v>446.28368586111048</v>
      </c>
      <c r="F102" s="95">
        <v>1702.685151957317</v>
      </c>
      <c r="G102" s="95">
        <v>1464.8821249363382</v>
      </c>
      <c r="H102" s="95">
        <v>1652.5987165321344</v>
      </c>
      <c r="I102" s="95">
        <v>2064.1282125451671</v>
      </c>
      <c r="J102" s="95">
        <v>77.939112954631824</v>
      </c>
      <c r="K102" s="95">
        <v>193.81608857895543</v>
      </c>
      <c r="L102" s="95">
        <v>91.612614767677442</v>
      </c>
      <c r="M102" s="95">
        <v>362.45906434581269</v>
      </c>
      <c r="N102" s="95">
        <v>1943.595227520859</v>
      </c>
      <c r="O102" s="95">
        <v>10000.000000000004</v>
      </c>
      <c r="Q102" s="98">
        <v>362.45906434581269</v>
      </c>
      <c r="R102" s="95">
        <v>572.34600354354404</v>
      </c>
      <c r="S102" s="99">
        <v>291.25485326316596</v>
      </c>
      <c r="U102" s="121">
        <v>112485.31194091348</v>
      </c>
      <c r="V102" s="59">
        <v>428682.03672401141</v>
      </c>
      <c r="W102" s="59">
        <v>368595.15130451316</v>
      </c>
      <c r="X102" s="59">
        <v>855947.04335017479</v>
      </c>
      <c r="Y102" s="59">
        <v>1243651.1750533376</v>
      </c>
      <c r="Z102" s="59">
        <v>1820342.9832251361</v>
      </c>
      <c r="AA102" s="59">
        <v>1127834.6089457339</v>
      </c>
      <c r="AB102" s="59">
        <v>5957538.3105438203</v>
      </c>
      <c r="AC102" s="59">
        <v>436642783.23717189</v>
      </c>
      <c r="AD102" s="68">
        <v>5957538.3105438203</v>
      </c>
    </row>
    <row r="103" spans="1:30" x14ac:dyDescent="0.2">
      <c r="A103" s="95">
        <v>95</v>
      </c>
      <c r="B103" s="95">
        <v>7</v>
      </c>
      <c r="C103" s="95">
        <v>11</v>
      </c>
      <c r="D103" s="95"/>
      <c r="E103" s="95">
        <v>440.55637855922623</v>
      </c>
      <c r="F103" s="95">
        <v>1689.7257855162302</v>
      </c>
      <c r="G103" s="95">
        <v>1457.7772702947855</v>
      </c>
      <c r="H103" s="95">
        <v>1646.176904145713</v>
      </c>
      <c r="I103" s="95">
        <v>2064.6223718775555</v>
      </c>
      <c r="J103" s="95">
        <v>78.026539641256321</v>
      </c>
      <c r="K103" s="95">
        <v>195.06819386313501</v>
      </c>
      <c r="L103" s="95">
        <v>92.018356053320275</v>
      </c>
      <c r="M103" s="95">
        <v>368.70997326117805</v>
      </c>
      <c r="N103" s="95">
        <v>1967.3182267876034</v>
      </c>
      <c r="O103" s="95">
        <v>10000.000000000004</v>
      </c>
      <c r="Q103" s="98">
        <v>368.70997326117805</v>
      </c>
      <c r="R103" s="95">
        <v>579.05442023431578</v>
      </c>
      <c r="S103" s="99">
        <v>295.20294898649229</v>
      </c>
      <c r="U103" s="121">
        <v>111369.83259749942</v>
      </c>
      <c r="V103" s="59">
        <v>426670.82374918624</v>
      </c>
      <c r="W103" s="59">
        <v>367884.26502637903</v>
      </c>
      <c r="X103" s="59">
        <v>855118.95446055965</v>
      </c>
      <c r="Y103" s="59">
        <v>1247584.5873436676</v>
      </c>
      <c r="Z103" s="59">
        <v>1834691.703782419</v>
      </c>
      <c r="AA103" s="59">
        <v>1136148.4576499497</v>
      </c>
      <c r="AB103" s="59">
        <v>5979468.6246096604</v>
      </c>
      <c r="AC103" s="59">
        <v>442622251.86178154</v>
      </c>
      <c r="AD103" s="68">
        <v>5979468.6246096604</v>
      </c>
    </row>
    <row r="104" spans="1:30" x14ac:dyDescent="0.2">
      <c r="A104" s="95">
        <v>96</v>
      </c>
      <c r="B104" s="95">
        <v>8</v>
      </c>
      <c r="C104" s="95">
        <v>0</v>
      </c>
      <c r="D104" s="95"/>
      <c r="E104" s="95">
        <v>434.90257170104951</v>
      </c>
      <c r="F104" s="95">
        <v>1676.8423313877677</v>
      </c>
      <c r="G104" s="95">
        <v>1450.6735753225021</v>
      </c>
      <c r="H104" s="95">
        <v>1639.765921320803</v>
      </c>
      <c r="I104" s="95">
        <v>2065.0507474952155</v>
      </c>
      <c r="J104" s="95">
        <v>78.11039377077077</v>
      </c>
      <c r="K104" s="95">
        <v>196.30074453011088</v>
      </c>
      <c r="L104" s="95">
        <v>92.416575876307263</v>
      </c>
      <c r="M104" s="95">
        <v>374.98833209135699</v>
      </c>
      <c r="N104" s="95">
        <v>1990.9488065041196</v>
      </c>
      <c r="O104" s="95">
        <v>10000.000000000004</v>
      </c>
      <c r="Q104" s="98">
        <v>374.98833209135699</v>
      </c>
      <c r="R104" s="95">
        <v>585.76444294291787</v>
      </c>
      <c r="S104" s="99">
        <v>299.15921191020766</v>
      </c>
      <c r="U104" s="121">
        <v>110265.41509090755</v>
      </c>
      <c r="V104" s="59">
        <v>424663.31614483026</v>
      </c>
      <c r="W104" s="59">
        <v>367166.36000016757</v>
      </c>
      <c r="X104" s="59">
        <v>854284.37255106412</v>
      </c>
      <c r="Y104" s="59">
        <v>1251490.6515510448</v>
      </c>
      <c r="Z104" s="59">
        <v>1848953.7305015039</v>
      </c>
      <c r="AA104" s="59">
        <v>1144408.4300874611</v>
      </c>
      <c r="AB104" s="59">
        <v>6001232.2759269793</v>
      </c>
      <c r="AC104" s="59">
        <v>448623484.13770854</v>
      </c>
      <c r="AD104" s="68">
        <v>6001232.2759269793</v>
      </c>
    </row>
    <row r="105" spans="1:30" x14ac:dyDescent="0.2">
      <c r="A105" s="95">
        <v>97</v>
      </c>
      <c r="B105" s="95">
        <v>8</v>
      </c>
      <c r="C105" s="95">
        <v>1</v>
      </c>
      <c r="D105" s="95"/>
      <c r="E105" s="95">
        <v>429.32132203088605</v>
      </c>
      <c r="F105" s="95">
        <v>1664.0347344260772</v>
      </c>
      <c r="G105" s="95">
        <v>1443.5715625593627</v>
      </c>
      <c r="H105" s="95">
        <v>1633.3656415771877</v>
      </c>
      <c r="I105" s="95">
        <v>2065.4139374617694</v>
      </c>
      <c r="J105" s="95">
        <v>78.190717188893885</v>
      </c>
      <c r="K105" s="95">
        <v>197.51392399341009</v>
      </c>
      <c r="L105" s="95">
        <v>92.807357264872792</v>
      </c>
      <c r="M105" s="95">
        <v>381.29363650409334</v>
      </c>
      <c r="N105" s="95">
        <v>2014.48716699345</v>
      </c>
      <c r="O105" s="95">
        <v>10000.000000000004</v>
      </c>
      <c r="Q105" s="98">
        <v>381.29363650409334</v>
      </c>
      <c r="R105" s="95">
        <v>592.47585787227729</v>
      </c>
      <c r="S105" s="99">
        <v>303.12343423265708</v>
      </c>
      <c r="U105" s="121">
        <v>109171.94972458937</v>
      </c>
      <c r="V105" s="59">
        <v>422659.59489991656</v>
      </c>
      <c r="W105" s="59">
        <v>366441.53382952511</v>
      </c>
      <c r="X105" s="59">
        <v>853443.21696608013</v>
      </c>
      <c r="Y105" s="59">
        <v>1255369.4199434572</v>
      </c>
      <c r="Z105" s="59">
        <v>1863129.4688780173</v>
      </c>
      <c r="AA105" s="59">
        <v>1152614.8966104931</v>
      </c>
      <c r="AB105" s="59">
        <v>6022830.0808520792</v>
      </c>
      <c r="AC105" s="59">
        <v>454646314.21856064</v>
      </c>
      <c r="AD105" s="68">
        <v>6022830.0808520792</v>
      </c>
    </row>
    <row r="106" spans="1:30" x14ac:dyDescent="0.2">
      <c r="A106" s="95">
        <v>98</v>
      </c>
      <c r="B106" s="95">
        <v>8</v>
      </c>
      <c r="C106" s="95">
        <v>2</v>
      </c>
      <c r="D106" s="95"/>
      <c r="E106" s="95">
        <v>423.81169839815635</v>
      </c>
      <c r="F106" s="95">
        <v>1651.3029308492132</v>
      </c>
      <c r="G106" s="95">
        <v>1436.4717473180624</v>
      </c>
      <c r="H106" s="95">
        <v>1626.9759452726721</v>
      </c>
      <c r="I106" s="95">
        <v>2065.7125341327187</v>
      </c>
      <c r="J106" s="95">
        <v>78.267551117844619</v>
      </c>
      <c r="K106" s="95">
        <v>198.70791391622825</v>
      </c>
      <c r="L106" s="95">
        <v>93.190782011036163</v>
      </c>
      <c r="M106" s="95">
        <v>387.62538746807178</v>
      </c>
      <c r="N106" s="95">
        <v>2037.9335095159995</v>
      </c>
      <c r="O106" s="95">
        <v>10000.000000000004</v>
      </c>
      <c r="Q106" s="98">
        <v>387.62538746807178</v>
      </c>
      <c r="R106" s="95">
        <v>599.18845316902809</v>
      </c>
      <c r="S106" s="99">
        <v>307.09541012639551</v>
      </c>
      <c r="U106" s="121">
        <v>108089.32788982052</v>
      </c>
      <c r="V106" s="59">
        <v>420659.73934670689</v>
      </c>
      <c r="W106" s="59">
        <v>365709.88369946601</v>
      </c>
      <c r="X106" s="59">
        <v>852595.40985259996</v>
      </c>
      <c r="Y106" s="59">
        <v>1259220.9436415704</v>
      </c>
      <c r="Z106" s="59">
        <v>1877219.3198273815</v>
      </c>
      <c r="AA106" s="59">
        <v>1160768.219803347</v>
      </c>
      <c r="AB106" s="59">
        <v>6044262.8440608922</v>
      </c>
      <c r="AC106" s="59">
        <v>460690577.06262153</v>
      </c>
      <c r="AD106" s="68">
        <v>6044262.8440608922</v>
      </c>
    </row>
    <row r="107" spans="1:30" x14ac:dyDescent="0.2">
      <c r="A107" s="95">
        <v>99</v>
      </c>
      <c r="B107" s="95">
        <v>8</v>
      </c>
      <c r="C107" s="95">
        <v>3</v>
      </c>
      <c r="D107" s="95"/>
      <c r="E107" s="95">
        <v>418.3727816020467</v>
      </c>
      <c r="F107" s="95">
        <v>1638.6468484449615</v>
      </c>
      <c r="G107" s="95">
        <v>1429.3746377174996</v>
      </c>
      <c r="H107" s="95">
        <v>1620.5967194436262</v>
      </c>
      <c r="I107" s="95">
        <v>2065.947124264359</v>
      </c>
      <c r="J107" s="95">
        <v>78.340936169420416</v>
      </c>
      <c r="K107" s="95">
        <v>199.88289422636353</v>
      </c>
      <c r="L107" s="95">
        <v>93.566930698290676</v>
      </c>
      <c r="M107" s="95">
        <v>393.98309118313659</v>
      </c>
      <c r="N107" s="95">
        <v>2061.2880362502983</v>
      </c>
      <c r="O107" s="95">
        <v>10000.000000000002</v>
      </c>
      <c r="Q107" s="98">
        <v>393.98309118313659</v>
      </c>
      <c r="R107" s="95">
        <v>605.90201890495939</v>
      </c>
      <c r="S107" s="99">
        <v>311.07493571807674</v>
      </c>
      <c r="U107" s="121">
        <v>107017.44205491313</v>
      </c>
      <c r="V107" s="59">
        <v>418663.82718336902</v>
      </c>
      <c r="W107" s="59">
        <v>364971.5063688939</v>
      </c>
      <c r="X107" s="59">
        <v>851740.87612403836</v>
      </c>
      <c r="Y107" s="59">
        <v>1263045.2726555304</v>
      </c>
      <c r="Z107" s="59">
        <v>1891223.6797194011</v>
      </c>
      <c r="AA107" s="59">
        <v>1168868.754685011</v>
      </c>
      <c r="AB107" s="59">
        <v>6065531.3587911567</v>
      </c>
      <c r="AC107" s="59">
        <v>466756108.42141271</v>
      </c>
      <c r="AD107" s="68">
        <v>6065531.3587911567</v>
      </c>
    </row>
    <row r="108" spans="1:30" x14ac:dyDescent="0.2">
      <c r="A108" s="95">
        <v>100</v>
      </c>
      <c r="B108" s="95">
        <v>8</v>
      </c>
      <c r="C108" s="95">
        <v>4</v>
      </c>
      <c r="D108" s="95"/>
      <c r="E108" s="95">
        <v>413.00366423815376</v>
      </c>
      <c r="F108" s="95">
        <v>1626.0664067730577</v>
      </c>
      <c r="G108" s="95">
        <v>1422.2807347171808</v>
      </c>
      <c r="H108" s="95">
        <v>1614.227857647895</v>
      </c>
      <c r="I108" s="95">
        <v>2066.1182891203312</v>
      </c>
      <c r="J108" s="95">
        <v>78.410912357791133</v>
      </c>
      <c r="K108" s="95">
        <v>201.0390431312066</v>
      </c>
      <c r="L108" s="95">
        <v>93.935882728507963</v>
      </c>
      <c r="M108" s="95">
        <v>400.36625901183305</v>
      </c>
      <c r="N108" s="95">
        <v>2084.5509502740451</v>
      </c>
      <c r="O108" s="95">
        <v>10000.000000000002</v>
      </c>
      <c r="Q108" s="98">
        <v>400.36625901183305</v>
      </c>
      <c r="R108" s="95">
        <v>612.61634705881852</v>
      </c>
      <c r="S108" s="99">
        <v>315.06180906862795</v>
      </c>
      <c r="U108" s="121">
        <v>105956.18575453525</v>
      </c>
      <c r="V108" s="59">
        <v>416671.93449632503</v>
      </c>
      <c r="W108" s="59">
        <v>364226.49816335901</v>
      </c>
      <c r="X108" s="59">
        <v>850879.54342425673</v>
      </c>
      <c r="Y108" s="59">
        <v>1266842.4559211885</v>
      </c>
      <c r="Z108" s="59">
        <v>1905142.9404134995</v>
      </c>
      <c r="AA108" s="59">
        <v>1176916.848905762</v>
      </c>
      <c r="AB108" s="59">
        <v>6086636.4070789255</v>
      </c>
      <c r="AC108" s="59">
        <v>472842744.82849163</v>
      </c>
      <c r="AD108" s="68">
        <v>6086636.4070789255</v>
      </c>
    </row>
    <row r="109" spans="1:30" x14ac:dyDescent="0.2">
      <c r="A109" s="95">
        <v>101</v>
      </c>
      <c r="B109" s="95">
        <v>8</v>
      </c>
      <c r="C109" s="95">
        <v>5</v>
      </c>
      <c r="D109" s="95"/>
      <c r="E109" s="95">
        <v>407.70345054709748</v>
      </c>
      <c r="F109" s="95">
        <v>1613.5615173638537</v>
      </c>
      <c r="G109" s="95">
        <v>1415.1905321526069</v>
      </c>
      <c r="H109" s="95">
        <v>1607.8692598100561</v>
      </c>
      <c r="I109" s="95">
        <v>2066.2266045758583</v>
      </c>
      <c r="J109" s="95">
        <v>78.477519112014136</v>
      </c>
      <c r="K109" s="95">
        <v>202.17653713277818</v>
      </c>
      <c r="L109" s="95">
        <v>94.297716348083696</v>
      </c>
      <c r="M109" s="95">
        <v>406.77440741224024</v>
      </c>
      <c r="N109" s="95">
        <v>2107.7224555454136</v>
      </c>
      <c r="O109" s="95">
        <v>10000.000000000002</v>
      </c>
      <c r="Q109" s="98">
        <v>406.77440741224024</v>
      </c>
      <c r="R109" s="95">
        <v>619.3312314984596</v>
      </c>
      <c r="S109" s="99">
        <v>319.05583015370598</v>
      </c>
      <c r="U109" s="121">
        <v>104905.45357913611</v>
      </c>
      <c r="V109" s="59">
        <v>414684.13578233338</v>
      </c>
      <c r="W109" s="59">
        <v>363474.95496804721</v>
      </c>
      <c r="X109" s="59">
        <v>850011.34209179122</v>
      </c>
      <c r="Y109" s="59">
        <v>1270612.5413357555</v>
      </c>
      <c r="Z109" s="59">
        <v>1918977.4892945783</v>
      </c>
      <c r="AA109" s="59">
        <v>1184912.8429379729</v>
      </c>
      <c r="AB109" s="59">
        <v>6107578.7599896146</v>
      </c>
      <c r="AC109" s="59">
        <v>478950323.58848125</v>
      </c>
      <c r="AD109" s="68">
        <v>6107578.7599896146</v>
      </c>
    </row>
    <row r="110" spans="1:30" x14ac:dyDescent="0.2">
      <c r="A110" s="95">
        <v>102</v>
      </c>
      <c r="B110" s="95">
        <v>8</v>
      </c>
      <c r="C110" s="95">
        <v>6</v>
      </c>
      <c r="D110" s="95"/>
      <c r="E110" s="95">
        <v>402.47125626507636</v>
      </c>
      <c r="F110" s="95">
        <v>1601.1320839134887</v>
      </c>
      <c r="G110" s="95">
        <v>1408.1045167716043</v>
      </c>
      <c r="H110" s="95">
        <v>1601.520832069004</v>
      </c>
      <c r="I110" s="95">
        <v>2066.2726412197035</v>
      </c>
      <c r="J110" s="95">
        <v>78.540795288276328</v>
      </c>
      <c r="K110" s="95">
        <v>203.29555104280746</v>
      </c>
      <c r="L110" s="95">
        <v>94.652508673350113</v>
      </c>
      <c r="M110" s="95">
        <v>413.20705787206435</v>
      </c>
      <c r="N110" s="95">
        <v>2130.8027568846278</v>
      </c>
      <c r="O110" s="95">
        <v>10000.000000000004</v>
      </c>
      <c r="Q110" s="98">
        <v>413.20705787206435</v>
      </c>
      <c r="R110" s="95">
        <v>626.04646796333111</v>
      </c>
      <c r="S110" s="99">
        <v>323.05680084443162</v>
      </c>
      <c r="U110" s="121">
        <v>103865.14116447634</v>
      </c>
      <c r="V110" s="59">
        <v>412700.50397030805</v>
      </c>
      <c r="W110" s="59">
        <v>362716.97222099692</v>
      </c>
      <c r="X110" s="59">
        <v>849136.20512428961</v>
      </c>
      <c r="Y110" s="59">
        <v>1274355.5757928903</v>
      </c>
      <c r="Z110" s="59">
        <v>1932727.7093094729</v>
      </c>
      <c r="AA110" s="59">
        <v>1192857.0702613208</v>
      </c>
      <c r="AB110" s="59">
        <v>6128359.1778437551</v>
      </c>
      <c r="AC110" s="59">
        <v>485078682.766325</v>
      </c>
      <c r="AD110" s="68">
        <v>6128359.1778437551</v>
      </c>
    </row>
    <row r="111" spans="1:30" x14ac:dyDescent="0.2">
      <c r="A111" s="95">
        <v>103</v>
      </c>
      <c r="B111" s="95">
        <v>8</v>
      </c>
      <c r="C111" s="95">
        <v>7</v>
      </c>
      <c r="D111" s="95"/>
      <c r="E111" s="95">
        <v>397.30620847634123</v>
      </c>
      <c r="F111" s="95">
        <v>1588.7780024756194</v>
      </c>
      <c r="G111" s="95">
        <v>1401.023168271563</v>
      </c>
      <c r="H111" s="95">
        <v>1595.1824866278403</v>
      </c>
      <c r="I111" s="95">
        <v>2066.2569644538894</v>
      </c>
      <c r="J111" s="95">
        <v>78.600779181868901</v>
      </c>
      <c r="K111" s="95">
        <v>204.39625799784355</v>
      </c>
      <c r="L111" s="95">
        <v>95.000335715279704</v>
      </c>
      <c r="M111" s="95">
        <v>419.66373684396279</v>
      </c>
      <c r="N111" s="95">
        <v>2153.7920599557947</v>
      </c>
      <c r="O111" s="95">
        <v>10000.000000000004</v>
      </c>
      <c r="Q111" s="98">
        <v>419.66373684396279</v>
      </c>
      <c r="R111" s="95">
        <v>632.76185404729517</v>
      </c>
      <c r="S111" s="99">
        <v>327.06452488839744</v>
      </c>
      <c r="U111" s="121">
        <v>102835.14518126195</v>
      </c>
      <c r="V111" s="59">
        <v>410721.11044287699</v>
      </c>
      <c r="W111" s="59">
        <v>361952.64490653976</v>
      </c>
      <c r="X111" s="59">
        <v>848254.06814315659</v>
      </c>
      <c r="Y111" s="59">
        <v>1278071.6052172265</v>
      </c>
      <c r="Z111" s="59">
        <v>1946393.9790039742</v>
      </c>
      <c r="AA111" s="59">
        <v>1200749.8575425923</v>
      </c>
      <c r="AB111" s="59">
        <v>6148978.4104376286</v>
      </c>
      <c r="AC111" s="59">
        <v>491227661.17676264</v>
      </c>
      <c r="AD111" s="68">
        <v>6148978.4104376286</v>
      </c>
    </row>
    <row r="112" spans="1:30" x14ac:dyDescent="0.2">
      <c r="A112" s="95">
        <v>104</v>
      </c>
      <c r="B112" s="95">
        <v>8</v>
      </c>
      <c r="C112" s="95">
        <v>8</v>
      </c>
      <c r="D112" s="95"/>
      <c r="E112" s="95">
        <v>392.20744546756151</v>
      </c>
      <c r="F112" s="95">
        <v>1576.4991616497616</v>
      </c>
      <c r="G112" s="95">
        <v>1393.9469593375456</v>
      </c>
      <c r="H112" s="95">
        <v>1588.8541416060509</v>
      </c>
      <c r="I112" s="95">
        <v>2066.1801345912208</v>
      </c>
      <c r="J112" s="95">
        <v>78.657508538900089</v>
      </c>
      <c r="K112" s="95">
        <v>205.47882947439348</v>
      </c>
      <c r="L112" s="95">
        <v>95.341272403503467</v>
      </c>
      <c r="M112" s="95">
        <v>426.14397568206971</v>
      </c>
      <c r="N112" s="95">
        <v>2176.6905712489956</v>
      </c>
      <c r="O112" s="95">
        <v>10000.000000000004</v>
      </c>
      <c r="Q112" s="98">
        <v>426.14397568206971</v>
      </c>
      <c r="R112" s="95">
        <v>639.47718918177031</v>
      </c>
      <c r="S112" s="99">
        <v>331.07880789094537</v>
      </c>
      <c r="U112" s="121">
        <v>101815.36332488111</v>
      </c>
      <c r="V112" s="59">
        <v>408746.02505768347</v>
      </c>
      <c r="W112" s="59">
        <v>361182.06754896033</v>
      </c>
      <c r="X112" s="59">
        <v>847364.86935841292</v>
      </c>
      <c r="Y112" s="59">
        <v>1281760.6745983444</v>
      </c>
      <c r="Z112" s="59">
        <v>1959976.6725603938</v>
      </c>
      <c r="AA112" s="59">
        <v>1208591.5248102683</v>
      </c>
      <c r="AB112" s="59">
        <v>6169437.1972589446</v>
      </c>
      <c r="AC112" s="59">
        <v>497397098.37402159</v>
      </c>
      <c r="AD112" s="68">
        <v>6169437.1972589446</v>
      </c>
    </row>
    <row r="113" spans="1:30" x14ac:dyDescent="0.2">
      <c r="A113" s="95">
        <v>105</v>
      </c>
      <c r="B113" s="95">
        <v>8</v>
      </c>
      <c r="C113" s="95">
        <v>9</v>
      </c>
      <c r="D113" s="95"/>
      <c r="E113" s="95">
        <v>387.17411658406115</v>
      </c>
      <c r="F113" s="95">
        <v>1564.2954427662978</v>
      </c>
      <c r="G113" s="95">
        <v>1386.8763556812319</v>
      </c>
      <c r="H113" s="95">
        <v>1582.5357208939492</v>
      </c>
      <c r="I113" s="95">
        <v>2066.042706950645</v>
      </c>
      <c r="J113" s="95">
        <v>78.711020567751405</v>
      </c>
      <c r="K113" s="95">
        <v>206.54343530407965</v>
      </c>
      <c r="L113" s="95">
        <v>95.675392609666417</v>
      </c>
      <c r="M113" s="95">
        <v>432.64731057969539</v>
      </c>
      <c r="N113" s="95">
        <v>2199.498498062625</v>
      </c>
      <c r="O113" s="95">
        <v>10000.000000000004</v>
      </c>
      <c r="Q113" s="98">
        <v>432.64731057969539</v>
      </c>
      <c r="R113" s="95">
        <v>646.19227461919183</v>
      </c>
      <c r="S113" s="99">
        <v>335.09945729671045</v>
      </c>
      <c r="U113" s="121">
        <v>100805.69430524269</v>
      </c>
      <c r="V113" s="59">
        <v>406775.31616843282</v>
      </c>
      <c r="W113" s="59">
        <v>360405.33420637116</v>
      </c>
      <c r="X113" s="59">
        <v>846468.54953376914</v>
      </c>
      <c r="Y113" s="59">
        <v>1285422.8280241906</v>
      </c>
      <c r="Z113" s="59">
        <v>1973476.1598356431</v>
      </c>
      <c r="AA113" s="59">
        <v>1216382.385624072</v>
      </c>
      <c r="AB113" s="59">
        <v>6189736.2676977217</v>
      </c>
      <c r="AC113" s="59">
        <v>503586834.64171934</v>
      </c>
      <c r="AD113" s="68">
        <v>6189736.2676977217</v>
      </c>
    </row>
    <row r="114" spans="1:30" x14ac:dyDescent="0.2">
      <c r="A114" s="95">
        <v>106</v>
      </c>
      <c r="B114" s="95">
        <v>8</v>
      </c>
      <c r="C114" s="95">
        <v>10</v>
      </c>
      <c r="D114" s="95"/>
      <c r="E114" s="95">
        <v>382.20538208789901</v>
      </c>
      <c r="F114" s="95">
        <v>1552.1667200682018</v>
      </c>
      <c r="G114" s="95">
        <v>1379.8118160806637</v>
      </c>
      <c r="H114" s="95">
        <v>1576.2271540093636</v>
      </c>
      <c r="I114" s="95">
        <v>2065.84523195049</v>
      </c>
      <c r="J114" s="95">
        <v>78.761351950282588</v>
      </c>
      <c r="K114" s="95">
        <v>207.59024368881057</v>
      </c>
      <c r="L114" s="95">
        <v>96.002769170142116</v>
      </c>
      <c r="M114" s="95">
        <v>439.17328250817167</v>
      </c>
      <c r="N114" s="95">
        <v>2222.2160484859778</v>
      </c>
      <c r="O114" s="95">
        <v>10000.000000000004</v>
      </c>
      <c r="Q114" s="98">
        <v>439.17328250817167</v>
      </c>
      <c r="R114" s="95">
        <v>652.90691341678144</v>
      </c>
      <c r="S114" s="99">
        <v>339.12628237142656</v>
      </c>
      <c r="U114" s="121">
        <v>99806.03783671571</v>
      </c>
      <c r="V114" s="59">
        <v>404809.05064568779</v>
      </c>
      <c r="W114" s="59">
        <v>359622.53846479947</v>
      </c>
      <c r="X114" s="59">
        <v>845565.05195191631</v>
      </c>
      <c r="Y114" s="59">
        <v>1289058.1087139514</v>
      </c>
      <c r="Z114" s="59">
        <v>1986892.8063998045</v>
      </c>
      <c r="AA114" s="59">
        <v>1224122.7472396458</v>
      </c>
      <c r="AB114" s="59">
        <v>6209876.3412525207</v>
      </c>
      <c r="AC114" s="59">
        <v>509796710.98297185</v>
      </c>
      <c r="AD114" s="68">
        <v>6209876.3412525207</v>
      </c>
    </row>
    <row r="115" spans="1:30" x14ac:dyDescent="0.2">
      <c r="A115" s="95">
        <v>107</v>
      </c>
      <c r="B115" s="95">
        <v>8</v>
      </c>
      <c r="C115" s="95">
        <v>11</v>
      </c>
      <c r="D115" s="95"/>
      <c r="E115" s="95">
        <v>377.30041301777095</v>
      </c>
      <c r="F115" s="95">
        <v>1540.1128608895322</v>
      </c>
      <c r="G115" s="95">
        <v>1372.7537924207581</v>
      </c>
      <c r="H115" s="95">
        <v>1569.9283759565508</v>
      </c>
      <c r="I115" s="95">
        <v>2065.5882551996183</v>
      </c>
      <c r="J115" s="95">
        <v>78.808538852790477</v>
      </c>
      <c r="K115" s="95">
        <v>208.6194212159582</v>
      </c>
      <c r="L115" s="95">
        <v>96.323473908127056</v>
      </c>
      <c r="M115" s="95">
        <v>445.72143715681739</v>
      </c>
      <c r="N115" s="95">
        <v>2244.8434313820794</v>
      </c>
      <c r="O115" s="95">
        <v>10000.000000000004</v>
      </c>
      <c r="Q115" s="98">
        <v>445.72143715681739</v>
      </c>
      <c r="R115" s="95">
        <v>659.62091042062048</v>
      </c>
      <c r="S115" s="99">
        <v>343.15909418399031</v>
      </c>
      <c r="U115" s="121">
        <v>98816.294628168282</v>
      </c>
      <c r="V115" s="59">
        <v>402847.29389741452</v>
      </c>
      <c r="W115" s="59">
        <v>358833.77343248093</v>
      </c>
      <c r="X115" s="59">
        <v>844654.32238003705</v>
      </c>
      <c r="Y115" s="59">
        <v>1292666.5590503856</v>
      </c>
      <c r="Z115" s="59">
        <v>2000226.9735751653</v>
      </c>
      <c r="AA115" s="59">
        <v>1231812.9107685303</v>
      </c>
      <c r="AB115" s="59">
        <v>6229858.1277321819</v>
      </c>
      <c r="AC115" s="59">
        <v>516026569.110704</v>
      </c>
      <c r="AD115" s="68">
        <v>6229858.1277321819</v>
      </c>
    </row>
    <row r="116" spans="1:30" x14ac:dyDescent="0.2">
      <c r="A116" s="95">
        <v>108</v>
      </c>
      <c r="B116" s="95">
        <v>9</v>
      </c>
      <c r="C116" s="95">
        <v>0</v>
      </c>
      <c r="D116" s="95"/>
      <c r="E116" s="95">
        <v>372.45839105070957</v>
      </c>
      <c r="F116" s="95">
        <v>1528.1337258307451</v>
      </c>
      <c r="G116" s="95">
        <v>1365.7027297345542</v>
      </c>
      <c r="H116" s="95">
        <v>1563.6393270873123</v>
      </c>
      <c r="I116" s="95">
        <v>2065.2723175865344</v>
      </c>
      <c r="J116" s="95">
        <v>78.852616936726733</v>
      </c>
      <c r="K116" s="95">
        <v>209.63113287353622</v>
      </c>
      <c r="L116" s="95">
        <v>96.637577655135274</v>
      </c>
      <c r="M116" s="95">
        <v>452.29132487399784</v>
      </c>
      <c r="N116" s="95">
        <v>2267.3808563707512</v>
      </c>
      <c r="O116" s="95">
        <v>10000.000000000004</v>
      </c>
      <c r="Q116" s="98">
        <v>452.29132487399784</v>
      </c>
      <c r="R116" s="95">
        <v>666.33407225001929</v>
      </c>
      <c r="S116" s="99">
        <v>347.19770558877946</v>
      </c>
      <c r="U116" s="121">
        <v>97836.3663731056</v>
      </c>
      <c r="V116" s="59">
        <v>400890.1098892829</v>
      </c>
      <c r="W116" s="59">
        <v>358039.13173435745</v>
      </c>
      <c r="X116" s="59">
        <v>843736.3090355373</v>
      </c>
      <c r="Y116" s="59">
        <v>1296248.22061162</v>
      </c>
      <c r="Z116" s="59">
        <v>2013479.0184756934</v>
      </c>
      <c r="AA116" s="59">
        <v>1239453.1713336012</v>
      </c>
      <c r="AB116" s="59">
        <v>6249682.3274531979</v>
      </c>
      <c r="AC116" s="59">
        <v>522276251.4381572</v>
      </c>
      <c r="AD116" s="68">
        <v>6249682.3274531979</v>
      </c>
    </row>
    <row r="117" spans="1:30" x14ac:dyDescent="0.2">
      <c r="A117" s="95">
        <v>109</v>
      </c>
      <c r="B117" s="95">
        <v>9</v>
      </c>
      <c r="C117" s="95">
        <v>1</v>
      </c>
      <c r="D117" s="95"/>
      <c r="E117" s="95">
        <v>367.6785083655588</v>
      </c>
      <c r="F117" s="95">
        <v>1516.229168930877</v>
      </c>
      <c r="G117" s="95">
        <v>1358.6590662451615</v>
      </c>
      <c r="H117" s="95">
        <v>1557.3599529642945</v>
      </c>
      <c r="I117" s="95">
        <v>2064.8979553664794</v>
      </c>
      <c r="J117" s="95">
        <v>78.893621369179641</v>
      </c>
      <c r="K117" s="95">
        <v>210.62554206537305</v>
      </c>
      <c r="L117" s="95">
        <v>96.945150271912496</v>
      </c>
      <c r="M117" s="95">
        <v>458.8825006092531</v>
      </c>
      <c r="N117" s="95">
        <v>2289.8285338119131</v>
      </c>
      <c r="O117" s="95">
        <v>10000.000000000002</v>
      </c>
      <c r="Q117" s="98">
        <v>458.8825006092531</v>
      </c>
      <c r="R117" s="95">
        <v>673.04620728217549</v>
      </c>
      <c r="S117" s="99">
        <v>351.2419312082219</v>
      </c>
      <c r="U117" s="121">
        <v>96866.155739905633</v>
      </c>
      <c r="V117" s="59">
        <v>398937.56116472342</v>
      </c>
      <c r="W117" s="59">
        <v>357238.7055067739</v>
      </c>
      <c r="X117" s="59">
        <v>842810.9625520031</v>
      </c>
      <c r="Y117" s="59">
        <v>1299803.1342024144</v>
      </c>
      <c r="Z117" s="59">
        <v>2026649.2940469314</v>
      </c>
      <c r="AA117" s="59">
        <v>1247043.8182201176</v>
      </c>
      <c r="AB117" s="59">
        <v>6269349.6314328695</v>
      </c>
      <c r="AC117" s="59">
        <v>528545601.06959009</v>
      </c>
      <c r="AD117" s="68">
        <v>6269349.6314328695</v>
      </c>
    </row>
    <row r="118" spans="1:30" x14ac:dyDescent="0.2">
      <c r="A118" s="95">
        <v>110</v>
      </c>
      <c r="B118" s="95">
        <v>9</v>
      </c>
      <c r="C118" s="95">
        <v>2</v>
      </c>
      <c r="D118" s="95"/>
      <c r="E118" s="95">
        <v>362.9599675082008</v>
      </c>
      <c r="F118" s="95">
        <v>1504.3990378366439</v>
      </c>
      <c r="G118" s="95">
        <v>1351.6232334083811</v>
      </c>
      <c r="H118" s="95">
        <v>1551.0902042264513</v>
      </c>
      <c r="I118" s="95">
        <v>2064.4657002465524</v>
      </c>
      <c r="J118" s="95">
        <v>78.931586833124541</v>
      </c>
      <c r="K118" s="95">
        <v>211.60281062627416</v>
      </c>
      <c r="L118" s="95">
        <v>97.246260668788565</v>
      </c>
      <c r="M118" s="95">
        <v>465.49452385647135</v>
      </c>
      <c r="N118" s="95">
        <v>2312.1866747891149</v>
      </c>
      <c r="O118" s="95">
        <v>10000.000000000004</v>
      </c>
      <c r="Q118" s="98">
        <v>465.49452385647135</v>
      </c>
      <c r="R118" s="95">
        <v>679.75712563711659</v>
      </c>
      <c r="S118" s="99">
        <v>355.2915874156119</v>
      </c>
      <c r="U118" s="121">
        <v>95905.566362151571</v>
      </c>
      <c r="V118" s="59">
        <v>396989.70886474324</v>
      </c>
      <c r="W118" s="59">
        <v>356432.5863923718</v>
      </c>
      <c r="X118" s="59">
        <v>841878.23594538111</v>
      </c>
      <c r="Y118" s="59">
        <v>1303331.3398848993</v>
      </c>
      <c r="Z118" s="59">
        <v>2039738.1491062816</v>
      </c>
      <c r="AA118" s="59">
        <v>1254585.1350225338</v>
      </c>
      <c r="AB118" s="59">
        <v>6288860.7215783624</v>
      </c>
      <c r="AC118" s="59">
        <v>534834461.79116845</v>
      </c>
      <c r="AD118" s="68">
        <v>6288860.7215783624</v>
      </c>
    </row>
    <row r="119" spans="1:30" x14ac:dyDescent="0.2">
      <c r="A119" s="95">
        <v>111</v>
      </c>
      <c r="B119" s="95">
        <v>9</v>
      </c>
      <c r="C119" s="95">
        <v>3</v>
      </c>
      <c r="D119" s="95"/>
      <c r="E119" s="95">
        <v>358.30198125851223</v>
      </c>
      <c r="F119" s="95">
        <v>1492.6431739685097</v>
      </c>
      <c r="G119" s="95">
        <v>1344.5956559559643</v>
      </c>
      <c r="H119" s="95">
        <v>1544.8300364566478</v>
      </c>
      <c r="I119" s="95">
        <v>2063.9760794688923</v>
      </c>
      <c r="J119" s="95">
        <v>78.966547537447894</v>
      </c>
      <c r="K119" s="95">
        <v>212.56309883716807</v>
      </c>
      <c r="L119" s="95">
        <v>97.540976825486311</v>
      </c>
      <c r="M119" s="95">
        <v>472.12695859808338</v>
      </c>
      <c r="N119" s="95">
        <v>2334.4554910932911</v>
      </c>
      <c r="O119" s="95">
        <v>10000.000000000004</v>
      </c>
      <c r="Q119" s="98">
        <v>472.12695859808338</v>
      </c>
      <c r="R119" s="95">
        <v>686.46663916291789</v>
      </c>
      <c r="S119" s="99">
        <v>359.34649231816945</v>
      </c>
      <c r="U119" s="121">
        <v>94954.502829060235</v>
      </c>
      <c r="V119" s="59">
        <v>395046.61274750484</v>
      </c>
      <c r="W119" s="59">
        <v>355620.86553517461</v>
      </c>
      <c r="X119" s="59">
        <v>840938.08458038862</v>
      </c>
      <c r="Y119" s="59">
        <v>1306832.8770087932</v>
      </c>
      <c r="Z119" s="59">
        <v>2052745.928383664</v>
      </c>
      <c r="AA119" s="59">
        <v>1262077.3997872141</v>
      </c>
      <c r="AB119" s="59">
        <v>6308216.2708717994</v>
      </c>
      <c r="AC119" s="59">
        <v>541142678.06204021</v>
      </c>
      <c r="AD119" s="68">
        <v>6308216.2708717994</v>
      </c>
    </row>
    <row r="120" spans="1:30" x14ac:dyDescent="0.2">
      <c r="A120" s="95">
        <v>112</v>
      </c>
      <c r="B120" s="95">
        <v>9</v>
      </c>
      <c r="C120" s="95">
        <v>4</v>
      </c>
      <c r="D120" s="95"/>
      <c r="E120" s="95">
        <v>353.70377249902799</v>
      </c>
      <c r="F120" s="95">
        <v>1480.9614126837671</v>
      </c>
      <c r="G120" s="95">
        <v>1337.576751939484</v>
      </c>
      <c r="H120" s="95">
        <v>1538.5794100513851</v>
      </c>
      <c r="I120" s="95">
        <v>2063.4296158919565</v>
      </c>
      <c r="J120" s="95">
        <v>78.99853722674959</v>
      </c>
      <c r="K120" s="95">
        <v>213.50656544023087</v>
      </c>
      <c r="L120" s="95">
        <v>97.829365810404042</v>
      </c>
      <c r="M120" s="95">
        <v>478.77937325025511</v>
      </c>
      <c r="N120" s="95">
        <v>2356.6351952067425</v>
      </c>
      <c r="O120" s="95">
        <v>10000.000000000004</v>
      </c>
      <c r="Q120" s="98">
        <v>478.77937325025511</v>
      </c>
      <c r="R120" s="95">
        <v>693.17456142119181</v>
      </c>
      <c r="S120" s="99">
        <v>363.40646574033934</v>
      </c>
      <c r="U120" s="121">
        <v>94012.87067600539</v>
      </c>
      <c r="V120" s="59">
        <v>393108.33120766882</v>
      </c>
      <c r="W120" s="59">
        <v>354803.63357586181</v>
      </c>
      <c r="X120" s="59">
        <v>839990.46613715077</v>
      </c>
      <c r="Y120" s="59">
        <v>1310307.7842411017</v>
      </c>
      <c r="Z120" s="59">
        <v>2065672.9725625208</v>
      </c>
      <c r="AA120" s="59">
        <v>1269520.8851511918</v>
      </c>
      <c r="AB120" s="59">
        <v>6327416.9435515013</v>
      </c>
      <c r="AC120" s="59">
        <v>547470095.00559175</v>
      </c>
      <c r="AD120" s="68">
        <v>6327416.9435515013</v>
      </c>
    </row>
    <row r="121" spans="1:30" x14ac:dyDescent="0.2">
      <c r="A121" s="95">
        <v>113</v>
      </c>
      <c r="B121" s="95">
        <v>9</v>
      </c>
      <c r="C121" s="95">
        <v>5</v>
      </c>
      <c r="D121" s="95"/>
      <c r="E121" s="95">
        <v>349.16457408529044</v>
      </c>
      <c r="F121" s="95">
        <v>1469.353583436681</v>
      </c>
      <c r="G121" s="95">
        <v>1330.5669327747858</v>
      </c>
      <c r="H121" s="95">
        <v>1532.3382900926249</v>
      </c>
      <c r="I121" s="95">
        <v>2062.8268280699303</v>
      </c>
      <c r="J121" s="95">
        <v>79.027589190927927</v>
      </c>
      <c r="K121" s="95">
        <v>214.43336765398411</v>
      </c>
      <c r="L121" s="95">
        <v>98.111493799388597</v>
      </c>
      <c r="M121" s="95">
        <v>485.4513406090565</v>
      </c>
      <c r="N121" s="95">
        <v>2378.7260002873336</v>
      </c>
      <c r="O121" s="95">
        <v>10000.000000000004</v>
      </c>
      <c r="Q121" s="98">
        <v>485.4513406090565</v>
      </c>
      <c r="R121" s="95">
        <v>699.88070767284069</v>
      </c>
      <c r="S121" s="99">
        <v>367.47132920732616</v>
      </c>
      <c r="U121" s="121">
        <v>93080.576375135002</v>
      </c>
      <c r="V121" s="59">
        <v>391174.92129550426</v>
      </c>
      <c r="W121" s="59">
        <v>353980.98064722825</v>
      </c>
      <c r="X121" s="59">
        <v>839035.34057806979</v>
      </c>
      <c r="Y121" s="59">
        <v>1313756.0995953069</v>
      </c>
      <c r="Z121" s="59">
        <v>2078519.6183211491</v>
      </c>
      <c r="AA121" s="59">
        <v>1276915.8584771005</v>
      </c>
      <c r="AB121" s="59">
        <v>6346463.3952894937</v>
      </c>
      <c r="AC121" s="59">
        <v>553816558.40088129</v>
      </c>
      <c r="AD121" s="68">
        <v>6346463.3952894937</v>
      </c>
    </row>
    <row r="122" spans="1:30" x14ac:dyDescent="0.2">
      <c r="A122" s="95">
        <v>114</v>
      </c>
      <c r="B122" s="95">
        <v>9</v>
      </c>
      <c r="C122" s="95">
        <v>6</v>
      </c>
      <c r="D122" s="95"/>
      <c r="E122" s="95">
        <v>344.68362871786252</v>
      </c>
      <c r="F122" s="95">
        <v>1457.8195099357397</v>
      </c>
      <c r="G122" s="95">
        <v>1323.5666032869922</v>
      </c>
      <c r="H122" s="95">
        <v>1526.1066462216918</v>
      </c>
      <c r="I122" s="95">
        <v>2062.1682303303014</v>
      </c>
      <c r="J122" s="95">
        <v>79.053736274552108</v>
      </c>
      <c r="K122" s="95">
        <v>215.3436611883613</v>
      </c>
      <c r="L122" s="95">
        <v>98.387426094014998</v>
      </c>
      <c r="M122" s="95">
        <v>492.14243779758436</v>
      </c>
      <c r="N122" s="95">
        <v>2400.7281201529031</v>
      </c>
      <c r="O122" s="95">
        <v>10000.000000000004</v>
      </c>
      <c r="Q122" s="98">
        <v>492.14243779758436</v>
      </c>
      <c r="R122" s="95">
        <v>706.58489486406791</v>
      </c>
      <c r="S122" s="99">
        <v>371.54090592886223</v>
      </c>
      <c r="U122" s="121">
        <v>92157.527326081588</v>
      </c>
      <c r="V122" s="59">
        <v>389246.43873576942</v>
      </c>
      <c r="W122" s="59">
        <v>353152.99636982457</v>
      </c>
      <c r="X122" s="59">
        <v>838072.67011492641</v>
      </c>
      <c r="Y122" s="59">
        <v>1317177.8604600488</v>
      </c>
      <c r="Z122" s="59">
        <v>2091286.198374338</v>
      </c>
      <c r="AA122" s="59">
        <v>1284262.581984411</v>
      </c>
      <c r="AB122" s="59">
        <v>6365356.2733653998</v>
      </c>
      <c r="AC122" s="59">
        <v>560181914.67424667</v>
      </c>
      <c r="AD122" s="68">
        <v>6365356.2733653998</v>
      </c>
    </row>
    <row r="123" spans="1:30" x14ac:dyDescent="0.2">
      <c r="A123" s="95">
        <v>115</v>
      </c>
      <c r="B123" s="95">
        <v>9</v>
      </c>
      <c r="C123" s="95">
        <v>7</v>
      </c>
      <c r="D123" s="95"/>
      <c r="E123" s="95">
        <v>340.26018881598327</v>
      </c>
      <c r="F123" s="95">
        <v>1446.3590102980588</v>
      </c>
      <c r="G123" s="95">
        <v>1316.5761617560322</v>
      </c>
      <c r="H123" s="95">
        <v>1519.8844525152351</v>
      </c>
      <c r="I123" s="95">
        <v>2061.4543328496338</v>
      </c>
      <c r="J123" s="95">
        <v>79.077010886026201</v>
      </c>
      <c r="K123" s="95">
        <v>216.23760025973812</v>
      </c>
      <c r="L123" s="95">
        <v>98.657227139388283</v>
      </c>
      <c r="M123" s="95">
        <v>498.85224621401846</v>
      </c>
      <c r="N123" s="95">
        <v>2422.6417692658893</v>
      </c>
      <c r="O123" s="95">
        <v>10000.000000000004</v>
      </c>
      <c r="Q123" s="98">
        <v>498.85224621401846</v>
      </c>
      <c r="R123" s="95">
        <v>713.28694161264139</v>
      </c>
      <c r="S123" s="99">
        <v>375.6150207832041</v>
      </c>
      <c r="U123" s="121">
        <v>91243.631846764605</v>
      </c>
      <c r="V123" s="59">
        <v>387322.9379463644</v>
      </c>
      <c r="W123" s="59">
        <v>352319.76984777633</v>
      </c>
      <c r="X123" s="59">
        <v>837102.41917621426</v>
      </c>
      <c r="Y123" s="59">
        <v>1320573.103627305</v>
      </c>
      <c r="Z123" s="59">
        <v>2103973.0415152889</v>
      </c>
      <c r="AA123" s="59">
        <v>1291561.3128770944</v>
      </c>
      <c r="AB123" s="59">
        <v>6384096.2168368082</v>
      </c>
      <c r="AC123" s="59">
        <v>566566010.89108348</v>
      </c>
      <c r="AD123" s="68">
        <v>6384096.2168368082</v>
      </c>
    </row>
    <row r="124" spans="1:30" x14ac:dyDescent="0.2">
      <c r="A124" s="95">
        <v>116</v>
      </c>
      <c r="B124" s="95">
        <v>9</v>
      </c>
      <c r="C124" s="95">
        <v>8</v>
      </c>
      <c r="D124" s="95"/>
      <c r="E124" s="95">
        <v>335.89351639284484</v>
      </c>
      <c r="F124" s="95">
        <v>1434.9718972009844</v>
      </c>
      <c r="G124" s="95">
        <v>1309.5959999626687</v>
      </c>
      <c r="H124" s="95">
        <v>1513.6716873632263</v>
      </c>
      <c r="I124" s="95">
        <v>2060.6856417275753</v>
      </c>
      <c r="J124" s="95">
        <v>79.097445006549279</v>
      </c>
      <c r="K124" s="95">
        <v>217.11533760592195</v>
      </c>
      <c r="L124" s="95">
        <v>98.920960541482501</v>
      </c>
      <c r="M124" s="95">
        <v>505.58035148059065</v>
      </c>
      <c r="N124" s="95">
        <v>2444.4671627181592</v>
      </c>
      <c r="O124" s="95">
        <v>10000.000000000004</v>
      </c>
      <c r="Q124" s="98">
        <v>505.58035148059065</v>
      </c>
      <c r="R124" s="95">
        <v>719.98666819440268</v>
      </c>
      <c r="S124" s="99">
        <v>379.69350030135467</v>
      </c>
      <c r="U124" s="121">
        <v>90338.799164284195</v>
      </c>
      <c r="V124" s="59">
        <v>385404.47205675917</v>
      </c>
      <c r="W124" s="59">
        <v>351481.38966477738</v>
      </c>
      <c r="X124" s="59">
        <v>836124.55437471019</v>
      </c>
      <c r="Y124" s="59">
        <v>1323941.8653200753</v>
      </c>
      <c r="Z124" s="59">
        <v>2116580.472657802</v>
      </c>
      <c r="AA124" s="59">
        <v>1298812.3034678278</v>
      </c>
      <c r="AB124" s="59">
        <v>6402683.8567062365</v>
      </c>
      <c r="AC124" s="59">
        <v>572968694.74778974</v>
      </c>
      <c r="AD124" s="68">
        <v>6402683.8567062365</v>
      </c>
    </row>
    <row r="125" spans="1:30" x14ac:dyDescent="0.2">
      <c r="A125" s="95">
        <v>117</v>
      </c>
      <c r="B125" s="95">
        <v>9</v>
      </c>
      <c r="C125" s="95">
        <v>9</v>
      </c>
      <c r="D125" s="95"/>
      <c r="E125" s="95">
        <v>331.58288293247</v>
      </c>
      <c r="F125" s="95">
        <v>1423.657978030938</v>
      </c>
      <c r="G125" s="95">
        <v>1302.6265032349975</v>
      </c>
      <c r="H125" s="95">
        <v>1507.4683333489718</v>
      </c>
      <c r="I125" s="95">
        <v>2059.8626590591298</v>
      </c>
      <c r="J125" s="95">
        <v>79.115070198875756</v>
      </c>
      <c r="K125" s="95">
        <v>217.97702450109637</v>
      </c>
      <c r="L125" s="95">
        <v>99.178689084031348</v>
      </c>
      <c r="M125" s="95">
        <v>512.32634339344634</v>
      </c>
      <c r="N125" s="95">
        <v>2466.2045162160466</v>
      </c>
      <c r="O125" s="95">
        <v>10000.000000000004</v>
      </c>
      <c r="Q125" s="98">
        <v>512.32634339344634</v>
      </c>
      <c r="R125" s="95">
        <v>726.68389653001725</v>
      </c>
      <c r="S125" s="99">
        <v>383.77617265150752</v>
      </c>
      <c r="U125" s="121">
        <v>89442.939405905039</v>
      </c>
      <c r="V125" s="59">
        <v>383491.09292619943</v>
      </c>
      <c r="W125" s="59">
        <v>350637.94388025423</v>
      </c>
      <c r="X125" s="59">
        <v>835139.0444752808</v>
      </c>
      <c r="Y125" s="59">
        <v>1327284.1812195706</v>
      </c>
      <c r="Z125" s="59">
        <v>2129108.8128787046</v>
      </c>
      <c r="AA125" s="59">
        <v>1306015.8012988628</v>
      </c>
      <c r="AB125" s="59">
        <v>6421119.8160847779</v>
      </c>
      <c r="AC125" s="59">
        <v>579389814.56387448</v>
      </c>
      <c r="AD125" s="68">
        <v>6421119.8160847779</v>
      </c>
    </row>
    <row r="126" spans="1:30" x14ac:dyDescent="0.2">
      <c r="A126" s="95">
        <v>118</v>
      </c>
      <c r="B126" s="95">
        <v>9</v>
      </c>
      <c r="C126" s="95">
        <v>10</v>
      </c>
      <c r="D126" s="95"/>
      <c r="E126" s="95">
        <v>327.32756926816995</v>
      </c>
      <c r="F126" s="95">
        <v>1412.4170550295485</v>
      </c>
      <c r="G126" s="95">
        <v>1295.668050495392</v>
      </c>
      <c r="H126" s="95">
        <v>1501.2743771311223</v>
      </c>
      <c r="I126" s="95">
        <v>2058.9858830052262</v>
      </c>
      <c r="J126" s="95">
        <v>79.129917615880103</v>
      </c>
      <c r="K126" s="95">
        <v>218.82281077071625</v>
      </c>
      <c r="L126" s="95">
        <v>99.430474744984295</v>
      </c>
      <c r="M126" s="95">
        <v>519.08981587337962</v>
      </c>
      <c r="N126" s="95">
        <v>2487.854046065584</v>
      </c>
      <c r="O126" s="95">
        <v>10000.000000000004</v>
      </c>
      <c r="Q126" s="98">
        <v>519.08981587337962</v>
      </c>
      <c r="R126" s="95">
        <v>733.37845017195946</v>
      </c>
      <c r="S126" s="99">
        <v>387.86286762370969</v>
      </c>
      <c r="U126" s="121">
        <v>88555.963590129817</v>
      </c>
      <c r="V126" s="59">
        <v>381582.85116169206</v>
      </c>
      <c r="W126" s="59">
        <v>349789.52002569888</v>
      </c>
      <c r="X126" s="59">
        <v>834145.86036292603</v>
      </c>
      <c r="Y126" s="59">
        <v>1330600.0864919205</v>
      </c>
      <c r="Z126" s="59">
        <v>2141558.3794605057</v>
      </c>
      <c r="AA126" s="59">
        <v>1313172.0492596619</v>
      </c>
      <c r="AB126" s="59">
        <v>6439404.7103525354</v>
      </c>
      <c r="AC126" s="59">
        <v>585829219.27422702</v>
      </c>
      <c r="AD126" s="68">
        <v>6439404.7103525354</v>
      </c>
    </row>
    <row r="127" spans="1:30" x14ac:dyDescent="0.2">
      <c r="A127" s="95">
        <v>119</v>
      </c>
      <c r="B127" s="95">
        <v>9</v>
      </c>
      <c r="C127" s="95">
        <v>11</v>
      </c>
      <c r="D127" s="95"/>
      <c r="E127" s="95">
        <v>323.1268654625618</v>
      </c>
      <c r="F127" s="95">
        <v>1401.2489254371128</v>
      </c>
      <c r="G127" s="95">
        <v>1288.7210143078698</v>
      </c>
      <c r="H127" s="95">
        <v>1495.0898093276544</v>
      </c>
      <c r="I127" s="95">
        <v>2058.0558078616214</v>
      </c>
      <c r="J127" s="95">
        <v>79.142018008930009</v>
      </c>
      <c r="K127" s="95">
        <v>219.65284480634972</v>
      </c>
      <c r="L127" s="95">
        <v>99.676378712541705</v>
      </c>
      <c r="M127" s="95">
        <v>525.87036691742287</v>
      </c>
      <c r="N127" s="95">
        <v>2509.4159691579389</v>
      </c>
      <c r="O127" s="95">
        <v>10000.000000000004</v>
      </c>
      <c r="Q127" s="98">
        <v>525.87036691742287</v>
      </c>
      <c r="R127" s="95">
        <v>740.07015429172645</v>
      </c>
      <c r="S127" s="99">
        <v>391.95341661473981</v>
      </c>
      <c r="U127" s="121">
        <v>87677.783617861031</v>
      </c>
      <c r="V127" s="59">
        <v>379679.79613577353</v>
      </c>
      <c r="W127" s="59">
        <v>348936.20510116627</v>
      </c>
      <c r="X127" s="59">
        <v>833144.97501106292</v>
      </c>
      <c r="Y127" s="59">
        <v>1333889.6158143934</v>
      </c>
      <c r="Z127" s="59">
        <v>2153929.4859342519</v>
      </c>
      <c r="AA127" s="59">
        <v>1320281.2857014104</v>
      </c>
      <c r="AB127" s="59">
        <v>6457539.1473159194</v>
      </c>
      <c r="AC127" s="59">
        <v>592286758.42154288</v>
      </c>
      <c r="AD127" s="68">
        <v>6457539.1473159194</v>
      </c>
    </row>
    <row r="128" spans="1:30" x14ac:dyDescent="0.2">
      <c r="A128" s="95">
        <v>120</v>
      </c>
      <c r="B128" s="95">
        <v>10</v>
      </c>
      <c r="C128" s="95">
        <v>0</v>
      </c>
      <c r="D128" s="95"/>
      <c r="E128" s="95">
        <v>318.98007068912557</v>
      </c>
      <c r="F128" s="95">
        <v>1390.1533816334288</v>
      </c>
      <c r="G128" s="95">
        <v>1281.7857609258547</v>
      </c>
      <c r="H128" s="95">
        <v>1488.9146244018054</v>
      </c>
      <c r="I128" s="95">
        <v>2057.0729241261597</v>
      </c>
      <c r="J128" s="95">
        <v>79.151401736072046</v>
      </c>
      <c r="K128" s="95">
        <v>220.46727358046289</v>
      </c>
      <c r="L128" s="95">
        <v>99.916461400781898</v>
      </c>
      <c r="M128" s="95">
        <v>532.66759855127214</v>
      </c>
      <c r="N128" s="95">
        <v>2530.8905029550397</v>
      </c>
      <c r="O128" s="95">
        <v>10000.000000000004</v>
      </c>
      <c r="Q128" s="98">
        <v>532.66759855127214</v>
      </c>
      <c r="R128" s="95">
        <v>746.75883566727668</v>
      </c>
      <c r="S128" s="99">
        <v>396.0476526131983</v>
      </c>
      <c r="U128" s="121">
        <v>86808.312263650572</v>
      </c>
      <c r="V128" s="59">
        <v>377781.97600406333</v>
      </c>
      <c r="W128" s="59">
        <v>348078.08557193278</v>
      </c>
      <c r="X128" s="59">
        <v>832136.36345004675</v>
      </c>
      <c r="Y128" s="59">
        <v>1337152.8034011424</v>
      </c>
      <c r="Z128" s="59">
        <v>2166222.4421225768</v>
      </c>
      <c r="AA128" s="59">
        <v>1327343.744548508</v>
      </c>
      <c r="AB128" s="59">
        <v>6475523.7273619203</v>
      </c>
      <c r="AC128" s="59">
        <v>598762282.1489048</v>
      </c>
      <c r="AD128" s="68">
        <v>6475523.7273619203</v>
      </c>
    </row>
    <row r="129" spans="1:30" x14ac:dyDescent="0.2">
      <c r="A129" s="95">
        <v>121</v>
      </c>
      <c r="B129" s="95">
        <v>10</v>
      </c>
      <c r="C129" s="95">
        <v>1</v>
      </c>
      <c r="D129" s="95"/>
      <c r="E129" s="95">
        <v>314.14220628367383</v>
      </c>
      <c r="F129" s="95">
        <v>1375.88652005223</v>
      </c>
      <c r="G129" s="95">
        <v>1271.8718168981511</v>
      </c>
      <c r="H129" s="95">
        <v>1479.2746864263368</v>
      </c>
      <c r="I129" s="95">
        <v>2051.2378817414701</v>
      </c>
      <c r="J129" s="95">
        <v>78.973412165982779</v>
      </c>
      <c r="K129" s="95">
        <v>220.75181902278916</v>
      </c>
      <c r="L129" s="95">
        <v>99.917644054957393</v>
      </c>
      <c r="M129" s="95">
        <v>539.48111678253133</v>
      </c>
      <c r="N129" s="95">
        <v>2568.4628965718807</v>
      </c>
      <c r="O129" s="95">
        <v>10000.000000000004</v>
      </c>
      <c r="Q129" s="98">
        <v>539.48111678253133</v>
      </c>
      <c r="R129" s="95">
        <v>753.44432267068669</v>
      </c>
      <c r="S129" s="99">
        <v>400.14541018480583</v>
      </c>
      <c r="U129" s="121">
        <v>85940.229141014075</v>
      </c>
      <c r="V129" s="59">
        <v>375857.95589127077</v>
      </c>
      <c r="W129" s="59">
        <v>347186.2408581826</v>
      </c>
      <c r="X129" s="59">
        <v>831050.65803898138</v>
      </c>
      <c r="Y129" s="59">
        <v>1340278.2536281953</v>
      </c>
      <c r="Z129" s="59">
        <v>2178257.0356460689</v>
      </c>
      <c r="AA129" s="59">
        <v>1334249.0434284245</v>
      </c>
      <c r="AB129" s="59">
        <v>6492819.4166321373</v>
      </c>
      <c r="AC129" s="59">
        <v>605255101.56553698</v>
      </c>
      <c r="AD129" s="68">
        <v>6492819.4166321373</v>
      </c>
    </row>
    <row r="130" spans="1:30" x14ac:dyDescent="0.2">
      <c r="A130" s="95">
        <v>122</v>
      </c>
      <c r="B130" s="95">
        <v>10</v>
      </c>
      <c r="C130" s="95">
        <v>2</v>
      </c>
      <c r="D130" s="95"/>
      <c r="E130" s="95">
        <v>309.37771615503812</v>
      </c>
      <c r="F130" s="95">
        <v>1361.750825062843</v>
      </c>
      <c r="G130" s="95">
        <v>1262.0096559046747</v>
      </c>
      <c r="H130" s="95">
        <v>1469.6810114083876</v>
      </c>
      <c r="I130" s="95">
        <v>2045.3670312064669</v>
      </c>
      <c r="J130" s="95">
        <v>78.781998425212535</v>
      </c>
      <c r="K130" s="95">
        <v>221.02968750481352</v>
      </c>
      <c r="L130" s="95">
        <v>99.912574487472227</v>
      </c>
      <c r="M130" s="95">
        <v>546.29463334555032</v>
      </c>
      <c r="N130" s="95">
        <v>2605.7948664995442</v>
      </c>
      <c r="O130" s="95">
        <v>10000.000000000004</v>
      </c>
      <c r="Q130" s="98">
        <v>546.29463334555032</v>
      </c>
      <c r="R130" s="95">
        <v>760.11084578634643</v>
      </c>
      <c r="S130" s="99">
        <v>404.23696402357393</v>
      </c>
      <c r="U130" s="121">
        <v>85080.826849603924</v>
      </c>
      <c r="V130" s="59">
        <v>373939.58144885965</v>
      </c>
      <c r="W130" s="59">
        <v>346289.90907694941</v>
      </c>
      <c r="X130" s="59">
        <v>829957.35769776336</v>
      </c>
      <c r="Y130" s="59">
        <v>1343376.8990649548</v>
      </c>
      <c r="Z130" s="59">
        <v>2190212.0667683696</v>
      </c>
      <c r="AA130" s="59">
        <v>1341106.8596127641</v>
      </c>
      <c r="AB130" s="59">
        <v>6509963.5005192645</v>
      </c>
      <c r="AC130" s="59">
        <v>611765065.06605625</v>
      </c>
      <c r="AD130" s="68">
        <v>6509963.5005192645</v>
      </c>
    </row>
    <row r="131" spans="1:30" x14ac:dyDescent="0.2">
      <c r="A131" s="95">
        <v>123</v>
      </c>
      <c r="B131" s="95">
        <v>10</v>
      </c>
      <c r="C131" s="95">
        <v>3</v>
      </c>
      <c r="D131" s="95"/>
      <c r="E131" s="95">
        <v>304.68548746002006</v>
      </c>
      <c r="F131" s="95">
        <v>1347.7453724820691</v>
      </c>
      <c r="G131" s="95">
        <v>1252.1994087203393</v>
      </c>
      <c r="H131" s="95">
        <v>1460.1334193786911</v>
      </c>
      <c r="I131" s="95">
        <v>2039.4611718432177</v>
      </c>
      <c r="J131" s="95">
        <v>78.577530674075405</v>
      </c>
      <c r="K131" s="95">
        <v>221.30088119548657</v>
      </c>
      <c r="L131" s="95">
        <v>99.901353356830228</v>
      </c>
      <c r="M131" s="95">
        <v>553.10765984722354</v>
      </c>
      <c r="N131" s="95">
        <v>2642.8877150420499</v>
      </c>
      <c r="O131" s="95">
        <v>10000.000000000004</v>
      </c>
      <c r="Q131" s="98">
        <v>553.10765984722354</v>
      </c>
      <c r="R131" s="95">
        <v>766.75828863776746</v>
      </c>
      <c r="S131" s="99">
        <v>408.32215844691831</v>
      </c>
      <c r="U131" s="121">
        <v>84230.018581107899</v>
      </c>
      <c r="V131" s="59">
        <v>372026.89591335168</v>
      </c>
      <c r="W131" s="59">
        <v>345389.17621084006</v>
      </c>
      <c r="X131" s="59">
        <v>828856.44536198198</v>
      </c>
      <c r="Y131" s="59">
        <v>1346448.7793213117</v>
      </c>
      <c r="Z131" s="59">
        <v>2202087.871117108</v>
      </c>
      <c r="AA131" s="59">
        <v>1347917.4261118008</v>
      </c>
      <c r="AB131" s="59">
        <v>6526956.612617502</v>
      </c>
      <c r="AC131" s="59">
        <v>618292021.67867374</v>
      </c>
      <c r="AD131" s="68">
        <v>6526956.612617502</v>
      </c>
    </row>
    <row r="132" spans="1:30" x14ac:dyDescent="0.2">
      <c r="A132" s="95">
        <v>124</v>
      </c>
      <c r="B132" s="95">
        <v>10</v>
      </c>
      <c r="C132" s="95">
        <v>4</v>
      </c>
      <c r="D132" s="95"/>
      <c r="E132" s="95">
        <v>300.06442423354309</v>
      </c>
      <c r="F132" s="95">
        <v>1333.8692388287784</v>
      </c>
      <c r="G132" s="95">
        <v>1242.4411975576488</v>
      </c>
      <c r="H132" s="95">
        <v>1450.6317343902658</v>
      </c>
      <c r="I132" s="95">
        <v>2033.5210933740868</v>
      </c>
      <c r="J132" s="95">
        <v>78.360370732222094</v>
      </c>
      <c r="K132" s="95">
        <v>221.565403441228</v>
      </c>
      <c r="L132" s="95">
        <v>99.884080236944797</v>
      </c>
      <c r="M132" s="95">
        <v>559.91971711055214</v>
      </c>
      <c r="N132" s="95">
        <v>2679.7427400947331</v>
      </c>
      <c r="O132" s="95">
        <v>10000.000000000004</v>
      </c>
      <c r="Q132" s="98">
        <v>559.91971711055214</v>
      </c>
      <c r="R132" s="95">
        <v>773.38653744625788</v>
      </c>
      <c r="S132" s="99">
        <v>412.4008408146629</v>
      </c>
      <c r="U132" s="121">
        <v>83387.718395296804</v>
      </c>
      <c r="V132" s="59">
        <v>370119.94135781954</v>
      </c>
      <c r="W132" s="59">
        <v>344484.12766739854</v>
      </c>
      <c r="X132" s="59">
        <v>827747.90590667923</v>
      </c>
      <c r="Y132" s="59">
        <v>1349493.9336302555</v>
      </c>
      <c r="Z132" s="59">
        <v>2213884.7801554585</v>
      </c>
      <c r="AA132" s="59">
        <v>1354680.9720284559</v>
      </c>
      <c r="AB132" s="59">
        <v>6543799.3791413642</v>
      </c>
      <c r="AC132" s="59">
        <v>624835821.05781507</v>
      </c>
      <c r="AD132" s="68">
        <v>6543799.3791413642</v>
      </c>
    </row>
    <row r="133" spans="1:30" x14ac:dyDescent="0.2">
      <c r="A133" s="95">
        <v>125</v>
      </c>
      <c r="B133" s="95">
        <v>10</v>
      </c>
      <c r="C133" s="95">
        <v>5</v>
      </c>
      <c r="D133" s="95"/>
      <c r="E133" s="95">
        <v>295.51344713266769</v>
      </c>
      <c r="F133" s="95">
        <v>1320.1215014796958</v>
      </c>
      <c r="G133" s="95">
        <v>1232.7351362036723</v>
      </c>
      <c r="H133" s="95">
        <v>1441.1757843721225</v>
      </c>
      <c r="I133" s="95">
        <v>2027.5475760550141</v>
      </c>
      <c r="J133" s="95">
        <v>78.13087227654141</v>
      </c>
      <c r="K133" s="95">
        <v>221.82325873172857</v>
      </c>
      <c r="L133" s="95">
        <v>99.860853609816047</v>
      </c>
      <c r="M133" s="95">
        <v>566.73033502054022</v>
      </c>
      <c r="N133" s="95">
        <v>2716.3612351182046</v>
      </c>
      <c r="O133" s="95">
        <v>10000.000000000004</v>
      </c>
      <c r="Q133" s="98">
        <v>566.73033502054022</v>
      </c>
      <c r="R133" s="95">
        <v>779.99548099972367</v>
      </c>
      <c r="S133" s="99">
        <v>416.4728614772489</v>
      </c>
      <c r="U133" s="121">
        <v>82553.841211343839</v>
      </c>
      <c r="V133" s="59">
        <v>368218.75870888302</v>
      </c>
      <c r="W133" s="59">
        <v>343574.84827675892</v>
      </c>
      <c r="X133" s="59">
        <v>826631.72611527657</v>
      </c>
      <c r="Y133" s="59">
        <v>1352512.4008714592</v>
      </c>
      <c r="Z133" s="59">
        <v>2225603.121239949</v>
      </c>
      <c r="AA133" s="59">
        <v>1361397.7226459277</v>
      </c>
      <c r="AB133" s="59">
        <v>6560492.4190695984</v>
      </c>
      <c r="AC133" s="59">
        <v>631396313.47688472</v>
      </c>
      <c r="AD133" s="68">
        <v>6560492.4190695984</v>
      </c>
    </row>
    <row r="134" spans="1:30" x14ac:dyDescent="0.2">
      <c r="A134" s="95">
        <v>126</v>
      </c>
      <c r="B134" s="95">
        <v>10</v>
      </c>
      <c r="C134" s="95">
        <v>6</v>
      </c>
      <c r="D134" s="95"/>
      <c r="E134" s="95">
        <v>291.03149318448891</v>
      </c>
      <c r="F134" s="95">
        <v>1306.5012388207431</v>
      </c>
      <c r="G134" s="95">
        <v>1223.0813301560136</v>
      </c>
      <c r="H134" s="95">
        <v>1431.7654009865464</v>
      </c>
      <c r="I134" s="95">
        <v>2021.5413908060702</v>
      </c>
      <c r="J134" s="95">
        <v>77.889381034115942</v>
      </c>
      <c r="K134" s="95">
        <v>222.07445266663416</v>
      </c>
      <c r="L134" s="95">
        <v>99.831770859591302</v>
      </c>
      <c r="M134" s="95">
        <v>573.5390523725132</v>
      </c>
      <c r="N134" s="95">
        <v>2752.7444891132868</v>
      </c>
      <c r="O134" s="95">
        <v>10000.000000000004</v>
      </c>
      <c r="Q134" s="98">
        <v>573.5390523725132</v>
      </c>
      <c r="R134" s="95">
        <v>786.58501062190248</v>
      </c>
      <c r="S134" s="99">
        <v>420.53807372502661</v>
      </c>
      <c r="U134" s="121">
        <v>81728.302799230398</v>
      </c>
      <c r="V134" s="59">
        <v>366323.38776349515</v>
      </c>
      <c r="W134" s="59">
        <v>342661.42228944344</v>
      </c>
      <c r="X134" s="59">
        <v>825507.89464876277</v>
      </c>
      <c r="Y134" s="59">
        <v>1355504.219594409</v>
      </c>
      <c r="Z134" s="59">
        <v>2237243.2176780463</v>
      </c>
      <c r="AA134" s="59">
        <v>1368067.8995133429</v>
      </c>
      <c r="AB134" s="59">
        <v>6577036.3442867296</v>
      </c>
      <c r="AC134" s="59">
        <v>637973349.8211714</v>
      </c>
      <c r="AD134" s="68">
        <v>6577036.3442867296</v>
      </c>
    </row>
    <row r="135" spans="1:30" x14ac:dyDescent="0.2">
      <c r="A135" s="95">
        <v>127</v>
      </c>
      <c r="B135" s="95">
        <v>10</v>
      </c>
      <c r="C135" s="95">
        <v>7</v>
      </c>
      <c r="D135" s="95"/>
      <c r="E135" s="95">
        <v>286.61751553785751</v>
      </c>
      <c r="F135" s="95">
        <v>1293.0075303940325</v>
      </c>
      <c r="G135" s="95">
        <v>1213.4798767577554</v>
      </c>
      <c r="H135" s="95">
        <v>1422.4004194898928</v>
      </c>
      <c r="I135" s="95">
        <v>2015.5032993393472</v>
      </c>
      <c r="J135" s="95">
        <v>77.636234970357236</v>
      </c>
      <c r="K135" s="95">
        <v>222.31899192308992</v>
      </c>
      <c r="L135" s="95">
        <v>99.796928267926063</v>
      </c>
      <c r="M135" s="95">
        <v>580.34541672283967</v>
      </c>
      <c r="N135" s="95">
        <v>2788.8937865969056</v>
      </c>
      <c r="O135" s="95">
        <v>10000.000000000004</v>
      </c>
      <c r="Q135" s="98">
        <v>580.34541672283967</v>
      </c>
      <c r="R135" s="95">
        <v>793.15502014202218</v>
      </c>
      <c r="S135" s="99">
        <v>424.59633373860459</v>
      </c>
      <c r="U135" s="121">
        <v>80911.019771238105</v>
      </c>
      <c r="V135" s="59">
        <v>364433.86720552196</v>
      </c>
      <c r="W135" s="59">
        <v>341743.93337430136</v>
      </c>
      <c r="X135" s="59">
        <v>824376.40201514121</v>
      </c>
      <c r="Y135" s="59">
        <v>1358469.4280410747</v>
      </c>
      <c r="Z135" s="59">
        <v>2248805.388785508</v>
      </c>
      <c r="AA135" s="59">
        <v>1374691.7205294929</v>
      </c>
      <c r="AB135" s="59">
        <v>6593431.7597222785</v>
      </c>
      <c r="AC135" s="59">
        <v>644566781.58089364</v>
      </c>
      <c r="AD135" s="68">
        <v>6593431.7597222785</v>
      </c>
    </row>
    <row r="136" spans="1:30" x14ac:dyDescent="0.2">
      <c r="A136" s="95">
        <v>128</v>
      </c>
      <c r="B136" s="95">
        <v>10</v>
      </c>
      <c r="C136" s="95">
        <v>8</v>
      </c>
      <c r="D136" s="95"/>
      <c r="E136" s="95">
        <v>282.27048321886667</v>
      </c>
      <c r="F136" s="95">
        <v>1279.6394570406012</v>
      </c>
      <c r="G136" s="95">
        <v>1203.9308653313644</v>
      </c>
      <c r="H136" s="95">
        <v>1413.0806785968311</v>
      </c>
      <c r="I136" s="95">
        <v>2009.434054284246</v>
      </c>
      <c r="J136" s="95">
        <v>77.371764472442422</v>
      </c>
      <c r="K136" s="95">
        <v>222.55688422412265</v>
      </c>
      <c r="L136" s="95">
        <v>99.756421010566527</v>
      </c>
      <c r="M136" s="95">
        <v>587.14898424203932</v>
      </c>
      <c r="N136" s="95">
        <v>2824.8104075789238</v>
      </c>
      <c r="O136" s="95">
        <v>10000.000000000004</v>
      </c>
      <c r="Q136" s="98">
        <v>587.14898424203932</v>
      </c>
      <c r="R136" s="95">
        <v>799.70540586487505</v>
      </c>
      <c r="S136" s="99">
        <v>428.64750054023</v>
      </c>
      <c r="U136" s="121">
        <v>80101.909573525729</v>
      </c>
      <c r="V136" s="59">
        <v>362550.23462211771</v>
      </c>
      <c r="W136" s="59">
        <v>340822.46461658721</v>
      </c>
      <c r="X136" s="59">
        <v>823237.24053913844</v>
      </c>
      <c r="Y136" s="59">
        <v>1361408.0641681342</v>
      </c>
      <c r="Z136" s="59">
        <v>2260289.9499434917</v>
      </c>
      <c r="AA136" s="59">
        <v>1381269.4000247081</v>
      </c>
      <c r="AB136" s="59">
        <v>6609679.2634877032</v>
      </c>
      <c r="AC136" s="59">
        <v>651176460.84438133</v>
      </c>
      <c r="AD136" s="68">
        <v>6609679.2634877032</v>
      </c>
    </row>
    <row r="137" spans="1:30" x14ac:dyDescent="0.2">
      <c r="A137" s="95">
        <v>129</v>
      </c>
      <c r="B137" s="95">
        <v>10</v>
      </c>
      <c r="C137" s="95">
        <v>9</v>
      </c>
      <c r="D137" s="95"/>
      <c r="E137" s="95">
        <v>277.98938089004719</v>
      </c>
      <c r="F137" s="95">
        <v>1266.3961010389776</v>
      </c>
      <c r="G137" s="95">
        <v>1194.4343773115436</v>
      </c>
      <c r="H137" s="95">
        <v>1403.8060203479758</v>
      </c>
      <c r="I137" s="95">
        <v>2003.3343993102203</v>
      </c>
      <c r="J137" s="95">
        <v>77.096292528171375</v>
      </c>
      <c r="K137" s="95">
        <v>222.78813830784003</v>
      </c>
      <c r="L137" s="95">
        <v>99.710343155078789</v>
      </c>
      <c r="M137" s="95">
        <v>593.94931957025585</v>
      </c>
      <c r="N137" s="95">
        <v>2860.4956275398936</v>
      </c>
      <c r="O137" s="95">
        <v>10000.000000000004</v>
      </c>
      <c r="Q137" s="98">
        <v>593.94931957025585</v>
      </c>
      <c r="R137" s="95">
        <v>806.2360665412989</v>
      </c>
      <c r="S137" s="99">
        <v>432.69143594617549</v>
      </c>
      <c r="U137" s="121">
        <v>79300.890477790468</v>
      </c>
      <c r="V137" s="59">
        <v>360672.52651989739</v>
      </c>
      <c r="W137" s="59">
        <v>339897.09851617384</v>
      </c>
      <c r="X137" s="59">
        <v>822090.40433217271</v>
      </c>
      <c r="Y137" s="59">
        <v>1364320.1656687511</v>
      </c>
      <c r="Z137" s="59">
        <v>2271697.2126554078</v>
      </c>
      <c r="AA137" s="59">
        <v>1387801.1488409205</v>
      </c>
      <c r="AB137" s="59">
        <v>6625779.4470111141</v>
      </c>
      <c r="AC137" s="59">
        <v>657802240.29139245</v>
      </c>
      <c r="AD137" s="68">
        <v>6625779.4470111141</v>
      </c>
    </row>
    <row r="138" spans="1:30" x14ac:dyDescent="0.2">
      <c r="A138" s="95">
        <v>130</v>
      </c>
      <c r="B138" s="95">
        <v>10</v>
      </c>
      <c r="C138" s="95">
        <v>10</v>
      </c>
      <c r="D138" s="95"/>
      <c r="E138" s="95">
        <v>273.77320861321482</v>
      </c>
      <c r="F138" s="95">
        <v>1253.2765462396683</v>
      </c>
      <c r="G138" s="95">
        <v>1184.9904863770166</v>
      </c>
      <c r="H138" s="95">
        <v>1394.5762899808426</v>
      </c>
      <c r="I138" s="95">
        <v>1997.2050692470336</v>
      </c>
      <c r="J138" s="95">
        <v>76.810134900360325</v>
      </c>
      <c r="K138" s="95">
        <v>223.0127638974264</v>
      </c>
      <c r="L138" s="95">
        <v>99.658787659653214</v>
      </c>
      <c r="M138" s="95">
        <v>600.74599567507448</v>
      </c>
      <c r="N138" s="95">
        <v>2895.9507174097134</v>
      </c>
      <c r="O138" s="95">
        <v>10000.000000000004</v>
      </c>
      <c r="Q138" s="98">
        <v>600.74599567507448</v>
      </c>
      <c r="R138" s="95">
        <v>812.7469033390571</v>
      </c>
      <c r="S138" s="99">
        <v>436.72800452010813</v>
      </c>
      <c r="U138" s="121">
        <v>78507.881573012564</v>
      </c>
      <c r="V138" s="59">
        <v>358800.77834090998</v>
      </c>
      <c r="W138" s="59">
        <v>338967.91698589904</v>
      </c>
      <c r="X138" s="59">
        <v>820935.88926258427</v>
      </c>
      <c r="Y138" s="59">
        <v>1367205.7699939115</v>
      </c>
      <c r="Z138" s="59">
        <v>2283027.4846035186</v>
      </c>
      <c r="AA138" s="59">
        <v>1394287.1744099739</v>
      </c>
      <c r="AB138" s="59">
        <v>6641732.8951698095</v>
      </c>
      <c r="AC138" s="59">
        <v>664443973.1865623</v>
      </c>
      <c r="AD138" s="68">
        <v>6641732.8951698095</v>
      </c>
    </row>
    <row r="139" spans="1:30" x14ac:dyDescent="0.2">
      <c r="A139" s="95">
        <v>131</v>
      </c>
      <c r="B139" s="95">
        <v>10</v>
      </c>
      <c r="C139" s="95">
        <v>11</v>
      </c>
      <c r="D139" s="95"/>
      <c r="E139" s="95">
        <v>269.62098161591439</v>
      </c>
      <c r="F139" s="95">
        <v>1240.2798781956512</v>
      </c>
      <c r="G139" s="95">
        <v>1175.5992585812353</v>
      </c>
      <c r="H139" s="95">
        <v>1385.3913358040684</v>
      </c>
      <c r="I139" s="95">
        <v>1991.046790202586</v>
      </c>
      <c r="J139" s="95">
        <v>76.51360029688486</v>
      </c>
      <c r="K139" s="95">
        <v>223.23077167191445</v>
      </c>
      <c r="L139" s="95">
        <v>99.601846372916427</v>
      </c>
      <c r="M139" s="95">
        <v>607.53859371166197</v>
      </c>
      <c r="N139" s="95">
        <v>2931.176943547171</v>
      </c>
      <c r="O139" s="95">
        <v>10000.000000000004</v>
      </c>
      <c r="Q139" s="98">
        <v>607.53859371166197</v>
      </c>
      <c r="R139" s="95">
        <v>819.23781981410991</v>
      </c>
      <c r="S139" s="99">
        <v>440.75707352741711</v>
      </c>
      <c r="U139" s="121">
        <v>77722.802757282436</v>
      </c>
      <c r="V139" s="59">
        <v>356935.02447841346</v>
      </c>
      <c r="W139" s="59">
        <v>338035.00135004165</v>
      </c>
      <c r="X139" s="59">
        <v>819773.6929261263</v>
      </c>
      <c r="Y139" s="59">
        <v>1370064.914373331</v>
      </c>
      <c r="Z139" s="59">
        <v>2294281.0697052623</v>
      </c>
      <c r="AA139" s="59">
        <v>1400727.680830223</v>
      </c>
      <c r="AB139" s="59">
        <v>6657540.18642068</v>
      </c>
      <c r="AC139" s="59">
        <v>671101513.37298298</v>
      </c>
      <c r="AD139" s="68">
        <v>6657540.18642068</v>
      </c>
    </row>
    <row r="140" spans="1:30" x14ac:dyDescent="0.2">
      <c r="A140" s="95">
        <v>132</v>
      </c>
      <c r="B140" s="95">
        <v>11</v>
      </c>
      <c r="C140" s="95">
        <v>0</v>
      </c>
      <c r="D140" s="95"/>
      <c r="E140" s="95">
        <v>265.53173006140634</v>
      </c>
      <c r="F140" s="95">
        <v>1227.4051842889608</v>
      </c>
      <c r="G140" s="95">
        <v>1166.2607524819937</v>
      </c>
      <c r="H140" s="95">
        <v>1376.251009074836</v>
      </c>
      <c r="I140" s="95">
        <v>1984.8602796783666</v>
      </c>
      <c r="J140" s="95">
        <v>76.394273614998099</v>
      </c>
      <c r="K140" s="95">
        <v>223.25489015919814</v>
      </c>
      <c r="L140" s="95">
        <v>99.539610034686405</v>
      </c>
      <c r="M140" s="95">
        <v>614.32670288520558</v>
      </c>
      <c r="N140" s="95">
        <v>2966.1755677203523</v>
      </c>
      <c r="O140" s="95">
        <v>10000.000000000004</v>
      </c>
      <c r="Q140" s="98">
        <v>614.32670288520558</v>
      </c>
      <c r="R140" s="95">
        <v>825.70872188226826</v>
      </c>
      <c r="S140" s="99">
        <v>444.77851289047663</v>
      </c>
      <c r="U140" s="121">
        <v>76945.574729709595</v>
      </c>
      <c r="V140" s="59">
        <v>355075.29829245526</v>
      </c>
      <c r="W140" s="59">
        <v>337098.43234292581</v>
      </c>
      <c r="X140" s="59">
        <v>818603.81461671763</v>
      </c>
      <c r="Y140" s="59">
        <v>1372897.6358359263</v>
      </c>
      <c r="Z140" s="59">
        <v>2305458.2681693048</v>
      </c>
      <c r="AA140" s="59">
        <v>1407122.8689414747</v>
      </c>
      <c r="AB140" s="59">
        <v>6673201.8929285137</v>
      </c>
      <c r="AC140" s="59">
        <v>677774715.26591146</v>
      </c>
      <c r="AD140" s="68">
        <v>6673201.8929285137</v>
      </c>
    </row>
    <row r="141" spans="1:30" x14ac:dyDescent="0.2">
      <c r="A141" s="95">
        <v>133</v>
      </c>
      <c r="B141" s="95">
        <v>11</v>
      </c>
      <c r="C141" s="95">
        <v>1</v>
      </c>
      <c r="D141" s="95"/>
      <c r="E141" s="95">
        <v>261.50449882214167</v>
      </c>
      <c r="F141" s="95">
        <v>1214.6515538534475</v>
      </c>
      <c r="G141" s="95">
        <v>1156.975019269943</v>
      </c>
      <c r="H141" s="95">
        <v>1367.1551638794438</v>
      </c>
      <c r="I141" s="95">
        <v>1978.646246682586</v>
      </c>
      <c r="J141" s="95">
        <v>76.260161244223227</v>
      </c>
      <c r="K141" s="95">
        <v>223.27632808245036</v>
      </c>
      <c r="L141" s="95">
        <v>99.47216827760947</v>
      </c>
      <c r="M141" s="95">
        <v>621.11101280025321</v>
      </c>
      <c r="N141" s="95">
        <v>3000.9478470879053</v>
      </c>
      <c r="O141" s="95">
        <v>10000.000000000004</v>
      </c>
      <c r="Q141" s="98">
        <v>621.11101280025321</v>
      </c>
      <c r="R141" s="95">
        <v>832.15951779122292</v>
      </c>
      <c r="S141" s="99">
        <v>448.79219514482185</v>
      </c>
      <c r="U141" s="121">
        <v>76176.118982412503</v>
      </c>
      <c r="V141" s="59">
        <v>353221.63212525856</v>
      </c>
      <c r="W141" s="59">
        <v>336158.29010764905</v>
      </c>
      <c r="X141" s="59">
        <v>817426.25529745617</v>
      </c>
      <c r="Y141" s="59">
        <v>1375703.9712298664</v>
      </c>
      <c r="Z141" s="59">
        <v>2316559.0953803034</v>
      </c>
      <c r="AA141" s="59">
        <v>1413472.9363983169</v>
      </c>
      <c r="AB141" s="59">
        <v>6688718.2995212628</v>
      </c>
      <c r="AC141" s="59">
        <v>684463433.56543267</v>
      </c>
      <c r="AD141" s="68">
        <v>6688718.2995212628</v>
      </c>
    </row>
    <row r="142" spans="1:30" x14ac:dyDescent="0.2">
      <c r="A142" s="95">
        <v>134</v>
      </c>
      <c r="B142" s="95">
        <v>11</v>
      </c>
      <c r="C142" s="95">
        <v>2</v>
      </c>
      <c r="D142" s="95"/>
      <c r="E142" s="95">
        <v>257.53834725667252</v>
      </c>
      <c r="F142" s="95">
        <v>1202.0180782937953</v>
      </c>
      <c r="G142" s="95">
        <v>1147.7421028959934</v>
      </c>
      <c r="H142" s="95">
        <v>1358.1036570169615</v>
      </c>
      <c r="I142" s="95">
        <v>1972.4053918410418</v>
      </c>
      <c r="J142" s="95">
        <v>76.12236397905383</v>
      </c>
      <c r="K142" s="95">
        <v>223.28433805166063</v>
      </c>
      <c r="L142" s="95">
        <v>99.399603438874976</v>
      </c>
      <c r="M142" s="95">
        <v>627.8910889624384</v>
      </c>
      <c r="N142" s="95">
        <v>3035.4950282635109</v>
      </c>
      <c r="O142" s="95">
        <v>10000.000000000004</v>
      </c>
      <c r="Q142" s="98">
        <v>627.8910889624384</v>
      </c>
      <c r="R142" s="95">
        <v>838.59011809294134</v>
      </c>
      <c r="S142" s="99">
        <v>452.79798920546932</v>
      </c>
      <c r="U142" s="121">
        <v>75414.357792588387</v>
      </c>
      <c r="V142" s="59">
        <v>351374.0573164185</v>
      </c>
      <c r="W142" s="59">
        <v>335214.6541949329</v>
      </c>
      <c r="X142" s="59">
        <v>816241.01757189422</v>
      </c>
      <c r="Y142" s="59">
        <v>1378483.9572422011</v>
      </c>
      <c r="Z142" s="59">
        <v>2327583.8538244064</v>
      </c>
      <c r="AA142" s="59">
        <v>1419778.0748119832</v>
      </c>
      <c r="AB142" s="59">
        <v>6704089.9727544244</v>
      </c>
      <c r="AC142" s="59">
        <v>691167523.53818715</v>
      </c>
      <c r="AD142" s="68">
        <v>6704089.9727544244</v>
      </c>
    </row>
    <row r="143" spans="1:30" x14ac:dyDescent="0.2">
      <c r="A143" s="95">
        <v>135</v>
      </c>
      <c r="B143" s="95">
        <v>11</v>
      </c>
      <c r="C143" s="95">
        <v>3</v>
      </c>
      <c r="D143" s="95"/>
      <c r="E143" s="95">
        <v>253.63234898994634</v>
      </c>
      <c r="F143" s="95">
        <v>1189.5038512008755</v>
      </c>
      <c r="G143" s="95">
        <v>1138.5620401975946</v>
      </c>
      <c r="H143" s="95">
        <v>1349.0963478859155</v>
      </c>
      <c r="I143" s="95">
        <v>1966.1384075057688</v>
      </c>
      <c r="J143" s="95">
        <v>75.980971094863662</v>
      </c>
      <c r="K143" s="95">
        <v>223.27911450299595</v>
      </c>
      <c r="L143" s="95">
        <v>99.321997299869693</v>
      </c>
      <c r="M143" s="95">
        <v>634.66656786030285</v>
      </c>
      <c r="N143" s="95">
        <v>3069.8183534618702</v>
      </c>
      <c r="O143" s="95">
        <v>10000.000000000004</v>
      </c>
      <c r="Q143" s="98">
        <v>634.66656786030285</v>
      </c>
      <c r="R143" s="95">
        <v>845.00043561642474</v>
      </c>
      <c r="S143" s="99">
        <v>456.79576680745794</v>
      </c>
      <c r="U143" s="121">
        <v>74660.214214662497</v>
      </c>
      <c r="V143" s="59">
        <v>349532.60421790916</v>
      </c>
      <c r="W143" s="59">
        <v>334267.60356209282</v>
      </c>
      <c r="X143" s="59">
        <v>815048.10565557447</v>
      </c>
      <c r="Y143" s="59">
        <v>1381237.6304180762</v>
      </c>
      <c r="Z143" s="59">
        <v>2338532.8246494434</v>
      </c>
      <c r="AA143" s="59">
        <v>1426038.4729547568</v>
      </c>
      <c r="AB143" s="59">
        <v>6719317.4556725156</v>
      </c>
      <c r="AC143" s="59">
        <v>697886840.99385965</v>
      </c>
      <c r="AD143" s="68">
        <v>6719317.4556725156</v>
      </c>
    </row>
    <row r="144" spans="1:30" x14ac:dyDescent="0.2">
      <c r="A144" s="95">
        <v>136</v>
      </c>
      <c r="B144" s="95">
        <v>11</v>
      </c>
      <c r="C144" s="95">
        <v>4</v>
      </c>
      <c r="D144" s="95"/>
      <c r="E144" s="95">
        <v>249.78559169693216</v>
      </c>
      <c r="F144" s="95">
        <v>1177.1079684635165</v>
      </c>
      <c r="G144" s="95">
        <v>1129.4348610238878</v>
      </c>
      <c r="H144" s="95">
        <v>1340.1330983739456</v>
      </c>
      <c r="I144" s="95">
        <v>1959.8459778615259</v>
      </c>
      <c r="J144" s="95">
        <v>75.836069994201281</v>
      </c>
      <c r="K144" s="95">
        <v>223.26084968237575</v>
      </c>
      <c r="L144" s="95">
        <v>99.239430704386308</v>
      </c>
      <c r="M144" s="95">
        <v>641.4370920611899</v>
      </c>
      <c r="N144" s="95">
        <v>3103.9190601380415</v>
      </c>
      <c r="O144" s="95">
        <v>10000.000000000002</v>
      </c>
      <c r="Q144" s="98">
        <v>641.4370920611899</v>
      </c>
      <c r="R144" s="95">
        <v>851.39038544081848</v>
      </c>
      <c r="S144" s="99">
        <v>460.7854021012692</v>
      </c>
      <c r="U144" s="121">
        <v>73913.612072515883</v>
      </c>
      <c r="V144" s="59">
        <v>347697.30220890412</v>
      </c>
      <c r="W144" s="59">
        <v>333317.21657212486</v>
      </c>
      <c r="X144" s="59">
        <v>813847.52534782735</v>
      </c>
      <c r="Y144" s="59">
        <v>1383965.0271795392</v>
      </c>
      <c r="Z144" s="59">
        <v>2349406.2858255338</v>
      </c>
      <c r="AA144" s="59">
        <v>1432254.3166359602</v>
      </c>
      <c r="AB144" s="59">
        <v>6734401.2858424056</v>
      </c>
      <c r="AC144" s="59">
        <v>704621242.27970207</v>
      </c>
      <c r="AD144" s="68">
        <v>6734401.2858424056</v>
      </c>
    </row>
    <row r="145" spans="1:30" x14ac:dyDescent="0.2">
      <c r="A145" s="95">
        <v>137</v>
      </c>
      <c r="B145" s="95">
        <v>11</v>
      </c>
      <c r="C145" s="95">
        <v>5</v>
      </c>
      <c r="D145" s="95"/>
      <c r="E145" s="95">
        <v>245.99717688952867</v>
      </c>
      <c r="F145" s="95">
        <v>1164.8295283767677</v>
      </c>
      <c r="G145" s="95">
        <v>1120.3605883597195</v>
      </c>
      <c r="H145" s="95">
        <v>1331.2137727503775</v>
      </c>
      <c r="I145" s="95">
        <v>1953.5287790301691</v>
      </c>
      <c r="J145" s="95">
        <v>75.687746250779398</v>
      </c>
      <c r="K145" s="95">
        <v>223.22973366881797</v>
      </c>
      <c r="L145" s="95">
        <v>99.151983564512193</v>
      </c>
      <c r="M145" s="95">
        <v>648.20231012903525</v>
      </c>
      <c r="N145" s="95">
        <v>3137.7983809802959</v>
      </c>
      <c r="O145" s="95">
        <v>10000.000000000004</v>
      </c>
      <c r="Q145" s="98">
        <v>648.20231012903525</v>
      </c>
      <c r="R145" s="95">
        <v>857.75988486886843</v>
      </c>
      <c r="S145" s="99">
        <v>464.76677162027494</v>
      </c>
      <c r="U145" s="121">
        <v>73174.475951790722</v>
      </c>
      <c r="V145" s="59">
        <v>345868.17971041251</v>
      </c>
      <c r="W145" s="59">
        <v>332363.57099290704</v>
      </c>
      <c r="X145" s="59">
        <v>812639.28400382865</v>
      </c>
      <c r="Y145" s="59">
        <v>1386666.1838439375</v>
      </c>
      <c r="Z145" s="59">
        <v>2360204.5121920756</v>
      </c>
      <c r="AA145" s="59">
        <v>1438425.7887720815</v>
      </c>
      <c r="AB145" s="59">
        <v>6749341.9954670332</v>
      </c>
      <c r="AC145" s="59">
        <v>711370584.27516913</v>
      </c>
      <c r="AD145" s="68">
        <v>6749341.9954670332</v>
      </c>
    </row>
    <row r="146" spans="1:30" x14ac:dyDescent="0.2">
      <c r="A146" s="95">
        <v>138</v>
      </c>
      <c r="B146" s="95">
        <v>11</v>
      </c>
      <c r="C146" s="95">
        <v>6</v>
      </c>
      <c r="D146" s="95"/>
      <c r="E146" s="95">
        <v>242.26621970670416</v>
      </c>
      <c r="F146" s="95">
        <v>1152.6676317467311</v>
      </c>
      <c r="G146" s="95">
        <v>1111.3392384485091</v>
      </c>
      <c r="H146" s="95">
        <v>1322.3382375616566</v>
      </c>
      <c r="I146" s="95">
        <v>1947.1874791729595</v>
      </c>
      <c r="J146" s="95">
        <v>75.536083652352019</v>
      </c>
      <c r="K146" s="95">
        <v>223.1859543976054</v>
      </c>
      <c r="L146" s="95">
        <v>99.059734866780104</v>
      </c>
      <c r="M146" s="95">
        <v>654.96187654325161</v>
      </c>
      <c r="N146" s="95">
        <v>3171.4575439034534</v>
      </c>
      <c r="O146" s="95">
        <v>10000.000000000004</v>
      </c>
      <c r="Q146" s="98">
        <v>654.96187654325161</v>
      </c>
      <c r="R146" s="95">
        <v>864.1088534007165</v>
      </c>
      <c r="S146" s="99">
        <v>468.73975424868786</v>
      </c>
      <c r="U146" s="121">
        <v>72442.731192272811</v>
      </c>
      <c r="V146" s="59">
        <v>344045.2641997328</v>
      </c>
      <c r="W146" s="59">
        <v>331406.7439965118</v>
      </c>
      <c r="X146" s="59">
        <v>811423.39050691912</v>
      </c>
      <c r="Y146" s="59">
        <v>1389341.1366419184</v>
      </c>
      <c r="Z146" s="59">
        <v>2370927.7755045881</v>
      </c>
      <c r="AA146" s="59">
        <v>1444553.0694553105</v>
      </c>
      <c r="AB146" s="59">
        <v>6764140.1114972532</v>
      </c>
      <c r="AC146" s="59">
        <v>718134724.38666642</v>
      </c>
      <c r="AD146" s="68">
        <v>6764140.1114972532</v>
      </c>
    </row>
    <row r="147" spans="1:30" x14ac:dyDescent="0.2">
      <c r="A147" s="95">
        <v>139</v>
      </c>
      <c r="B147" s="95">
        <v>11</v>
      </c>
      <c r="C147" s="95">
        <v>7</v>
      </c>
      <c r="D147" s="95"/>
      <c r="E147" s="95">
        <v>238.59184870781914</v>
      </c>
      <c r="F147" s="95">
        <v>1140.6213819920374</v>
      </c>
      <c r="G147" s="95">
        <v>1102.3708209139672</v>
      </c>
      <c r="H147" s="95">
        <v>1313.5063615295867</v>
      </c>
      <c r="I147" s="95">
        <v>1940.8227385908547</v>
      </c>
      <c r="J147" s="95">
        <v>75.381164242507879</v>
      </c>
      <c r="K147" s="95">
        <v>223.12969768326963</v>
      </c>
      <c r="L147" s="95">
        <v>98.962762678560338</v>
      </c>
      <c r="M147" s="95">
        <v>661.71545161869949</v>
      </c>
      <c r="N147" s="95">
        <v>3204.8977720427001</v>
      </c>
      <c r="O147" s="95">
        <v>10000.000000000002</v>
      </c>
      <c r="Q147" s="98">
        <v>661.71545161869949</v>
      </c>
      <c r="R147" s="95">
        <v>870.4372127080286</v>
      </c>
      <c r="S147" s="99">
        <v>472.70423119000606</v>
      </c>
      <c r="U147" s="121">
        <v>71718.303880350082</v>
      </c>
      <c r="V147" s="59">
        <v>342228.58222472609</v>
      </c>
      <c r="W147" s="59">
        <v>330446.81215862901</v>
      </c>
      <c r="X147" s="59">
        <v>810199.85524118308</v>
      </c>
      <c r="Y147" s="59">
        <v>1391989.9217350327</v>
      </c>
      <c r="Z147" s="59">
        <v>2381576.3444813951</v>
      </c>
      <c r="AA147" s="59">
        <v>1450636.3360205428</v>
      </c>
      <c r="AB147" s="59">
        <v>6778796.1557418592</v>
      </c>
      <c r="AC147" s="59">
        <v>724913520.54240823</v>
      </c>
      <c r="AD147" s="68">
        <v>6778796.1557418592</v>
      </c>
    </row>
    <row r="148" spans="1:30" x14ac:dyDescent="0.2">
      <c r="A148" s="95">
        <v>140</v>
      </c>
      <c r="B148" s="95">
        <v>11</v>
      </c>
      <c r="C148" s="95">
        <v>8</v>
      </c>
      <c r="D148" s="95"/>
      <c r="E148" s="95">
        <v>234.97320566908388</v>
      </c>
      <c r="F148" s="95">
        <v>1128.6898852420381</v>
      </c>
      <c r="G148" s="95">
        <v>1093.4553388806539</v>
      </c>
      <c r="H148" s="95">
        <v>1304.7180154523217</v>
      </c>
      <c r="I148" s="95">
        <v>1934.4352098228305</v>
      </c>
      <c r="J148" s="95">
        <v>75.223068361408096</v>
      </c>
      <c r="K148" s="95">
        <v>223.06114724239043</v>
      </c>
      <c r="L148" s="95">
        <v>98.861144154674761</v>
      </c>
      <c r="M148" s="95">
        <v>668.46270142673347</v>
      </c>
      <c r="N148" s="95">
        <v>3238.1202837478672</v>
      </c>
      <c r="O148" s="95">
        <v>10000.000000000002</v>
      </c>
      <c r="Q148" s="98">
        <v>668.46270142673347</v>
      </c>
      <c r="R148" s="95">
        <v>876.74488660844884</v>
      </c>
      <c r="S148" s="99">
        <v>476.66008593594148</v>
      </c>
      <c r="U148" s="121">
        <v>71001.120841546595</v>
      </c>
      <c r="V148" s="59">
        <v>340418.15941791149</v>
      </c>
      <c r="W148" s="59">
        <v>329483.8514580949</v>
      </c>
      <c r="X148" s="59">
        <v>808968.69006428763</v>
      </c>
      <c r="Y148" s="59">
        <v>1394612.5752329479</v>
      </c>
      <c r="Z148" s="59">
        <v>2392150.4848501389</v>
      </c>
      <c r="AA148" s="59">
        <v>1456675.7631108838</v>
      </c>
      <c r="AB148" s="59">
        <v>6793310.6449758112</v>
      </c>
      <c r="AC148" s="59">
        <v>731706831.18738401</v>
      </c>
      <c r="AD148" s="68">
        <v>6793310.6449758112</v>
      </c>
    </row>
    <row r="149" spans="1:30" x14ac:dyDescent="0.2">
      <c r="A149" s="95">
        <v>141</v>
      </c>
      <c r="B149" s="95">
        <v>11</v>
      </c>
      <c r="C149" s="95">
        <v>9</v>
      </c>
      <c r="D149" s="95"/>
      <c r="E149" s="95">
        <v>231.40944538310276</v>
      </c>
      <c r="F149" s="95">
        <v>1116.8722504317861</v>
      </c>
      <c r="G149" s="95">
        <v>1084.5927890933749</v>
      </c>
      <c r="H149" s="95">
        <v>1295.9730721080557</v>
      </c>
      <c r="I149" s="95">
        <v>1928.0255377422784</v>
      </c>
      <c r="J149" s="95">
        <v>75.061874685495027</v>
      </c>
      <c r="K149" s="95">
        <v>222.98048471620859</v>
      </c>
      <c r="L149" s="95">
        <v>98.754955544214596</v>
      </c>
      <c r="M149" s="95">
        <v>675.20329771731429</v>
      </c>
      <c r="N149" s="95">
        <v>3271.1262925781712</v>
      </c>
      <c r="O149" s="95">
        <v>10000.000000000002</v>
      </c>
      <c r="Q149" s="98">
        <v>675.20329771731429</v>
      </c>
      <c r="R149" s="95">
        <v>883.03180104037301</v>
      </c>
      <c r="S149" s="99">
        <v>480.60720423582296</v>
      </c>
      <c r="U149" s="121">
        <v>70291.109633131127</v>
      </c>
      <c r="V149" s="59">
        <v>338614.02051038528</v>
      </c>
      <c r="W149" s="59">
        <v>328517.9372765263</v>
      </c>
      <c r="X149" s="59">
        <v>807729.90828058147</v>
      </c>
      <c r="Y149" s="59">
        <v>1397209.1332102749</v>
      </c>
      <c r="Z149" s="59">
        <v>2402650.4593941169</v>
      </c>
      <c r="AA149" s="59">
        <v>1462671.522741704</v>
      </c>
      <c r="AB149" s="59">
        <v>6807684.0910467198</v>
      </c>
      <c r="AC149" s="59">
        <v>738514515.2784307</v>
      </c>
      <c r="AD149" s="68">
        <v>6807684.0910467198</v>
      </c>
    </row>
    <row r="150" spans="1:30" x14ac:dyDescent="0.2">
      <c r="A150" s="95">
        <v>142</v>
      </c>
      <c r="B150" s="95">
        <v>11</v>
      </c>
      <c r="C150" s="95">
        <v>10</v>
      </c>
      <c r="D150" s="95"/>
      <c r="E150" s="95">
        <v>227.89973546145904</v>
      </c>
      <c r="F150" s="95">
        <v>1105.1675893938741</v>
      </c>
      <c r="G150" s="95">
        <v>1075.7831620354104</v>
      </c>
      <c r="H150" s="95">
        <v>1287.2714061613597</v>
      </c>
      <c r="I150" s="95">
        <v>1921.594359651524</v>
      </c>
      <c r="J150" s="95">
        <v>74.897660266198812</v>
      </c>
      <c r="K150" s="95">
        <v>222.88788969305037</v>
      </c>
      <c r="L150" s="95">
        <v>98.644272197544112</v>
      </c>
      <c r="M150" s="95">
        <v>681.93691784217719</v>
      </c>
      <c r="N150" s="95">
        <v>3303.9170072974039</v>
      </c>
      <c r="O150" s="95">
        <v>10000.000000000002</v>
      </c>
      <c r="Q150" s="98">
        <v>681.93691784217719</v>
      </c>
      <c r="R150" s="95">
        <v>889.29788403803536</v>
      </c>
      <c r="S150" s="99">
        <v>484.54547406646526</v>
      </c>
      <c r="U150" s="121">
        <v>69588.198536799813</v>
      </c>
      <c r="V150" s="59">
        <v>336816.18934556545</v>
      </c>
      <c r="W150" s="59">
        <v>327549.14439805713</v>
      </c>
      <c r="X150" s="59">
        <v>806483.52461445297</v>
      </c>
      <c r="Y150" s="59">
        <v>1399779.6317230132</v>
      </c>
      <c r="Z150" s="59">
        <v>2413076.5279984344</v>
      </c>
      <c r="AA150" s="59">
        <v>1468623.7843632824</v>
      </c>
      <c r="AB150" s="59">
        <v>6821917.0009796051</v>
      </c>
      <c r="AC150" s="59">
        <v>745336432.27941036</v>
      </c>
      <c r="AD150" s="68">
        <v>6821917.0009796051</v>
      </c>
    </row>
    <row r="151" spans="1:30" x14ac:dyDescent="0.2">
      <c r="A151" s="95">
        <v>143</v>
      </c>
      <c r="B151" s="95">
        <v>11</v>
      </c>
      <c r="C151" s="95">
        <v>11</v>
      </c>
      <c r="D151" s="95"/>
      <c r="E151" s="95">
        <v>224.44325614029358</v>
      </c>
      <c r="F151" s="95">
        <v>1093.5750169471999</v>
      </c>
      <c r="G151" s="95">
        <v>1067.0264420455712</v>
      </c>
      <c r="H151" s="95">
        <v>1278.6128940721132</v>
      </c>
      <c r="I151" s="95">
        <v>1915.1423053745104</v>
      </c>
      <c r="J151" s="95">
        <v>74.730500567667335</v>
      </c>
      <c r="K151" s="95">
        <v>222.78353973056178</v>
      </c>
      <c r="L151" s="95">
        <v>98.529168573473996</v>
      </c>
      <c r="M151" s="95">
        <v>688.66324467904565</v>
      </c>
      <c r="N151" s="95">
        <v>3336.4936318695645</v>
      </c>
      <c r="O151" s="95">
        <v>10000.000000000002</v>
      </c>
      <c r="Q151" s="98">
        <v>688.66324467904565</v>
      </c>
      <c r="R151" s="95">
        <v>895.54306570690278</v>
      </c>
      <c r="S151" s="99">
        <v>488.47478560249448</v>
      </c>
      <c r="U151" s="121">
        <v>68892.316551431824</v>
      </c>
      <c r="V151" s="59">
        <v>335024.68889276509</v>
      </c>
      <c r="W151" s="59">
        <v>326577.54700917477</v>
      </c>
      <c r="X151" s="59">
        <v>805229.55518394709</v>
      </c>
      <c r="Y151" s="59">
        <v>1402324.1068246216</v>
      </c>
      <c r="Z151" s="59">
        <v>2423428.9476959542</v>
      </c>
      <c r="AA151" s="59">
        <v>1474532.7149220777</v>
      </c>
      <c r="AB151" s="59">
        <v>6836009.8770799721</v>
      </c>
      <c r="AC151" s="59">
        <v>752172442.15649033</v>
      </c>
      <c r="AD151" s="68">
        <v>6836009.8770799721</v>
      </c>
    </row>
    <row r="152" spans="1:30" x14ac:dyDescent="0.2">
      <c r="A152" s="95">
        <v>144</v>
      </c>
      <c r="B152" s="95">
        <v>12</v>
      </c>
      <c r="C152" s="95">
        <v>0</v>
      </c>
      <c r="D152" s="95"/>
      <c r="E152" s="95">
        <v>221.03920008883247</v>
      </c>
      <c r="F152" s="95">
        <v>1082.0936509827277</v>
      </c>
      <c r="G152" s="95">
        <v>1058.322607434078</v>
      </c>
      <c r="H152" s="95">
        <v>1269.9974140069812</v>
      </c>
      <c r="I152" s="95">
        <v>1908.6699973476916</v>
      </c>
      <c r="J152" s="95">
        <v>74.560469503544709</v>
      </c>
      <c r="K152" s="95">
        <v>222.66761037775132</v>
      </c>
      <c r="L152" s="95">
        <v>98.409718246588454</v>
      </c>
      <c r="M152" s="95">
        <v>695.38196655688</v>
      </c>
      <c r="N152" s="95">
        <v>3368.8573654549264</v>
      </c>
      <c r="O152" s="95">
        <v>10000.000000000002</v>
      </c>
      <c r="Q152" s="98">
        <v>695.38196655688</v>
      </c>
      <c r="R152" s="95">
        <v>901.76727819936991</v>
      </c>
      <c r="S152" s="99">
        <v>492.39503118712139</v>
      </c>
      <c r="U152" s="121">
        <v>68203.393385917501</v>
      </c>
      <c r="V152" s="59">
        <v>333239.54126059462</v>
      </c>
      <c r="W152" s="59">
        <v>325603.2186986545</v>
      </c>
      <c r="X152" s="59">
        <v>803968.01747464028</v>
      </c>
      <c r="Y152" s="59">
        <v>1404842.5945817125</v>
      </c>
      <c r="Z152" s="59">
        <v>2433707.9727130439</v>
      </c>
      <c r="AA152" s="59">
        <v>1480398.4789206665</v>
      </c>
      <c r="AB152" s="59">
        <v>6849963.2170352302</v>
      </c>
      <c r="AC152" s="59">
        <v>759022405.3735255</v>
      </c>
      <c r="AD152" s="68">
        <v>6849963.2170352302</v>
      </c>
    </row>
    <row r="153" spans="1:30" x14ac:dyDescent="0.2">
      <c r="A153" s="95">
        <v>145</v>
      </c>
      <c r="B153" s="95">
        <v>12</v>
      </c>
      <c r="C153" s="95">
        <v>1</v>
      </c>
      <c r="D153" s="95"/>
      <c r="E153" s="95">
        <v>217.68677222081851</v>
      </c>
      <c r="F153" s="95">
        <v>1070.7226125463096</v>
      </c>
      <c r="G153" s="95">
        <v>1049.6716305972636</v>
      </c>
      <c r="H153" s="95">
        <v>1261.4248457533834</v>
      </c>
      <c r="I153" s="95">
        <v>1902.1780507091735</v>
      </c>
      <c r="J153" s="95">
        <v>74.387639472822684</v>
      </c>
      <c r="K153" s="95">
        <v>222.54027519683953</v>
      </c>
      <c r="L153" s="95">
        <v>98.285993914711312</v>
      </c>
      <c r="M153" s="95">
        <v>702.0927771821506</v>
      </c>
      <c r="N153" s="95">
        <v>3401.0094024065293</v>
      </c>
      <c r="O153" s="95">
        <v>10000.000000000002</v>
      </c>
      <c r="Q153" s="98">
        <v>702.0927771821506</v>
      </c>
      <c r="R153" s="95">
        <v>907.97045569074987</v>
      </c>
      <c r="S153" s="99">
        <v>496.3061053033544</v>
      </c>
      <c r="U153" s="121">
        <v>67521.359452058328</v>
      </c>
      <c r="V153" s="59">
        <v>331460.76771019626</v>
      </c>
      <c r="W153" s="59">
        <v>324626.23245758913</v>
      </c>
      <c r="X153" s="59">
        <v>802698.93031377334</v>
      </c>
      <c r="Y153" s="59">
        <v>1407335.1310893849</v>
      </c>
      <c r="Z153" s="59">
        <v>2443913.8545151129</v>
      </c>
      <c r="AA153" s="59">
        <v>1486221.2384763858</v>
      </c>
      <c r="AB153" s="59">
        <v>6863777.5140145011</v>
      </c>
      <c r="AC153" s="59">
        <v>765886182.88753998</v>
      </c>
      <c r="AD153" s="68">
        <v>6863777.5140145011</v>
      </c>
    </row>
    <row r="154" spans="1:30" x14ac:dyDescent="0.2">
      <c r="A154" s="95">
        <v>146</v>
      </c>
      <c r="B154" s="95">
        <v>12</v>
      </c>
      <c r="C154" s="95">
        <v>2</v>
      </c>
      <c r="D154" s="95"/>
      <c r="E154" s="95">
        <v>214.38518950880277</v>
      </c>
      <c r="F154" s="95">
        <v>1059.4610259186338</v>
      </c>
      <c r="G154" s="95">
        <v>1041.0734781310921</v>
      </c>
      <c r="H154" s="95">
        <v>1252.8950706359092</v>
      </c>
      <c r="I154" s="95">
        <v>1895.6670733861492</v>
      </c>
      <c r="J154" s="95">
        <v>74.212081394788797</v>
      </c>
      <c r="K154" s="95">
        <v>222.4017057849145</v>
      </c>
      <c r="L154" s="95">
        <v>98.15806740649694</v>
      </c>
      <c r="M154" s="95">
        <v>708.79537556612411</v>
      </c>
      <c r="N154" s="95">
        <v>3432.9509322670906</v>
      </c>
      <c r="O154" s="95">
        <v>10000.000000000002</v>
      </c>
      <c r="Q154" s="98">
        <v>708.79537556612411</v>
      </c>
      <c r="R154" s="95">
        <v>914.15253435555474</v>
      </c>
      <c r="S154" s="99">
        <v>500.2079045456432</v>
      </c>
      <c r="U154" s="121">
        <v>66846.145857537747</v>
      </c>
      <c r="V154" s="59">
        <v>329688.3886683124</v>
      </c>
      <c r="W154" s="59">
        <v>323646.66067951277</v>
      </c>
      <c r="X154" s="59">
        <v>801422.31384464155</v>
      </c>
      <c r="Y154" s="59">
        <v>1409801.7524861898</v>
      </c>
      <c r="Z154" s="59">
        <v>2454046.8418519185</v>
      </c>
      <c r="AA154" s="59">
        <v>1492001.1533787122</v>
      </c>
      <c r="AB154" s="59">
        <v>6877453.256766825</v>
      </c>
      <c r="AC154" s="59">
        <v>772763636.14430678</v>
      </c>
      <c r="AD154" s="68">
        <v>6877453.256766825</v>
      </c>
    </row>
    <row r="155" spans="1:30" x14ac:dyDescent="0.2">
      <c r="A155" s="95">
        <v>147</v>
      </c>
      <c r="B155" s="95">
        <v>12</v>
      </c>
      <c r="C155" s="95">
        <v>3</v>
      </c>
      <c r="D155" s="95"/>
      <c r="E155" s="95">
        <v>211.13368080125258</v>
      </c>
      <c r="F155" s="95">
        <v>1048.3080186923617</v>
      </c>
      <c r="G155" s="95">
        <v>1032.5281109434948</v>
      </c>
      <c r="H155" s="95">
        <v>1244.4079714351285</v>
      </c>
      <c r="I155" s="95">
        <v>1889.137666180666</v>
      </c>
      <c r="J155" s="95">
        <v>74.033864743094455</v>
      </c>
      <c r="K155" s="95">
        <v>222.25207179539194</v>
      </c>
      <c r="L155" s="95">
        <v>98.026009689132721</v>
      </c>
      <c r="M155" s="95">
        <v>715.48946595315215</v>
      </c>
      <c r="N155" s="95">
        <v>3464.6831397663273</v>
      </c>
      <c r="O155" s="95">
        <v>10000.000000000002</v>
      </c>
      <c r="Q155" s="98">
        <v>715.48946595315215</v>
      </c>
      <c r="R155" s="95">
        <v>920.31345234405967</v>
      </c>
      <c r="S155" s="99">
        <v>504.10032759194536</v>
      </c>
      <c r="U155" s="121">
        <v>66177.684398962374</v>
      </c>
      <c r="V155" s="59">
        <v>327922.42374018912</v>
      </c>
      <c r="W155" s="59">
        <v>322664.57516061497</v>
      </c>
      <c r="X155" s="59">
        <v>800138.18950124073</v>
      </c>
      <c r="Y155" s="59">
        <v>1412242.4949687391</v>
      </c>
      <c r="Z155" s="59">
        <v>2464107.1808026498</v>
      </c>
      <c r="AA155" s="59">
        <v>1497738.381145417</v>
      </c>
      <c r="AB155" s="59">
        <v>6890990.9297178127</v>
      </c>
      <c r="AC155" s="59">
        <v>779654627.07402456</v>
      </c>
      <c r="AD155" s="68">
        <v>6890990.9297178127</v>
      </c>
    </row>
    <row r="156" spans="1:30" x14ac:dyDescent="0.2">
      <c r="A156" s="95">
        <v>148</v>
      </c>
      <c r="B156" s="95">
        <v>12</v>
      </c>
      <c r="C156" s="95">
        <v>4</v>
      </c>
      <c r="D156" s="95"/>
      <c r="E156" s="95">
        <v>207.93148664243358</v>
      </c>
      <c r="F156" s="95">
        <v>1037.2627218465193</v>
      </c>
      <c r="G156" s="95">
        <v>1024.03548436552</v>
      </c>
      <c r="H156" s="95">
        <v>1235.9634323087503</v>
      </c>
      <c r="I156" s="95">
        <v>1882.5904228537624</v>
      </c>
      <c r="J156" s="95">
        <v>73.853057578965675</v>
      </c>
      <c r="K156" s="95">
        <v>222.09154095927909</v>
      </c>
      <c r="L156" s="95">
        <v>97.889890876140484</v>
      </c>
      <c r="M156" s="95">
        <v>722.17475774995103</v>
      </c>
      <c r="N156" s="95">
        <v>3496.2072048186801</v>
      </c>
      <c r="O156" s="95">
        <v>10000.000000000002</v>
      </c>
      <c r="Q156" s="98">
        <v>722.17475774995103</v>
      </c>
      <c r="R156" s="95">
        <v>926.45314975914687</v>
      </c>
      <c r="S156" s="99">
        <v>507.98327517620754</v>
      </c>
      <c r="U156" s="121">
        <v>65515.907554972742</v>
      </c>
      <c r="V156" s="59">
        <v>326162.89172231761</v>
      </c>
      <c r="W156" s="59">
        <v>321680.04710004502</v>
      </c>
      <c r="X156" s="59">
        <v>798846.57998317003</v>
      </c>
      <c r="Y156" s="59">
        <v>1414657.3948059618</v>
      </c>
      <c r="Z156" s="59">
        <v>2474095.1148207677</v>
      </c>
      <c r="AA156" s="59">
        <v>1503433.0770775238</v>
      </c>
      <c r="AB156" s="59">
        <v>6904391.0130647589</v>
      </c>
      <c r="AC156" s="59">
        <v>786559018.0870893</v>
      </c>
      <c r="AD156" s="68">
        <v>6904391.0130647589</v>
      </c>
    </row>
    <row r="157" spans="1:30" x14ac:dyDescent="0.2">
      <c r="A157" s="95">
        <v>149</v>
      </c>
      <c r="B157" s="95">
        <v>12</v>
      </c>
      <c r="C157" s="95">
        <v>5</v>
      </c>
      <c r="D157" s="95"/>
      <c r="E157" s="95">
        <v>204.77785909502333</v>
      </c>
      <c r="F157" s="95">
        <v>1026.3242698182016</v>
      </c>
      <c r="G157" s="95">
        <v>1015.5955482612977</v>
      </c>
      <c r="H157" s="95">
        <v>1227.5613387150818</v>
      </c>
      <c r="I157" s="95">
        <v>1876.0259302080183</v>
      </c>
      <c r="J157" s="95">
        <v>73.669726583578324</v>
      </c>
      <c r="K157" s="95">
        <v>221.92027910624137</v>
      </c>
      <c r="L157" s="95">
        <v>97.749780235264836</v>
      </c>
      <c r="M157" s="95">
        <v>728.85096545586123</v>
      </c>
      <c r="N157" s="95">
        <v>3527.5243025214336</v>
      </c>
      <c r="O157" s="95">
        <v>10000.000000000002</v>
      </c>
      <c r="Q157" s="98">
        <v>728.85096545586123</v>
      </c>
      <c r="R157" s="95">
        <v>932.57156863342163</v>
      </c>
      <c r="S157" s="99">
        <v>511.85665006125367</v>
      </c>
      <c r="U157" s="121">
        <v>64860.748479423019</v>
      </c>
      <c r="V157" s="59">
        <v>324409.81061501493</v>
      </c>
      <c r="W157" s="59">
        <v>320693.14710030262</v>
      </c>
      <c r="X157" s="59">
        <v>797547.5092307888</v>
      </c>
      <c r="Y157" s="59">
        <v>1417046.4883530114</v>
      </c>
      <c r="Z157" s="59">
        <v>2484010.8847786016</v>
      </c>
      <c r="AA157" s="59">
        <v>1509085.3943131072</v>
      </c>
      <c r="AB157" s="59">
        <v>6917653.98287025</v>
      </c>
      <c r="AC157" s="59">
        <v>793476672.06995952</v>
      </c>
      <c r="AD157" s="68">
        <v>6917653.98287025</v>
      </c>
    </row>
    <row r="158" spans="1:30" x14ac:dyDescent="0.2">
      <c r="A158" s="95">
        <v>150</v>
      </c>
      <c r="B158" s="95">
        <v>12</v>
      </c>
      <c r="C158" s="95">
        <v>6</v>
      </c>
      <c r="D158" s="95"/>
      <c r="E158" s="95">
        <v>201.67206156541548</v>
      </c>
      <c r="F158" s="95">
        <v>1015.4918005716506</v>
      </c>
      <c r="G158" s="95">
        <v>1007.208247136815</v>
      </c>
      <c r="H158" s="95">
        <v>1219.2015773387423</v>
      </c>
      <c r="I158" s="95">
        <v>1869.4447681685519</v>
      </c>
      <c r="J158" s="95">
        <v>73.483937089619545</v>
      </c>
      <c r="K158" s="95">
        <v>221.73845018547152</v>
      </c>
      <c r="L158" s="95">
        <v>97.605746196437309</v>
      </c>
      <c r="M158" s="95">
        <v>735.51780859407529</v>
      </c>
      <c r="N158" s="95">
        <v>3558.6356031532232</v>
      </c>
      <c r="O158" s="95">
        <v>10000.000000000002</v>
      </c>
      <c r="Q158" s="98">
        <v>735.51780859407529</v>
      </c>
      <c r="R158" s="95">
        <v>938.66865290659769</v>
      </c>
      <c r="S158" s="99">
        <v>515.72035701207199</v>
      </c>
      <c r="U158" s="121">
        <v>64212.140994628782</v>
      </c>
      <c r="V158" s="59">
        <v>322663.19763484586</v>
      </c>
      <c r="W158" s="59">
        <v>319703.94516771421</v>
      </c>
      <c r="X158" s="59">
        <v>796241.00240062887</v>
      </c>
      <c r="Y158" s="59">
        <v>1419409.8120648258</v>
      </c>
      <c r="Z158" s="59">
        <v>2493854.7290116935</v>
      </c>
      <c r="AA158" s="59">
        <v>1514695.4838799599</v>
      </c>
      <c r="AB158" s="59">
        <v>6930780.3111542966</v>
      </c>
      <c r="AC158" s="59">
        <v>800407452.38111377</v>
      </c>
      <c r="AD158" s="68">
        <v>6930780.3111542966</v>
      </c>
    </row>
    <row r="159" spans="1:30" x14ac:dyDescent="0.2">
      <c r="A159" s="95">
        <v>151</v>
      </c>
      <c r="B159" s="95">
        <v>12</v>
      </c>
      <c r="C159" s="95">
        <v>7</v>
      </c>
      <c r="D159" s="95"/>
      <c r="E159" s="95">
        <v>198.61336863167335</v>
      </c>
      <c r="F159" s="95">
        <v>1004.7644556647678</v>
      </c>
      <c r="G159" s="95">
        <v>998.87352024750498</v>
      </c>
      <c r="H159" s="95">
        <v>1210.8840360185843</v>
      </c>
      <c r="I159" s="95">
        <v>1862.8475098625024</v>
      </c>
      <c r="J159" s="95">
        <v>73.295753112056019</v>
      </c>
      <c r="K159" s="95">
        <v>221.54621628636028</v>
      </c>
      <c r="L159" s="95">
        <v>97.457856359805533</v>
      </c>
      <c r="M159" s="95">
        <v>742.17501164382213</v>
      </c>
      <c r="N159" s="95">
        <v>3589.5422721729251</v>
      </c>
      <c r="O159" s="95">
        <v>10000.000000000002</v>
      </c>
      <c r="Q159" s="98">
        <v>742.17501164382213</v>
      </c>
      <c r="R159" s="95">
        <v>944.74434840314552</v>
      </c>
      <c r="S159" s="99">
        <v>519.57430276949412</v>
      </c>
      <c r="U159" s="121">
        <v>63570.019584682494</v>
      </c>
      <c r="V159" s="59">
        <v>320923.06922688795</v>
      </c>
      <c r="W159" s="59">
        <v>318712.51071299193</v>
      </c>
      <c r="X159" s="59">
        <v>794927.08584105992</v>
      </c>
      <c r="Y159" s="59">
        <v>1421747.4025093513</v>
      </c>
      <c r="Z159" s="59">
        <v>2503626.8833628795</v>
      </c>
      <c r="AA159" s="59">
        <v>1520263.4947471549</v>
      </c>
      <c r="AB159" s="59">
        <v>6943770.4659850076</v>
      </c>
      <c r="AC159" s="59">
        <v>807351222.84709883</v>
      </c>
      <c r="AD159" s="68">
        <v>6943770.4659850076</v>
      </c>
    </row>
    <row r="160" spans="1:30" x14ac:dyDescent="0.2">
      <c r="A160" s="95">
        <v>152</v>
      </c>
      <c r="B160" s="95">
        <v>12</v>
      </c>
      <c r="C160" s="95">
        <v>8</v>
      </c>
      <c r="D160" s="95"/>
      <c r="E160" s="95">
        <v>195.60106587409297</v>
      </c>
      <c r="F160" s="95">
        <v>994.141380313117</v>
      </c>
      <c r="G160" s="95">
        <v>990.591301704648</v>
      </c>
      <c r="H160" s="95">
        <v>1202.608603677779</v>
      </c>
      <c r="I160" s="95">
        <v>1856.234721697034</v>
      </c>
      <c r="J160" s="95">
        <v>73.105237378129786</v>
      </c>
      <c r="K160" s="95">
        <v>221.34373765896831</v>
      </c>
      <c r="L160" s="95">
        <v>97.306177503817452</v>
      </c>
      <c r="M160" s="95">
        <v>748.82230397349747</v>
      </c>
      <c r="N160" s="95">
        <v>3620.2454702189179</v>
      </c>
      <c r="O160" s="95">
        <v>10000.000000000002</v>
      </c>
      <c r="Q160" s="98">
        <v>748.82230397349747</v>
      </c>
      <c r="R160" s="95">
        <v>950.79860281019864</v>
      </c>
      <c r="S160" s="99">
        <v>523.41839602425807</v>
      </c>
      <c r="U160" s="121">
        <v>62934.319388835669</v>
      </c>
      <c r="V160" s="59">
        <v>319189.44107684144</v>
      </c>
      <c r="W160" s="59">
        <v>317718.91255187424</v>
      </c>
      <c r="X160" s="59">
        <v>793605.7870682074</v>
      </c>
      <c r="Y160" s="59">
        <v>1424059.2963804284</v>
      </c>
      <c r="Z160" s="59">
        <v>2513327.5812261053</v>
      </c>
      <c r="AA160" s="59">
        <v>1525789.5738755385</v>
      </c>
      <c r="AB160" s="59">
        <v>6956624.9115678314</v>
      </c>
      <c r="AC160" s="59">
        <v>814307847.75866663</v>
      </c>
      <c r="AD160" s="68">
        <v>6956624.9115678314</v>
      </c>
    </row>
    <row r="161" spans="1:30" x14ac:dyDescent="0.2">
      <c r="A161" s="95">
        <v>153</v>
      </c>
      <c r="B161" s="95">
        <v>12</v>
      </c>
      <c r="C161" s="95">
        <v>9</v>
      </c>
      <c r="D161" s="95"/>
      <c r="E161" s="95">
        <v>192.63444970833589</v>
      </c>
      <c r="F161" s="95">
        <v>983.62172345147542</v>
      </c>
      <c r="G161" s="95">
        <v>982.36152058058587</v>
      </c>
      <c r="H161" s="95">
        <v>1194.3751702560189</v>
      </c>
      <c r="I161" s="95">
        <v>1849.6069634358985</v>
      </c>
      <c r="J161" s="95">
        <v>72.912451356601167</v>
      </c>
      <c r="K161" s="95">
        <v>221.13117273429913</v>
      </c>
      <c r="L161" s="95">
        <v>97.150775593351028</v>
      </c>
      <c r="M161" s="95">
        <v>755.45941977472694</v>
      </c>
      <c r="N161" s="95">
        <v>3650.7463531087092</v>
      </c>
      <c r="O161" s="95">
        <v>10000.000000000002</v>
      </c>
      <c r="Q161" s="98">
        <v>755.45941977472694</v>
      </c>
      <c r="R161" s="95">
        <v>956.83136565571397</v>
      </c>
      <c r="S161" s="99">
        <v>527.25254739144816</v>
      </c>
      <c r="U161" s="121">
        <v>62304.97619494731</v>
      </c>
      <c r="V161" s="59">
        <v>317462.32812298572</v>
      </c>
      <c r="W161" s="59">
        <v>316723.21890584513</v>
      </c>
      <c r="X161" s="59">
        <v>792277.13474212354</v>
      </c>
      <c r="Y161" s="59">
        <v>1426345.5305103469</v>
      </c>
      <c r="Z161" s="59">
        <v>2522957.0535899722</v>
      </c>
      <c r="AA161" s="59">
        <v>1531273.8662671768</v>
      </c>
      <c r="AB161" s="59">
        <v>6969344.1083333977</v>
      </c>
      <c r="AC161" s="59">
        <v>821277191.86699998</v>
      </c>
      <c r="AD161" s="68">
        <v>6969344.1083333977</v>
      </c>
    </row>
    <row r="162" spans="1:30" x14ac:dyDescent="0.2">
      <c r="A162" s="95">
        <v>154</v>
      </c>
      <c r="B162" s="95">
        <v>12</v>
      </c>
      <c r="C162" s="95">
        <v>10</v>
      </c>
      <c r="D162" s="95"/>
      <c r="E162" s="95">
        <v>189.71282722109279</v>
      </c>
      <c r="F162" s="95">
        <v>973.20463779298825</v>
      </c>
      <c r="G162" s="95">
        <v>974.18410101274981</v>
      </c>
      <c r="H162" s="95">
        <v>1186.1836266437965</v>
      </c>
      <c r="I162" s="95">
        <v>1842.9647882745869</v>
      </c>
      <c r="J162" s="95">
        <v>72.717455286258314</v>
      </c>
      <c r="K162" s="95">
        <v>220.9086781443726</v>
      </c>
      <c r="L162" s="95">
        <v>96.991715787880622</v>
      </c>
      <c r="M162" s="95">
        <v>762.08609799735223</v>
      </c>
      <c r="N162" s="95">
        <v>3681.0460718389236</v>
      </c>
      <c r="O162" s="95">
        <v>10000.000000000002</v>
      </c>
      <c r="Q162" s="98">
        <v>762.08609799735223</v>
      </c>
      <c r="R162" s="95">
        <v>962.84258828688064</v>
      </c>
      <c r="S162" s="99">
        <v>531.07666938530519</v>
      </c>
      <c r="U162" s="121">
        <v>61681.926432997832</v>
      </c>
      <c r="V162" s="59">
        <v>315741.7445679846</v>
      </c>
      <c r="W162" s="59">
        <v>315725.49740293139</v>
      </c>
      <c r="X162" s="59">
        <v>790941.15864320809</v>
      </c>
      <c r="Y162" s="59">
        <v>1428606.1418820745</v>
      </c>
      <c r="Z162" s="59">
        <v>2532515.5290809958</v>
      </c>
      <c r="AA162" s="59">
        <v>1536716.5150137825</v>
      </c>
      <c r="AB162" s="59">
        <v>6981928.5130239744</v>
      </c>
      <c r="AC162" s="59">
        <v>828259120.38002396</v>
      </c>
      <c r="AD162" s="68">
        <v>6981928.5130239744</v>
      </c>
    </row>
    <row r="163" spans="1:30" x14ac:dyDescent="0.2">
      <c r="A163" s="95">
        <v>155</v>
      </c>
      <c r="B163" s="95">
        <v>12</v>
      </c>
      <c r="C163" s="95">
        <v>11</v>
      </c>
      <c r="D163" s="95"/>
      <c r="E163" s="95">
        <v>186.83551600823955</v>
      </c>
      <c r="F163" s="95">
        <v>962.88927988598152</v>
      </c>
      <c r="G163" s="95">
        <v>966.05896230650353</v>
      </c>
      <c r="H163" s="95">
        <v>1178.0338646187133</v>
      </c>
      <c r="I163" s="95">
        <v>1836.3087429141101</v>
      </c>
      <c r="J163" s="95">
        <v>72.520308203712233</v>
      </c>
      <c r="K163" s="95">
        <v>220.6764087420992</v>
      </c>
      <c r="L163" s="95">
        <v>96.82906244967144</v>
      </c>
      <c r="M163" s="95">
        <v>768.7020822853267</v>
      </c>
      <c r="N163" s="95">
        <v>3711.145772585644</v>
      </c>
      <c r="O163" s="95">
        <v>10000.000000000002</v>
      </c>
      <c r="Q163" s="98">
        <v>768.7020822853267</v>
      </c>
      <c r="R163" s="95">
        <v>968.83222384877308</v>
      </c>
      <c r="S163" s="99">
        <v>534.89067639439907</v>
      </c>
      <c r="U163" s="121">
        <v>61065.107168667855</v>
      </c>
      <c r="V163" s="59">
        <v>314027.7038905411</v>
      </c>
      <c r="W163" s="59">
        <v>314725.81507857458</v>
      </c>
      <c r="X163" s="59">
        <v>789597.88964888011</v>
      </c>
      <c r="Y163" s="59">
        <v>1430841.167641164</v>
      </c>
      <c r="Z163" s="59">
        <v>2542003.2340065851</v>
      </c>
      <c r="AA163" s="59">
        <v>1542117.6613441501</v>
      </c>
      <c r="AB163" s="59">
        <v>6994378.5787785631</v>
      </c>
      <c r="AC163" s="59">
        <v>835253498.95880246</v>
      </c>
      <c r="AD163" s="68">
        <v>6994378.5787785631</v>
      </c>
    </row>
    <row r="164" spans="1:30" x14ac:dyDescent="0.2">
      <c r="A164" s="95">
        <v>156</v>
      </c>
      <c r="B164" s="95">
        <v>13</v>
      </c>
      <c r="C164" s="95">
        <v>0</v>
      </c>
      <c r="D164" s="95"/>
      <c r="E164" s="95">
        <v>184.00184401544792</v>
      </c>
      <c r="F164" s="95">
        <v>952.67481016848706</v>
      </c>
      <c r="G164" s="95">
        <v>957.98601903680401</v>
      </c>
      <c r="H164" s="95">
        <v>1169.9257767837794</v>
      </c>
      <c r="I164" s="95">
        <v>1829.6393676334355</v>
      </c>
      <c r="J164" s="95">
        <v>72.321067970495633</v>
      </c>
      <c r="K164" s="95">
        <v>220.43451762095467</v>
      </c>
      <c r="L164" s="95">
        <v>96.662879151994304</v>
      </c>
      <c r="M164" s="95">
        <v>775.30712091351006</v>
      </c>
      <c r="N164" s="95">
        <v>3741.0465967050927</v>
      </c>
      <c r="O164" s="95">
        <v>10000.000000000002</v>
      </c>
      <c r="Q164" s="98">
        <v>775.30712091351006</v>
      </c>
      <c r="R164" s="95">
        <v>974.80022726324398</v>
      </c>
      <c r="S164" s="99">
        <v>538.69448465715845</v>
      </c>
      <c r="U164" s="121">
        <v>60454.456096981179</v>
      </c>
      <c r="V164" s="59">
        <v>312320.218856905</v>
      </c>
      <c r="W164" s="59">
        <v>313724.23837657715</v>
      </c>
      <c r="X164" s="59">
        <v>788247.35971049941</v>
      </c>
      <c r="Y164" s="59">
        <v>1433050.6451073391</v>
      </c>
      <c r="Z164" s="59">
        <v>2551420.3923977264</v>
      </c>
      <c r="AA164" s="59">
        <v>1547477.4446706227</v>
      </c>
      <c r="AB164" s="59">
        <v>7006694.7552166507</v>
      </c>
      <c r="AC164" s="59">
        <v>842260193.71401906</v>
      </c>
      <c r="AD164" s="68">
        <v>7006694.7552166507</v>
      </c>
    </row>
    <row r="165" spans="1:30" x14ac:dyDescent="0.2">
      <c r="A165" s="95">
        <v>157</v>
      </c>
      <c r="B165" s="95">
        <v>13</v>
      </c>
      <c r="C165" s="95">
        <v>1</v>
      </c>
      <c r="D165" s="95"/>
      <c r="E165" s="95">
        <v>181.21114938121363</v>
      </c>
      <c r="F165" s="95">
        <v>942.56039302053159</v>
      </c>
      <c r="G165" s="95">
        <v>949.96518114868002</v>
      </c>
      <c r="H165" s="95">
        <v>1161.8592565076588</v>
      </c>
      <c r="I165" s="95">
        <v>1822.9571963606165</v>
      </c>
      <c r="J165" s="95">
        <v>72.119791299483495</v>
      </c>
      <c r="K165" s="95">
        <v>220.18315613445546</v>
      </c>
      <c r="L165" s="95">
        <v>96.493228687353096</v>
      </c>
      <c r="M165" s="95">
        <v>781.90096672534992</v>
      </c>
      <c r="N165" s="95">
        <v>3770.7496807346583</v>
      </c>
      <c r="O165" s="95">
        <v>10000</v>
      </c>
      <c r="Q165" s="98">
        <v>781.90096672534992</v>
      </c>
      <c r="R165" s="95">
        <v>980.74655520805265</v>
      </c>
      <c r="S165" s="99">
        <v>542.48801223774899</v>
      </c>
      <c r="U165" s="121">
        <v>59849.911536011365</v>
      </c>
      <c r="V165" s="59">
        <v>310619.30153223325</v>
      </c>
      <c r="W165" s="59">
        <v>312720.83315012034</v>
      </c>
      <c r="X165" s="59">
        <v>786889.6018305351</v>
      </c>
      <c r="Y165" s="59">
        <v>1435234.6117857704</v>
      </c>
      <c r="Z165" s="59">
        <v>2560767.2260513739</v>
      </c>
      <c r="AA165" s="59">
        <v>1552796.0026346152</v>
      </c>
      <c r="AB165" s="59">
        <v>7018877.4885206595</v>
      </c>
      <c r="AC165" s="59">
        <v>849279071.20253968</v>
      </c>
      <c r="AD165" s="68">
        <v>7018877.4885206595</v>
      </c>
    </row>
    <row r="166" spans="1:30" x14ac:dyDescent="0.2">
      <c r="A166" s="95">
        <v>158</v>
      </c>
      <c r="B166" s="95">
        <v>13</v>
      </c>
      <c r="C166" s="95">
        <v>2</v>
      </c>
      <c r="D166" s="95"/>
      <c r="E166" s="95">
        <v>178.46278028226521</v>
      </c>
      <c r="F166" s="95">
        <v>932.54519681424176</v>
      </c>
      <c r="G166" s="95">
        <v>941.99635405653328</v>
      </c>
      <c r="H166" s="95">
        <v>1153.8341978668218</v>
      </c>
      <c r="I166" s="95">
        <v>1816.2627567426446</v>
      </c>
      <c r="J166" s="95">
        <v>71.91653378065277</v>
      </c>
      <c r="K166" s="95">
        <v>219.92247391543495</v>
      </c>
      <c r="L166" s="95">
        <v>96.320173075717989</v>
      </c>
      <c r="M166" s="95">
        <v>788.48337707143867</v>
      </c>
      <c r="N166" s="95">
        <v>3800.25615639425</v>
      </c>
      <c r="O166" s="95">
        <v>10000.000000000002</v>
      </c>
      <c r="Q166" s="98">
        <v>788.48337707143867</v>
      </c>
      <c r="R166" s="95">
        <v>986.67116609622462</v>
      </c>
      <c r="S166" s="99">
        <v>546.27117900229541</v>
      </c>
      <c r="U166" s="121">
        <v>59251.412420651257</v>
      </c>
      <c r="V166" s="59">
        <v>308924.96329180634</v>
      </c>
      <c r="W166" s="59">
        <v>311715.6646628516</v>
      </c>
      <c r="X166" s="59">
        <v>785524.65003998275</v>
      </c>
      <c r="Y166" s="59">
        <v>1437393.1053780392</v>
      </c>
      <c r="Z166" s="59">
        <v>2570043.9545725309</v>
      </c>
      <c r="AA166" s="59">
        <v>1558073.4711512167</v>
      </c>
      <c r="AB166" s="59">
        <v>7030927.2215170786</v>
      </c>
      <c r="AC166" s="59">
        <v>856309998.42405677</v>
      </c>
      <c r="AD166" s="68">
        <v>7030927.2215170786</v>
      </c>
    </row>
    <row r="167" spans="1:30" x14ac:dyDescent="0.2">
      <c r="A167" s="95">
        <v>159</v>
      </c>
      <c r="B167" s="95">
        <v>13</v>
      </c>
      <c r="C167" s="95">
        <v>3</v>
      </c>
      <c r="D167" s="95"/>
      <c r="E167" s="95">
        <v>175.75609478131753</v>
      </c>
      <c r="F167" s="95">
        <v>922.62839396181585</v>
      </c>
      <c r="G167" s="95">
        <v>934.0794387422626</v>
      </c>
      <c r="H167" s="95">
        <v>1145.8504955895626</v>
      </c>
      <c r="I167" s="95">
        <v>1809.5565702140545</v>
      </c>
      <c r="J167" s="95">
        <v>71.711349906198308</v>
      </c>
      <c r="K167" s="95">
        <v>219.65261889512072</v>
      </c>
      <c r="L167" s="95">
        <v>96.143773572757794</v>
      </c>
      <c r="M167" s="95">
        <v>795.05411374893356</v>
      </c>
      <c r="N167" s="95">
        <v>3829.5671505879773</v>
      </c>
      <c r="O167" s="95">
        <v>10000</v>
      </c>
      <c r="Q167" s="98">
        <v>795.05411374893356</v>
      </c>
      <c r="R167" s="95">
        <v>992.57402005563824</v>
      </c>
      <c r="S167" s="99">
        <v>550.04390659543969</v>
      </c>
      <c r="U167" s="121">
        <v>58658.89829644475</v>
      </c>
      <c r="V167" s="59">
        <v>307237.21483210108</v>
      </c>
      <c r="W167" s="59">
        <v>310708.79759004101</v>
      </c>
      <c r="X167" s="59">
        <v>784152.5393760273</v>
      </c>
      <c r="Y167" s="59">
        <v>1439526.1637927964</v>
      </c>
      <c r="Z167" s="59">
        <v>2579250.7954160301</v>
      </c>
      <c r="AA167" s="59">
        <v>1563309.9844528944</v>
      </c>
      <c r="AB167" s="59">
        <v>7042844.3937563347</v>
      </c>
      <c r="AC167" s="59">
        <v>863352842.81781316</v>
      </c>
      <c r="AD167" s="68">
        <v>7042844.3937563347</v>
      </c>
    </row>
    <row r="168" spans="1:30" x14ac:dyDescent="0.2">
      <c r="A168" s="95">
        <v>160</v>
      </c>
      <c r="B168" s="95">
        <v>13</v>
      </c>
      <c r="C168" s="95">
        <v>4</v>
      </c>
      <c r="D168" s="95"/>
      <c r="E168" s="95">
        <v>173.09046067713422</v>
      </c>
      <c r="F168" s="95">
        <v>912.80916096141095</v>
      </c>
      <c r="G168" s="95">
        <v>926.21433185221554</v>
      </c>
      <c r="H168" s="95">
        <v>1137.9080450018425</v>
      </c>
      <c r="I168" s="95">
        <v>1802.8391520643154</v>
      </c>
      <c r="J168" s="95">
        <v>71.50429309502158</v>
      </c>
      <c r="K168" s="95">
        <v>219.3737373220134</v>
      </c>
      <c r="L168" s="95">
        <v>95.964090678065261</v>
      </c>
      <c r="M168" s="95">
        <v>801.61294294182937</v>
      </c>
      <c r="N168" s="95">
        <v>3858.6837854061523</v>
      </c>
      <c r="O168" s="95">
        <v>10000</v>
      </c>
      <c r="Q168" s="98">
        <v>801.61294294182937</v>
      </c>
      <c r="R168" s="95">
        <v>998.45507890883391</v>
      </c>
      <c r="S168" s="99">
        <v>553.80611841723021</v>
      </c>
      <c r="U168" s="121">
        <v>58072.309313480306</v>
      </c>
      <c r="V168" s="59">
        <v>305556.06618172268</v>
      </c>
      <c r="W168" s="59">
        <v>309700.29601980379</v>
      </c>
      <c r="X168" s="59">
        <v>782773.30585995119</v>
      </c>
      <c r="Y168" s="59">
        <v>1441633.8251561217</v>
      </c>
      <c r="Z168" s="59">
        <v>2588387.9639279968</v>
      </c>
      <c r="AA168" s="59">
        <v>1568505.6751323221</v>
      </c>
      <c r="AB168" s="59">
        <v>7054629.4415913988</v>
      </c>
      <c r="AC168" s="59">
        <v>870407472.25940454</v>
      </c>
      <c r="AD168" s="68">
        <v>7054629.4415913988</v>
      </c>
    </row>
    <row r="169" spans="1:30" x14ac:dyDescent="0.2">
      <c r="A169" s="95">
        <v>161</v>
      </c>
      <c r="B169" s="95">
        <v>13</v>
      </c>
      <c r="C169" s="95">
        <v>5</v>
      </c>
      <c r="D169" s="95"/>
      <c r="E169" s="95">
        <v>170.46525535686436</v>
      </c>
      <c r="F169" s="95">
        <v>903.08667844099534</v>
      </c>
      <c r="G169" s="95">
        <v>918.4009257929705</v>
      </c>
      <c r="H169" s="95">
        <v>1130.0067419749203</v>
      </c>
      <c r="I169" s="95">
        <v>1796.1110115040342</v>
      </c>
      <c r="J169" s="95">
        <v>71.295415716608105</v>
      </c>
      <c r="K169" s="95">
        <v>219.08597378056714</v>
      </c>
      <c r="L169" s="95">
        <v>95.781184143369487</v>
      </c>
      <c r="M169" s="95">
        <v>808.15963516207046</v>
      </c>
      <c r="N169" s="95">
        <v>3887.6071781276005</v>
      </c>
      <c r="O169" s="95">
        <v>10000</v>
      </c>
      <c r="Q169" s="98">
        <v>808.15963516207046</v>
      </c>
      <c r="R169" s="95">
        <v>1004.3143061530429</v>
      </c>
      <c r="S169" s="99">
        <v>557.55773960033514</v>
      </c>
      <c r="U169" s="121">
        <v>57491.586220345504</v>
      </c>
      <c r="V169" s="59">
        <v>303881.52671219653</v>
      </c>
      <c r="W169" s="59">
        <v>308690.22345438797</v>
      </c>
      <c r="X169" s="59">
        <v>781386.98647528689</v>
      </c>
      <c r="Y169" s="59">
        <v>1443716.1278215835</v>
      </c>
      <c r="Z169" s="59">
        <v>2597455.6733869957</v>
      </c>
      <c r="AA169" s="59">
        <v>1573660.6741843515</v>
      </c>
      <c r="AB169" s="59">
        <v>7066282.7982551474</v>
      </c>
      <c r="AC169" s="59">
        <v>877473755.05765975</v>
      </c>
      <c r="AD169" s="68">
        <v>7066282.7982551474</v>
      </c>
    </row>
    <row r="170" spans="1:30" x14ac:dyDescent="0.2">
      <c r="A170" s="95">
        <v>162</v>
      </c>
      <c r="B170" s="95">
        <v>13</v>
      </c>
      <c r="C170" s="95">
        <v>6</v>
      </c>
      <c r="D170" s="95"/>
      <c r="E170" s="95">
        <v>167.8798656506186</v>
      </c>
      <c r="F170" s="95">
        <v>893.46013120021234</v>
      </c>
      <c r="G170" s="95">
        <v>910.63910882595258</v>
      </c>
      <c r="H170" s="95">
        <v>1122.1464828747282</v>
      </c>
      <c r="I170" s="95">
        <v>1789.3726517300022</v>
      </c>
      <c r="J170" s="95">
        <v>71.084769114309651</v>
      </c>
      <c r="K170" s="95">
        <v>218.78947120967283</v>
      </c>
      <c r="L170" s="95">
        <v>95.595112980730036</v>
      </c>
      <c r="M170" s="95">
        <v>814.69396519149257</v>
      </c>
      <c r="N170" s="95">
        <v>3916.3384412222813</v>
      </c>
      <c r="O170" s="95">
        <v>10000</v>
      </c>
      <c r="Q170" s="98">
        <v>814.69396519149257</v>
      </c>
      <c r="R170" s="95">
        <v>1010.151666940431</v>
      </c>
      <c r="S170" s="99">
        <v>561.29869698757386</v>
      </c>
      <c r="U170" s="121">
        <v>56916.670358142052</v>
      </c>
      <c r="V170" s="59">
        <v>302213.60514862213</v>
      </c>
      <c r="W170" s="59">
        <v>307678.64281152521</v>
      </c>
      <c r="X170" s="59">
        <v>779993.61914621305</v>
      </c>
      <c r="Y170" s="59">
        <v>1445773.1103800084</v>
      </c>
      <c r="Z170" s="59">
        <v>2606454.1350448555</v>
      </c>
      <c r="AA170" s="59">
        <v>1578775.1110471501</v>
      </c>
      <c r="AB170" s="59">
        <v>7077804.8939365167</v>
      </c>
      <c r="AC170" s="59">
        <v>884551559.95159626</v>
      </c>
      <c r="AD170" s="68">
        <v>7077804.8939365167</v>
      </c>
    </row>
    <row r="171" spans="1:30" x14ac:dyDescent="0.2">
      <c r="A171" s="95">
        <v>163</v>
      </c>
      <c r="B171" s="95">
        <v>13</v>
      </c>
      <c r="C171" s="95">
        <v>7</v>
      </c>
      <c r="D171" s="95"/>
      <c r="E171" s="95">
        <v>165.33368768825088</v>
      </c>
      <c r="F171" s="95">
        <v>883.9287082503032</v>
      </c>
      <c r="G171" s="95">
        <v>902.92876516088734</v>
      </c>
      <c r="H171" s="95">
        <v>1114.3271645129605</v>
      </c>
      <c r="I171" s="95">
        <v>1782.6245699891128</v>
      </c>
      <c r="J171" s="95">
        <v>70.8724036280463</v>
      </c>
      <c r="K171" s="95">
        <v>218.48437092094392</v>
      </c>
      <c r="L171" s="95">
        <v>95.405935470707675</v>
      </c>
      <c r="M171" s="95">
        <v>821.21571202458085</v>
      </c>
      <c r="N171" s="95">
        <v>3944.8786823542068</v>
      </c>
      <c r="O171" s="95">
        <v>10000</v>
      </c>
      <c r="Q171" s="98">
        <v>821.21571202458085</v>
      </c>
      <c r="R171" s="95">
        <v>1015.9671280585535</v>
      </c>
      <c r="S171" s="99">
        <v>565.02891910976143</v>
      </c>
      <c r="U171" s="121">
        <v>56347.503654560627</v>
      </c>
      <c r="V171" s="59">
        <v>300552.30958019075</v>
      </c>
      <c r="W171" s="59">
        <v>306665.61642584315</v>
      </c>
      <c r="X171" s="59">
        <v>778593.24271619157</v>
      </c>
      <c r="Y171" s="59">
        <v>1447804.8116689592</v>
      </c>
      <c r="Z171" s="59">
        <v>2615383.5581671661</v>
      </c>
      <c r="AA171" s="59">
        <v>1583849.1136425221</v>
      </c>
      <c r="AB171" s="59">
        <v>7089196.1558554331</v>
      </c>
      <c r="AC171" s="59">
        <v>891640756.10745168</v>
      </c>
      <c r="AD171" s="68">
        <v>7089196.1558554331</v>
      </c>
    </row>
    <row r="172" spans="1:30" x14ac:dyDescent="0.2">
      <c r="A172" s="95">
        <v>164</v>
      </c>
      <c r="B172" s="95">
        <v>13</v>
      </c>
      <c r="C172" s="95">
        <v>8</v>
      </c>
      <c r="D172" s="95"/>
      <c r="E172" s="95">
        <v>162.8261267583124</v>
      </c>
      <c r="F172" s="95">
        <v>874.49160285213486</v>
      </c>
      <c r="G172" s="95">
        <v>895.26977504809668</v>
      </c>
      <c r="H172" s="95">
        <v>1106.5486840998321</v>
      </c>
      <c r="I172" s="95">
        <v>1775.8672576411784</v>
      </c>
      <c r="J172" s="95">
        <v>70.658368616443312</v>
      </c>
      <c r="K172" s="95">
        <v>218.17081261680605</v>
      </c>
      <c r="L172" s="95">
        <v>95.213709170506903</v>
      </c>
      <c r="M172" s="95">
        <v>827.72465881203436</v>
      </c>
      <c r="N172" s="95">
        <v>3973.2290043846551</v>
      </c>
      <c r="O172" s="95">
        <v>10000</v>
      </c>
      <c r="Q172" s="98">
        <v>827.72465881203436</v>
      </c>
      <c r="R172" s="95">
        <v>1021.7606579110181</v>
      </c>
      <c r="S172" s="99">
        <v>568.74833616385968</v>
      </c>
      <c r="U172" s="121">
        <v>55784.028618015021</v>
      </c>
      <c r="V172" s="59">
        <v>298897.64747056802</v>
      </c>
      <c r="W172" s="59">
        <v>305651.20605033793</v>
      </c>
      <c r="X172" s="59">
        <v>777185.89692684682</v>
      </c>
      <c r="Y172" s="59">
        <v>1449811.2707819312</v>
      </c>
      <c r="Z172" s="59">
        <v>2624244.1500734463</v>
      </c>
      <c r="AA172" s="59">
        <v>1588882.8084154334</v>
      </c>
      <c r="AB172" s="59">
        <v>7100457.0083365785</v>
      </c>
      <c r="AC172" s="59">
        <v>898741213.11578822</v>
      </c>
      <c r="AD172" s="68">
        <v>7100457.0083365785</v>
      </c>
    </row>
    <row r="173" spans="1:30" x14ac:dyDescent="0.2">
      <c r="A173" s="95">
        <v>165</v>
      </c>
      <c r="B173" s="95">
        <v>13</v>
      </c>
      <c r="C173" s="95">
        <v>9</v>
      </c>
      <c r="D173" s="95"/>
      <c r="E173" s="95">
        <v>160.35659716914466</v>
      </c>
      <c r="F173" s="95">
        <v>865.14801255237671</v>
      </c>
      <c r="G173" s="95">
        <v>887.6620148696411</v>
      </c>
      <c r="H173" s="95">
        <v>1098.810939198474</v>
      </c>
      <c r="I173" s="95">
        <v>1769.1012002206719</v>
      </c>
      <c r="J173" s="95">
        <v>70.442712478417477</v>
      </c>
      <c r="K173" s="95">
        <v>217.84893440839093</v>
      </c>
      <c r="L173" s="95">
        <v>95.018490922085903</v>
      </c>
      <c r="M173" s="95">
        <v>834.22059280512451</v>
      </c>
      <c r="N173" s="95">
        <v>4001.390505375673</v>
      </c>
      <c r="O173" s="95">
        <v>10000</v>
      </c>
      <c r="Q173" s="98">
        <v>834.22059280512451</v>
      </c>
      <c r="R173" s="95">
        <v>1027.532226498352</v>
      </c>
      <c r="S173" s="99">
        <v>572.45687999142945</v>
      </c>
      <c r="U173" s="121">
        <v>55226.188331834877</v>
      </c>
      <c r="V173" s="59">
        <v>297249.62566814281</v>
      </c>
      <c r="W173" s="59">
        <v>304635.4728579052</v>
      </c>
      <c r="X173" s="59">
        <v>775771.62239708414</v>
      </c>
      <c r="Y173" s="59">
        <v>1451792.527077266</v>
      </c>
      <c r="Z173" s="59">
        <v>2633036.1161769768</v>
      </c>
      <c r="AA173" s="59">
        <v>1593876.3203727566</v>
      </c>
      <c r="AB173" s="59">
        <v>7111587.8728819666</v>
      </c>
      <c r="AC173" s="59">
        <v>905852800.98867023</v>
      </c>
      <c r="AD173" s="68">
        <v>7111587.8728819666</v>
      </c>
    </row>
    <row r="174" spans="1:30" x14ac:dyDescent="0.2">
      <c r="A174" s="95">
        <v>166</v>
      </c>
      <c r="B174" s="95">
        <v>13</v>
      </c>
      <c r="C174" s="95">
        <v>10</v>
      </c>
      <c r="D174" s="95"/>
      <c r="E174" s="95">
        <v>157.9245221120793</v>
      </c>
      <c r="F174" s="95">
        <v>855.8971392178712</v>
      </c>
      <c r="G174" s="95">
        <v>880.10535722931343</v>
      </c>
      <c r="H174" s="95">
        <v>1091.1138276809268</v>
      </c>
      <c r="I174" s="95">
        <v>1762.3268774974206</v>
      </c>
      <c r="J174" s="95">
        <v>70.225482674227024</v>
      </c>
      <c r="K174" s="95">
        <v>217.51887283323546</v>
      </c>
      <c r="L174" s="95">
        <v>94.820336860229745</v>
      </c>
      <c r="M174" s="95">
        <v>840.7033053008364</v>
      </c>
      <c r="N174" s="95">
        <v>4029.3642785938605</v>
      </c>
      <c r="O174" s="95">
        <v>10000</v>
      </c>
      <c r="Q174" s="98">
        <v>840.7033053008364</v>
      </c>
      <c r="R174" s="95">
        <v>1033.2818053990691</v>
      </c>
      <c r="S174" s="99">
        <v>576.1544840573788</v>
      </c>
      <c r="U174" s="121">
        <v>54673.926448516519</v>
      </c>
      <c r="V174" s="59">
        <v>295608.25041614514</v>
      </c>
      <c r="W174" s="59">
        <v>303618.47744292766</v>
      </c>
      <c r="X174" s="59">
        <v>774350.46060244646</v>
      </c>
      <c r="Y174" s="59">
        <v>1453748.620186789</v>
      </c>
      <c r="Z174" s="59">
        <v>2641759.6600242918</v>
      </c>
      <c r="AA174" s="59">
        <v>1598829.7731212585</v>
      </c>
      <c r="AB174" s="59">
        <v>7122589.1682423754</v>
      </c>
      <c r="AC174" s="59">
        <v>912975390.15691257</v>
      </c>
      <c r="AD174" s="68">
        <v>7122589.1682423754</v>
      </c>
    </row>
    <row r="175" spans="1:30" x14ac:dyDescent="0.2">
      <c r="A175" s="95">
        <v>167</v>
      </c>
      <c r="B175" s="95">
        <v>13</v>
      </c>
      <c r="C175" s="95">
        <v>11</v>
      </c>
      <c r="D175" s="95"/>
      <c r="E175" s="95">
        <v>155.52933352671278</v>
      </c>
      <c r="F175" s="95">
        <v>846.73818906824056</v>
      </c>
      <c r="G175" s="95">
        <v>872.59967104148814</v>
      </c>
      <c r="H175" s="95">
        <v>1083.4572476856993</v>
      </c>
      <c r="I175" s="95">
        <v>1755.5447635362782</v>
      </c>
      <c r="J175" s="95">
        <v>70.006725745998892</v>
      </c>
      <c r="K175" s="95">
        <v>217.18076287278654</v>
      </c>
      <c r="L175" s="95">
        <v>94.61930242058294</v>
      </c>
      <c r="M175" s="95">
        <v>847.17259158778222</v>
      </c>
      <c r="N175" s="95">
        <v>4057.1514125144313</v>
      </c>
      <c r="O175" s="95">
        <v>10000</v>
      </c>
      <c r="Q175" s="98">
        <v>847.17259158778222</v>
      </c>
      <c r="R175" s="95">
        <v>1039.0093677509358</v>
      </c>
      <c r="S175" s="99">
        <v>579.8410834290014</v>
      </c>
      <c r="U175" s="121">
        <v>54127.187184031354</v>
      </c>
      <c r="V175" s="59">
        <v>293973.52736263315</v>
      </c>
      <c r="W175" s="59">
        <v>302600.2798229187</v>
      </c>
      <c r="X175" s="59">
        <v>772922.45385470893</v>
      </c>
      <c r="Y175" s="59">
        <v>1455679.5900241737</v>
      </c>
      <c r="Z175" s="59">
        <v>2650414.9833343332</v>
      </c>
      <c r="AA175" s="59">
        <v>1603743.2889048401</v>
      </c>
      <c r="AB175" s="59">
        <v>7133461.3104876392</v>
      </c>
      <c r="AC175" s="59">
        <v>920108851.46740019</v>
      </c>
      <c r="AD175" s="68">
        <v>7133461.3104876392</v>
      </c>
    </row>
    <row r="176" spans="1:30" x14ac:dyDescent="0.2">
      <c r="A176" s="95">
        <v>168</v>
      </c>
      <c r="B176" s="95">
        <v>14</v>
      </c>
      <c r="C176" s="95">
        <v>0</v>
      </c>
      <c r="D176" s="95"/>
      <c r="E176" s="95">
        <v>153.17047196822429</v>
      </c>
      <c r="F176" s="95">
        <v>837.67037270677304</v>
      </c>
      <c r="G176" s="95">
        <v>865.14482161883188</v>
      </c>
      <c r="H176" s="95">
        <v>1075.8410975768547</v>
      </c>
      <c r="I176" s="95">
        <v>1748.7553267557998</v>
      </c>
      <c r="J176" s="95">
        <v>69.786487337746777</v>
      </c>
      <c r="K176" s="95">
        <v>216.83473796971302</v>
      </c>
      <c r="L176" s="95">
        <v>94.415442347637821</v>
      </c>
      <c r="M176" s="95">
        <v>853.62825089287492</v>
      </c>
      <c r="N176" s="95">
        <v>4084.7529908255447</v>
      </c>
      <c r="O176" s="95">
        <v>10000.000000000002</v>
      </c>
      <c r="Q176" s="98">
        <v>853.62825089287492</v>
      </c>
      <c r="R176" s="95">
        <v>1044.7148882324286</v>
      </c>
      <c r="S176" s="99">
        <v>583.51661475530022</v>
      </c>
      <c r="U176" s="121">
        <v>53585.915312191035</v>
      </c>
      <c r="V176" s="59">
        <v>292345.46157035144</v>
      </c>
      <c r="W176" s="59">
        <v>301580.93944021908</v>
      </c>
      <c r="X176" s="59">
        <v>771487.64528170985</v>
      </c>
      <c r="Y176" s="59">
        <v>1457585.4767930401</v>
      </c>
      <c r="Z176" s="59">
        <v>2659002.2860372537</v>
      </c>
      <c r="AA176" s="59">
        <v>1608616.9886410532</v>
      </c>
      <c r="AB176" s="59">
        <v>7144204.7130758185</v>
      </c>
      <c r="AC176" s="59">
        <v>927253056.18047607</v>
      </c>
      <c r="AD176" s="68">
        <v>7144204.7130758185</v>
      </c>
    </row>
    <row r="177" spans="1:30" x14ac:dyDescent="0.2">
      <c r="A177" s="95">
        <v>169</v>
      </c>
      <c r="B177" s="95">
        <v>14</v>
      </c>
      <c r="C177" s="95">
        <v>1</v>
      </c>
      <c r="D177" s="95"/>
      <c r="E177" s="95">
        <v>150.84738647670622</v>
      </c>
      <c r="F177" s="95">
        <v>828.69290514962859</v>
      </c>
      <c r="G177" s="95">
        <v>857.74067075888115</v>
      </c>
      <c r="H177" s="95">
        <v>1068.2652759045923</v>
      </c>
      <c r="I177" s="95">
        <v>1741.959029985944</v>
      </c>
      <c r="J177" s="95">
        <v>69.564812214893337</v>
      </c>
      <c r="K177" s="95">
        <v>216.4809300450253</v>
      </c>
      <c r="L177" s="95">
        <v>94.208810702675379</v>
      </c>
      <c r="M177" s="95">
        <v>860.07008632875147</v>
      </c>
      <c r="N177" s="95">
        <v>4112.1700924329034</v>
      </c>
      <c r="O177" s="95">
        <v>10000.000000000002</v>
      </c>
      <c r="Q177" s="98">
        <v>860.07008632875147</v>
      </c>
      <c r="R177" s="95">
        <v>1050.398343044385</v>
      </c>
      <c r="S177" s="99">
        <v>587.18101624659096</v>
      </c>
      <c r="U177" s="121">
        <v>53050.056159069121</v>
      </c>
      <c r="V177" s="59">
        <v>290724.05752646277</v>
      </c>
      <c r="W177" s="59">
        <v>300560.51516374684</v>
      </c>
      <c r="X177" s="59">
        <v>770046.07880741579</v>
      </c>
      <c r="Y177" s="59">
        <v>1459466.3209947837</v>
      </c>
      <c r="Z177" s="59">
        <v>2667521.7663128767</v>
      </c>
      <c r="AA177" s="59">
        <v>1613450.9919569027</v>
      </c>
      <c r="AB177" s="59">
        <v>7154819.7869212572</v>
      </c>
      <c r="AC177" s="59">
        <v>934407875.96739733</v>
      </c>
      <c r="AD177" s="68">
        <v>7154819.7869212572</v>
      </c>
    </row>
    <row r="178" spans="1:30" x14ac:dyDescent="0.2">
      <c r="A178" s="95">
        <v>170</v>
      </c>
      <c r="B178" s="95">
        <v>14</v>
      </c>
      <c r="C178" s="95">
        <v>2</v>
      </c>
      <c r="D178" s="95"/>
      <c r="E178" s="95">
        <v>148.55953444847617</v>
      </c>
      <c r="F178" s="95">
        <v>819.8050058534061</v>
      </c>
      <c r="G178" s="95">
        <v>850.38707682949155</v>
      </c>
      <c r="H178" s="95">
        <v>1060.7296813672867</v>
      </c>
      <c r="I178" s="95">
        <v>1735.1563305248267</v>
      </c>
      <c r="J178" s="95">
        <v>69.341744283308884</v>
      </c>
      <c r="K178" s="95">
        <v>216.11946951500386</v>
      </c>
      <c r="L178" s="95">
        <v>93.999460871655501</v>
      </c>
      <c r="M178" s="95">
        <v>866.49790484193443</v>
      </c>
      <c r="N178" s="95">
        <v>4139.4037914646105</v>
      </c>
      <c r="O178" s="95">
        <v>10000</v>
      </c>
      <c r="Q178" s="98">
        <v>866.49790484193443</v>
      </c>
      <c r="R178" s="95">
        <v>1056.0597098918392</v>
      </c>
      <c r="S178" s="99">
        <v>590.83422765438081</v>
      </c>
      <c r="U178" s="121">
        <v>52519.555597478437</v>
      </c>
      <c r="V178" s="59">
        <v>289109.31915215298</v>
      </c>
      <c r="W178" s="59">
        <v>299539.0652907975</v>
      </c>
      <c r="X178" s="59">
        <v>768597.79913222138</v>
      </c>
      <c r="Y178" s="59">
        <v>1461322.1634361476</v>
      </c>
      <c r="Z178" s="59">
        <v>2675973.6206287998</v>
      </c>
      <c r="AA178" s="59">
        <v>1618245.4172239562</v>
      </c>
      <c r="AB178" s="59">
        <v>7165306.9404615536</v>
      </c>
      <c r="AC178" s="59">
        <v>941573182.90785885</v>
      </c>
      <c r="AD178" s="68">
        <v>7165306.9404615536</v>
      </c>
    </row>
    <row r="179" spans="1:30" x14ac:dyDescent="0.2">
      <c r="A179" s="95">
        <v>171</v>
      </c>
      <c r="B179" s="95">
        <v>14</v>
      </c>
      <c r="C179" s="95">
        <v>3</v>
      </c>
      <c r="D179" s="95"/>
      <c r="E179" s="95">
        <v>146.30638150934095</v>
      </c>
      <c r="F179" s="95">
        <v>811.0058987411112</v>
      </c>
      <c r="G179" s="95">
        <v>843.08389485316513</v>
      </c>
      <c r="H179" s="95">
        <v>1053.2342127749585</v>
      </c>
      <c r="I179" s="95">
        <v>1728.3476801945496</v>
      </c>
      <c r="J179" s="95">
        <v>69.117326607879406</v>
      </c>
      <c r="K179" s="95">
        <v>215.75048530793751</v>
      </c>
      <c r="L179" s="95">
        <v>93.787445573053702</v>
      </c>
      <c r="M179" s="95">
        <v>872.91151716172101</v>
      </c>
      <c r="N179" s="95">
        <v>4166.4551572762839</v>
      </c>
      <c r="O179" s="95">
        <v>10000</v>
      </c>
      <c r="Q179" s="98">
        <v>872.91151716172101</v>
      </c>
      <c r="R179" s="95">
        <v>1061.6989679660448</v>
      </c>
      <c r="S179" s="99">
        <v>594.47619025151687</v>
      </c>
      <c r="U179" s="121">
        <v>51994.360041503649</v>
      </c>
      <c r="V179" s="59">
        <v>287501.2498121126</v>
      </c>
      <c r="W179" s="59">
        <v>298516.64754889463</v>
      </c>
      <c r="X179" s="59">
        <v>767142.85171348054</v>
      </c>
      <c r="Y179" s="59">
        <v>1463153.0452365361</v>
      </c>
      <c r="Z179" s="59">
        <v>2684358.0437781452</v>
      </c>
      <c r="AA179" s="59">
        <v>1623000.3815927722</v>
      </c>
      <c r="AB179" s="59">
        <v>7175666.5797234448</v>
      </c>
      <c r="AC179" s="59">
        <v>948748849.48758233</v>
      </c>
      <c r="AD179" s="68">
        <v>7175666.5797234448</v>
      </c>
    </row>
    <row r="180" spans="1:30" x14ac:dyDescent="0.2">
      <c r="A180" s="95">
        <v>172</v>
      </c>
      <c r="B180" s="95">
        <v>14</v>
      </c>
      <c r="C180" s="95">
        <v>4</v>
      </c>
      <c r="D180" s="95"/>
      <c r="E180" s="95">
        <v>144.08740138978263</v>
      </c>
      <c r="F180" s="95">
        <v>802.29481222656341</v>
      </c>
      <c r="G180" s="95">
        <v>835.83097659026168</v>
      </c>
      <c r="H180" s="95">
        <v>1045.7787690141345</v>
      </c>
      <c r="I180" s="95">
        <v>1721.5335253961277</v>
      </c>
      <c r="J180" s="95">
        <v>68.891601430615822</v>
      </c>
      <c r="K180" s="95">
        <v>215.37410488067283</v>
      </c>
      <c r="L180" s="95">
        <v>93.572816865641769</v>
      </c>
      <c r="M180" s="95">
        <v>879.31073774978904</v>
      </c>
      <c r="N180" s="95">
        <v>4193.3252544564111</v>
      </c>
      <c r="O180" s="95">
        <v>10000</v>
      </c>
      <c r="Q180" s="98">
        <v>879.31073774978904</v>
      </c>
      <c r="R180" s="95">
        <v>1067.3160979266772</v>
      </c>
      <c r="S180" s="99">
        <v>598.10684681260011</v>
      </c>
      <c r="U180" s="121">
        <v>51474.416441088608</v>
      </c>
      <c r="V180" s="59">
        <v>285899.85232389509</v>
      </c>
      <c r="W180" s="59">
        <v>297493.31909768755</v>
      </c>
      <c r="X180" s="59">
        <v>765681.28274626972</v>
      </c>
      <c r="Y180" s="59">
        <v>1464959.0078350743</v>
      </c>
      <c r="Z180" s="59">
        <v>2692675.2289169529</v>
      </c>
      <c r="AA180" s="59">
        <v>1627716.0010266621</v>
      </c>
      <c r="AB180" s="59">
        <v>7185899.1083876304</v>
      </c>
      <c r="AC180" s="59">
        <v>955934748.59596992</v>
      </c>
      <c r="AD180" s="68">
        <v>7185899.1083876304</v>
      </c>
    </row>
    <row r="181" spans="1:30" x14ac:dyDescent="0.2">
      <c r="A181" s="95">
        <v>173</v>
      </c>
      <c r="B181" s="95">
        <v>14</v>
      </c>
      <c r="C181" s="95">
        <v>5</v>
      </c>
      <c r="D181" s="95"/>
      <c r="E181" s="95">
        <v>141.90207580203759</v>
      </c>
      <c r="F181" s="95">
        <v>793.6709792372817</v>
      </c>
      <c r="G181" s="95">
        <v>828.62817062110003</v>
      </c>
      <c r="H181" s="95">
        <v>1038.363249014074</v>
      </c>
      <c r="I181" s="95">
        <v>1714.7143071635358</v>
      </c>
      <c r="J181" s="95">
        <v>68.664610188316388</v>
      </c>
      <c r="K181" s="95">
        <v>214.9904542349756</v>
      </c>
      <c r="L181" s="95">
        <v>93.355626156209908</v>
      </c>
      <c r="M181" s="95">
        <v>885.69538475050877</v>
      </c>
      <c r="N181" s="95">
        <v>4220.0151428319614</v>
      </c>
      <c r="O181" s="95">
        <v>10000.000000000002</v>
      </c>
      <c r="Q181" s="98">
        <v>885.69538475050877</v>
      </c>
      <c r="R181" s="95">
        <v>1072.9110818842146</v>
      </c>
      <c r="S181" s="99">
        <v>601.72614159465957</v>
      </c>
      <c r="U181" s="121">
        <v>50959.672276677724</v>
      </c>
      <c r="V181" s="59">
        <v>284305.12896715378</v>
      </c>
      <c r="W181" s="59">
        <v>296469.13653089717</v>
      </c>
      <c r="X181" s="59">
        <v>764213.13914438046</v>
      </c>
      <c r="Y181" s="59">
        <v>1466740.0929974192</v>
      </c>
      <c r="Z181" s="59">
        <v>2700925.367601213</v>
      </c>
      <c r="AA181" s="59">
        <v>1632392.3903348001</v>
      </c>
      <c r="AB181" s="59">
        <v>7196004.9278525412</v>
      </c>
      <c r="AC181" s="59">
        <v>963130753.52382243</v>
      </c>
      <c r="AD181" s="68">
        <v>7196004.9278525412</v>
      </c>
    </row>
    <row r="182" spans="1:30" x14ac:dyDescent="0.2">
      <c r="A182" s="95">
        <v>174</v>
      </c>
      <c r="B182" s="95">
        <v>14</v>
      </c>
      <c r="C182" s="95">
        <v>6</v>
      </c>
      <c r="D182" s="95"/>
      <c r="E182" s="95">
        <v>139.74989431904001</v>
      </c>
      <c r="F182" s="95">
        <v>785.13363723588554</v>
      </c>
      <c r="G182" s="95">
        <v>821.47532242695547</v>
      </c>
      <c r="H182" s="95">
        <v>1030.9875517143228</v>
      </c>
      <c r="I182" s="95">
        <v>1707.8904612168969</v>
      </c>
      <c r="J182" s="95">
        <v>68.436393529793719</v>
      </c>
      <c r="K182" s="95">
        <v>214.59965793370571</v>
      </c>
      <c r="L182" s="95">
        <v>93.135924207228086</v>
      </c>
      <c r="M182" s="95">
        <v>892.06527994194983</v>
      </c>
      <c r="N182" s="95">
        <v>4246.5258774742224</v>
      </c>
      <c r="O182" s="95">
        <v>10000</v>
      </c>
      <c r="Q182" s="98">
        <v>892.06527994194983</v>
      </c>
      <c r="R182" s="95">
        <v>1078.483903382496</v>
      </c>
      <c r="S182" s="99">
        <v>605.33402031808237</v>
      </c>
      <c r="U182" s="121">
        <v>50450.075553910945</v>
      </c>
      <c r="V182" s="59">
        <v>282717.08149275894</v>
      </c>
      <c r="W182" s="59">
        <v>295444.15587830613</v>
      </c>
      <c r="X182" s="59">
        <v>762738.46852154064</v>
      </c>
      <c r="Y182" s="59">
        <v>1468496.3428223254</v>
      </c>
      <c r="Z182" s="59">
        <v>2709108.6498235357</v>
      </c>
      <c r="AA182" s="59">
        <v>1637029.6632046977</v>
      </c>
      <c r="AB182" s="59">
        <v>7205984.4372970751</v>
      </c>
      <c r="AC182" s="59">
        <v>970336737.96111953</v>
      </c>
      <c r="AD182" s="68">
        <v>7205984.4372970751</v>
      </c>
    </row>
    <row r="183" spans="1:30" x14ac:dyDescent="0.2">
      <c r="A183" s="95">
        <v>175</v>
      </c>
      <c r="B183" s="95">
        <v>14</v>
      </c>
      <c r="C183" s="95">
        <v>7</v>
      </c>
      <c r="D183" s="95"/>
      <c r="E183" s="95">
        <v>137.63035425520124</v>
      </c>
      <c r="F183" s="95">
        <v>776.68202824004766</v>
      </c>
      <c r="G183" s="95">
        <v>814.37227446996076</v>
      </c>
      <c r="H183" s="95">
        <v>1023.6515760335679</v>
      </c>
      <c r="I183" s="95">
        <v>1701.0624180148359</v>
      </c>
      <c r="J183" s="95">
        <v>68.206991332677632</v>
      </c>
      <c r="K183" s="95">
        <v>214.20183911680647</v>
      </c>
      <c r="L183" s="95">
        <v>92.913761144444607</v>
      </c>
      <c r="M183" s="95">
        <v>898.42024868757346</v>
      </c>
      <c r="N183" s="95">
        <v>4272.8585087048841</v>
      </c>
      <c r="O183" s="95">
        <v>10000</v>
      </c>
      <c r="Q183" s="98">
        <v>898.42024868757346</v>
      </c>
      <c r="R183" s="95">
        <v>1084.0345473814509</v>
      </c>
      <c r="S183" s="99">
        <v>608.93043014779528</v>
      </c>
      <c r="U183" s="121">
        <v>49945.574798371832</v>
      </c>
      <c r="V183" s="59">
        <v>281135.71113179595</v>
      </c>
      <c r="W183" s="59">
        <v>294418.43260779389</v>
      </c>
      <c r="X183" s="59">
        <v>761257.31917286327</v>
      </c>
      <c r="Y183" s="59">
        <v>1470227.7997479672</v>
      </c>
      <c r="Z183" s="59">
        <v>2717225.2640494569</v>
      </c>
      <c r="AA183" s="59">
        <v>1641627.9322340481</v>
      </c>
      <c r="AB183" s="59">
        <v>7215838.0337422974</v>
      </c>
      <c r="AC183" s="59">
        <v>977552575.99486184</v>
      </c>
      <c r="AD183" s="68">
        <v>7215838.0337422974</v>
      </c>
    </row>
    <row r="184" spans="1:30" x14ac:dyDescent="0.2">
      <c r="A184" s="95">
        <v>176</v>
      </c>
      <c r="B184" s="95">
        <v>14</v>
      </c>
      <c r="C184" s="95">
        <v>8</v>
      </c>
      <c r="D184" s="95"/>
      <c r="E184" s="95">
        <v>135.54296054899734</v>
      </c>
      <c r="F184" s="95">
        <v>768.31539884103529</v>
      </c>
      <c r="G184" s="95">
        <v>807.31886627191591</v>
      </c>
      <c r="H184" s="95">
        <v>1016.3552208397613</v>
      </c>
      <c r="I184" s="95">
        <v>1694.2306028060145</v>
      </c>
      <c r="J184" s="95">
        <v>67.976442719804808</v>
      </c>
      <c r="K184" s="95">
        <v>213.79711951710993</v>
      </c>
      <c r="L184" s="95">
        <v>92.689186464420089</v>
      </c>
      <c r="M184" s="95">
        <v>904.76011988859909</v>
      </c>
      <c r="N184" s="95">
        <v>4299.0140821023424</v>
      </c>
      <c r="O184" s="95">
        <v>10000</v>
      </c>
      <c r="Q184" s="98">
        <v>904.76011988859909</v>
      </c>
      <c r="R184" s="95">
        <v>1089.5630002399992</v>
      </c>
      <c r="S184" s="99">
        <v>612.51531967469305</v>
      </c>
      <c r="U184" s="121">
        <v>49446.119050388108</v>
      </c>
      <c r="V184" s="59">
        <v>279561.01860444696</v>
      </c>
      <c r="W184" s="59">
        <v>293392.02162741427</v>
      </c>
      <c r="X184" s="59">
        <v>759769.74005652033</v>
      </c>
      <c r="Y184" s="59">
        <v>1471934.5065580246</v>
      </c>
      <c r="Z184" s="59">
        <v>2725275.3972533736</v>
      </c>
      <c r="AA184" s="59">
        <v>1646187.3089619647</v>
      </c>
      <c r="AB184" s="59">
        <v>7225566.1121121328</v>
      </c>
      <c r="AC184" s="59">
        <v>984778142.10697401</v>
      </c>
      <c r="AD184" s="68">
        <v>7225566.1121121328</v>
      </c>
    </row>
    <row r="185" spans="1:30" x14ac:dyDescent="0.2">
      <c r="A185" s="95">
        <v>177</v>
      </c>
      <c r="B185" s="95">
        <v>14</v>
      </c>
      <c r="C185" s="95">
        <v>9</v>
      </c>
      <c r="D185" s="95"/>
      <c r="E185" s="95">
        <v>133.48722564733754</v>
      </c>
      <c r="F185" s="95">
        <v>760.03300022087512</v>
      </c>
      <c r="G185" s="95">
        <v>800.31493449201457</v>
      </c>
      <c r="H185" s="95">
        <v>1009.0983849214807</v>
      </c>
      <c r="I185" s="95">
        <v>1687.3954356798731</v>
      </c>
      <c r="J185" s="95">
        <v>67.744786075205809</v>
      </c>
      <c r="K185" s="95">
        <v>213.38561947595929</v>
      </c>
      <c r="L185" s="95">
        <v>92.462249041995065</v>
      </c>
      <c r="M185" s="95">
        <v>911.08472593703482</v>
      </c>
      <c r="N185" s="95">
        <v>4324.9936385082246</v>
      </c>
      <c r="O185" s="95">
        <v>10000</v>
      </c>
      <c r="Q185" s="98">
        <v>911.08472593703482</v>
      </c>
      <c r="R185" s="95">
        <v>1095.0692496991187</v>
      </c>
      <c r="S185" s="99">
        <v>616.08863889730924</v>
      </c>
      <c r="U185" s="121">
        <v>48951.657859884224</v>
      </c>
      <c r="V185" s="59">
        <v>277993.00412875559</v>
      </c>
      <c r="W185" s="59">
        <v>292364.97728751478</v>
      </c>
      <c r="X185" s="59">
        <v>758275.78077564191</v>
      </c>
      <c r="Y185" s="59">
        <v>1473616.5063875327</v>
      </c>
      <c r="Z185" s="59">
        <v>2733259.2349541173</v>
      </c>
      <c r="AA185" s="59">
        <v>1650707.9038996145</v>
      </c>
      <c r="AB185" s="59">
        <v>7235169.0652930606</v>
      </c>
      <c r="AC185" s="59">
        <v>992013311.17226708</v>
      </c>
      <c r="AD185" s="68">
        <v>7235169.0652930606</v>
      </c>
    </row>
    <row r="186" spans="1:30" x14ac:dyDescent="0.2">
      <c r="A186" s="95">
        <v>178</v>
      </c>
      <c r="B186" s="95">
        <v>14</v>
      </c>
      <c r="C186" s="95">
        <v>10</v>
      </c>
      <c r="D186" s="95"/>
      <c r="E186" s="95">
        <v>131.46266939168626</v>
      </c>
      <c r="F186" s="95">
        <v>751.83408816817575</v>
      </c>
      <c r="G186" s="95">
        <v>793.36031300349384</v>
      </c>
      <c r="H186" s="95">
        <v>1001.8809669605018</v>
      </c>
      <c r="I186" s="95">
        <v>1680.5573316165953</v>
      </c>
      <c r="J186" s="95">
        <v>67.512059059699965</v>
      </c>
      <c r="K186" s="95">
        <v>212.96745795864973</v>
      </c>
      <c r="L186" s="95">
        <v>92.232997137689722</v>
      </c>
      <c r="M186" s="95">
        <v>917.39390266936209</v>
      </c>
      <c r="N186" s="95">
        <v>4350.7982140341455</v>
      </c>
      <c r="O186" s="95">
        <v>10000</v>
      </c>
      <c r="Q186" s="98">
        <v>917.39390266936209</v>
      </c>
      <c r="R186" s="95">
        <v>1100.5532848650782</v>
      </c>
      <c r="S186" s="99">
        <v>619.65033920372571</v>
      </c>
      <c r="U186" s="121">
        <v>48462.141281285389</v>
      </c>
      <c r="V186" s="59">
        <v>276431.6674292786</v>
      </c>
      <c r="W186" s="59">
        <v>291337.3533828964</v>
      </c>
      <c r="X186" s="59">
        <v>756775.49156043818</v>
      </c>
      <c r="Y186" s="59">
        <v>1475273.8427285017</v>
      </c>
      <c r="Z186" s="59">
        <v>2741176.9612501473</v>
      </c>
      <c r="AA186" s="59">
        <v>1655189.8265602686</v>
      </c>
      <c r="AB186" s="59">
        <v>7244647.2841928164</v>
      </c>
      <c r="AC186" s="59">
        <v>999257958.45645988</v>
      </c>
      <c r="AD186" s="68">
        <v>7244647.2841928164</v>
      </c>
    </row>
    <row r="187" spans="1:30" x14ac:dyDescent="0.2">
      <c r="A187" s="95">
        <v>179</v>
      </c>
      <c r="B187" s="95">
        <v>14</v>
      </c>
      <c r="C187" s="95">
        <v>11</v>
      </c>
      <c r="D187" s="95"/>
      <c r="E187" s="95">
        <v>129.46881890591234</v>
      </c>
      <c r="F187" s="95">
        <v>743.71792309264254</v>
      </c>
      <c r="G187" s="95">
        <v>786.45483296921452</v>
      </c>
      <c r="H187" s="95">
        <v>994.7028655055492</v>
      </c>
      <c r="I187" s="95">
        <v>1673.7167005363169</v>
      </c>
      <c r="J187" s="95">
        <v>67.278298626108139</v>
      </c>
      <c r="K187" s="95">
        <v>212.54275256968927</v>
      </c>
      <c r="L187" s="95">
        <v>92.001478405034447</v>
      </c>
      <c r="M187" s="95">
        <v>923.68748932086442</v>
      </c>
      <c r="N187" s="95">
        <v>4376.4288400686683</v>
      </c>
      <c r="O187" s="95">
        <v>10000</v>
      </c>
      <c r="Q187" s="98">
        <v>923.68748932086442</v>
      </c>
      <c r="R187" s="95">
        <v>1106.0150961928321</v>
      </c>
      <c r="S187" s="99">
        <v>623.20037335371569</v>
      </c>
      <c r="U187" s="121">
        <v>47977.519868472533</v>
      </c>
      <c r="V187" s="59">
        <v>274877.00774562306</v>
      </c>
      <c r="W187" s="59">
        <v>290309.20315501245</v>
      </c>
      <c r="X187" s="59">
        <v>755268.92325054307</v>
      </c>
      <c r="Y187" s="59">
        <v>1476906.5594353073</v>
      </c>
      <c r="Z187" s="59">
        <v>2749028.7588543799</v>
      </c>
      <c r="AA187" s="59">
        <v>1659633.1854887728</v>
      </c>
      <c r="AB187" s="59">
        <v>7254001.1577981114</v>
      </c>
      <c r="AC187" s="59">
        <v>1006511959.6142581</v>
      </c>
      <c r="AD187" s="68">
        <v>7254001.1577981114</v>
      </c>
    </row>
    <row r="188" spans="1:30" x14ac:dyDescent="0.2">
      <c r="A188" s="95">
        <v>180</v>
      </c>
      <c r="B188" s="95">
        <v>15</v>
      </c>
      <c r="C188" s="95">
        <v>0</v>
      </c>
      <c r="D188" s="95"/>
      <c r="E188" s="95">
        <v>127.50520848583933</v>
      </c>
      <c r="F188" s="95">
        <v>735.68377003831711</v>
      </c>
      <c r="G188" s="95">
        <v>779.59832291617863</v>
      </c>
      <c r="H188" s="95">
        <v>987.5639789471993</v>
      </c>
      <c r="I188" s="95">
        <v>1666.8739473475969</v>
      </c>
      <c r="J188" s="95">
        <v>67.043541034093181</v>
      </c>
      <c r="K188" s="95">
        <v>212.11161956788075</v>
      </c>
      <c r="L188" s="95">
        <v>91.767739897829927</v>
      </c>
      <c r="M188" s="95">
        <v>929.96532848058996</v>
      </c>
      <c r="N188" s="95">
        <v>4401.886543284475</v>
      </c>
      <c r="O188" s="95">
        <v>10000</v>
      </c>
      <c r="Q188" s="98">
        <v>929.96532848058996</v>
      </c>
      <c r="R188" s="95">
        <v>1111.454675469575</v>
      </c>
      <c r="S188" s="99">
        <v>626.73869546111757</v>
      </c>
      <c r="U188" s="121">
        <v>47497.744669787804</v>
      </c>
      <c r="V188" s="59">
        <v>273329.0238408728</v>
      </c>
      <c r="W188" s="59">
        <v>289280.57929420506</v>
      </c>
      <c r="X188" s="59">
        <v>753756.12727757834</v>
      </c>
      <c r="Y188" s="59">
        <v>1478514.7007298598</v>
      </c>
      <c r="Z188" s="59">
        <v>2756814.8091286388</v>
      </c>
      <c r="AA188" s="59">
        <v>1664038.0882904558</v>
      </c>
      <c r="AB188" s="59">
        <v>7263231.0732313981</v>
      </c>
      <c r="AC188" s="59">
        <v>1013775190.6874894</v>
      </c>
      <c r="AD188" s="68">
        <v>7263231.0732313981</v>
      </c>
    </row>
    <row r="189" spans="1:30" x14ac:dyDescent="0.2">
      <c r="A189" s="95">
        <v>181</v>
      </c>
      <c r="B189" s="95">
        <v>15</v>
      </c>
      <c r="C189" s="95">
        <v>1</v>
      </c>
      <c r="D189" s="95"/>
      <c r="E189" s="95">
        <v>232.96128987177559</v>
      </c>
      <c r="F189" s="95">
        <v>1346.4344099822915</v>
      </c>
      <c r="G189" s="95">
        <v>1427.9645596197115</v>
      </c>
      <c r="H189" s="95">
        <v>1809.9825581401687</v>
      </c>
      <c r="I189" s="95">
        <v>3058.6974322447372</v>
      </c>
      <c r="J189" s="95">
        <v>116.83020306880768</v>
      </c>
      <c r="K189" s="95">
        <v>397.01037858831887</v>
      </c>
      <c r="L189" s="95">
        <v>168.63287982253041</v>
      </c>
      <c r="M189" s="95">
        <v>1257.5394640316069</v>
      </c>
      <c r="N189" s="95">
        <v>183.94682463005333</v>
      </c>
      <c r="O189" s="95">
        <v>10000.000000000002</v>
      </c>
      <c r="Q189" s="98">
        <v>1257.5394640316069</v>
      </c>
      <c r="R189" s="95">
        <v>1434.3118961769969</v>
      </c>
      <c r="S189" s="99">
        <v>825.06537692564916</v>
      </c>
      <c r="U189" s="121">
        <v>47018.809077700782</v>
      </c>
      <c r="V189" s="59">
        <v>271764.93659125007</v>
      </c>
      <c r="W189" s="59">
        <v>288227.42722703778</v>
      </c>
      <c r="X189" s="59">
        <v>752174.34263733029</v>
      </c>
      <c r="Y189" s="59">
        <v>1479975.1016481577</v>
      </c>
      <c r="Z189" s="59">
        <v>2764305.5575503036</v>
      </c>
      <c r="AA189" s="59">
        <v>1668265.9718187929</v>
      </c>
      <c r="AB189" s="59">
        <v>7271732.1465505734</v>
      </c>
      <c r="AC189" s="59">
        <v>1021046922.8340399</v>
      </c>
      <c r="AD189" s="68">
        <v>7271732.1465505734</v>
      </c>
    </row>
    <row r="190" spans="1:30" x14ac:dyDescent="0.2">
      <c r="A190" s="95">
        <v>182</v>
      </c>
      <c r="B190" s="95">
        <v>15</v>
      </c>
      <c r="C190" s="95">
        <v>2</v>
      </c>
      <c r="D190" s="95"/>
      <c r="E190" s="95">
        <v>230.63167697305784</v>
      </c>
      <c r="F190" s="95">
        <v>1338.8319302186712</v>
      </c>
      <c r="G190" s="95">
        <v>1422.8651666209839</v>
      </c>
      <c r="H190" s="95">
        <v>1806.3132100348091</v>
      </c>
      <c r="I190" s="95">
        <v>3061.9200089562833</v>
      </c>
      <c r="J190" s="95">
        <v>116.98248265417122</v>
      </c>
      <c r="K190" s="95">
        <v>398.28128726957817</v>
      </c>
      <c r="L190" s="95">
        <v>169.07044526256564</v>
      </c>
      <c r="M190" s="95">
        <v>1269.0173389519932</v>
      </c>
      <c r="N190" s="95">
        <v>186.08645305788789</v>
      </c>
      <c r="O190" s="95">
        <v>10000.000000000002</v>
      </c>
      <c r="Q190" s="98">
        <v>1269.0173389519932</v>
      </c>
      <c r="R190" s="95">
        <v>1444.2526628317923</v>
      </c>
      <c r="S190" s="99">
        <v>831.54562055932502</v>
      </c>
      <c r="U190" s="121">
        <v>46544.70275283396</v>
      </c>
      <c r="V190" s="59">
        <v>270207.78003337252</v>
      </c>
      <c r="W190" s="59">
        <v>287174.07877987978</v>
      </c>
      <c r="X190" s="59">
        <v>750586.69330092543</v>
      </c>
      <c r="Y190" s="59">
        <v>1481410.763052583</v>
      </c>
      <c r="Z190" s="59">
        <v>2771729.6498456751</v>
      </c>
      <c r="AA190" s="59">
        <v>1672454.8955222152</v>
      </c>
      <c r="AB190" s="59">
        <v>7280108.5632874854</v>
      </c>
      <c r="AC190" s="59">
        <v>1028327031.3973274</v>
      </c>
      <c r="AD190" s="68">
        <v>7280108.5632874854</v>
      </c>
    </row>
    <row r="191" spans="1:30" x14ac:dyDescent="0.2">
      <c r="A191" s="95">
        <v>183</v>
      </c>
      <c r="B191" s="95">
        <v>15</v>
      </c>
      <c r="C191" s="95">
        <v>3</v>
      </c>
      <c r="D191" s="95"/>
      <c r="E191" s="95">
        <v>228.32536020332725</v>
      </c>
      <c r="F191" s="95">
        <v>1331.262488247555</v>
      </c>
      <c r="G191" s="95">
        <v>1417.7641915021677</v>
      </c>
      <c r="H191" s="95">
        <v>1802.6292557015072</v>
      </c>
      <c r="I191" s="95">
        <v>3065.0920766114905</v>
      </c>
      <c r="J191" s="95">
        <v>117.13209849399249</v>
      </c>
      <c r="K191" s="95">
        <v>399.54274115204498</v>
      </c>
      <c r="L191" s="95">
        <v>169.50415568067396</v>
      </c>
      <c r="M191" s="95">
        <v>1280.5249552973571</v>
      </c>
      <c r="N191" s="95">
        <v>188.22267710988544</v>
      </c>
      <c r="O191" s="95">
        <v>10000.000000000002</v>
      </c>
      <c r="Q191" s="98">
        <v>1280.5249552973571</v>
      </c>
      <c r="R191" s="95">
        <v>1454.2039028609004</v>
      </c>
      <c r="S191" s="99">
        <v>838.03768859934189</v>
      </c>
      <c r="U191" s="121">
        <v>46075.377000076223</v>
      </c>
      <c r="V191" s="59">
        <v>268657.5498499652</v>
      </c>
      <c r="W191" s="59">
        <v>286120.58507439075</v>
      </c>
      <c r="X191" s="59">
        <v>748993.23387220781</v>
      </c>
      <c r="Y191" s="59">
        <v>1482821.7364500675</v>
      </c>
      <c r="Z191" s="59">
        <v>2779087.2991586211</v>
      </c>
      <c r="AA191" s="59">
        <v>1676604.9740063762</v>
      </c>
      <c r="AB191" s="59">
        <v>7288360.755411705</v>
      </c>
      <c r="AC191" s="59">
        <v>1035615392.1527392</v>
      </c>
      <c r="AD191" s="68">
        <v>7288360.755411705</v>
      </c>
    </row>
    <row r="192" spans="1:30" x14ac:dyDescent="0.2">
      <c r="A192" s="95">
        <v>184</v>
      </c>
      <c r="B192" s="95">
        <v>15</v>
      </c>
      <c r="C192" s="95">
        <v>4</v>
      </c>
      <c r="D192" s="95"/>
      <c r="E192" s="95">
        <v>226.04210660129397</v>
      </c>
      <c r="F192" s="95">
        <v>1323.7260689290554</v>
      </c>
      <c r="G192" s="95">
        <v>1412.6618844976906</v>
      </c>
      <c r="H192" s="95">
        <v>1798.9308241641556</v>
      </c>
      <c r="I192" s="95">
        <v>3068.2137297257514</v>
      </c>
      <c r="J192" s="95">
        <v>117.27906627626849</v>
      </c>
      <c r="K192" s="95">
        <v>400.79476073960598</v>
      </c>
      <c r="L192" s="95">
        <v>169.93402161615742</v>
      </c>
      <c r="M192" s="95">
        <v>1292.062047248239</v>
      </c>
      <c r="N192" s="95">
        <v>190.35549020178362</v>
      </c>
      <c r="O192" s="95">
        <v>10000.000000000002</v>
      </c>
      <c r="Q192" s="98">
        <v>1292.062047248239</v>
      </c>
      <c r="R192" s="95">
        <v>1464.1654521098876</v>
      </c>
      <c r="S192" s="99">
        <v>844.54145344671622</v>
      </c>
      <c r="U192" s="121">
        <v>45610.783615325454</v>
      </c>
      <c r="V192" s="59">
        <v>267114.24128099531</v>
      </c>
      <c r="W192" s="59">
        <v>285066.99667339266</v>
      </c>
      <c r="X192" s="59">
        <v>747394.019461488</v>
      </c>
      <c r="Y192" s="59">
        <v>1484208.0737174391</v>
      </c>
      <c r="Z192" s="59">
        <v>2786378.7167037115</v>
      </c>
      <c r="AA192" s="59">
        <v>1680716.3212103241</v>
      </c>
      <c r="AB192" s="59">
        <v>7296489.1526626758</v>
      </c>
      <c r="AC192" s="59">
        <v>1042911881.3054018</v>
      </c>
      <c r="AD192" s="68">
        <v>7296489.1526626758</v>
      </c>
    </row>
    <row r="193" spans="1:30" x14ac:dyDescent="0.2">
      <c r="A193" s="95">
        <v>185</v>
      </c>
      <c r="B193" s="95">
        <v>15</v>
      </c>
      <c r="C193" s="95">
        <v>5</v>
      </c>
      <c r="D193" s="95"/>
      <c r="E193" s="95">
        <v>223.78168553528101</v>
      </c>
      <c r="F193" s="95">
        <v>1316.2226549629383</v>
      </c>
      <c r="G193" s="95">
        <v>1407.5584931698368</v>
      </c>
      <c r="H193" s="95">
        <v>1795.2180456695046</v>
      </c>
      <c r="I193" s="95">
        <v>3071.2850636206181</v>
      </c>
      <c r="J193" s="95">
        <v>117.42340148856164</v>
      </c>
      <c r="K193" s="95">
        <v>402.03736640031786</v>
      </c>
      <c r="L193" s="95">
        <v>170.36005354601511</v>
      </c>
      <c r="M193" s="95">
        <v>1303.628349789507</v>
      </c>
      <c r="N193" s="95">
        <v>192.48488581742114</v>
      </c>
      <c r="O193" s="95">
        <v>10000.000000000002</v>
      </c>
      <c r="Q193" s="98">
        <v>1303.628349789507</v>
      </c>
      <c r="R193" s="95">
        <v>1474.1371467314964</v>
      </c>
      <c r="S193" s="99">
        <v>851.05678781781955</v>
      </c>
      <c r="U193" s="121">
        <v>45150.874880537587</v>
      </c>
      <c r="V193" s="59">
        <v>265577.84913174406</v>
      </c>
      <c r="W193" s="59">
        <v>284013.36358350795</v>
      </c>
      <c r="X193" s="59">
        <v>745789.10566897236</v>
      </c>
      <c r="Y193" s="59">
        <v>1485569.8271053634</v>
      </c>
      <c r="Z193" s="59">
        <v>2793604.1118158405</v>
      </c>
      <c r="AA193" s="59">
        <v>1684789.0504191623</v>
      </c>
      <c r="AB193" s="59">
        <v>7304494.1826051278</v>
      </c>
      <c r="AC193" s="59">
        <v>1050216375.4880069</v>
      </c>
      <c r="AD193" s="68">
        <v>7304494.1826051278</v>
      </c>
    </row>
    <row r="194" spans="1:30" x14ac:dyDescent="0.2">
      <c r="A194" s="95">
        <v>186</v>
      </c>
      <c r="B194" s="95">
        <v>15</v>
      </c>
      <c r="C194" s="95">
        <v>6</v>
      </c>
      <c r="D194" s="95"/>
      <c r="E194" s="95">
        <v>221.54386867992821</v>
      </c>
      <c r="F194" s="95">
        <v>1308.7522269271792</v>
      </c>
      <c r="G194" s="95">
        <v>1402.4542624208334</v>
      </c>
      <c r="H194" s="95">
        <v>1791.4910516483137</v>
      </c>
      <c r="I194" s="95">
        <v>3074.3061744318602</v>
      </c>
      <c r="J194" s="95">
        <v>117.56511942314276</v>
      </c>
      <c r="K194" s="95">
        <v>403.27057837018174</v>
      </c>
      <c r="L194" s="95">
        <v>170.78226188621062</v>
      </c>
      <c r="M194" s="95">
        <v>1315.2235987038321</v>
      </c>
      <c r="N194" s="95">
        <v>194.61085750851942</v>
      </c>
      <c r="O194" s="95">
        <v>10000.000000000002</v>
      </c>
      <c r="Q194" s="98">
        <v>1315.2235987038321</v>
      </c>
      <c r="R194" s="95">
        <v>1484.1188231882634</v>
      </c>
      <c r="S194" s="99">
        <v>857.58356474341394</v>
      </c>
      <c r="U194" s="121">
        <v>44695.603558825504</v>
      </c>
      <c r="V194" s="59">
        <v>264048.36778076884</v>
      </c>
      <c r="W194" s="59">
        <v>282959.73525782826</v>
      </c>
      <c r="X194" s="59">
        <v>744178.54856841371</v>
      </c>
      <c r="Y194" s="59">
        <v>1486907.0492420825</v>
      </c>
      <c r="Z194" s="59">
        <v>2800763.691999061</v>
      </c>
      <c r="AA194" s="59">
        <v>1688823.2742768675</v>
      </c>
      <c r="AB194" s="59">
        <v>7312376.2706838474</v>
      </c>
      <c r="AC194" s="59">
        <v>1057528751.7586908</v>
      </c>
      <c r="AD194" s="68">
        <v>7312376.2706838474</v>
      </c>
    </row>
    <row r="195" spans="1:30" x14ac:dyDescent="0.2">
      <c r="A195" s="95">
        <v>187</v>
      </c>
      <c r="B195" s="95">
        <v>15</v>
      </c>
      <c r="C195" s="95">
        <v>7</v>
      </c>
      <c r="D195" s="95"/>
      <c r="E195" s="95">
        <v>219.32842999312894</v>
      </c>
      <c r="F195" s="95">
        <v>1301.3147633160092</v>
      </c>
      <c r="G195" s="95">
        <v>1397.3494345050874</v>
      </c>
      <c r="H195" s="95">
        <v>1787.7499746770095</v>
      </c>
      <c r="I195" s="95">
        <v>3077.2771591171118</v>
      </c>
      <c r="J195" s="95">
        <v>117.70423518201837</v>
      </c>
      <c r="K195" s="95">
        <v>404.49441675689314</v>
      </c>
      <c r="L195" s="95">
        <v>171.20065699295409</v>
      </c>
      <c r="M195" s="95">
        <v>1326.8475305653224</v>
      </c>
      <c r="N195" s="95">
        <v>196.73339889446632</v>
      </c>
      <c r="O195" s="95">
        <v>10000.000000000002</v>
      </c>
      <c r="Q195" s="98">
        <v>1326.8475305653224</v>
      </c>
      <c r="R195" s="95">
        <v>1494.1103182551669</v>
      </c>
      <c r="S195" s="99">
        <v>864.12165756774664</v>
      </c>
      <c r="U195" s="121">
        <v>44244.92288960734</v>
      </c>
      <c r="V195" s="59">
        <v>262525.79118776001</v>
      </c>
      <c r="W195" s="59">
        <v>281906.16059861117</v>
      </c>
      <c r="X195" s="59">
        <v>742562.40469097893</v>
      </c>
      <c r="Y195" s="59">
        <v>1488219.7931369515</v>
      </c>
      <c r="Z195" s="59">
        <v>2807857.6629746407</v>
      </c>
      <c r="AA195" s="59">
        <v>1692819.1047992466</v>
      </c>
      <c r="AB195" s="59">
        <v>7320135.8402777966</v>
      </c>
      <c r="AC195" s="59">
        <v>1064848887.5989686</v>
      </c>
      <c r="AD195" s="68">
        <v>7320135.8402777966</v>
      </c>
    </row>
    <row r="196" spans="1:30" x14ac:dyDescent="0.2">
      <c r="A196" s="95">
        <v>188</v>
      </c>
      <c r="B196" s="95">
        <v>15</v>
      </c>
      <c r="C196" s="95">
        <v>8</v>
      </c>
      <c r="D196" s="95"/>
      <c r="E196" s="95">
        <v>217.13514569319764</v>
      </c>
      <c r="F196" s="95">
        <v>1293.9102405774581</v>
      </c>
      <c r="G196" s="95">
        <v>1392.2442490415654</v>
      </c>
      <c r="H196" s="95">
        <v>1783.9949484398467</v>
      </c>
      <c r="I196" s="95">
        <v>3080.1981154631098</v>
      </c>
      <c r="J196" s="95">
        <v>117.84076368184424</v>
      </c>
      <c r="K196" s="95">
        <v>405.70890154356772</v>
      </c>
      <c r="L196" s="95">
        <v>171.61524916399705</v>
      </c>
      <c r="M196" s="95">
        <v>1338.4998827333134</v>
      </c>
      <c r="N196" s="95">
        <v>198.85250366210136</v>
      </c>
      <c r="O196" s="95">
        <v>10000.000000000002</v>
      </c>
      <c r="Q196" s="98">
        <v>1338.4998827333134</v>
      </c>
      <c r="R196" s="95">
        <v>1504.1114690222976</v>
      </c>
      <c r="S196" s="99">
        <v>870.6709399477038</v>
      </c>
      <c r="U196" s="121">
        <v>43798.786583803798</v>
      </c>
      <c r="V196" s="59">
        <v>261010.11290129114</v>
      </c>
      <c r="W196" s="59">
        <v>280852.68796000548</v>
      </c>
      <c r="X196" s="59">
        <v>740940.73100933468</v>
      </c>
      <c r="Y196" s="59">
        <v>1489508.1121837753</v>
      </c>
      <c r="Z196" s="59">
        <v>2814886.2287283484</v>
      </c>
      <c r="AA196" s="59">
        <v>1696776.653387011</v>
      </c>
      <c r="AB196" s="59">
        <v>7327773.3127535693</v>
      </c>
      <c r="AC196" s="59">
        <v>1072176660.9117222</v>
      </c>
      <c r="AD196" s="68">
        <v>7327773.3127535693</v>
      </c>
    </row>
    <row r="197" spans="1:30" x14ac:dyDescent="0.2">
      <c r="A197" s="95">
        <v>189</v>
      </c>
      <c r="B197" s="95">
        <v>15</v>
      </c>
      <c r="C197" s="95">
        <v>9</v>
      </c>
      <c r="D197" s="95"/>
      <c r="E197" s="95">
        <v>214.96379423626567</v>
      </c>
      <c r="F197" s="95">
        <v>1286.5386331503987</v>
      </c>
      <c r="G197" s="95">
        <v>1387.138943026313</v>
      </c>
      <c r="H197" s="95">
        <v>1780.2261076915672</v>
      </c>
      <c r="I197" s="95">
        <v>3083.0691420925336</v>
      </c>
      <c r="J197" s="95">
        <v>117.97471965872764</v>
      </c>
      <c r="K197" s="95">
        <v>406.91405259244112</v>
      </c>
      <c r="L197" s="95">
        <v>172.02604863993813</v>
      </c>
      <c r="M197" s="95">
        <v>1350.1803933463136</v>
      </c>
      <c r="N197" s="95">
        <v>200.96816556550252</v>
      </c>
      <c r="O197" s="95">
        <v>10000.000000000002</v>
      </c>
      <c r="Q197" s="98">
        <v>1350.1803933463136</v>
      </c>
      <c r="R197" s="95">
        <v>1514.1221128975526</v>
      </c>
      <c r="S197" s="99">
        <v>877.23128585202141</v>
      </c>
      <c r="U197" s="121">
        <v>43357.148819083777</v>
      </c>
      <c r="V197" s="59">
        <v>259501.32606646535</v>
      </c>
      <c r="W197" s="59">
        <v>279799.36515080289</v>
      </c>
      <c r="X197" s="59">
        <v>739313.58492194733</v>
      </c>
      <c r="Y197" s="59">
        <v>1490772.0601639526</v>
      </c>
      <c r="Z197" s="59">
        <v>2821849.5915569779</v>
      </c>
      <c r="AA197" s="59">
        <v>1700696.0308389538</v>
      </c>
      <c r="AB197" s="59">
        <v>7335289.107518184</v>
      </c>
      <c r="AC197" s="59">
        <v>1079511950.0192404</v>
      </c>
      <c r="AD197" s="68">
        <v>7335289.107518184</v>
      </c>
    </row>
    <row r="198" spans="1:30" x14ac:dyDescent="0.2">
      <c r="A198" s="95">
        <v>190</v>
      </c>
      <c r="B198" s="95">
        <v>15</v>
      </c>
      <c r="C198" s="95">
        <v>10</v>
      </c>
      <c r="D198" s="95"/>
      <c r="E198" s="95">
        <v>212.81415629390301</v>
      </c>
      <c r="F198" s="95">
        <v>1279.1999135010994</v>
      </c>
      <c r="G198" s="95">
        <v>1382.0337508451087</v>
      </c>
      <c r="H198" s="95">
        <v>1776.4435882205557</v>
      </c>
      <c r="I198" s="95">
        <v>3085.8903384704536</v>
      </c>
      <c r="J198" s="95">
        <v>118.10611767292048</v>
      </c>
      <c r="K198" s="95">
        <v>408.10988964854278</v>
      </c>
      <c r="L198" s="95">
        <v>172.43306560553825</v>
      </c>
      <c r="M198" s="95">
        <v>1361.8888013161049</v>
      </c>
      <c r="N198" s="95">
        <v>203.08037842577457</v>
      </c>
      <c r="O198" s="95">
        <v>10000.000000000002</v>
      </c>
      <c r="Q198" s="98">
        <v>1361.8888013161049</v>
      </c>
      <c r="R198" s="95">
        <v>1524.1420876093534</v>
      </c>
      <c r="S198" s="99">
        <v>883.80256956055268</v>
      </c>
      <c r="U198" s="121">
        <v>42919.964235158019</v>
      </c>
      <c r="V198" s="59">
        <v>257999.42343245845</v>
      </c>
      <c r="W198" s="59">
        <v>278746.23943721538</v>
      </c>
      <c r="X198" s="59">
        <v>737681.02423759736</v>
      </c>
      <c r="Y198" s="59">
        <v>1492011.6912494262</v>
      </c>
      <c r="Z198" s="59">
        <v>2828747.9521141164</v>
      </c>
      <c r="AA198" s="59">
        <v>1704577.3473652168</v>
      </c>
      <c r="AB198" s="59">
        <v>7342683.6420711884</v>
      </c>
      <c r="AC198" s="59">
        <v>1086854633.6613116</v>
      </c>
      <c r="AD198" s="68">
        <v>7342683.6420711884</v>
      </c>
    </row>
    <row r="199" spans="1:30" x14ac:dyDescent="0.2">
      <c r="A199" s="95">
        <v>191</v>
      </c>
      <c r="B199" s="95">
        <v>15</v>
      </c>
      <c r="C199" s="95">
        <v>11</v>
      </c>
      <c r="D199" s="95"/>
      <c r="E199" s="95">
        <v>210.68601473096399</v>
      </c>
      <c r="F199" s="95">
        <v>1271.8940521592904</v>
      </c>
      <c r="G199" s="95">
        <v>1376.9289042862458</v>
      </c>
      <c r="H199" s="95">
        <v>1772.6475268124864</v>
      </c>
      <c r="I199" s="95">
        <v>3088.6618049103899</v>
      </c>
      <c r="J199" s="95">
        <v>118.23497211340543</v>
      </c>
      <c r="K199" s="95">
        <v>409.29643234334247</v>
      </c>
      <c r="L199" s="95">
        <v>172.83631019104362</v>
      </c>
      <c r="M199" s="95">
        <v>1373.6248463219945</v>
      </c>
      <c r="N199" s="95">
        <v>205.1891361308391</v>
      </c>
      <c r="O199" s="95">
        <v>10000.000000000002</v>
      </c>
      <c r="Q199" s="98">
        <v>1373.6248463219945</v>
      </c>
      <c r="R199" s="95">
        <v>1534.1712312093823</v>
      </c>
      <c r="S199" s="99">
        <v>890.38466566358989</v>
      </c>
      <c r="U199" s="121">
        <v>42487.187929120177</v>
      </c>
      <c r="V199" s="59">
        <v>256504.39735996051</v>
      </c>
      <c r="W199" s="59">
        <v>277693.3575456774</v>
      </c>
      <c r="X199" s="59">
        <v>736043.10716010514</v>
      </c>
      <c r="Y199" s="59">
        <v>1493227.0600054467</v>
      </c>
      <c r="Z199" s="59">
        <v>2835581.50945517</v>
      </c>
      <c r="AA199" s="59">
        <v>1708420.712600624</v>
      </c>
      <c r="AB199" s="59">
        <v>7349957.3320561042</v>
      </c>
      <c r="AC199" s="59">
        <v>1094204590.9933677</v>
      </c>
      <c r="AD199" s="68">
        <v>7349957.3320561042</v>
      </c>
    </row>
    <row r="200" spans="1:30" x14ac:dyDescent="0.2">
      <c r="A200" s="95">
        <v>192</v>
      </c>
      <c r="B200" s="95">
        <v>16</v>
      </c>
      <c r="C200" s="95">
        <v>0</v>
      </c>
      <c r="D200" s="95"/>
      <c r="E200" s="95">
        <v>208.57915458365434</v>
      </c>
      <c r="F200" s="95">
        <v>1264.6210177537491</v>
      </c>
      <c r="G200" s="95">
        <v>1371.8246325534401</v>
      </c>
      <c r="H200" s="95">
        <v>1768.8380612144583</v>
      </c>
      <c r="I200" s="95">
        <v>3091.3836425799955</v>
      </c>
      <c r="J200" s="95">
        <v>118.37121570297653</v>
      </c>
      <c r="K200" s="95">
        <v>410.46378169776989</v>
      </c>
      <c r="L200" s="95">
        <v>173.23579247351492</v>
      </c>
      <c r="M200" s="95">
        <v>1385.388268805217</v>
      </c>
      <c r="N200" s="95">
        <v>207.29443263522589</v>
      </c>
      <c r="O200" s="95">
        <v>10000.000000000002</v>
      </c>
      <c r="Q200" s="98">
        <v>1385.388268805217</v>
      </c>
      <c r="R200" s="95">
        <v>1544.2093820753412</v>
      </c>
      <c r="S200" s="99">
        <v>896.97744906124024</v>
      </c>
      <c r="U200" s="121">
        <v>42058.775450834881</v>
      </c>
      <c r="V200" s="59">
        <v>255016.23982851638</v>
      </c>
      <c r="W200" s="59">
        <v>276640.76566567185</v>
      </c>
      <c r="X200" s="59">
        <v>734399.89227326808</v>
      </c>
      <c r="Y200" s="59">
        <v>1494418.2213931489</v>
      </c>
      <c r="Z200" s="59">
        <v>2842350.4610816496</v>
      </c>
      <c r="AA200" s="59">
        <v>1712226.2356180747</v>
      </c>
      <c r="AB200" s="59">
        <v>7357110.5913111642</v>
      </c>
      <c r="AC200" s="59">
        <v>1101561701.5846789</v>
      </c>
      <c r="AD200" s="68">
        <v>7357110.5913111642</v>
      </c>
    </row>
    <row r="201" spans="1:30" x14ac:dyDescent="0.2">
      <c r="A201" s="95">
        <v>193</v>
      </c>
      <c r="B201" s="95">
        <v>16</v>
      </c>
      <c r="C201" s="95">
        <v>1</v>
      </c>
      <c r="D201" s="95"/>
      <c r="E201" s="95">
        <v>206.4933630378178</v>
      </c>
      <c r="F201" s="95">
        <v>1257.3807770474123</v>
      </c>
      <c r="G201" s="95">
        <v>1366.7211622788564</v>
      </c>
      <c r="H201" s="95">
        <v>1765.015330099616</v>
      </c>
      <c r="I201" s="95">
        <v>3094.0559535063621</v>
      </c>
      <c r="J201" s="95">
        <v>118.50474651398775</v>
      </c>
      <c r="K201" s="95">
        <v>411.62201525651489</v>
      </c>
      <c r="L201" s="95">
        <v>173.63152247816151</v>
      </c>
      <c r="M201" s="95">
        <v>1397.1788678214073</v>
      </c>
      <c r="N201" s="95">
        <v>209.39626195986577</v>
      </c>
      <c r="O201" s="95">
        <v>10000.000000000002</v>
      </c>
      <c r="Q201" s="98">
        <v>1397.1788678214073</v>
      </c>
      <c r="R201" s="95">
        <v>1554.2563789137262</v>
      </c>
      <c r="S201" s="99">
        <v>903.5807949628545</v>
      </c>
      <c r="U201" s="121">
        <v>41634.682798372298</v>
      </c>
      <c r="V201" s="59">
        <v>253534.94244376716</v>
      </c>
      <c r="W201" s="59">
        <v>275588.50945257855</v>
      </c>
      <c r="X201" s="59">
        <v>732751.43852600513</v>
      </c>
      <c r="Y201" s="59">
        <v>1495585.23077195</v>
      </c>
      <c r="Z201" s="59">
        <v>2849054.6916671456</v>
      </c>
      <c r="AA201" s="59">
        <v>1715994.0249419755</v>
      </c>
      <c r="AB201" s="59">
        <v>7364143.5206017941</v>
      </c>
      <c r="AC201" s="59">
        <v>1108925845.1052806</v>
      </c>
      <c r="AD201" s="68">
        <v>7364143.5206017941</v>
      </c>
    </row>
    <row r="202" spans="1:30" x14ac:dyDescent="0.2">
      <c r="A202" s="95">
        <v>194</v>
      </c>
      <c r="B202" s="95">
        <v>16</v>
      </c>
      <c r="C202" s="95">
        <v>2</v>
      </c>
      <c r="D202" s="95"/>
      <c r="E202" s="95">
        <v>204.42842940743964</v>
      </c>
      <c r="F202" s="95">
        <v>1250.1732949720167</v>
      </c>
      <c r="G202" s="95">
        <v>1361.6187175362506</v>
      </c>
      <c r="H202" s="95">
        <v>1761.1794730322501</v>
      </c>
      <c r="I202" s="95">
        <v>3096.6788405809621</v>
      </c>
      <c r="J202" s="95">
        <v>118.63620059941469</v>
      </c>
      <c r="K202" s="95">
        <v>412.77053221498517</v>
      </c>
      <c r="L202" s="95">
        <v>174.02350985181766</v>
      </c>
      <c r="M202" s="95">
        <v>1408.9963836274449</v>
      </c>
      <c r="N202" s="95">
        <v>211.49461817742045</v>
      </c>
      <c r="O202" s="95">
        <v>10000.000000000002</v>
      </c>
      <c r="Q202" s="98">
        <v>1408.9963836274449</v>
      </c>
      <c r="R202" s="95">
        <v>1564.3120607626217</v>
      </c>
      <c r="S202" s="99">
        <v>910.19457855864482</v>
      </c>
      <c r="U202" s="121">
        <v>41214.866413488708</v>
      </c>
      <c r="V202" s="59">
        <v>252060.49644459336</v>
      </c>
      <c r="W202" s="59">
        <v>274536.63403054525</v>
      </c>
      <c r="X202" s="59">
        <v>731097.80521770986</v>
      </c>
      <c r="Y202" s="59">
        <v>1496728.1439017651</v>
      </c>
      <c r="Z202" s="59">
        <v>2855694.406759439</v>
      </c>
      <c r="AA202" s="59">
        <v>1719724.1853176728</v>
      </c>
      <c r="AB202" s="59">
        <v>7371056.5380852139</v>
      </c>
      <c r="AC202" s="59">
        <v>1116296901.6433659</v>
      </c>
      <c r="AD202" s="68">
        <v>7371056.5380852139</v>
      </c>
    </row>
    <row r="203" spans="1:30" x14ac:dyDescent="0.2">
      <c r="A203" s="95">
        <v>195</v>
      </c>
      <c r="B203" s="95">
        <v>16</v>
      </c>
      <c r="C203" s="95">
        <v>3</v>
      </c>
      <c r="D203" s="95"/>
      <c r="E203" s="95">
        <v>202.38414511336524</v>
      </c>
      <c r="F203" s="95">
        <v>1242.9985346622777</v>
      </c>
      <c r="G203" s="95">
        <v>1356.5175198542224</v>
      </c>
      <c r="H203" s="95">
        <v>1757.3306304333762</v>
      </c>
      <c r="I203" s="95">
        <v>3099.2524075642295</v>
      </c>
      <c r="J203" s="95">
        <v>118.76558396692154</v>
      </c>
      <c r="K203" s="95">
        <v>413.90935790045023</v>
      </c>
      <c r="L203" s="95">
        <v>174.41176421542025</v>
      </c>
      <c r="M203" s="95">
        <v>1420.8405608627697</v>
      </c>
      <c r="N203" s="95">
        <v>213.58949542696925</v>
      </c>
      <c r="O203" s="95">
        <v>10000.000000000002</v>
      </c>
      <c r="Q203" s="98">
        <v>1420.8405608627697</v>
      </c>
      <c r="R203" s="95">
        <v>1574.3762669945099</v>
      </c>
      <c r="S203" s="99">
        <v>916.8186753586042</v>
      </c>
      <c r="U203" s="121">
        <v>40799.283177152691</v>
      </c>
      <c r="V203" s="59">
        <v>250592.89271016078</v>
      </c>
      <c r="W203" s="59">
        <v>273485.18399537879</v>
      </c>
      <c r="X203" s="59">
        <v>729439.05198380875</v>
      </c>
      <c r="Y203" s="59">
        <v>1497847.016945051</v>
      </c>
      <c r="Z203" s="59">
        <v>2862269.7908101087</v>
      </c>
      <c r="AA203" s="59">
        <v>1723416.8212003494</v>
      </c>
      <c r="AB203" s="59">
        <v>7377850.0408220105</v>
      </c>
      <c r="AC203" s="59">
        <v>1123674751.6841879</v>
      </c>
      <c r="AD203" s="68">
        <v>7377850.0408220105</v>
      </c>
    </row>
    <row r="204" spans="1:30" x14ac:dyDescent="0.2">
      <c r="A204" s="95">
        <v>196</v>
      </c>
      <c r="B204" s="95">
        <v>16</v>
      </c>
      <c r="C204" s="95">
        <v>4</v>
      </c>
      <c r="D204" s="95"/>
      <c r="E204" s="95">
        <v>200.36030366223159</v>
      </c>
      <c r="F204" s="95">
        <v>1235.8564574896097</v>
      </c>
      <c r="G204" s="95">
        <v>1351.4177882295744</v>
      </c>
      <c r="H204" s="95">
        <v>1753.4689435467874</v>
      </c>
      <c r="I204" s="95">
        <v>3101.7767590897856</v>
      </c>
      <c r="J204" s="95">
        <v>118.89290260720914</v>
      </c>
      <c r="K204" s="95">
        <v>415.03851748146189</v>
      </c>
      <c r="L204" s="95">
        <v>174.79629514377439</v>
      </c>
      <c r="M204" s="95">
        <v>1432.7111448366709</v>
      </c>
      <c r="N204" s="95">
        <v>215.68088791289682</v>
      </c>
      <c r="O204" s="95">
        <v>10000.000000000002</v>
      </c>
      <c r="Q204" s="98">
        <v>1432.7111448366709</v>
      </c>
      <c r="R204" s="95">
        <v>1584.4488373190936</v>
      </c>
      <c r="S204" s="99">
        <v>923.45296117134421</v>
      </c>
      <c r="U204" s="121">
        <v>40387.890405116406</v>
      </c>
      <c r="V204" s="59">
        <v>249132.12176687102</v>
      </c>
      <c r="W204" s="59">
        <v>272434.20341745683</v>
      </c>
      <c r="X204" s="59">
        <v>727775.23878152249</v>
      </c>
      <c r="Y204" s="59">
        <v>1498941.906468675</v>
      </c>
      <c r="Z204" s="59">
        <v>2868781.0272651073</v>
      </c>
      <c r="AA204" s="59">
        <v>1727072.0365552215</v>
      </c>
      <c r="AB204" s="59">
        <v>7384524.4246599702</v>
      </c>
      <c r="AC204" s="59">
        <v>1131059276.1088479</v>
      </c>
      <c r="AD204" s="68">
        <v>7384524.4246599702</v>
      </c>
    </row>
    <row r="205" spans="1:30" x14ac:dyDescent="0.2">
      <c r="A205" s="95">
        <v>197</v>
      </c>
      <c r="B205" s="95">
        <v>16</v>
      </c>
      <c r="C205" s="95">
        <v>5</v>
      </c>
      <c r="D205" s="95"/>
      <c r="E205" s="95">
        <v>198.35670062560928</v>
      </c>
      <c r="F205" s="95">
        <v>1228.7470230953927</v>
      </c>
      <c r="G205" s="95">
        <v>1346.3197391407728</v>
      </c>
      <c r="H205" s="95">
        <v>1749.5945544055776</v>
      </c>
      <c r="I205" s="95">
        <v>3104.2520006683189</v>
      </c>
      <c r="J205" s="95">
        <v>119.01816249527393</v>
      </c>
      <c r="K205" s="95">
        <v>416.15803597221128</v>
      </c>
      <c r="L205" s="95">
        <v>175.17711216722969</v>
      </c>
      <c r="M205" s="95">
        <v>1444.6078815249066</v>
      </c>
      <c r="N205" s="95">
        <v>217.76878990470945</v>
      </c>
      <c r="O205" s="95">
        <v>10000.000000000002</v>
      </c>
      <c r="Q205" s="98">
        <v>1444.6078815249066</v>
      </c>
      <c r="R205" s="95">
        <v>1594.5296117861353</v>
      </c>
      <c r="S205" s="99">
        <v>930.09731210411815</v>
      </c>
      <c r="U205" s="121">
        <v>39980.645843531485</v>
      </c>
      <c r="V205" s="59">
        <v>247678.1737952166</v>
      </c>
      <c r="W205" s="59">
        <v>271383.73584465845</v>
      </c>
      <c r="X205" s="59">
        <v>726106.4258758314</v>
      </c>
      <c r="Y205" s="59">
        <v>1500012.8694456161</v>
      </c>
      <c r="Z205" s="59">
        <v>2875228.2985954299</v>
      </c>
      <c r="AA205" s="59">
        <v>1730689.9348743025</v>
      </c>
      <c r="AB205" s="59">
        <v>7391080.0842745863</v>
      </c>
      <c r="AC205" s="59">
        <v>1138450356.1931224</v>
      </c>
      <c r="AD205" s="68">
        <v>7391080.0842745863</v>
      </c>
    </row>
    <row r="206" spans="1:30" x14ac:dyDescent="0.2">
      <c r="A206" s="95">
        <v>198</v>
      </c>
      <c r="B206" s="95">
        <v>16</v>
      </c>
      <c r="C206" s="95">
        <v>6</v>
      </c>
      <c r="D206" s="95"/>
      <c r="E206" s="95">
        <v>196.37313361935318</v>
      </c>
      <c r="F206" s="95">
        <v>1221.6701894237929</v>
      </c>
      <c r="G206" s="95">
        <v>1341.2235865615055</v>
      </c>
      <c r="H206" s="95">
        <v>1745.7076057991301</v>
      </c>
      <c r="I206" s="95">
        <v>3106.6782386911209</v>
      </c>
      <c r="J206" s="95">
        <v>119.14136959163231</v>
      </c>
      <c r="K206" s="95">
        <v>417.26793823684</v>
      </c>
      <c r="L206" s="95">
        <v>175.55422477333275</v>
      </c>
      <c r="M206" s="95">
        <v>1456.5305175664428</v>
      </c>
      <c r="N206" s="95">
        <v>219.85319573685203</v>
      </c>
      <c r="O206" s="95">
        <v>10000.000000000002</v>
      </c>
      <c r="Q206" s="98">
        <v>1456.5305175664428</v>
      </c>
      <c r="R206" s="95">
        <v>1604.6184307883073</v>
      </c>
      <c r="S206" s="99">
        <v>936.75160456288029</v>
      </c>
      <c r="U206" s="121">
        <v>39577.507664609206</v>
      </c>
      <c r="V206" s="59">
        <v>246231.03863654318</v>
      </c>
      <c r="W206" s="59">
        <v>270333.82430531312</v>
      </c>
      <c r="X206" s="59">
        <v>724432.67382563953</v>
      </c>
      <c r="Y206" s="59">
        <v>1501059.9632564995</v>
      </c>
      <c r="Z206" s="59">
        <v>2881611.7863273411</v>
      </c>
      <c r="AA206" s="59">
        <v>1734270.6191929274</v>
      </c>
      <c r="AB206" s="59">
        <v>7397517.413208873</v>
      </c>
      <c r="AC206" s="59">
        <v>1145847873.6063313</v>
      </c>
      <c r="AD206" s="68">
        <v>7397517.413208873</v>
      </c>
    </row>
    <row r="207" spans="1:30" x14ac:dyDescent="0.2">
      <c r="A207" s="95">
        <v>199</v>
      </c>
      <c r="B207" s="95">
        <v>16</v>
      </c>
      <c r="C207" s="95">
        <v>7</v>
      </c>
      <c r="D207" s="95"/>
      <c r="E207" s="95">
        <v>194.40940228315966</v>
      </c>
      <c r="F207" s="95">
        <v>1214.6259127541405</v>
      </c>
      <c r="G207" s="95">
        <v>1336.1295419743353</v>
      </c>
      <c r="H207" s="95">
        <v>1741.8082412405704</v>
      </c>
      <c r="I207" s="95">
        <v>3109.0555804332871</v>
      </c>
      <c r="J207" s="95">
        <v>119.26252984351126</v>
      </c>
      <c r="K207" s="95">
        <v>418.36824899370515</v>
      </c>
      <c r="L207" s="95">
        <v>175.92764240845597</v>
      </c>
      <c r="M207" s="95">
        <v>1468.4788002603109</v>
      </c>
      <c r="N207" s="95">
        <v>221.93409980852618</v>
      </c>
      <c r="O207" s="95">
        <v>10000.000000000002</v>
      </c>
      <c r="Q207" s="98">
        <v>1468.4788002603109</v>
      </c>
      <c r="R207" s="95">
        <v>1614.7151350640534</v>
      </c>
      <c r="S207" s="99">
        <v>943.41571525238123</v>
      </c>
      <c r="U207" s="121">
        <v>39178.434462324403</v>
      </c>
      <c r="V207" s="59">
        <v>244790.70579971877</v>
      </c>
      <c r="W207" s="59">
        <v>269284.51131116704</v>
      </c>
      <c r="X207" s="59">
        <v>722754.04347013962</v>
      </c>
      <c r="Y207" s="59">
        <v>1502083.2456909688</v>
      </c>
      <c r="Z207" s="59">
        <v>2887931.671072145</v>
      </c>
      <c r="AA207" s="59">
        <v>1737814.1921060346</v>
      </c>
      <c r="AB207" s="59">
        <v>7403836.8039124981</v>
      </c>
      <c r="AC207" s="59">
        <v>1153251710.4102437</v>
      </c>
      <c r="AD207" s="68">
        <v>7403836.8039124981</v>
      </c>
    </row>
    <row r="208" spans="1:30" x14ac:dyDescent="0.2">
      <c r="A208" s="95">
        <v>200</v>
      </c>
      <c r="B208" s="95">
        <v>16</v>
      </c>
      <c r="C208" s="95">
        <v>8</v>
      </c>
      <c r="D208" s="95"/>
      <c r="E208" s="95">
        <v>192.46530826032807</v>
      </c>
      <c r="F208" s="95">
        <v>1207.6141477328708</v>
      </c>
      <c r="G208" s="95">
        <v>1331.0378143844403</v>
      </c>
      <c r="H208" s="95">
        <v>1737.8966049346782</v>
      </c>
      <c r="I208" s="95">
        <v>3111.3841340565905</v>
      </c>
      <c r="J208" s="95">
        <v>119.38164918600552</v>
      </c>
      <c r="K208" s="95">
        <v>419.45899281959771</v>
      </c>
      <c r="L208" s="95">
        <v>176.29737447940269</v>
      </c>
      <c r="M208" s="95">
        <v>1480.4524775625796</v>
      </c>
      <c r="N208" s="95">
        <v>224.01149658350897</v>
      </c>
      <c r="O208" s="95">
        <v>10000.000000000002</v>
      </c>
      <c r="Q208" s="98">
        <v>1480.4524775625796</v>
      </c>
      <c r="R208" s="95">
        <v>1624.8195657004615</v>
      </c>
      <c r="S208" s="99">
        <v>950.08952117629758</v>
      </c>
      <c r="U208" s="121">
        <v>38783.385248162631</v>
      </c>
      <c r="V208" s="59">
        <v>243357.16446771187</v>
      </c>
      <c r="W208" s="59">
        <v>268235.83886036638</v>
      </c>
      <c r="X208" s="59">
        <v>721070.595915374</v>
      </c>
      <c r="Y208" s="59">
        <v>1503082.7749488971</v>
      </c>
      <c r="Z208" s="59">
        <v>2894188.1325555192</v>
      </c>
      <c r="AA208" s="59">
        <v>1741320.7557842056</v>
      </c>
      <c r="AB208" s="59">
        <v>7410038.6477802368</v>
      </c>
      <c r="AC208" s="59">
        <v>1160661749.0580239</v>
      </c>
      <c r="AD208" s="68">
        <v>7410038.6477802368</v>
      </c>
    </row>
    <row r="209" spans="1:30" x14ac:dyDescent="0.2">
      <c r="A209" s="95">
        <v>201</v>
      </c>
      <c r="B209" s="95">
        <v>16</v>
      </c>
      <c r="C209" s="95">
        <v>9</v>
      </c>
      <c r="D209" s="95"/>
      <c r="E209" s="95">
        <v>190.5406551777248</v>
      </c>
      <c r="F209" s="95">
        <v>1200.6348474050346</v>
      </c>
      <c r="G209" s="95">
        <v>1325.9486103334409</v>
      </c>
      <c r="H209" s="95">
        <v>1733.9728417462536</v>
      </c>
      <c r="I209" s="95">
        <v>3113.6640086120283</v>
      </c>
      <c r="J209" s="95">
        <v>119.49873354320225</v>
      </c>
      <c r="K209" s="95">
        <v>420.5401941539144</v>
      </c>
      <c r="L209" s="95">
        <v>176.66343035498855</v>
      </c>
      <c r="M209" s="95">
        <v>1492.4512980834422</v>
      </c>
      <c r="N209" s="95">
        <v>226.08538058997243</v>
      </c>
      <c r="O209" s="95">
        <v>10000.000000000002</v>
      </c>
      <c r="Q209" s="98">
        <v>1492.4512980834422</v>
      </c>
      <c r="R209" s="95">
        <v>1634.9315641361454</v>
      </c>
      <c r="S209" s="99">
        <v>956.77289963739531</v>
      </c>
      <c r="U209" s="121">
        <v>38392.319446910325</v>
      </c>
      <c r="V209" s="59">
        <v>241930.40350407927</v>
      </c>
      <c r="W209" s="59">
        <v>267187.84844045556</v>
      </c>
      <c r="X209" s="59">
        <v>719382.39252099255</v>
      </c>
      <c r="Y209" s="59">
        <v>1504058.6096414421</v>
      </c>
      <c r="Z209" s="59">
        <v>2900381.3496463988</v>
      </c>
      <c r="AA209" s="59">
        <v>1744790.411989463</v>
      </c>
      <c r="AB209" s="59">
        <v>7416123.335189742</v>
      </c>
      <c r="AC209" s="59">
        <v>1168077872.3932137</v>
      </c>
      <c r="AD209" s="68">
        <v>7416123.335189742</v>
      </c>
    </row>
    <row r="210" spans="1:30" x14ac:dyDescent="0.2">
      <c r="A210" s="95">
        <v>202</v>
      </c>
      <c r="B210" s="95">
        <v>16</v>
      </c>
      <c r="C210" s="95">
        <v>10</v>
      </c>
      <c r="D210" s="95"/>
      <c r="E210" s="95">
        <v>188.63524862594755</v>
      </c>
      <c r="F210" s="95">
        <v>1193.6879632453806</v>
      </c>
      <c r="G210" s="95">
        <v>1320.8621339133088</v>
      </c>
      <c r="H210" s="95">
        <v>1730.0370971689376</v>
      </c>
      <c r="I210" s="95">
        <v>3115.8953140420526</v>
      </c>
      <c r="J210" s="95">
        <v>119.61378882927369</v>
      </c>
      <c r="K210" s="95">
        <v>421.61187730278237</v>
      </c>
      <c r="L210" s="95">
        <v>177.02581936759915</v>
      </c>
      <c r="M210" s="95">
        <v>1504.4750110844157</v>
      </c>
      <c r="N210" s="95">
        <v>228.15574642030407</v>
      </c>
      <c r="O210" s="95">
        <v>10000.000000000002</v>
      </c>
      <c r="Q210" s="98">
        <v>1504.4750110844157</v>
      </c>
      <c r="R210" s="95">
        <v>1645.0509721641345</v>
      </c>
      <c r="S210" s="99">
        <v>963.46572823772635</v>
      </c>
      <c r="U210" s="121">
        <v>38005.196892487314</v>
      </c>
      <c r="V210" s="59">
        <v>240510.4114593647</v>
      </c>
      <c r="W210" s="59">
        <v>266140.5810313914</v>
      </c>
      <c r="X210" s="59">
        <v>717689.49488720368</v>
      </c>
      <c r="Y210" s="59">
        <v>1505010.8087919471</v>
      </c>
      <c r="Z210" s="59">
        <v>2906511.5003854232</v>
      </c>
      <c r="AA210" s="59">
        <v>1748223.2620908283</v>
      </c>
      <c r="AB210" s="59">
        <v>7422091.2555386452</v>
      </c>
      <c r="AC210" s="59">
        <v>1175499963.6487525</v>
      </c>
      <c r="AD210" s="68">
        <v>7422091.2555386452</v>
      </c>
    </row>
    <row r="211" spans="1:30" x14ac:dyDescent="0.2">
      <c r="A211" s="95">
        <v>203</v>
      </c>
      <c r="B211" s="95">
        <v>16</v>
      </c>
      <c r="C211" s="95">
        <v>11</v>
      </c>
      <c r="D211" s="95"/>
      <c r="E211" s="95">
        <v>186.74889613968807</v>
      </c>
      <c r="F211" s="95">
        <v>1186.7734451890174</v>
      </c>
      <c r="G211" s="95">
        <v>1315.778586780352</v>
      </c>
      <c r="H211" s="95">
        <v>1726.0895172944788</v>
      </c>
      <c r="I211" s="95">
        <v>3118.0781611824896</v>
      </c>
      <c r="J211" s="95">
        <v>119.72682094953819</v>
      </c>
      <c r="K211" s="95">
        <v>422.67406644313661</v>
      </c>
      <c r="L211" s="95">
        <v>177.38455081472424</v>
      </c>
      <c r="M211" s="95">
        <v>1516.5233664756493</v>
      </c>
      <c r="N211" s="95">
        <v>230.2225887309279</v>
      </c>
      <c r="O211" s="95">
        <v>10000.000000000002</v>
      </c>
      <c r="Q211" s="98">
        <v>1516.5233664756493</v>
      </c>
      <c r="R211" s="95">
        <v>1655.1776319347712</v>
      </c>
      <c r="S211" s="99">
        <v>970.16788487885708</v>
      </c>
      <c r="U211" s="121">
        <v>37621.977823821398</v>
      </c>
      <c r="V211" s="59">
        <v>239097.17657740953</v>
      </c>
      <c r="W211" s="59">
        <v>265094.07710857084</v>
      </c>
      <c r="X211" s="59">
        <v>715991.96484191914</v>
      </c>
      <c r="Y211" s="59">
        <v>1505939.4318366898</v>
      </c>
      <c r="Z211" s="59">
        <v>2912578.7620129413</v>
      </c>
      <c r="AA211" s="59">
        <v>1751619.4070796375</v>
      </c>
      <c r="AB211" s="59">
        <v>7427942.7972809896</v>
      </c>
      <c r="AC211" s="59">
        <v>1182927906.4460335</v>
      </c>
      <c r="AD211" s="68">
        <v>7427942.7972809896</v>
      </c>
    </row>
    <row r="212" spans="1:30" x14ac:dyDescent="0.2">
      <c r="A212" s="95">
        <v>204</v>
      </c>
      <c r="B212" s="95">
        <v>17</v>
      </c>
      <c r="C212" s="95">
        <v>0</v>
      </c>
      <c r="D212" s="95"/>
      <c r="E212" s="95">
        <v>184.8814071782912</v>
      </c>
      <c r="F212" s="95">
        <v>1179.8912416616599</v>
      </c>
      <c r="G212" s="95">
        <v>1310.6981681692757</v>
      </c>
      <c r="H212" s="95">
        <v>1722.1302487824455</v>
      </c>
      <c r="I212" s="95">
        <v>3120.2126617641511</v>
      </c>
      <c r="J212" s="95">
        <v>119.83783580149066</v>
      </c>
      <c r="K212" s="95">
        <v>423.72678562674997</v>
      </c>
      <c r="L212" s="95">
        <v>177.73963396046801</v>
      </c>
      <c r="M212" s="95">
        <v>1528.5961148133438</v>
      </c>
      <c r="N212" s="95">
        <v>232.28590224212624</v>
      </c>
      <c r="O212" s="95">
        <v>10000.000000000002</v>
      </c>
      <c r="Q212" s="98">
        <v>1528.5961148133438</v>
      </c>
      <c r="R212" s="95">
        <v>1665.3113859586142</v>
      </c>
      <c r="S212" s="99">
        <v>976.87924776212844</v>
      </c>
      <c r="U212" s="121">
        <v>37242.622880764531</v>
      </c>
      <c r="V212" s="59">
        <v>237690.686801576</v>
      </c>
      <c r="W212" s="59">
        <v>264048.37664587225</v>
      </c>
      <c r="X212" s="59">
        <v>714289.86442808819</v>
      </c>
      <c r="Y212" s="59">
        <v>1506844.5386254839</v>
      </c>
      <c r="Z212" s="59">
        <v>2918583.3109965827</v>
      </c>
      <c r="AA212" s="59">
        <v>1754978.9475846174</v>
      </c>
      <c r="AB212" s="59">
        <v>7433678.3479629848</v>
      </c>
      <c r="AC212" s="59">
        <v>1190361584.7939966</v>
      </c>
      <c r="AD212" s="68">
        <v>7433678.3479629848</v>
      </c>
    </row>
    <row r="213" spans="1:30" x14ac:dyDescent="0.2">
      <c r="A213" s="95">
        <v>205</v>
      </c>
      <c r="B213" s="95">
        <v>17</v>
      </c>
      <c r="C213" s="95">
        <v>1</v>
      </c>
      <c r="D213" s="95"/>
      <c r="E213" s="95">
        <v>183.03259310650827</v>
      </c>
      <c r="F213" s="95">
        <v>1173.0412996094628</v>
      </c>
      <c r="G213" s="95">
        <v>1305.6210749073107</v>
      </c>
      <c r="H213" s="95">
        <v>1718.159438830379</v>
      </c>
      <c r="I213" s="95">
        <v>3122.2989284141486</v>
      </c>
      <c r="J213" s="95">
        <v>119.94683927580246</v>
      </c>
      <c r="K213" s="95">
        <v>424.77005878421562</v>
      </c>
      <c r="L213" s="95">
        <v>178.09107803703611</v>
      </c>
      <c r="M213" s="95">
        <v>1540.6930072972759</v>
      </c>
      <c r="N213" s="95">
        <v>234.34568173786238</v>
      </c>
      <c r="O213" s="95">
        <v>10000.000000000002</v>
      </c>
      <c r="Q213" s="98">
        <v>1540.6930072972759</v>
      </c>
      <c r="R213" s="95">
        <v>1675.4520771093478</v>
      </c>
      <c r="S213" s="99">
        <v>983.59969538894666</v>
      </c>
      <c r="U213" s="121">
        <v>36867.093100050159</v>
      </c>
      <c r="V213" s="59">
        <v>236290.92978088511</v>
      </c>
      <c r="W213" s="59">
        <v>263003.51911870943</v>
      </c>
      <c r="X213" s="59">
        <v>712583.25589122227</v>
      </c>
      <c r="Y213" s="59">
        <v>1507726.1894221357</v>
      </c>
      <c r="Z213" s="59">
        <v>2924525.3230583947</v>
      </c>
      <c r="AA213" s="59">
        <v>1758301.9838867211</v>
      </c>
      <c r="AB213" s="59">
        <v>7439298.2942581186</v>
      </c>
      <c r="AC213" s="59">
        <v>1197800883.0882547</v>
      </c>
      <c r="AD213" s="68">
        <v>7439298.2942581186</v>
      </c>
    </row>
    <row r="214" spans="1:30" x14ac:dyDescent="0.2">
      <c r="A214" s="95">
        <v>206</v>
      </c>
      <c r="B214" s="95">
        <v>17</v>
      </c>
      <c r="C214" s="95">
        <v>2</v>
      </c>
      <c r="D214" s="95"/>
      <c r="E214" s="95">
        <v>181.20226717544318</v>
      </c>
      <c r="F214" s="95">
        <v>1166.2235645284486</v>
      </c>
      <c r="G214" s="95">
        <v>1300.5475014284111</v>
      </c>
      <c r="H214" s="95">
        <v>1714.1772351443842</v>
      </c>
      <c r="I214" s="95">
        <v>3124.3370746569094</v>
      </c>
      <c r="J214" s="95">
        <v>120.05383725729186</v>
      </c>
      <c r="K214" s="95">
        <v>425.80390972888142</v>
      </c>
      <c r="L214" s="95">
        <v>178.43889224619892</v>
      </c>
      <c r="M214" s="95">
        <v>1552.8137957684294</v>
      </c>
      <c r="N214" s="95">
        <v>236.4019220656036</v>
      </c>
      <c r="O214" s="95">
        <v>10000.000000000002</v>
      </c>
      <c r="Q214" s="98">
        <v>1552.8137957684294</v>
      </c>
      <c r="R214" s="95">
        <v>1685.5995486266938</v>
      </c>
      <c r="S214" s="99">
        <v>990.32910656110323</v>
      </c>
      <c r="U214" s="121">
        <v>36495.34991129132</v>
      </c>
      <c r="V214" s="59">
        <v>234897.892876069</v>
      </c>
      <c r="W214" s="59">
        <v>261959.54350709738</v>
      </c>
      <c r="X214" s="59">
        <v>710872.20166710706</v>
      </c>
      <c r="Y214" s="59">
        <v>1508584.444904756</v>
      </c>
      <c r="Z214" s="59">
        <v>2930404.9732015431</v>
      </c>
      <c r="AA214" s="59">
        <v>1761588.6159337254</v>
      </c>
      <c r="AB214" s="59">
        <v>7444803.0220015896</v>
      </c>
      <c r="AC214" s="59">
        <v>1205245686.1102562</v>
      </c>
      <c r="AD214" s="68">
        <v>7444803.0220015896</v>
      </c>
    </row>
    <row r="215" spans="1:30" x14ac:dyDescent="0.2">
      <c r="A215" s="95">
        <v>207</v>
      </c>
      <c r="B215" s="95">
        <v>17</v>
      </c>
      <c r="C215" s="95">
        <v>3</v>
      </c>
      <c r="D215" s="95"/>
      <c r="E215" s="95">
        <v>179.39024450368876</v>
      </c>
      <c r="F215" s="95">
        <v>1159.4379804935338</v>
      </c>
      <c r="G215" s="95">
        <v>1295.477639787513</v>
      </c>
      <c r="H215" s="95">
        <v>1710.1837859101531</v>
      </c>
      <c r="I215" s="95">
        <v>3126.3272149149061</v>
      </c>
      <c r="J215" s="95">
        <v>120.15883562586514</v>
      </c>
      <c r="K215" s="95">
        <v>426.82836216073639</v>
      </c>
      <c r="L215" s="95">
        <v>178.7830857607315</v>
      </c>
      <c r="M215" s="95">
        <v>1564.9582327067285</v>
      </c>
      <c r="N215" s="95">
        <v>238.45461813614511</v>
      </c>
      <c r="O215" s="95">
        <v>10000.000000000002</v>
      </c>
      <c r="Q215" s="98">
        <v>1564.9582327067285</v>
      </c>
      <c r="R215" s="95">
        <v>1695.7536441193288</v>
      </c>
      <c r="S215" s="99">
        <v>997.06736038112456</v>
      </c>
      <c r="U215" s="121">
        <v>36127.355133019133</v>
      </c>
      <c r="V215" s="59">
        <v>233511.56316553993</v>
      </c>
      <c r="W215" s="59">
        <v>260916.4882987295</v>
      </c>
      <c r="X215" s="59">
        <v>709156.76436969975</v>
      </c>
      <c r="Y215" s="59">
        <v>1509419.3661659358</v>
      </c>
      <c r="Z215" s="59">
        <v>2936222.4357365905</v>
      </c>
      <c r="AA215" s="59">
        <v>1764838.9433545882</v>
      </c>
      <c r="AB215" s="59">
        <v>7450192.9162241025</v>
      </c>
      <c r="AC215" s="59">
        <v>1212695879.0264802</v>
      </c>
      <c r="AD215" s="68">
        <v>7450192.9162241025</v>
      </c>
    </row>
    <row r="216" spans="1:30" x14ac:dyDescent="0.2">
      <c r="A216" s="95">
        <v>208</v>
      </c>
      <c r="B216" s="95">
        <v>17</v>
      </c>
      <c r="C216" s="95">
        <v>4</v>
      </c>
      <c r="D216" s="95"/>
      <c r="E216" s="95">
        <v>177.59634205865189</v>
      </c>
      <c r="F216" s="95">
        <v>1152.6844901871589</v>
      </c>
      <c r="G216" s="95">
        <v>1290.4116796748535</v>
      </c>
      <c r="H216" s="95">
        <v>1706.1792397644192</v>
      </c>
      <c r="I216" s="95">
        <v>3128.2694645091015</v>
      </c>
      <c r="J216" s="95">
        <v>120.2618402574292</v>
      </c>
      <c r="K216" s="95">
        <v>427.84343967024921</v>
      </c>
      <c r="L216" s="95">
        <v>179.12366772583007</v>
      </c>
      <c r="M216" s="95">
        <v>1577.1260712288738</v>
      </c>
      <c r="N216" s="95">
        <v>240.5037649234344</v>
      </c>
      <c r="O216" s="95">
        <v>10000.000000000002</v>
      </c>
      <c r="Q216" s="98">
        <v>1577.1260712288738</v>
      </c>
      <c r="R216" s="95">
        <v>1705.9142075678021</v>
      </c>
      <c r="S216" s="99">
        <v>1003.8143362526494</v>
      </c>
      <c r="U216" s="121">
        <v>35763.070968761189</v>
      </c>
      <c r="V216" s="59">
        <v>232131.92745127578</v>
      </c>
      <c r="W216" s="59">
        <v>259874.39149206522</v>
      </c>
      <c r="X216" s="59">
        <v>707437.00677921192</v>
      </c>
      <c r="Y216" s="59">
        <v>1510231.0147127798</v>
      </c>
      <c r="Z216" s="59">
        <v>2941977.8843073421</v>
      </c>
      <c r="AA216" s="59">
        <v>1768053.0654735698</v>
      </c>
      <c r="AB216" s="59">
        <v>7455468.3611850059</v>
      </c>
      <c r="AC216" s="59">
        <v>1220151347.3876653</v>
      </c>
      <c r="AD216" s="68">
        <v>7455468.3611850059</v>
      </c>
    </row>
    <row r="217" spans="1:30" x14ac:dyDescent="0.2">
      <c r="A217" s="95">
        <v>209</v>
      </c>
      <c r="B217" s="95">
        <v>17</v>
      </c>
      <c r="C217" s="95">
        <v>5</v>
      </c>
      <c r="D217" s="95"/>
      <c r="E217" s="95">
        <v>175.82037863806536</v>
      </c>
      <c r="F217" s="95">
        <v>1145.9630349275249</v>
      </c>
      <c r="G217" s="95">
        <v>1285.3498084303453</v>
      </c>
      <c r="H217" s="95">
        <v>1702.1637457668373</v>
      </c>
      <c r="I217" s="95">
        <v>3130.1639396591149</v>
      </c>
      <c r="J217" s="95">
        <v>120.36285702477608</v>
      </c>
      <c r="K217" s="95">
        <v>428.84916574215816</v>
      </c>
      <c r="L217" s="95">
        <v>179.46064726050528</v>
      </c>
      <c r="M217" s="95">
        <v>1589.3170650862778</v>
      </c>
      <c r="N217" s="95">
        <v>242.54935746439634</v>
      </c>
      <c r="O217" s="95">
        <v>10000.000000000002</v>
      </c>
      <c r="Q217" s="98">
        <v>1589.3170650862778</v>
      </c>
      <c r="R217" s="95">
        <v>1716.0810833274568</v>
      </c>
      <c r="S217" s="99">
        <v>1010.5699138808335</v>
      </c>
      <c r="U217" s="121">
        <v>35402.460003159511</v>
      </c>
      <c r="V217" s="59">
        <v>230758.97226462426</v>
      </c>
      <c r="W217" s="59">
        <v>258833.29059942704</v>
      </c>
      <c r="X217" s="59">
        <v>705712.99183037411</v>
      </c>
      <c r="Y217" s="59">
        <v>1511019.4524668118</v>
      </c>
      <c r="Z217" s="59">
        <v>2947671.4919162686</v>
      </c>
      <c r="AA217" s="59">
        <v>1771231.0813241159</v>
      </c>
      <c r="AB217" s="59">
        <v>7460629.740404781</v>
      </c>
      <c r="AC217" s="59">
        <v>1227611977.1280701</v>
      </c>
      <c r="AD217" s="68">
        <v>7460629.740404781</v>
      </c>
    </row>
    <row r="218" spans="1:30" x14ac:dyDescent="0.2">
      <c r="A218" s="95">
        <v>210</v>
      </c>
      <c r="B218" s="95">
        <v>17</v>
      </c>
      <c r="C218" s="95">
        <v>6</v>
      </c>
      <c r="D218" s="95"/>
      <c r="E218" s="95">
        <v>174.06217485168472</v>
      </c>
      <c r="F218" s="95">
        <v>1139.2735546964441</v>
      </c>
      <c r="G218" s="95">
        <v>1280.2922110580043</v>
      </c>
      <c r="H218" s="95">
        <v>1698.1374533722862</v>
      </c>
      <c r="I218" s="95">
        <v>3132.0107574831186</v>
      </c>
      <c r="J218" s="95">
        <v>120.46189179843999</v>
      </c>
      <c r="K218" s="95">
        <v>429.84556375921278</v>
      </c>
      <c r="L218" s="95">
        <v>179.7940334589521</v>
      </c>
      <c r="M218" s="95">
        <v>1601.5309686631001</v>
      </c>
      <c r="N218" s="95">
        <v>244.59139085875867</v>
      </c>
      <c r="O218" s="95">
        <v>10000.000000000002</v>
      </c>
      <c r="Q218" s="98">
        <v>1601.5309686631001</v>
      </c>
      <c r="R218" s="95">
        <v>1726.2541161313488</v>
      </c>
      <c r="S218" s="99">
        <v>1017.3339732727818</v>
      </c>
      <c r="U218" s="121">
        <v>35045.485198127659</v>
      </c>
      <c r="V218" s="59">
        <v>229392.68387202578</v>
      </c>
      <c r="W218" s="59">
        <v>257793.22265010737</v>
      </c>
      <c r="X218" s="59">
        <v>703984.78260088211</v>
      </c>
      <c r="Y218" s="59">
        <v>1511784.7417637424</v>
      </c>
      <c r="Z218" s="59">
        <v>2953303.4309495096</v>
      </c>
      <c r="AA218" s="59">
        <v>1774373.0896625053</v>
      </c>
      <c r="AB218" s="59">
        <v>7465677.4366969001</v>
      </c>
      <c r="AC218" s="59">
        <v>1235077654.5647671</v>
      </c>
      <c r="AD218" s="68">
        <v>7465677.4366969001</v>
      </c>
    </row>
    <row r="219" spans="1:30" x14ac:dyDescent="0.2">
      <c r="A219" s="95">
        <v>211</v>
      </c>
      <c r="B219" s="95">
        <v>17</v>
      </c>
      <c r="C219" s="95">
        <v>7</v>
      </c>
      <c r="D219" s="95"/>
      <c r="E219" s="95">
        <v>172.32155310316787</v>
      </c>
      <c r="F219" s="95">
        <v>1132.6159881668075</v>
      </c>
      <c r="G219" s="95">
        <v>1275.2390702404264</v>
      </c>
      <c r="H219" s="95">
        <v>1694.1005124035912</v>
      </c>
      <c r="I219" s="95">
        <v>3133.8100359974628</v>
      </c>
      <c r="J219" s="95">
        <v>120.55895044752732</v>
      </c>
      <c r="K219" s="95">
        <v>430.83265700586713</v>
      </c>
      <c r="L219" s="95">
        <v>180.12383539189665</v>
      </c>
      <c r="M219" s="95">
        <v>1613.7675369743768</v>
      </c>
      <c r="N219" s="95">
        <v>246.62986026887822</v>
      </c>
      <c r="O219" s="95">
        <v>10000.000000000002</v>
      </c>
      <c r="Q219" s="98">
        <v>1613.7675369743768</v>
      </c>
      <c r="R219" s="95">
        <v>1736.433151093169</v>
      </c>
      <c r="S219" s="99">
        <v>1024.1063947380055</v>
      </c>
      <c r="U219" s="121">
        <v>34692.109889046536</v>
      </c>
      <c r="V219" s="59">
        <v>228033.04828065666</v>
      </c>
      <c r="W219" s="59">
        <v>256754.22419348315</v>
      </c>
      <c r="X219" s="59">
        <v>702252.44230002246</v>
      </c>
      <c r="Y219" s="59">
        <v>1512526.9453531131</v>
      </c>
      <c r="Z219" s="59">
        <v>2958873.873201455</v>
      </c>
      <c r="AA219" s="59">
        <v>1777479.1889812623</v>
      </c>
      <c r="AB219" s="59">
        <v>7470611.8321990389</v>
      </c>
      <c r="AC219" s="59">
        <v>1242548266.3969662</v>
      </c>
      <c r="AD219" s="68">
        <v>7470611.8321990389</v>
      </c>
    </row>
    <row r="220" spans="1:30" x14ac:dyDescent="0.2">
      <c r="A220" s="95">
        <v>212</v>
      </c>
      <c r="B220" s="95">
        <v>17</v>
      </c>
      <c r="C220" s="95">
        <v>8</v>
      </c>
      <c r="D220" s="95"/>
      <c r="E220" s="95">
        <v>170.59833757213619</v>
      </c>
      <c r="F220" s="95">
        <v>1125.9902727296735</v>
      </c>
      <c r="G220" s="95">
        <v>1270.1905663533103</v>
      </c>
      <c r="H220" s="95">
        <v>1690.0530730246599</v>
      </c>
      <c r="I220" s="95">
        <v>3135.5618941160428</v>
      </c>
      <c r="J220" s="95">
        <v>120.65403884052013</v>
      </c>
      <c r="K220" s="95">
        <v>431.81046867192458</v>
      </c>
      <c r="L220" s="95">
        <v>180.45006210791996</v>
      </c>
      <c r="M220" s="95">
        <v>1626.0265256642474</v>
      </c>
      <c r="N220" s="95">
        <v>248.66476091956741</v>
      </c>
      <c r="O220" s="95">
        <v>10000.000000000002</v>
      </c>
      <c r="Q220" s="98">
        <v>1626.0265256642474</v>
      </c>
      <c r="R220" s="95">
        <v>1746.6180337101607</v>
      </c>
      <c r="S220" s="99">
        <v>1030.8870588889051</v>
      </c>
      <c r="U220" s="121">
        <v>34342.297780998648</v>
      </c>
      <c r="V220" s="59">
        <v>226680.05124399331</v>
      </c>
      <c r="W220" s="59">
        <v>255716.33130213848</v>
      </c>
      <c r="X220" s="59">
        <v>700516.03425747633</v>
      </c>
      <c r="Y220" s="59">
        <v>1513246.1263978102</v>
      </c>
      <c r="Z220" s="59">
        <v>2964382.9898989117</v>
      </c>
      <c r="AA220" s="59">
        <v>1780549.4775223345</v>
      </c>
      <c r="AB220" s="59">
        <v>7475433.3084036633</v>
      </c>
      <c r="AC220" s="59">
        <v>1250023699.7053699</v>
      </c>
      <c r="AD220" s="68">
        <v>7475433.3084036633</v>
      </c>
    </row>
    <row r="221" spans="1:30" x14ac:dyDescent="0.2">
      <c r="A221" s="95">
        <v>213</v>
      </c>
      <c r="B221" s="95">
        <v>17</v>
      </c>
      <c r="C221" s="95">
        <v>9</v>
      </c>
      <c r="D221" s="95"/>
      <c r="E221" s="95">
        <v>168.89235419641483</v>
      </c>
      <c r="F221" s="95">
        <v>1119.3963445209843</v>
      </c>
      <c r="G221" s="95">
        <v>1265.1468774800239</v>
      </c>
      <c r="H221" s="95">
        <v>1685.9952857140318</v>
      </c>
      <c r="I221" s="95">
        <v>3137.2664516494065</v>
      </c>
      <c r="J221" s="95">
        <v>120.74716284605375</v>
      </c>
      <c r="K221" s="95">
        <v>432.77902185613362</v>
      </c>
      <c r="L221" s="95">
        <v>180.77272263475874</v>
      </c>
      <c r="M221" s="95">
        <v>1638.3076910042735</v>
      </c>
      <c r="N221" s="95">
        <v>250.69608809792146</v>
      </c>
      <c r="O221" s="95">
        <v>10000.000000000002</v>
      </c>
      <c r="Q221" s="98">
        <v>1638.3076910042735</v>
      </c>
      <c r="R221" s="95">
        <v>1756.8086098660378</v>
      </c>
      <c r="S221" s="99">
        <v>1037.6758466412778</v>
      </c>
      <c r="U221" s="121">
        <v>33996.012945040246</v>
      </c>
      <c r="V221" s="59">
        <v>225333.67826729844</v>
      </c>
      <c r="W221" s="59">
        <v>254679.57957499466</v>
      </c>
      <c r="X221" s="59">
        <v>698775.62191229849</v>
      </c>
      <c r="Y221" s="59">
        <v>1513942.3484734567</v>
      </c>
      <c r="Z221" s="59">
        <v>2969830.9517248524</v>
      </c>
      <c r="AA221" s="59">
        <v>1783584.0532900393</v>
      </c>
      <c r="AB221" s="59">
        <v>7480142.2461879803</v>
      </c>
      <c r="AC221" s="59">
        <v>1257503841.9515579</v>
      </c>
      <c r="AD221" s="68">
        <v>7480142.2461879803</v>
      </c>
    </row>
    <row r="222" spans="1:30" x14ac:dyDescent="0.2">
      <c r="A222" s="95">
        <v>214</v>
      </c>
      <c r="B222" s="95">
        <v>17</v>
      </c>
      <c r="C222" s="95">
        <v>10</v>
      </c>
      <c r="D222" s="95"/>
      <c r="E222" s="95">
        <v>167.20343065445067</v>
      </c>
      <c r="F222" s="95">
        <v>1112.834138447912</v>
      </c>
      <c r="G222" s="95">
        <v>1260.1081794262107</v>
      </c>
      <c r="H222" s="95">
        <v>1681.9273012388346</v>
      </c>
      <c r="I222" s="95">
        <v>3138.9238293036115</v>
      </c>
      <c r="J222" s="95">
        <v>120.83832833366884</v>
      </c>
      <c r="K222" s="95">
        <v>433.73833956973544</v>
      </c>
      <c r="L222" s="95">
        <v>181.09182598058325</v>
      </c>
      <c r="M222" s="95">
        <v>1650.6107898918494</v>
      </c>
      <c r="N222" s="95">
        <v>252.72383715314589</v>
      </c>
      <c r="O222" s="95">
        <v>10000.000000000002</v>
      </c>
      <c r="Q222" s="98">
        <v>1650.6107898918494</v>
      </c>
      <c r="R222" s="95">
        <v>1767.0047258338984</v>
      </c>
      <c r="S222" s="99">
        <v>1044.4726392148477</v>
      </c>
      <c r="U222" s="121">
        <v>33653.219814511089</v>
      </c>
      <c r="V222" s="59">
        <v>223993.91461303012</v>
      </c>
      <c r="W222" s="59">
        <v>253644.00414044643</v>
      </c>
      <c r="X222" s="59">
        <v>697031.26880207239</v>
      </c>
      <c r="Y222" s="59">
        <v>1514615.6755676826</v>
      </c>
      <c r="Z222" s="59">
        <v>2975217.9288417613</v>
      </c>
      <c r="AA222" s="59">
        <v>1786583.0140637744</v>
      </c>
      <c r="AB222" s="59">
        <v>7484739.0258432785</v>
      </c>
      <c r="AC222" s="59">
        <v>1264988580.9774013</v>
      </c>
      <c r="AD222" s="68">
        <v>7484739.0258432785</v>
      </c>
    </row>
    <row r="223" spans="1:30" x14ac:dyDescent="0.2">
      <c r="A223" s="95">
        <v>215</v>
      </c>
      <c r="B223" s="95">
        <v>17</v>
      </c>
      <c r="C223" s="95">
        <v>11</v>
      </c>
      <c r="D223" s="95"/>
      <c r="E223" s="95">
        <v>165.53139634790617</v>
      </c>
      <c r="F223" s="95">
        <v>1106.3035882148415</v>
      </c>
      <c r="G223" s="95">
        <v>1255.0746457344314</v>
      </c>
      <c r="H223" s="95">
        <v>1677.8492706291449</v>
      </c>
      <c r="I223" s="95">
        <v>3140.5341486788366</v>
      </c>
      <c r="J223" s="95">
        <v>120.92754117453845</v>
      </c>
      <c r="K223" s="95">
        <v>434.68844473996256</v>
      </c>
      <c r="L223" s="95">
        <v>181.40738113525254</v>
      </c>
      <c r="M223" s="95">
        <v>1662.9355798487034</v>
      </c>
      <c r="N223" s="95">
        <v>254.74800349638463</v>
      </c>
      <c r="O223" s="95">
        <v>10000.000000000002</v>
      </c>
      <c r="Q223" s="98">
        <v>1662.9355798487034</v>
      </c>
      <c r="R223" s="95">
        <v>1777.2062282791351</v>
      </c>
      <c r="S223" s="99">
        <v>1051.2773181338212</v>
      </c>
      <c r="U223" s="121">
        <v>33313.883181381432</v>
      </c>
      <c r="V223" s="59">
        <v>222660.74530617497</v>
      </c>
      <c r="W223" s="59">
        <v>252609.63965950409</v>
      </c>
      <c r="X223" s="59">
        <v>695283.03855223733</v>
      </c>
      <c r="Y223" s="59">
        <v>1515266.1720792775</v>
      </c>
      <c r="Z223" s="59">
        <v>2980544.0909145628</v>
      </c>
      <c r="AA223" s="59">
        <v>1789546.4574105029</v>
      </c>
      <c r="AB223" s="59">
        <v>7489224.0271036411</v>
      </c>
      <c r="AC223" s="59">
        <v>1272477805.0045049</v>
      </c>
      <c r="AD223" s="68">
        <v>7489224.0271036411</v>
      </c>
    </row>
    <row r="224" spans="1:30" x14ac:dyDescent="0.2">
      <c r="A224" s="95">
        <v>216</v>
      </c>
      <c r="B224" s="95">
        <v>18</v>
      </c>
      <c r="C224" s="95">
        <v>0</v>
      </c>
      <c r="D224" s="95"/>
      <c r="E224" s="95">
        <v>163.87608238442709</v>
      </c>
      <c r="F224" s="95">
        <v>1099.8046263489914</v>
      </c>
      <c r="G224" s="95">
        <v>1250.046447698842</v>
      </c>
      <c r="H224" s="95">
        <v>1673.7613451527502</v>
      </c>
      <c r="I224" s="95">
        <v>3142.0975322677505</v>
      </c>
      <c r="J224" s="95">
        <v>121.0148072421707</v>
      </c>
      <c r="K224" s="95">
        <v>435.62936021348889</v>
      </c>
      <c r="L224" s="95">
        <v>181.71939707154681</v>
      </c>
      <c r="M224" s="95">
        <v>1675.2818190194862</v>
      </c>
      <c r="N224" s="95">
        <v>256.76858260054831</v>
      </c>
      <c r="O224" s="95">
        <v>10000.000000000002</v>
      </c>
      <c r="Q224" s="98">
        <v>1675.2818190194862</v>
      </c>
      <c r="R224" s="95">
        <v>1787.4129642623413</v>
      </c>
      <c r="S224" s="99">
        <v>1058.0897652274621</v>
      </c>
      <c r="U224" s="121">
        <v>32977.968192635839</v>
      </c>
      <c r="V224" s="59">
        <v>221334.15513950598</v>
      </c>
      <c r="W224" s="59">
        <v>251576.52032894129</v>
      </c>
      <c r="X224" s="59">
        <v>693530.99486558721</v>
      </c>
      <c r="Y224" s="59">
        <v>1515893.9028172258</v>
      </c>
      <c r="Z224" s="59">
        <v>2985809.6071331478</v>
      </c>
      <c r="AA224" s="59">
        <v>1792474.4806970053</v>
      </c>
      <c r="AB224" s="59">
        <v>7493597.629174049</v>
      </c>
      <c r="AC224" s="59">
        <v>1279971402.6336789</v>
      </c>
      <c r="AD224" s="68">
        <v>7493597.629174049</v>
      </c>
    </row>
    <row r="225" spans="1:30" x14ac:dyDescent="0.2">
      <c r="A225" s="95">
        <v>217</v>
      </c>
      <c r="B225" s="95">
        <v>18</v>
      </c>
      <c r="C225" s="95">
        <v>1</v>
      </c>
      <c r="D225" s="95"/>
      <c r="E225" s="95">
        <v>162.23732156058281</v>
      </c>
      <c r="F225" s="95">
        <v>1093.3371842256804</v>
      </c>
      <c r="G225" s="95">
        <v>1245.023754379901</v>
      </c>
      <c r="H225" s="95">
        <v>1669.6636762903072</v>
      </c>
      <c r="I225" s="95">
        <v>3143.614103453644</v>
      </c>
      <c r="J225" s="95">
        <v>121.10013241308721</v>
      </c>
      <c r="K225" s="95">
        <v>436.56110875983109</v>
      </c>
      <c r="L225" s="95">
        <v>182.02788274637749</v>
      </c>
      <c r="M225" s="95">
        <v>1687.6492661704476</v>
      </c>
      <c r="N225" s="95">
        <v>258.78557000014331</v>
      </c>
      <c r="O225" s="95">
        <v>10000.000000000002</v>
      </c>
      <c r="Q225" s="98">
        <v>1687.6492661704476</v>
      </c>
      <c r="R225" s="95">
        <v>1797.6247812422116</v>
      </c>
      <c r="S225" s="99">
        <v>1064.9098626306898</v>
      </c>
      <c r="U225" s="121">
        <v>32645.440346693424</v>
      </c>
      <c r="V225" s="59">
        <v>220014.12867876617</v>
      </c>
      <c r="W225" s="59">
        <v>250544.67988444708</v>
      </c>
      <c r="X225" s="59">
        <v>691775.20151193882</v>
      </c>
      <c r="Y225" s="59">
        <v>1516498.9329996288</v>
      </c>
      <c r="Z225" s="59">
        <v>2991014.6462345007</v>
      </c>
      <c r="AA225" s="59">
        <v>1795367.1811019029</v>
      </c>
      <c r="AB225" s="59">
        <v>7497860.2107578777</v>
      </c>
      <c r="AC225" s="59">
        <v>1287469262.8444369</v>
      </c>
      <c r="AD225" s="68">
        <v>7497860.2107578777</v>
      </c>
    </row>
    <row r="226" spans="1:30" x14ac:dyDescent="0.2">
      <c r="A226" s="95">
        <v>218</v>
      </c>
      <c r="B226" s="95">
        <v>18</v>
      </c>
      <c r="C226" s="95">
        <v>2</v>
      </c>
      <c r="D226" s="95"/>
      <c r="E226" s="95">
        <v>160.61494834497699</v>
      </c>
      <c r="F226" s="95">
        <v>1086.9011920932412</v>
      </c>
      <c r="G226" s="95">
        <v>1240.0067326191056</v>
      </c>
      <c r="H226" s="95">
        <v>1665.556415710894</v>
      </c>
      <c r="I226" s="95">
        <v>3145.0839865083335</v>
      </c>
      <c r="J226" s="95">
        <v>121.18352256747818</v>
      </c>
      <c r="K226" s="95">
        <v>437.48371307470109</v>
      </c>
      <c r="L226" s="95">
        <v>182.33284710197475</v>
      </c>
      <c r="M226" s="95">
        <v>1700.0376806881964</v>
      </c>
      <c r="N226" s="95">
        <v>260.79896129110068</v>
      </c>
      <c r="O226" s="95">
        <v>10000.000000000002</v>
      </c>
      <c r="Q226" s="98">
        <v>1700.0376806881964</v>
      </c>
      <c r="R226" s="95">
        <v>1807.841527078436</v>
      </c>
      <c r="S226" s="99">
        <v>1071.7374927846988</v>
      </c>
      <c r="U226" s="121">
        <v>32316.265489864269</v>
      </c>
      <c r="V226" s="59">
        <v>218700.65026777892</v>
      </c>
      <c r="W226" s="59">
        <v>249514.15160378237</v>
      </c>
      <c r="X226" s="59">
        <v>690015.72231796978</v>
      </c>
      <c r="Y226" s="59">
        <v>1517081.328252516</v>
      </c>
      <c r="Z226" s="59">
        <v>2996159.3765244205</v>
      </c>
      <c r="AA226" s="59">
        <v>1798224.6556274567</v>
      </c>
      <c r="AB226" s="59">
        <v>7502012.1500837887</v>
      </c>
      <c r="AC226" s="59">
        <v>1294971274.9945207</v>
      </c>
      <c r="AD226" s="68">
        <v>7502012.1500837887</v>
      </c>
    </row>
    <row r="227" spans="1:30" x14ac:dyDescent="0.2">
      <c r="A227" s="95">
        <v>219</v>
      </c>
      <c r="B227" s="95">
        <v>18</v>
      </c>
      <c r="C227" s="95">
        <v>3</v>
      </c>
      <c r="D227" s="95"/>
      <c r="E227" s="95">
        <v>159.00879886152723</v>
      </c>
      <c r="F227" s="95">
        <v>1080.4965790975875</v>
      </c>
      <c r="G227" s="95">
        <v>1234.9955470537536</v>
      </c>
      <c r="H227" s="95">
        <v>1661.4397152479521</v>
      </c>
      <c r="I227" s="95">
        <v>3146.5073065898332</v>
      </c>
      <c r="J227" s="95">
        <v>121.26498358983429</v>
      </c>
      <c r="K227" s="95">
        <v>438.39719578331022</v>
      </c>
      <c r="L227" s="95">
        <v>182.63429906705272</v>
      </c>
      <c r="M227" s="95">
        <v>1712.4468225785456</v>
      </c>
      <c r="N227" s="95">
        <v>262.80875213060585</v>
      </c>
      <c r="O227" s="95">
        <v>10000.000000000002</v>
      </c>
      <c r="Q227" s="98">
        <v>1712.4468225785456</v>
      </c>
      <c r="R227" s="95">
        <v>1818.0630500345881</v>
      </c>
      <c r="S227" s="99">
        <v>1078.5725384375976</v>
      </c>
      <c r="U227" s="121">
        <v>31990.40981284147</v>
      </c>
      <c r="V227" s="59">
        <v>217393.70403348573</v>
      </c>
      <c r="W227" s="59">
        <v>248484.96830994004</v>
      </c>
      <c r="X227" s="59">
        <v>688252.62115722103</v>
      </c>
      <c r="Y227" s="59">
        <v>1517641.1546085475</v>
      </c>
      <c r="Z227" s="59">
        <v>3001243.9658988477</v>
      </c>
      <c r="AA227" s="59">
        <v>1801047.0011111388</v>
      </c>
      <c r="AB227" s="59">
        <v>7506053.824932022</v>
      </c>
      <c r="AC227" s="59">
        <v>1302477328.8194528</v>
      </c>
      <c r="AD227" s="68">
        <v>7506053.824932022</v>
      </c>
    </row>
    <row r="228" spans="1:30" x14ac:dyDescent="0.2">
      <c r="A228" s="95">
        <v>220</v>
      </c>
      <c r="B228" s="95">
        <v>18</v>
      </c>
      <c r="C228" s="95">
        <v>4</v>
      </c>
      <c r="D228" s="95"/>
      <c r="E228" s="95">
        <v>157.41871087291196</v>
      </c>
      <c r="F228" s="95">
        <v>1074.1232733064385</v>
      </c>
      <c r="G228" s="95">
        <v>1229.9903601317271</v>
      </c>
      <c r="H228" s="95">
        <v>1657.3137268756141</v>
      </c>
      <c r="I228" s="95">
        <v>3147.8841897398111</v>
      </c>
      <c r="J228" s="95">
        <v>121.34452136955591</v>
      </c>
      <c r="K228" s="95">
        <v>439.30157944362441</v>
      </c>
      <c r="L228" s="95">
        <v>182.93224755795262</v>
      </c>
      <c r="M228" s="95">
        <v>1724.8764524654382</v>
      </c>
      <c r="N228" s="95">
        <v>264.81493823692858</v>
      </c>
      <c r="O228" s="95">
        <v>10000.000000000002</v>
      </c>
      <c r="Q228" s="98">
        <v>1724.8764524654382</v>
      </c>
      <c r="R228" s="95">
        <v>1828.2891987810051</v>
      </c>
      <c r="S228" s="99">
        <v>1085.4148826450669</v>
      </c>
      <c r="U228" s="121">
        <v>31667.839847228654</v>
      </c>
      <c r="V228" s="59">
        <v>216093.27389091259</v>
      </c>
      <c r="W228" s="59">
        <v>247457.16237430787</v>
      </c>
      <c r="X228" s="59">
        <v>686485.96194026514</v>
      </c>
      <c r="Y228" s="59">
        <v>1518178.4785056098</v>
      </c>
      <c r="Z228" s="59">
        <v>3006268.5818647989</v>
      </c>
      <c r="AA228" s="59">
        <v>1803834.314236979</v>
      </c>
      <c r="AB228" s="59">
        <v>7509985.6126601016</v>
      </c>
      <c r="AC228" s="59">
        <v>1309987314.4321129</v>
      </c>
      <c r="AD228" s="68">
        <v>7509985.6126601016</v>
      </c>
    </row>
    <row r="229" spans="1:30" x14ac:dyDescent="0.2">
      <c r="A229" s="95">
        <v>221</v>
      </c>
      <c r="B229" s="95">
        <v>18</v>
      </c>
      <c r="C229" s="95">
        <v>5</v>
      </c>
      <c r="D229" s="95"/>
      <c r="E229" s="95">
        <v>155.84452376418284</v>
      </c>
      <c r="F229" s="95">
        <v>1067.7812017332021</v>
      </c>
      <c r="G229" s="95">
        <v>1224.9913321262975</v>
      </c>
      <c r="H229" s="95">
        <v>1653.1786026854147</v>
      </c>
      <c r="I229" s="95">
        <v>3149.2147628808229</v>
      </c>
      <c r="J229" s="95">
        <v>121.42214180154019</v>
      </c>
      <c r="K229" s="95">
        <v>440.1968865495711</v>
      </c>
      <c r="L229" s="95">
        <v>183.22670147976379</v>
      </c>
      <c r="M229" s="95">
        <v>1737.3263315899542</v>
      </c>
      <c r="N229" s="95">
        <v>266.817515389253</v>
      </c>
      <c r="O229" s="95">
        <v>10000.000000000002</v>
      </c>
      <c r="Q229" s="98">
        <v>1737.3263315899542</v>
      </c>
      <c r="R229" s="95">
        <v>1838.5198223976595</v>
      </c>
      <c r="S229" s="99">
        <v>1092.264408771038</v>
      </c>
      <c r="U229" s="121">
        <v>31348.522462102432</v>
      </c>
      <c r="V229" s="59">
        <v>214799.34354806549</v>
      </c>
      <c r="W229" s="59">
        <v>246430.76571983402</v>
      </c>
      <c r="X229" s="59">
        <v>684715.80860503949</v>
      </c>
      <c r="Y229" s="59">
        <v>1518693.3667853072</v>
      </c>
      <c r="Z229" s="59">
        <v>3011233.3915609061</v>
      </c>
      <c r="AA229" s="59">
        <v>1806586.6915466893</v>
      </c>
      <c r="AB229" s="59">
        <v>7513807.8902279437</v>
      </c>
      <c r="AC229" s="59">
        <v>1317501122.322341</v>
      </c>
      <c r="AD229" s="68">
        <v>7513807.8902279437</v>
      </c>
    </row>
    <row r="230" spans="1:30" x14ac:dyDescent="0.2">
      <c r="A230" s="95">
        <v>222</v>
      </c>
      <c r="B230" s="95">
        <v>18</v>
      </c>
      <c r="C230" s="95">
        <v>6</v>
      </c>
      <c r="D230" s="95"/>
      <c r="E230" s="95">
        <v>154.28607852654102</v>
      </c>
      <c r="F230" s="95">
        <v>1061.4702903605262</v>
      </c>
      <c r="G230" s="95">
        <v>1219.9986211509465</v>
      </c>
      <c r="H230" s="95">
        <v>1649.0344948633806</v>
      </c>
      <c r="I230" s="95">
        <v>3150.4991538133381</v>
      </c>
      <c r="J230" s="95">
        <v>121.49785078674633</v>
      </c>
      <c r="K230" s="95">
        <v>441.08313953419758</v>
      </c>
      <c r="L230" s="95">
        <v>183.51766972742286</v>
      </c>
      <c r="M230" s="95">
        <v>1749.7962218093951</v>
      </c>
      <c r="N230" s="95">
        <v>268.81647942750817</v>
      </c>
      <c r="O230" s="95">
        <v>10000.000000000002</v>
      </c>
      <c r="Q230" s="98">
        <v>1749.7962218093951</v>
      </c>
      <c r="R230" s="95">
        <v>1848.7547703770222</v>
      </c>
      <c r="S230" s="99">
        <v>1099.1210004883885</v>
      </c>
      <c r="U230" s="121">
        <v>31032.424860609564</v>
      </c>
      <c r="V230" s="59">
        <v>213511.8965107562</v>
      </c>
      <c r="W230" s="59">
        <v>245405.80982419453</v>
      </c>
      <c r="X230" s="59">
        <v>682942.22510733863</v>
      </c>
      <c r="Y230" s="59">
        <v>1519185.8866913533</v>
      </c>
      <c r="Z230" s="59">
        <v>3016138.5617775694</v>
      </c>
      <c r="AA230" s="59">
        <v>1809304.2294505679</v>
      </c>
      <c r="AB230" s="59">
        <v>7517521.0342223896</v>
      </c>
      <c r="AC230" s="59">
        <v>1325018643.3565633</v>
      </c>
      <c r="AD230" s="68">
        <v>7517521.0342223896</v>
      </c>
    </row>
    <row r="231" spans="1:30" x14ac:dyDescent="0.2">
      <c r="A231" s="95">
        <v>223</v>
      </c>
      <c r="B231" s="95">
        <v>18</v>
      </c>
      <c r="C231" s="95">
        <v>7</v>
      </c>
      <c r="D231" s="95"/>
      <c r="E231" s="95">
        <v>152.7432177412756</v>
      </c>
      <c r="F231" s="95">
        <v>1055.190464163516</v>
      </c>
      <c r="G231" s="95">
        <v>1215.012383174203</v>
      </c>
      <c r="H231" s="95">
        <v>1644.8815556674949</v>
      </c>
      <c r="I231" s="95">
        <v>3151.7374912125551</v>
      </c>
      <c r="J231" s="95">
        <v>121.57165423273948</v>
      </c>
      <c r="K231" s="95">
        <v>441.96036077278069</v>
      </c>
      <c r="L231" s="95">
        <v>183.80516118679111</v>
      </c>
      <c r="M231" s="95">
        <v>1762.2858855964473</v>
      </c>
      <c r="N231" s="95">
        <v>270.81182625219895</v>
      </c>
      <c r="O231" s="95">
        <v>10000.000000000002</v>
      </c>
      <c r="Q231" s="98">
        <v>1762.2858855964473</v>
      </c>
      <c r="R231" s="95">
        <v>1858.9938926269156</v>
      </c>
      <c r="S231" s="99">
        <v>1105.9845417796562</v>
      </c>
      <c r="U231" s="121">
        <v>30719.514576598416</v>
      </c>
      <c r="V231" s="59">
        <v>212230.91608735902</v>
      </c>
      <c r="W231" s="59">
        <v>244382.32572296239</v>
      </c>
      <c r="X231" s="59">
        <v>681165.27541146928</v>
      </c>
      <c r="Y231" s="59">
        <v>1519656.1058678606</v>
      </c>
      <c r="Z231" s="59">
        <v>3020984.2589767263</v>
      </c>
      <c r="AA231" s="59">
        <v>1811987.0242381813</v>
      </c>
      <c r="AB231" s="59">
        <v>7521125.4208811577</v>
      </c>
      <c r="AC231" s="59">
        <v>1332539768.7774446</v>
      </c>
      <c r="AD231" s="68">
        <v>7521125.4208811577</v>
      </c>
    </row>
    <row r="232" spans="1:30" x14ac:dyDescent="0.2">
      <c r="A232" s="95">
        <v>224</v>
      </c>
      <c r="B232" s="95">
        <v>18</v>
      </c>
      <c r="C232" s="95">
        <v>8</v>
      </c>
      <c r="D232" s="95"/>
      <c r="E232" s="95">
        <v>151.21578556386285</v>
      </c>
      <c r="F232" s="95">
        <v>1048.9416471326276</v>
      </c>
      <c r="G232" s="95">
        <v>1210.0327720344924</v>
      </c>
      <c r="H232" s="95">
        <v>1640.7199374055342</v>
      </c>
      <c r="I232" s="95">
        <v>3152.9299046250158</v>
      </c>
      <c r="J232" s="95">
        <v>121.64355805421386</v>
      </c>
      <c r="K232" s="95">
        <v>442.82857258588865</v>
      </c>
      <c r="L232" s="95">
        <v>184.08918473571035</v>
      </c>
      <c r="M232" s="95">
        <v>1774.7950860384199</v>
      </c>
      <c r="N232" s="95">
        <v>272.80355182423682</v>
      </c>
      <c r="O232" s="95">
        <v>10000.000000000002</v>
      </c>
      <c r="Q232" s="98">
        <v>1774.7950860384199</v>
      </c>
      <c r="R232" s="95">
        <v>1869.2370394733564</v>
      </c>
      <c r="S232" s="99">
        <v>1112.8549169377688</v>
      </c>
      <c r="U232" s="121">
        <v>30409.759471284382</v>
      </c>
      <c r="V232" s="59">
        <v>210956.38539349963</v>
      </c>
      <c r="W232" s="59">
        <v>243360.34401277726</v>
      </c>
      <c r="X232" s="59">
        <v>679385.02348106261</v>
      </c>
      <c r="Y232" s="59">
        <v>1520104.0923575358</v>
      </c>
      <c r="Z232" s="59">
        <v>3025770.6493112352</v>
      </c>
      <c r="AA232" s="59">
        <v>1814635.1720888286</v>
      </c>
      <c r="AB232" s="59">
        <v>7524621.4261162234</v>
      </c>
      <c r="AC232" s="59">
        <v>1340064390.2035608</v>
      </c>
      <c r="AD232" s="68">
        <v>7524621.4261162234</v>
      </c>
    </row>
    <row r="233" spans="1:30" x14ac:dyDescent="0.2">
      <c r="A233" s="95">
        <v>225</v>
      </c>
      <c r="B233" s="95">
        <v>18</v>
      </c>
      <c r="C233" s="95">
        <v>9</v>
      </c>
      <c r="D233" s="95"/>
      <c r="E233" s="95">
        <v>149.70362770822422</v>
      </c>
      <c r="F233" s="95">
        <v>1042.7237622962359</v>
      </c>
      <c r="G233" s="95">
        <v>1205.0599394549949</v>
      </c>
      <c r="H233" s="95">
        <v>1636.5497924132742</v>
      </c>
      <c r="I233" s="95">
        <v>3154.0765244650192</v>
      </c>
      <c r="J233" s="95">
        <v>121.71356817349526</v>
      </c>
      <c r="K233" s="95">
        <v>443.68779724239408</v>
      </c>
      <c r="L233" s="95">
        <v>184.36974924503716</v>
      </c>
      <c r="M233" s="95">
        <v>1787.3235868365562</v>
      </c>
      <c r="N233" s="95">
        <v>274.79165216477116</v>
      </c>
      <c r="O233" s="95">
        <v>10000.000000000002</v>
      </c>
      <c r="Q233" s="98">
        <v>1787.3235868365562</v>
      </c>
      <c r="R233" s="95">
        <v>1879.4840616633876</v>
      </c>
      <c r="S233" s="99">
        <v>1119.732010566792</v>
      </c>
      <c r="U233" s="121">
        <v>30103.12772994893</v>
      </c>
      <c r="V233" s="59">
        <v>209688.28735667616</v>
      </c>
      <c r="W233" s="59">
        <v>242339.89485451582</v>
      </c>
      <c r="X233" s="59">
        <v>677601.53327004449</v>
      </c>
      <c r="Y233" s="59">
        <v>1520529.9145997781</v>
      </c>
      <c r="Z233" s="59">
        <v>3030497.8986438834</v>
      </c>
      <c r="AA233" s="59">
        <v>1817248.76908179</v>
      </c>
      <c r="AB233" s="59">
        <v>7528009.4255366372</v>
      </c>
      <c r="AC233" s="59">
        <v>1347592399.6290975</v>
      </c>
      <c r="AD233" s="68">
        <v>7528009.4255366372</v>
      </c>
    </row>
    <row r="234" spans="1:30" x14ac:dyDescent="0.2">
      <c r="A234" s="95">
        <v>226</v>
      </c>
      <c r="B234" s="95">
        <v>18</v>
      </c>
      <c r="C234" s="95">
        <v>10</v>
      </c>
      <c r="D234" s="95"/>
      <c r="E234" s="95">
        <v>148.20659143114199</v>
      </c>
      <c r="F234" s="95">
        <v>1036.5367317428854</v>
      </c>
      <c r="G234" s="95">
        <v>1200.0940350585129</v>
      </c>
      <c r="H234" s="95">
        <v>1632.3712730330592</v>
      </c>
      <c r="I234" s="95">
        <v>3155.177482010844</v>
      </c>
      <c r="J234" s="95">
        <v>121.78169052102355</v>
      </c>
      <c r="K234" s="95">
        <v>444.53805696243944</v>
      </c>
      <c r="L234" s="95">
        <v>184.6468635796559</v>
      </c>
      <c r="M234" s="95">
        <v>1799.8711523054192</v>
      </c>
      <c r="N234" s="95">
        <v>276.77612335502084</v>
      </c>
      <c r="O234" s="95">
        <v>10000.000000000002</v>
      </c>
      <c r="Q234" s="98">
        <v>1799.8711523054192</v>
      </c>
      <c r="R234" s="95">
        <v>1889.7348103678989</v>
      </c>
      <c r="S234" s="99">
        <v>1126.6157075826914</v>
      </c>
      <c r="U234" s="121">
        <v>29799.587858671941</v>
      </c>
      <c r="V234" s="59">
        <v>208426.60472081447</v>
      </c>
      <c r="W234" s="59">
        <v>241321.00797646228</v>
      </c>
      <c r="X234" s="59">
        <v>675814.86871376052</v>
      </c>
      <c r="Y234" s="59">
        <v>1520933.6414286853</v>
      </c>
      <c r="Z234" s="59">
        <v>3035166.1725660139</v>
      </c>
      <c r="AA234" s="59">
        <v>1819827.9112063583</v>
      </c>
      <c r="AB234" s="59">
        <v>7531289.7944707666</v>
      </c>
      <c r="AC234" s="59">
        <v>1355123689.4235682</v>
      </c>
      <c r="AD234" s="68">
        <v>7531289.7944707666</v>
      </c>
    </row>
    <row r="235" spans="1:30" x14ac:dyDescent="0.2">
      <c r="A235" s="95">
        <v>227</v>
      </c>
      <c r="B235" s="95">
        <v>18</v>
      </c>
      <c r="C235" s="95">
        <v>11</v>
      </c>
      <c r="D235" s="95"/>
      <c r="E235" s="95">
        <v>146.72452551683057</v>
      </c>
      <c r="F235" s="95">
        <v>1030.3804766432245</v>
      </c>
      <c r="G235" s="95">
        <v>1195.1352063823419</v>
      </c>
      <c r="H235" s="95">
        <v>1628.1845315927333</v>
      </c>
      <c r="I235" s="95">
        <v>3156.2329094007796</v>
      </c>
      <c r="J235" s="95">
        <v>121.84793103581538</v>
      </c>
      <c r="K235" s="95">
        <v>445.37937392035406</v>
      </c>
      <c r="L235" s="95">
        <v>184.92053659947049</v>
      </c>
      <c r="M235" s="95">
        <v>1812.4375473723469</v>
      </c>
      <c r="N235" s="95">
        <v>278.75696153610573</v>
      </c>
      <c r="O235" s="95">
        <v>10000.000000000002</v>
      </c>
      <c r="Q235" s="98">
        <v>1812.4375473723469</v>
      </c>
      <c r="R235" s="95">
        <v>1899.9891371844342</v>
      </c>
      <c r="S235" s="99">
        <v>1133.5058932141103</v>
      </c>
      <c r="U235" s="121">
        <v>29499.108681096997</v>
      </c>
      <c r="V235" s="59">
        <v>207171.32005075717</v>
      </c>
      <c r="W235" s="59">
        <v>240303.71267747792</v>
      </c>
      <c r="X235" s="59">
        <v>674025.09372025589</v>
      </c>
      <c r="Y235" s="59">
        <v>1521315.3420709702</v>
      </c>
      <c r="Z235" s="59">
        <v>3039775.6364157861</v>
      </c>
      <c r="AA235" s="59">
        <v>1822372.6943716572</v>
      </c>
      <c r="AB235" s="59">
        <v>7534462.9079880016</v>
      </c>
      <c r="AC235" s="59">
        <v>1362658152.3315563</v>
      </c>
      <c r="AD235" s="68">
        <v>7534462.9079880016</v>
      </c>
    </row>
    <row r="236" spans="1:30" x14ac:dyDescent="0.2">
      <c r="A236" s="95">
        <v>228</v>
      </c>
      <c r="B236" s="95">
        <v>19</v>
      </c>
      <c r="C236" s="95">
        <v>0</v>
      </c>
      <c r="D236" s="95"/>
      <c r="E236" s="95">
        <v>145.25728026166226</v>
      </c>
      <c r="F236" s="95">
        <v>1024.2549172716299</v>
      </c>
      <c r="G236" s="95">
        <v>1190.1835988931457</v>
      </c>
      <c r="H236" s="95">
        <v>1623.9897203849287</v>
      </c>
      <c r="I236" s="95">
        <v>3157.2429396289722</v>
      </c>
      <c r="J236" s="95">
        <v>121.91229566590775</v>
      </c>
      <c r="K236" s="95">
        <v>446.2117702475237</v>
      </c>
      <c r="L236" s="95">
        <v>185.19077716037535</v>
      </c>
      <c r="M236" s="95">
        <v>1825.0225375769778</v>
      </c>
      <c r="N236" s="95">
        <v>280.7341629088786</v>
      </c>
      <c r="O236" s="95">
        <v>10000.000000000002</v>
      </c>
      <c r="Q236" s="98">
        <v>1825.0225375769778</v>
      </c>
      <c r="R236" s="95">
        <v>1910.2468941399868</v>
      </c>
      <c r="S236" s="99">
        <v>1140.4024530031629</v>
      </c>
      <c r="U236" s="121">
        <v>29201.659335229269</v>
      </c>
      <c r="V236" s="59">
        <v>205922.4157366881</v>
      </c>
      <c r="W236" s="59">
        <v>239288.03783017019</v>
      </c>
      <c r="X236" s="59">
        <v>672232.27216170728</v>
      </c>
      <c r="Y236" s="59">
        <v>1521675.0861437893</v>
      </c>
      <c r="Z236" s="59">
        <v>3044326.4552960577</v>
      </c>
      <c r="AA236" s="59">
        <v>1824883.2144162483</v>
      </c>
      <c r="AB236" s="59">
        <v>7537529.1409198903</v>
      </c>
      <c r="AC236" s="59">
        <v>1370195681.4724762</v>
      </c>
      <c r="AD236" s="68">
        <v>7537529.1409198903</v>
      </c>
    </row>
    <row r="237" spans="1:30" x14ac:dyDescent="0.2">
      <c r="A237" s="95">
        <v>229</v>
      </c>
      <c r="B237" s="95">
        <v>19</v>
      </c>
      <c r="C237" s="95">
        <v>1</v>
      </c>
      <c r="D237" s="95"/>
      <c r="E237" s="95">
        <v>143.80470745904563</v>
      </c>
      <c r="F237" s="95">
        <v>1018.1599730275225</v>
      </c>
      <c r="G237" s="95">
        <v>1185.2393560018318</v>
      </c>
      <c r="H237" s="95">
        <v>1619.7869916467096</v>
      </c>
      <c r="I237" s="95">
        <v>3158.2077065410913</v>
      </c>
      <c r="J237" s="95">
        <v>121.97479036878265</v>
      </c>
      <c r="K237" s="95">
        <v>447.03526803521197</v>
      </c>
      <c r="L237" s="95">
        <v>185.45759411520515</v>
      </c>
      <c r="M237" s="95">
        <v>1837.6258890708443</v>
      </c>
      <c r="N237" s="95">
        <v>282.70772373375718</v>
      </c>
      <c r="O237" s="95">
        <v>10000.000000000002</v>
      </c>
      <c r="Q237" s="98">
        <v>1837.6258890708443</v>
      </c>
      <c r="R237" s="95">
        <v>1920.5079336937811</v>
      </c>
      <c r="S237" s="99">
        <v>1147.3052728062396</v>
      </c>
      <c r="U237" s="121">
        <v>28907.20927026571</v>
      </c>
      <c r="V237" s="59">
        <v>204679.87399849281</v>
      </c>
      <c r="W237" s="59">
        <v>238274.01188405996</v>
      </c>
      <c r="X237" s="59">
        <v>670436.46786600549</v>
      </c>
      <c r="Y237" s="59">
        <v>1522012.9436524836</v>
      </c>
      <c r="Z237" s="59">
        <v>3048818.7940919083</v>
      </c>
      <c r="AA237" s="59">
        <v>1827359.5671175262</v>
      </c>
      <c r="AB237" s="59">
        <v>7540488.8678807421</v>
      </c>
      <c r="AC237" s="59">
        <v>1377736170.3403571</v>
      </c>
      <c r="AD237" s="68">
        <v>7540488.8678807421</v>
      </c>
    </row>
    <row r="238" spans="1:30" x14ac:dyDescent="0.2">
      <c r="A238" s="95">
        <v>230</v>
      </c>
      <c r="B238" s="95">
        <v>19</v>
      </c>
      <c r="C238" s="95">
        <v>2</v>
      </c>
      <c r="D238" s="95"/>
      <c r="E238" s="95">
        <v>142.36666038445517</v>
      </c>
      <c r="F238" s="95">
        <v>1012.0955624563796</v>
      </c>
      <c r="G238" s="95">
        <v>1180.3026190784246</v>
      </c>
      <c r="H238" s="95">
        <v>1615.5764975395646</v>
      </c>
      <c r="I238" s="95">
        <v>3159.1273448298175</v>
      </c>
      <c r="J238" s="95">
        <v>122.03542111177312</v>
      </c>
      <c r="K238" s="95">
        <v>447.84988933733456</v>
      </c>
      <c r="L238" s="95">
        <v>185.72099631466421</v>
      </c>
      <c r="M238" s="95">
        <v>1850.2473686170322</v>
      </c>
      <c r="N238" s="95">
        <v>284.67764033055602</v>
      </c>
      <c r="O238" s="95">
        <v>10000.000000000002</v>
      </c>
      <c r="Q238" s="98">
        <v>1850.2473686170322</v>
      </c>
      <c r="R238" s="95">
        <v>1930.7721087400396</v>
      </c>
      <c r="S238" s="99">
        <v>1154.2142387948268</v>
      </c>
      <c r="U238" s="121">
        <v>28615.728243457193</v>
      </c>
      <c r="V238" s="59">
        <v>203443.67689005574</v>
      </c>
      <c r="W238" s="59">
        <v>237261.66286874731</v>
      </c>
      <c r="X238" s="59">
        <v>668637.74460848782</v>
      </c>
      <c r="Y238" s="59">
        <v>1522328.9849882359</v>
      </c>
      <c r="Z238" s="59">
        <v>3053252.8174877916</v>
      </c>
      <c r="AA238" s="59">
        <v>1829801.8482009063</v>
      </c>
      <c r="AB238" s="59">
        <v>7543342.4632876823</v>
      </c>
      <c r="AC238" s="59">
        <v>1385279512.8036447</v>
      </c>
      <c r="AD238" s="68">
        <v>7543342.4632876823</v>
      </c>
    </row>
    <row r="239" spans="1:30" x14ac:dyDescent="0.2">
      <c r="A239" s="95">
        <v>231</v>
      </c>
      <c r="B239" s="95">
        <v>19</v>
      </c>
      <c r="C239" s="95">
        <v>3</v>
      </c>
      <c r="D239" s="95"/>
      <c r="E239" s="95">
        <v>140.94299378061064</v>
      </c>
      <c r="F239" s="95">
        <v>1006.0616032704479</v>
      </c>
      <c r="G239" s="95">
        <v>1175.3735274669368</v>
      </c>
      <c r="H239" s="95">
        <v>1611.3583901297482</v>
      </c>
      <c r="I239" s="95">
        <v>3160.0019900301609</v>
      </c>
      <c r="J239" s="95">
        <v>122.09419387245119</v>
      </c>
      <c r="K239" s="95">
        <v>448.65565617318583</v>
      </c>
      <c r="L239" s="95">
        <v>185.98099260823514</v>
      </c>
      <c r="M239" s="95">
        <v>1862.886743589906</v>
      </c>
      <c r="N239" s="95">
        <v>286.64390907831915</v>
      </c>
      <c r="O239" s="95">
        <v>10000.000000000002</v>
      </c>
      <c r="Q239" s="98">
        <v>1862.886743589906</v>
      </c>
      <c r="R239" s="95">
        <v>1941.0392726107366</v>
      </c>
      <c r="S239" s="99">
        <v>1161.1292374563398</v>
      </c>
      <c r="U239" s="121">
        <v>28327.186317002335</v>
      </c>
      <c r="V239" s="59">
        <v>202213.80630349487</v>
      </c>
      <c r="W239" s="59">
        <v>236251.0183970748</v>
      </c>
      <c r="X239" s="59">
        <v>666836.16610381834</v>
      </c>
      <c r="Y239" s="59">
        <v>1522623.2809256471</v>
      </c>
      <c r="Z239" s="59">
        <v>3057628.6899843323</v>
      </c>
      <c r="AA239" s="59">
        <v>1832210.1533488042</v>
      </c>
      <c r="AB239" s="59">
        <v>7546090.3013801742</v>
      </c>
      <c r="AC239" s="59">
        <v>1392825603.1050248</v>
      </c>
      <c r="AD239" s="68">
        <v>7546090.3013801742</v>
      </c>
    </row>
    <row r="240" spans="1:30" x14ac:dyDescent="0.2">
      <c r="A240" s="95">
        <v>232</v>
      </c>
      <c r="B240" s="95">
        <v>19</v>
      </c>
      <c r="C240" s="95">
        <v>4</v>
      </c>
      <c r="D240" s="95"/>
      <c r="E240" s="95">
        <v>139.53356384280454</v>
      </c>
      <c r="F240" s="95">
        <v>1000.0580123691589</v>
      </c>
      <c r="G240" s="95">
        <v>1170.4522185002331</v>
      </c>
      <c r="H240" s="95">
        <v>1607.1328213689642</v>
      </c>
      <c r="I240" s="95">
        <v>3160.8317785146078</v>
      </c>
      <c r="J240" s="95">
        <v>122.15111463899822</v>
      </c>
      <c r="K240" s="95">
        <v>449.45259053011819</v>
      </c>
      <c r="L240" s="95">
        <v>186.23759184506719</v>
      </c>
      <c r="M240" s="95">
        <v>1875.5437819748977</v>
      </c>
      <c r="N240" s="95">
        <v>288.60652641515213</v>
      </c>
      <c r="O240" s="95">
        <v>10000.000000000002</v>
      </c>
      <c r="Q240" s="98">
        <v>1875.5437819748977</v>
      </c>
      <c r="R240" s="95">
        <v>1951.3092790783346</v>
      </c>
      <c r="S240" s="99">
        <v>1168.0501555949668</v>
      </c>
      <c r="U240" s="121">
        <v>28041.553854972561</v>
      </c>
      <c r="V240" s="59">
        <v>200990.24397333473</v>
      </c>
      <c r="W240" s="59">
        <v>235242.10566828813</v>
      </c>
      <c r="X240" s="59">
        <v>665031.79599801404</v>
      </c>
      <c r="Y240" s="59">
        <v>1522895.9026202334</v>
      </c>
      <c r="Z240" s="59">
        <v>3061946.5759147634</v>
      </c>
      <c r="AA240" s="59">
        <v>1834584.5782094114</v>
      </c>
      <c r="AB240" s="59">
        <v>7548732.7562390175</v>
      </c>
      <c r="AC240" s="59">
        <v>1400374335.8612638</v>
      </c>
      <c r="AD240" s="68">
        <v>7548732.7562390175</v>
      </c>
    </row>
    <row r="241" spans="1:30" x14ac:dyDescent="0.2">
      <c r="A241" s="95">
        <v>233</v>
      </c>
      <c r="B241" s="95">
        <v>19</v>
      </c>
      <c r="C241" s="95">
        <v>5</v>
      </c>
      <c r="D241" s="95"/>
      <c r="E241" s="95">
        <v>138.1382282043765</v>
      </c>
      <c r="F241" s="95">
        <v>994.08470585925238</v>
      </c>
      <c r="G241" s="95">
        <v>1165.5388275148873</v>
      </c>
      <c r="H241" s="95">
        <v>1602.8999430753909</v>
      </c>
      <c r="I241" s="95">
        <v>3161.6168474881065</v>
      </c>
      <c r="J241" s="95">
        <v>122.20618941055766</v>
      </c>
      <c r="K241" s="95">
        <v>450.2407143661747</v>
      </c>
      <c r="L241" s="95">
        <v>186.49080287484432</v>
      </c>
      <c r="M241" s="95">
        <v>1888.2182523683573</v>
      </c>
      <c r="N241" s="95">
        <v>290.56548883805465</v>
      </c>
      <c r="O241" s="95">
        <v>10000.000000000002</v>
      </c>
      <c r="Q241" s="98">
        <v>1888.2182523683573</v>
      </c>
      <c r="R241" s="95">
        <v>1961.581982358507</v>
      </c>
      <c r="S241" s="99">
        <v>1174.9768803325255</v>
      </c>
      <c r="U241" s="121">
        <v>27758.801520268251</v>
      </c>
      <c r="V241" s="59">
        <v>199772.97148061849</v>
      </c>
      <c r="W241" s="59">
        <v>234234.95147119358</v>
      </c>
      <c r="X241" s="59">
        <v>663224.69786061638</v>
      </c>
      <c r="Y241" s="59">
        <v>1523146.921605841</v>
      </c>
      <c r="Z241" s="59">
        <v>3066206.6394610088</v>
      </c>
      <c r="AA241" s="59">
        <v>1836925.2184052649</v>
      </c>
      <c r="AB241" s="59">
        <v>7551270.2018048111</v>
      </c>
      <c r="AC241" s="59">
        <v>1407925606.0630686</v>
      </c>
      <c r="AD241" s="68">
        <v>7551270.2018048111</v>
      </c>
    </row>
    <row r="242" spans="1:30" x14ac:dyDescent="0.2">
      <c r="A242" s="95">
        <v>234</v>
      </c>
      <c r="B242" s="95">
        <v>19</v>
      </c>
      <c r="C242" s="95">
        <v>6</v>
      </c>
      <c r="D242" s="95"/>
      <c r="E242" s="95">
        <v>136.75684592233273</v>
      </c>
      <c r="F242" s="95">
        <v>988.14159907461055</v>
      </c>
      <c r="G242" s="95">
        <v>1160.6334878660293</v>
      </c>
      <c r="H242" s="95">
        <v>1598.659906915042</v>
      </c>
      <c r="I242" s="95">
        <v>3162.3573349828907</v>
      </c>
      <c r="J242" s="95">
        <v>122.25942419757082</v>
      </c>
      <c r="K242" s="95">
        <v>451.02004961267443</v>
      </c>
      <c r="L242" s="95">
        <v>186.74063454863335</v>
      </c>
      <c r="M242" s="95">
        <v>1900.909923977465</v>
      </c>
      <c r="N242" s="95">
        <v>292.52079290275304</v>
      </c>
      <c r="O242" s="95">
        <v>10000.000000000002</v>
      </c>
      <c r="Q242" s="98">
        <v>1900.909923977465</v>
      </c>
      <c r="R242" s="95">
        <v>1971.8572371128434</v>
      </c>
      <c r="S242" s="99">
        <v>1181.9092991093298</v>
      </c>
      <c r="U242" s="121">
        <v>27478.900271605544</v>
      </c>
      <c r="V242" s="59">
        <v>198561.97025695984</v>
      </c>
      <c r="W242" s="59">
        <v>233229.58218731228</v>
      </c>
      <c r="X242" s="59">
        <v>661414.93517700536</v>
      </c>
      <c r="Y242" s="59">
        <v>1523376.4097919923</v>
      </c>
      <c r="Z242" s="59">
        <v>3070409.0446694144</v>
      </c>
      <c r="AA242" s="59">
        <v>1839232.1695416176</v>
      </c>
      <c r="AB242" s="59">
        <v>7553703.0118959071</v>
      </c>
      <c r="AC242" s="59">
        <v>1415479309.0749645</v>
      </c>
      <c r="AD242" s="68">
        <v>7553703.0118959071</v>
      </c>
    </row>
    <row r="243" spans="1:30" x14ac:dyDescent="0.2">
      <c r="A243" s="95">
        <v>235</v>
      </c>
      <c r="B243" s="95">
        <v>19</v>
      </c>
      <c r="C243" s="95">
        <v>7</v>
      </c>
      <c r="D243" s="95"/>
      <c r="E243" s="95">
        <v>135.38927746310941</v>
      </c>
      <c r="F243" s="95">
        <v>982.22860659580613</v>
      </c>
      <c r="G243" s="95">
        <v>1155.736330942181</v>
      </c>
      <c r="H243" s="95">
        <v>1594.4128643834615</v>
      </c>
      <c r="I243" s="95">
        <v>3163.0533798531492</v>
      </c>
      <c r="J243" s="95">
        <v>122.31082502209608</v>
      </c>
      <c r="K243" s="95">
        <v>451.79061817675148</v>
      </c>
      <c r="L243" s="95">
        <v>186.98709571971207</v>
      </c>
      <c r="M243" s="95">
        <v>1913.618566620202</v>
      </c>
      <c r="N243" s="95">
        <v>294.47243522353301</v>
      </c>
      <c r="O243" s="95">
        <v>10000.000000000002</v>
      </c>
      <c r="Q243" s="98">
        <v>1913.618566620202</v>
      </c>
      <c r="R243" s="95">
        <v>1982.1348984515378</v>
      </c>
      <c r="S243" s="99">
        <v>1188.8472996850678</v>
      </c>
      <c r="U243" s="121">
        <v>27201.821360533526</v>
      </c>
      <c r="V243" s="59">
        <v>197357.22158853555</v>
      </c>
      <c r="W243" s="59">
        <v>232226.02379403019</v>
      </c>
      <c r="X243" s="59">
        <v>659602.57134085638</v>
      </c>
      <c r="Y243" s="59">
        <v>1523584.4394611509</v>
      </c>
      <c r="Z243" s="59">
        <v>3074553.9554661326</v>
      </c>
      <c r="AA243" s="59">
        <v>1841505.5272146072</v>
      </c>
      <c r="AB243" s="59">
        <v>7556031.5602258462</v>
      </c>
      <c r="AC243" s="59">
        <v>1423035340.6351905</v>
      </c>
      <c r="AD243" s="68">
        <v>7556031.5602258462</v>
      </c>
    </row>
    <row r="244" spans="1:30" x14ac:dyDescent="0.2">
      <c r="A244" s="95">
        <v>236</v>
      </c>
      <c r="B244" s="95">
        <v>19</v>
      </c>
      <c r="C244" s="95">
        <v>8</v>
      </c>
      <c r="D244" s="95"/>
      <c r="E244" s="95">
        <v>134.0353846884783</v>
      </c>
      <c r="F244" s="95">
        <v>976.34564226936891</v>
      </c>
      <c r="G244" s="95">
        <v>1150.8474861800773</v>
      </c>
      <c r="H244" s="95">
        <v>1590.1589667877474</v>
      </c>
      <c r="I244" s="95">
        <v>3163.7051217695412</v>
      </c>
      <c r="J244" s="95">
        <v>122.36039791811167</v>
      </c>
      <c r="K244" s="95">
        <v>452.55244194384727</v>
      </c>
      <c r="L244" s="95">
        <v>187.23019524437788</v>
      </c>
      <c r="M244" s="95">
        <v>1926.34395072538</v>
      </c>
      <c r="N244" s="95">
        <v>296.42041247307208</v>
      </c>
      <c r="O244" s="95">
        <v>10000.000000000002</v>
      </c>
      <c r="Q244" s="98">
        <v>1926.34395072538</v>
      </c>
      <c r="R244" s="95">
        <v>1992.4148219360604</v>
      </c>
      <c r="S244" s="99">
        <v>1195.79077013969</v>
      </c>
      <c r="U244" s="121">
        <v>26927.536328481478</v>
      </c>
      <c r="V244" s="59">
        <v>196158.7066200191</v>
      </c>
      <c r="W244" s="59">
        <v>231224.30186774398</v>
      </c>
      <c r="X244" s="59">
        <v>657787.6696467367</v>
      </c>
      <c r="Y244" s="59">
        <v>1523771.0832659204</v>
      </c>
      <c r="Z244" s="59">
        <v>3078641.5356721608</v>
      </c>
      <c r="AA244" s="59">
        <v>1843745.3870192266</v>
      </c>
      <c r="AB244" s="59">
        <v>7558256.2204202889</v>
      </c>
      <c r="AC244" s="59">
        <v>1430593596.8556108</v>
      </c>
      <c r="AD244" s="68">
        <v>7558256.2204202889</v>
      </c>
    </row>
    <row r="245" spans="1:30" x14ac:dyDescent="0.2">
      <c r="A245" s="95">
        <v>237</v>
      </c>
      <c r="B245" s="95">
        <v>19</v>
      </c>
      <c r="C245" s="95">
        <v>9</v>
      </c>
      <c r="D245" s="95"/>
      <c r="E245" s="95">
        <v>132.69503084159351</v>
      </c>
      <c r="F245" s="95">
        <v>970.49261922677283</v>
      </c>
      <c r="G245" s="95">
        <v>1145.967081079473</v>
      </c>
      <c r="H245" s="95">
        <v>1585.898365228903</v>
      </c>
      <c r="I245" s="95">
        <v>3164.3127012135647</v>
      </c>
      <c r="J245" s="95">
        <v>122.40814893180243</v>
      </c>
      <c r="K245" s="95">
        <v>453.305542780157</v>
      </c>
      <c r="L245" s="95">
        <v>187.46994198273657</v>
      </c>
      <c r="M245" s="95">
        <v>1939.0858473327264</v>
      </c>
      <c r="N245" s="95">
        <v>298.36472138227248</v>
      </c>
      <c r="O245" s="95">
        <v>10000.000000000002</v>
      </c>
      <c r="Q245" s="98">
        <v>1939.0858473327264</v>
      </c>
      <c r="R245" s="95">
        <v>2002.6968635818114</v>
      </c>
      <c r="S245" s="99">
        <v>1202.7395988743056</v>
      </c>
      <c r="U245" s="121">
        <v>26656.017003835954</v>
      </c>
      <c r="V245" s="59">
        <v>194966.40635845668</v>
      </c>
      <c r="W245" s="59">
        <v>230224.44158700242</v>
      </c>
      <c r="X245" s="59">
        <v>655970.29328284063</v>
      </c>
      <c r="Y245" s="59">
        <v>1523936.4142261695</v>
      </c>
      <c r="Z245" s="59">
        <v>3082671.9490180393</v>
      </c>
      <c r="AA245" s="59">
        <v>1845951.8445570988</v>
      </c>
      <c r="AB245" s="59">
        <v>7560377.3660334432</v>
      </c>
      <c r="AC245" s="59">
        <v>1438153974.2216444</v>
      </c>
      <c r="AD245" s="68">
        <v>7560377.3660334432</v>
      </c>
    </row>
    <row r="246" spans="1:30" x14ac:dyDescent="0.2">
      <c r="A246" s="95">
        <v>238</v>
      </c>
      <c r="B246" s="95">
        <v>19</v>
      </c>
      <c r="C246" s="95">
        <v>10</v>
      </c>
      <c r="D246" s="95"/>
      <c r="E246" s="95">
        <v>131.36808053317756</v>
      </c>
      <c r="F246" s="95">
        <v>964.66944990314869</v>
      </c>
      <c r="G246" s="95">
        <v>1141.0952412179313</v>
      </c>
      <c r="H246" s="95">
        <v>1581.6312105845111</v>
      </c>
      <c r="I246" s="95">
        <v>3164.8762594717809</v>
      </c>
      <c r="J246" s="95">
        <v>122.45408412183107</v>
      </c>
      <c r="K246" s="95">
        <v>454.04994253502957</v>
      </c>
      <c r="L246" s="95">
        <v>187.70634479947211</v>
      </c>
      <c r="M246" s="95">
        <v>1951.8440280930258</v>
      </c>
      <c r="N246" s="95">
        <v>300.30535874009377</v>
      </c>
      <c r="O246" s="95">
        <v>10000.000000000002</v>
      </c>
      <c r="Q246" s="98">
        <v>1951.8440280930258</v>
      </c>
      <c r="R246" s="95">
        <v>2012.9808798607555</v>
      </c>
      <c r="S246" s="99">
        <v>1209.6936746120891</v>
      </c>
      <c r="U246" s="121">
        <v>26387.23549904727</v>
      </c>
      <c r="V246" s="59">
        <v>193780.30167708552</v>
      </c>
      <c r="W246" s="59">
        <v>229226.46773564245</v>
      </c>
      <c r="X246" s="59">
        <v>654150.50532386231</v>
      </c>
      <c r="Y246" s="59">
        <v>1524080.5057260904</v>
      </c>
      <c r="Z246" s="59">
        <v>3086645.3591582095</v>
      </c>
      <c r="AA246" s="59">
        <v>1848124.9954440568</v>
      </c>
      <c r="AB246" s="59">
        <v>7562395.3705639942</v>
      </c>
      <c r="AC246" s="59">
        <v>1445716369.5922084</v>
      </c>
      <c r="AD246" s="68">
        <v>7562395.3705639942</v>
      </c>
    </row>
    <row r="247" spans="1:30" x14ac:dyDescent="0.2">
      <c r="A247" s="95">
        <v>239</v>
      </c>
      <c r="B247" s="95">
        <v>19</v>
      </c>
      <c r="C247" s="95">
        <v>11</v>
      </c>
      <c r="D247" s="95"/>
      <c r="E247" s="95">
        <v>130.05439972784578</v>
      </c>
      <c r="F247" s="95">
        <v>958.87604605572403</v>
      </c>
      <c r="G247" s="95">
        <v>1136.2320902655947</v>
      </c>
      <c r="H247" s="95">
        <v>1577.3576534917274</v>
      </c>
      <c r="I247" s="95">
        <v>3165.3959386298961</v>
      </c>
      <c r="J247" s="95">
        <v>122.49820955959395</v>
      </c>
      <c r="K247" s="95">
        <v>454.78566304332219</v>
      </c>
      <c r="L247" s="95">
        <v>187.93941256459698</v>
      </c>
      <c r="M247" s="95">
        <v>1964.6182652683151</v>
      </c>
      <c r="N247" s="95">
        <v>302.24232139338551</v>
      </c>
      <c r="O247" s="95">
        <v>10000.000000000002</v>
      </c>
      <c r="Q247" s="98">
        <v>1964.6182652683151</v>
      </c>
      <c r="R247" s="95">
        <v>2023.2667277040389</v>
      </c>
      <c r="S247" s="99">
        <v>1216.652886399195</v>
      </c>
      <c r="U247" s="121">
        <v>26121.164207765214</v>
      </c>
      <c r="V247" s="59">
        <v>192600.37331909619</v>
      </c>
      <c r="W247" s="59">
        <v>228230.40470592014</v>
      </c>
      <c r="X247" s="59">
        <v>652328.36872400448</v>
      </c>
      <c r="Y247" s="59">
        <v>1524203.4315111912</v>
      </c>
      <c r="Z247" s="59">
        <v>3090561.9296850371</v>
      </c>
      <c r="AA247" s="59">
        <v>1850264.9353175305</v>
      </c>
      <c r="AB247" s="59">
        <v>7564310.607470545</v>
      </c>
      <c r="AC247" s="59">
        <v>1453280680.1996789</v>
      </c>
      <c r="AD247" s="68">
        <v>7564310.607470545</v>
      </c>
    </row>
    <row r="248" spans="1:30" x14ac:dyDescent="0.2">
      <c r="A248" s="95">
        <v>240</v>
      </c>
      <c r="B248" s="95">
        <v>20</v>
      </c>
      <c r="C248" s="95">
        <v>0</v>
      </c>
      <c r="D248" s="95"/>
      <c r="E248" s="95">
        <v>128.75385573056732</v>
      </c>
      <c r="F248" s="95">
        <v>953.11231878199521</v>
      </c>
      <c r="G248" s="95">
        <v>1131.3777499999337</v>
      </c>
      <c r="H248" s="95">
        <v>1573.0778443305903</v>
      </c>
      <c r="I248" s="95">
        <v>3165.8718815667098</v>
      </c>
      <c r="J248" s="95">
        <v>122.54053132946191</v>
      </c>
      <c r="K248" s="95">
        <v>455.51272612770924</v>
      </c>
      <c r="L248" s="95">
        <v>188.16915415418364</v>
      </c>
      <c r="M248" s="95">
        <v>1977.4083317321301</v>
      </c>
      <c r="N248" s="95">
        <v>304.17560624672012</v>
      </c>
      <c r="O248" s="95">
        <v>10000.000000000002</v>
      </c>
      <c r="Q248" s="98">
        <v>1977.4083317321301</v>
      </c>
      <c r="R248" s="95">
        <v>2033.5542645045859</v>
      </c>
      <c r="S248" s="99">
        <v>1223.6171236056798</v>
      </c>
      <c r="U248" s="121">
        <v>25857.775802003584</v>
      </c>
      <c r="V248" s="59">
        <v>191426.60190133861</v>
      </c>
      <c r="W248" s="59">
        <v>227236.2765016359</v>
      </c>
      <c r="X248" s="59">
        <v>650503.94631012168</v>
      </c>
      <c r="Y248" s="59">
        <v>1524305.2656852235</v>
      </c>
      <c r="Z248" s="59">
        <v>3094421.8241425049</v>
      </c>
      <c r="AA248" s="59">
        <v>1852371.7598437427</v>
      </c>
      <c r="AB248" s="59">
        <v>7566123.4501865711</v>
      </c>
      <c r="AC248" s="59">
        <v>1460846803.6498654</v>
      </c>
      <c r="AD248" s="68">
        <v>7566123.4501865711</v>
      </c>
    </row>
    <row r="249" spans="1:30" x14ac:dyDescent="0.2">
      <c r="A249" s="95">
        <v>241</v>
      </c>
      <c r="B249" s="95">
        <v>20</v>
      </c>
      <c r="C249" s="95">
        <v>1</v>
      </c>
      <c r="D249" s="95"/>
      <c r="E249" s="95">
        <v>127.4555876852841</v>
      </c>
      <c r="F249" s="95">
        <v>947.29875251106841</v>
      </c>
      <c r="G249" s="95">
        <v>1126.4380588413069</v>
      </c>
      <c r="H249" s="95">
        <v>1568.6608433872836</v>
      </c>
      <c r="I249" s="95">
        <v>3166.0404092911303</v>
      </c>
      <c r="J249" s="95">
        <v>122.57084381806253</v>
      </c>
      <c r="K249" s="95">
        <v>456.19319420710195</v>
      </c>
      <c r="L249" s="95">
        <v>188.37989768823101</v>
      </c>
      <c r="M249" s="95">
        <v>1990.2140009698053</v>
      </c>
      <c r="N249" s="95">
        <v>306.7484116007272</v>
      </c>
      <c r="O249" s="95">
        <v>10000.000000000002</v>
      </c>
      <c r="Q249" s="98">
        <v>1990.2140009698053</v>
      </c>
      <c r="R249" s="95">
        <v>2043.8433481196778</v>
      </c>
      <c r="S249" s="99">
        <v>1230.5862759264317</v>
      </c>
      <c r="U249" s="121">
        <v>25592.733600033047</v>
      </c>
      <c r="V249" s="59">
        <v>190227.06348432301</v>
      </c>
      <c r="W249" s="59">
        <v>226206.23402850324</v>
      </c>
      <c r="X249" s="59">
        <v>648568.88345061033</v>
      </c>
      <c r="Y249" s="59">
        <v>1524132.0318294328</v>
      </c>
      <c r="Z249" s="59">
        <v>3097709.4690688844</v>
      </c>
      <c r="AA249" s="59">
        <v>1854136.8360980751</v>
      </c>
      <c r="AB249" s="59">
        <v>7566573.2515598619</v>
      </c>
      <c r="AC249" s="59">
        <v>1468413376.9014254</v>
      </c>
      <c r="AD249" s="68">
        <v>7566573.2515598619</v>
      </c>
    </row>
    <row r="250" spans="1:30" x14ac:dyDescent="0.2">
      <c r="A250" s="95">
        <v>242</v>
      </c>
      <c r="B250" s="95">
        <v>20</v>
      </c>
      <c r="C250" s="95">
        <v>2</v>
      </c>
      <c r="D250" s="95"/>
      <c r="E250" s="95">
        <v>126.17041050945748</v>
      </c>
      <c r="F250" s="95">
        <v>941.51564540987613</v>
      </c>
      <c r="G250" s="95">
        <v>1121.5082317302335</v>
      </c>
      <c r="H250" s="95">
        <v>1564.2386155418239</v>
      </c>
      <c r="I250" s="95">
        <v>3166.1654388330744</v>
      </c>
      <c r="J250" s="95">
        <v>122.59872019455459</v>
      </c>
      <c r="K250" s="95">
        <v>456.86557065548152</v>
      </c>
      <c r="L250" s="95">
        <v>188.5872963892443</v>
      </c>
      <c r="M250" s="95">
        <v>2003.0339799397184</v>
      </c>
      <c r="N250" s="95">
        <v>309.31609079653703</v>
      </c>
      <c r="O250" s="95">
        <v>10000.000000000002</v>
      </c>
      <c r="Q250" s="98">
        <v>2003.0339799397184</v>
      </c>
      <c r="R250" s="95">
        <v>2054.1329794498738</v>
      </c>
      <c r="S250" s="99">
        <v>1237.559652619414</v>
      </c>
      <c r="U250" s="121">
        <v>25330.408080632707</v>
      </c>
      <c r="V250" s="59">
        <v>189034.03740550054</v>
      </c>
      <c r="W250" s="59">
        <v>225178.51027088455</v>
      </c>
      <c r="X250" s="59">
        <v>646632.28697337082</v>
      </c>
      <c r="Y250" s="59">
        <v>1523937.871035012</v>
      </c>
      <c r="Z250" s="59">
        <v>3100939.5830840431</v>
      </c>
      <c r="AA250" s="59">
        <v>1855868.3486382887</v>
      </c>
      <c r="AB250" s="59">
        <v>7566921.0454877326</v>
      </c>
      <c r="AC250" s="59">
        <v>1475980297.946913</v>
      </c>
      <c r="AD250" s="68">
        <v>7566921.0454877326</v>
      </c>
    </row>
    <row r="251" spans="1:30" x14ac:dyDescent="0.2">
      <c r="A251" s="95">
        <v>243</v>
      </c>
      <c r="B251" s="95">
        <v>20</v>
      </c>
      <c r="C251" s="95">
        <v>3</v>
      </c>
      <c r="D251" s="95"/>
      <c r="E251" s="95">
        <v>124.89819220348711</v>
      </c>
      <c r="F251" s="95">
        <v>935.76289920888678</v>
      </c>
      <c r="G251" s="95">
        <v>1116.5883824906743</v>
      </c>
      <c r="H251" s="95">
        <v>1559.811311703708</v>
      </c>
      <c r="I251" s="95">
        <v>3166.2471262821882</v>
      </c>
      <c r="J251" s="95">
        <v>122.62418021523341</v>
      </c>
      <c r="K251" s="95">
        <v>457.52986998350804</v>
      </c>
      <c r="L251" s="95">
        <v>188.79135998738607</v>
      </c>
      <c r="M251" s="95">
        <v>2015.8680371519708</v>
      </c>
      <c r="N251" s="95">
        <v>311.87864077295831</v>
      </c>
      <c r="O251" s="95">
        <v>10000.000000000002</v>
      </c>
      <c r="Q251" s="98">
        <v>2015.8680371519708</v>
      </c>
      <c r="R251" s="95">
        <v>2064.4230171260815</v>
      </c>
      <c r="S251" s="99">
        <v>1244.5371432795362</v>
      </c>
      <c r="U251" s="121">
        <v>25070.77139780622</v>
      </c>
      <c r="V251" s="59">
        <v>187847.50076729499</v>
      </c>
      <c r="W251" s="59">
        <v>224153.12701132923</v>
      </c>
      <c r="X251" s="59">
        <v>644694.22020844417</v>
      </c>
      <c r="Y251" s="59">
        <v>1523722.8689322402</v>
      </c>
      <c r="Z251" s="59">
        <v>3104112.3980233092</v>
      </c>
      <c r="AA251" s="59">
        <v>1857566.4098844714</v>
      </c>
      <c r="AB251" s="59">
        <v>7567167.2962248959</v>
      </c>
      <c r="AC251" s="59">
        <v>1483547465.2431378</v>
      </c>
      <c r="AD251" s="68">
        <v>7567167.2962248959</v>
      </c>
    </row>
    <row r="252" spans="1:30" x14ac:dyDescent="0.2">
      <c r="A252" s="95">
        <v>244</v>
      </c>
      <c r="B252" s="95">
        <v>20</v>
      </c>
      <c r="C252" s="95">
        <v>4</v>
      </c>
      <c r="D252" s="95"/>
      <c r="E252" s="95">
        <v>123.63880209876862</v>
      </c>
      <c r="F252" s="95">
        <v>930.04041508040484</v>
      </c>
      <c r="G252" s="95">
        <v>1111.6786230743337</v>
      </c>
      <c r="H252" s="95">
        <v>1555.3790824115777</v>
      </c>
      <c r="I252" s="95">
        <v>3166.2856284454838</v>
      </c>
      <c r="J252" s="95">
        <v>122.64724339646568</v>
      </c>
      <c r="K252" s="95">
        <v>458.18610680838998</v>
      </c>
      <c r="L252" s="95">
        <v>188.99209823962786</v>
      </c>
      <c r="M252" s="95">
        <v>2028.7159418979659</v>
      </c>
      <c r="N252" s="95">
        <v>314.4360585469833</v>
      </c>
      <c r="O252" s="95">
        <v>10000.000000000002</v>
      </c>
      <c r="Q252" s="98">
        <v>2028.7159418979659</v>
      </c>
      <c r="R252" s="95">
        <v>2074.7133202864984</v>
      </c>
      <c r="S252" s="99">
        <v>1251.5186378779915</v>
      </c>
      <c r="U252" s="121">
        <v>24813.795990978706</v>
      </c>
      <c r="V252" s="59">
        <v>186667.4305742716</v>
      </c>
      <c r="W252" s="59">
        <v>223130.10564147859</v>
      </c>
      <c r="X252" s="59">
        <v>642754.74629047979</v>
      </c>
      <c r="Y252" s="59">
        <v>1523487.1114431454</v>
      </c>
      <c r="Z252" s="59">
        <v>3107228.1441488303</v>
      </c>
      <c r="AA252" s="59">
        <v>1859231.1326585982</v>
      </c>
      <c r="AB252" s="59">
        <v>7567312.4667477831</v>
      </c>
      <c r="AC252" s="59">
        <v>1491114777.7098856</v>
      </c>
      <c r="AD252" s="68">
        <v>7567312.4667477831</v>
      </c>
    </row>
    <row r="253" spans="1:30" x14ac:dyDescent="0.2">
      <c r="A253" s="95">
        <v>245</v>
      </c>
      <c r="B253" s="95">
        <v>20</v>
      </c>
      <c r="C253" s="95">
        <v>5</v>
      </c>
      <c r="D253" s="95"/>
      <c r="E253" s="95">
        <v>122.39211084427271</v>
      </c>
      <c r="F253" s="95">
        <v>924.34809365568822</v>
      </c>
      <c r="G253" s="95">
        <v>1106.7790635760518</v>
      </c>
      <c r="H253" s="95">
        <v>1550.9420778182052</v>
      </c>
      <c r="I253" s="95">
        <v>3166.2811028403462</v>
      </c>
      <c r="J253" s="95">
        <v>122.66792902006614</v>
      </c>
      <c r="K253" s="95">
        <v>458.83429585428348</v>
      </c>
      <c r="L253" s="95">
        <v>189.18952092886849</v>
      </c>
      <c r="M253" s="95">
        <v>2041.5774642487174</v>
      </c>
      <c r="N253" s="95">
        <v>316.98834121350166</v>
      </c>
      <c r="O253" s="95">
        <v>10000.000000000002</v>
      </c>
      <c r="Q253" s="98">
        <v>2041.5774642487174</v>
      </c>
      <c r="R253" s="95">
        <v>2085.0037485789462</v>
      </c>
      <c r="S253" s="99">
        <v>1258.5040267623388</v>
      </c>
      <c r="U253" s="121">
        <v>24559.454582071176</v>
      </c>
      <c r="V253" s="59">
        <v>185493.80373666208</v>
      </c>
      <c r="W253" s="59">
        <v>222109.46716547749</v>
      </c>
      <c r="X253" s="59">
        <v>640813.92815267469</v>
      </c>
      <c r="Y253" s="59">
        <v>1523230.6847778717</v>
      </c>
      <c r="Z253" s="59">
        <v>3110287.0502004884</v>
      </c>
      <c r="AA253" s="59">
        <v>1860862.6301605939</v>
      </c>
      <c r="AB253" s="59">
        <v>7567357.0187758394</v>
      </c>
      <c r="AC253" s="59">
        <v>1498682134.7286615</v>
      </c>
      <c r="AD253" s="68">
        <v>7567357.0187758394</v>
      </c>
    </row>
    <row r="254" spans="1:30" x14ac:dyDescent="0.2">
      <c r="A254" s="95">
        <v>246</v>
      </c>
      <c r="B254" s="95">
        <v>20</v>
      </c>
      <c r="C254" s="95">
        <v>6</v>
      </c>
      <c r="D254" s="95"/>
      <c r="E254" s="95">
        <v>121.15799039325962</v>
      </c>
      <c r="F254" s="95">
        <v>918.68583504180685</v>
      </c>
      <c r="G254" s="95">
        <v>1101.8898122491605</v>
      </c>
      <c r="H254" s="95">
        <v>1546.5004476757838</v>
      </c>
      <c r="I254" s="95">
        <v>3166.2337076874305</v>
      </c>
      <c r="J254" s="95">
        <v>122.68625613854996</v>
      </c>
      <c r="K254" s="95">
        <v>459.47445195267369</v>
      </c>
      <c r="L254" s="95">
        <v>189.38363786310836</v>
      </c>
      <c r="M254" s="95">
        <v>2054.4523750532139</v>
      </c>
      <c r="N254" s="95">
        <v>319.53548594501427</v>
      </c>
      <c r="O254" s="95">
        <v>10000.000000000002</v>
      </c>
      <c r="Q254" s="98">
        <v>2054.4523750532139</v>
      </c>
      <c r="R254" s="95">
        <v>2095.2941621631771</v>
      </c>
      <c r="S254" s="99">
        <v>1265.4932006566071</v>
      </c>
      <c r="U254" s="121">
        <v>24307.720172604946</v>
      </c>
      <c r="V254" s="59">
        <v>184326.59707383424</v>
      </c>
      <c r="W254" s="59">
        <v>221091.23220337468</v>
      </c>
      <c r="X254" s="59">
        <v>638871.82852084306</v>
      </c>
      <c r="Y254" s="59">
        <v>1522953.6754309942</v>
      </c>
      <c r="Z254" s="59">
        <v>3113289.3434455562</v>
      </c>
      <c r="AA254" s="59">
        <v>1862461.0159457067</v>
      </c>
      <c r="AB254" s="59">
        <v>7567301.4127929145</v>
      </c>
      <c r="AC254" s="59">
        <v>1506249436.1414545</v>
      </c>
      <c r="AD254" s="68">
        <v>7567301.4127929145</v>
      </c>
    </row>
    <row r="255" spans="1:30" x14ac:dyDescent="0.2">
      <c r="A255" s="95">
        <v>247</v>
      </c>
      <c r="B255" s="95">
        <v>20</v>
      </c>
      <c r="C255" s="95">
        <v>7</v>
      </c>
      <c r="D255" s="95"/>
      <c r="E255" s="95">
        <v>119.93631399012759</v>
      </c>
      <c r="F255" s="95">
        <v>913.05353883824773</v>
      </c>
      <c r="G255" s="95">
        <v>1097.0109755207986</v>
      </c>
      <c r="H255" s="95">
        <v>1542.0543413215175</v>
      </c>
      <c r="I255" s="95">
        <v>3166.1436019034477</v>
      </c>
      <c r="J255" s="95">
        <v>122.70224358026343</v>
      </c>
      <c r="K255" s="95">
        <v>460.10659004273742</v>
      </c>
      <c r="L255" s="95">
        <v>189.57445887467733</v>
      </c>
      <c r="M255" s="95">
        <v>2067.3404459368357</v>
      </c>
      <c r="N255" s="95">
        <v>322.07748999134822</v>
      </c>
      <c r="O255" s="95">
        <v>10000.000000000002</v>
      </c>
      <c r="Q255" s="98">
        <v>2067.3404459368357</v>
      </c>
      <c r="R255" s="95">
        <v>2105.5844217131612</v>
      </c>
      <c r="S255" s="99">
        <v>1272.4860506614261</v>
      </c>
      <c r="U255" s="121">
        <v>24058.566040835743</v>
      </c>
      <c r="V255" s="59">
        <v>183165.78731770723</v>
      </c>
      <c r="W255" s="59">
        <v>220075.42099451221</v>
      </c>
      <c r="X255" s="59">
        <v>636928.50990761735</v>
      </c>
      <c r="Y255" s="59">
        <v>1522656.1701777871</v>
      </c>
      <c r="Z255" s="59">
        <v>3116235.2497271155</v>
      </c>
      <c r="AA255" s="59">
        <v>1864026.4039031267</v>
      </c>
      <c r="AB255" s="59">
        <v>7567146.1080687018</v>
      </c>
      <c r="AC255" s="59">
        <v>1513816582.2495232</v>
      </c>
      <c r="AD255" s="68">
        <v>7567146.1080687018</v>
      </c>
    </row>
    <row r="256" spans="1:30" x14ac:dyDescent="0.2">
      <c r="A256" s="95">
        <v>248</v>
      </c>
      <c r="B256" s="95">
        <v>20</v>
      </c>
      <c r="C256" s="95">
        <v>8</v>
      </c>
      <c r="D256" s="95"/>
      <c r="E256" s="95">
        <v>118.7269561573938</v>
      </c>
      <c r="F256" s="95">
        <v>907.45110415326781</v>
      </c>
      <c r="G256" s="95">
        <v>1092.1426580071879</v>
      </c>
      <c r="H256" s="95">
        <v>1537.6039076635104</v>
      </c>
      <c r="I256" s="95">
        <v>3166.0109450938476</v>
      </c>
      <c r="J256" s="95">
        <v>122.71590995439558</v>
      </c>
      <c r="K256" s="95">
        <v>460.73072517168725</v>
      </c>
      <c r="L256" s="95">
        <v>189.76199381951287</v>
      </c>
      <c r="M256" s="95">
        <v>2080.2414492998259</v>
      </c>
      <c r="N256" s="95">
        <v>324.61435067937214</v>
      </c>
      <c r="O256" s="95">
        <v>10000.000000000002</v>
      </c>
      <c r="Q256" s="98">
        <v>2080.2414492998259</v>
      </c>
      <c r="R256" s="95">
        <v>2115.8743884193473</v>
      </c>
      <c r="S256" s="99">
        <v>1279.4824682541771</v>
      </c>
      <c r="U256" s="121">
        <v>23811.965738917181</v>
      </c>
      <c r="V256" s="59">
        <v>182011.35111611278</v>
      </c>
      <c r="W256" s="59">
        <v>219062.05340090362</v>
      </c>
      <c r="X256" s="59">
        <v>634984.0346067769</v>
      </c>
      <c r="Y256" s="59">
        <v>1522338.2560704446</v>
      </c>
      <c r="Z256" s="59">
        <v>3119124.993511261</v>
      </c>
      <c r="AA256" s="59">
        <v>1865558.9082357902</v>
      </c>
      <c r="AB256" s="59">
        <v>7566891.5626802063</v>
      </c>
      <c r="AC256" s="59">
        <v>1521383473.8122034</v>
      </c>
      <c r="AD256" s="68">
        <v>7566891.5626802063</v>
      </c>
    </row>
    <row r="257" spans="1:30" x14ac:dyDescent="0.2">
      <c r="A257" s="95">
        <v>249</v>
      </c>
      <c r="B257" s="95">
        <v>20</v>
      </c>
      <c r="C257" s="95">
        <v>9</v>
      </c>
      <c r="D257" s="95"/>
      <c r="E257" s="95">
        <v>117.52979268280674</v>
      </c>
      <c r="F257" s="95">
        <v>901.878429619999</v>
      </c>
      <c r="G257" s="95">
        <v>1087.2849625288659</v>
      </c>
      <c r="H257" s="95">
        <v>1533.1492951669472</v>
      </c>
      <c r="I257" s="95">
        <v>3165.8358975453989</v>
      </c>
      <c r="J257" s="95">
        <v>122.72727365587322</v>
      </c>
      <c r="K257" s="95">
        <v>461.34687249509739</v>
      </c>
      <c r="L257" s="95">
        <v>189.94625257648599</v>
      </c>
      <c r="M257" s="95">
        <v>2093.1551583158143</v>
      </c>
      <c r="N257" s="95">
        <v>327.1460654127124</v>
      </c>
      <c r="O257" s="95">
        <v>10000.000000000002</v>
      </c>
      <c r="Q257" s="98">
        <v>2093.1551583158143</v>
      </c>
      <c r="R257" s="95">
        <v>2126.1639239909023</v>
      </c>
      <c r="S257" s="99">
        <v>1286.4823452891678</v>
      </c>
      <c r="U257" s="121">
        <v>23567.893090093279</v>
      </c>
      <c r="V257" s="59">
        <v>180863.26503610337</v>
      </c>
      <c r="W257" s="59">
        <v>218051.14891059994</v>
      </c>
      <c r="X257" s="59">
        <v>633038.46468770504</v>
      </c>
      <c r="Y257" s="59">
        <v>1522000.0204342559</v>
      </c>
      <c r="Z257" s="59">
        <v>3121958.797933117</v>
      </c>
      <c r="AA257" s="59">
        <v>1867058.6434413162</v>
      </c>
      <c r="AB257" s="59">
        <v>7566538.2335331906</v>
      </c>
      <c r="AC257" s="59">
        <v>1528950012.0457366</v>
      </c>
      <c r="AD257" s="68">
        <v>7566538.2335331906</v>
      </c>
    </row>
    <row r="258" spans="1:30" x14ac:dyDescent="0.2">
      <c r="A258" s="95">
        <v>250</v>
      </c>
      <c r="B258" s="95">
        <v>20</v>
      </c>
      <c r="C258" s="95">
        <v>10</v>
      </c>
      <c r="D258" s="95"/>
      <c r="E258" s="95">
        <v>116.34470060658845</v>
      </c>
      <c r="F258" s="95">
        <v>896.33541341230807</v>
      </c>
      <c r="G258" s="95">
        <v>1082.437990125876</v>
      </c>
      <c r="H258" s="95">
        <v>1528.6906518405665</v>
      </c>
      <c r="I258" s="95">
        <v>3165.6186202186723</v>
      </c>
      <c r="J258" s="95">
        <v>122.73635287014189</v>
      </c>
      <c r="K258" s="95">
        <v>461.95504727721044</v>
      </c>
      <c r="L258" s="95">
        <v>190.12724504677234</v>
      </c>
      <c r="M258" s="95">
        <v>2106.0813469303957</v>
      </c>
      <c r="N258" s="95">
        <v>329.67263167146956</v>
      </c>
      <c r="O258" s="95">
        <v>10000.000000000002</v>
      </c>
      <c r="Q258" s="98">
        <v>2106.0813469303957</v>
      </c>
      <c r="R258" s="95">
        <v>2136.4528906579249</v>
      </c>
      <c r="S258" s="99">
        <v>1293.4855739978264</v>
      </c>
      <c r="U258" s="121">
        <v>23326.32218591982</v>
      </c>
      <c r="V258" s="59">
        <v>179721.50556720799</v>
      </c>
      <c r="W258" s="59">
        <v>217042.72664104434</v>
      </c>
      <c r="X258" s="59">
        <v>631091.86198997078</v>
      </c>
      <c r="Y258" s="59">
        <v>1521641.550863737</v>
      </c>
      <c r="Z258" s="59">
        <v>3124736.8848416866</v>
      </c>
      <c r="AA258" s="59">
        <v>1868525.7242940182</v>
      </c>
      <c r="AB258" s="59">
        <v>7566086.5763835851</v>
      </c>
      <c r="AC258" s="59">
        <v>1536516098.6221201</v>
      </c>
      <c r="AD258" s="68">
        <v>7566086.5763835851</v>
      </c>
    </row>
    <row r="259" spans="1:30" x14ac:dyDescent="0.2">
      <c r="A259" s="95">
        <v>251</v>
      </c>
      <c r="B259" s="95">
        <v>20</v>
      </c>
      <c r="C259" s="95">
        <v>11</v>
      </c>
      <c r="D259" s="95"/>
      <c r="E259" s="95">
        <v>115.17155820880535</v>
      </c>
      <c r="F259" s="95">
        <v>890.82195326041438</v>
      </c>
      <c r="G259" s="95">
        <v>1077.6018400729124</v>
      </c>
      <c r="H259" s="95">
        <v>1524.2281252234195</v>
      </c>
      <c r="I259" s="95">
        <v>3165.3592747404259</v>
      </c>
      <c r="J259" s="95">
        <v>122.74316557783528</v>
      </c>
      <c r="K259" s="95">
        <v>462.55526489122582</v>
      </c>
      <c r="L259" s="95">
        <v>190.30498115326589</v>
      </c>
      <c r="M259" s="95">
        <v>2119.0197898597612</v>
      </c>
      <c r="N259" s="95">
        <v>332.1940470119356</v>
      </c>
      <c r="O259" s="95">
        <v>10000.000000000002</v>
      </c>
      <c r="Q259" s="98">
        <v>2119.0197898597612</v>
      </c>
      <c r="R259" s="95">
        <v>2146.7411511736354</v>
      </c>
      <c r="S259" s="99">
        <v>1300.4920469889164</v>
      </c>
      <c r="U259" s="121">
        <v>23087.227383514146</v>
      </c>
      <c r="V259" s="59">
        <v>178586.04912463605</v>
      </c>
      <c r="W259" s="59">
        <v>216036.80534241442</v>
      </c>
      <c r="X259" s="59">
        <v>629144.28811803542</v>
      </c>
      <c r="Y259" s="59">
        <v>1521262.9352187202</v>
      </c>
      <c r="Z259" s="59">
        <v>3127459.4748435663</v>
      </c>
      <c r="AA259" s="59">
        <v>1869960.2658279412</v>
      </c>
      <c r="AB259" s="59">
        <v>7565537.0458588274</v>
      </c>
      <c r="AC259" s="59">
        <v>1544081635.667979</v>
      </c>
      <c r="AD259" s="68">
        <v>7565537.0458588274</v>
      </c>
    </row>
    <row r="260" spans="1:30" x14ac:dyDescent="0.2">
      <c r="A260" s="95">
        <v>252</v>
      </c>
      <c r="B260" s="95">
        <v>21</v>
      </c>
      <c r="C260" s="95">
        <v>0</v>
      </c>
      <c r="D260" s="95"/>
      <c r="E260" s="95">
        <v>114.01024499686656</v>
      </c>
      <c r="F260" s="95">
        <v>885.33794646626882</v>
      </c>
      <c r="G260" s="95">
        <v>1072.7766098944203</v>
      </c>
      <c r="H260" s="95">
        <v>1519.7618623719145</v>
      </c>
      <c r="I260" s="95">
        <v>3165.0580233959017</v>
      </c>
      <c r="J260" s="95">
        <v>122.75801709613599</v>
      </c>
      <c r="K260" s="95">
        <v>463.13725328276854</v>
      </c>
      <c r="L260" s="95">
        <v>190.47947084003292</v>
      </c>
      <c r="M260" s="95">
        <v>2131.9702625893801</v>
      </c>
      <c r="N260" s="95">
        <v>334.71030906631171</v>
      </c>
      <c r="O260" s="95">
        <v>10000.000000000002</v>
      </c>
      <c r="Q260" s="98">
        <v>2131.9702625893801</v>
      </c>
      <c r="R260" s="95">
        <v>2157.0285688165418</v>
      </c>
      <c r="S260" s="99">
        <v>1307.5016572487716</v>
      </c>
      <c r="U260" s="121">
        <v>22850.583302833125</v>
      </c>
      <c r="V260" s="59">
        <v>177456.87205243018</v>
      </c>
      <c r="W260" s="59">
        <v>215033.40340095191</v>
      </c>
      <c r="X260" s="59">
        <v>627195.80443608121</v>
      </c>
      <c r="Y260" s="59">
        <v>1520864.2616204044</v>
      </c>
      <c r="Z260" s="59">
        <v>3130126.7873455351</v>
      </c>
      <c r="AA260" s="59">
        <v>1871362.3833208706</v>
      </c>
      <c r="AB260" s="59">
        <v>7564890.0954791065</v>
      </c>
      <c r="AC260" s="59">
        <v>1551646525.763458</v>
      </c>
      <c r="AD260" s="68">
        <v>7564890.0954791065</v>
      </c>
    </row>
    <row r="261" spans="1:30" x14ac:dyDescent="0.2">
      <c r="A261" s="95">
        <v>253</v>
      </c>
      <c r="B261" s="95">
        <v>21</v>
      </c>
      <c r="C261" s="95">
        <v>1</v>
      </c>
      <c r="D261" s="95"/>
      <c r="E261" s="95">
        <v>112.86064169314815</v>
      </c>
      <c r="F261" s="95">
        <v>879.88328991869673</v>
      </c>
      <c r="G261" s="95">
        <v>1067.9623953796474</v>
      </c>
      <c r="H261" s="95">
        <v>1515.2920098471395</v>
      </c>
      <c r="I261" s="95">
        <v>3164.7150291210332</v>
      </c>
      <c r="J261" s="95">
        <v>122.77042126677929</v>
      </c>
      <c r="K261" s="95">
        <v>463.71147177595793</v>
      </c>
      <c r="L261" s="95">
        <v>190.65072407180409</v>
      </c>
      <c r="M261" s="95">
        <v>2144.9326013833684</v>
      </c>
      <c r="N261" s="95">
        <v>337.22141554242648</v>
      </c>
      <c r="O261" s="95">
        <v>10000.000000000002</v>
      </c>
      <c r="Q261" s="98">
        <v>2144.9326013833684</v>
      </c>
      <c r="R261" s="95">
        <v>2167.3150073925785</v>
      </c>
      <c r="S261" s="99">
        <v>1314.5142981415472</v>
      </c>
      <c r="U261" s="121">
        <v>22616.364823979085</v>
      </c>
      <c r="V261" s="59">
        <v>176333.95062656852</v>
      </c>
      <c r="W261" s="59">
        <v>214032.53884227996</v>
      </c>
      <c r="X261" s="59">
        <v>625246.47206296143</v>
      </c>
      <c r="Y261" s="59">
        <v>1520445.6184473643</v>
      </c>
      <c r="Z261" s="59">
        <v>3132738.3980214465</v>
      </c>
      <c r="AA261" s="59">
        <v>1872732.1922792697</v>
      </c>
      <c r="AB261" s="59">
        <v>7564145.5351038696</v>
      </c>
      <c r="AC261" s="59">
        <v>1559210671.2985618</v>
      </c>
      <c r="AD261" s="68">
        <v>7564145.5351038696</v>
      </c>
    </row>
    <row r="262" spans="1:30" x14ac:dyDescent="0.2">
      <c r="A262" s="95">
        <v>254</v>
      </c>
      <c r="B262" s="95">
        <v>21</v>
      </c>
      <c r="C262" s="95">
        <v>2</v>
      </c>
      <c r="D262" s="95"/>
      <c r="E262" s="95">
        <v>111.72263022274224</v>
      </c>
      <c r="F262" s="95">
        <v>874.4578801083079</v>
      </c>
      <c r="G262" s="95">
        <v>1063.1592905976486</v>
      </c>
      <c r="H262" s="95">
        <v>1510.8187137024645</v>
      </c>
      <c r="I262" s="95">
        <v>3164.3304554945639</v>
      </c>
      <c r="J262" s="95">
        <v>122.78103955561613</v>
      </c>
      <c r="K262" s="95">
        <v>464.27729418105292</v>
      </c>
      <c r="L262" s="95">
        <v>190.81875049344185</v>
      </c>
      <c r="M262" s="95">
        <v>2157.9065814407118</v>
      </c>
      <c r="N262" s="95">
        <v>339.72736420345126</v>
      </c>
      <c r="O262" s="95">
        <v>10000.000000000002</v>
      </c>
      <c r="Q262" s="98">
        <v>2157.9065814407118</v>
      </c>
      <c r="R262" s="95">
        <v>2177.6003312372218</v>
      </c>
      <c r="S262" s="99">
        <v>1321.5298630694306</v>
      </c>
      <c r="U262" s="121">
        <v>22384.5470845333</v>
      </c>
      <c r="V262" s="59">
        <v>175217.2610580175</v>
      </c>
      <c r="W262" s="59">
        <v>213034.22933470752</v>
      </c>
      <c r="X262" s="59">
        <v>623296.35186727019</v>
      </c>
      <c r="Y262" s="59">
        <v>1520007.0943315257</v>
      </c>
      <c r="Z262" s="59">
        <v>3135294.5476270993</v>
      </c>
      <c r="AA262" s="59">
        <v>1874069.8017282595</v>
      </c>
      <c r="AB262" s="59">
        <v>7563303.8330314131</v>
      </c>
      <c r="AC262" s="59">
        <v>1566773975.1315932</v>
      </c>
      <c r="AD262" s="68">
        <v>7563303.8330314131</v>
      </c>
    </row>
    <row r="263" spans="1:30" x14ac:dyDescent="0.2">
      <c r="A263" s="95">
        <v>255</v>
      </c>
      <c r="B263" s="95">
        <v>21</v>
      </c>
      <c r="C263" s="95">
        <v>3</v>
      </c>
      <c r="D263" s="95"/>
      <c r="E263" s="95">
        <v>110.59609370132959</v>
      </c>
      <c r="F263" s="95">
        <v>869.06161314217638</v>
      </c>
      <c r="G263" s="95">
        <v>1058.36738791224</v>
      </c>
      <c r="H263" s="95">
        <v>1506.3421194714163</v>
      </c>
      <c r="I263" s="95">
        <v>3163.9044667300886</v>
      </c>
      <c r="J263" s="95">
        <v>122.78988009226212</v>
      </c>
      <c r="K263" s="95">
        <v>464.83474377672758</v>
      </c>
      <c r="L263" s="95">
        <v>190.98355979413719</v>
      </c>
      <c r="M263" s="95">
        <v>2170.8919824913869</v>
      </c>
      <c r="N263" s="95">
        <v>342.22815288823654</v>
      </c>
      <c r="O263" s="95">
        <v>10000.000000000002</v>
      </c>
      <c r="Q263" s="98">
        <v>2170.8919824913869</v>
      </c>
      <c r="R263" s="95">
        <v>2187.8844052175791</v>
      </c>
      <c r="S263" s="99">
        <v>1328.5482458253487</v>
      </c>
      <c r="U263" s="121">
        <v>22155.105476916833</v>
      </c>
      <c r="V263" s="59">
        <v>174106.77949573507</v>
      </c>
      <c r="W263" s="59">
        <v>212038.49219252073</v>
      </c>
      <c r="X263" s="59">
        <v>621345.50446253025</v>
      </c>
      <c r="Y263" s="59">
        <v>1519548.7781541019</v>
      </c>
      <c r="Z263" s="59">
        <v>3137795.4353486262</v>
      </c>
      <c r="AA263" s="59">
        <v>1875375.3213819019</v>
      </c>
      <c r="AB263" s="59">
        <v>7562365.4165123329</v>
      </c>
      <c r="AC263" s="59">
        <v>1574336340.5481055</v>
      </c>
      <c r="AD263" s="68">
        <v>7562365.4165123329</v>
      </c>
    </row>
    <row r="264" spans="1:30" x14ac:dyDescent="0.2">
      <c r="A264" s="95">
        <v>256</v>
      </c>
      <c r="B264" s="95">
        <v>21</v>
      </c>
      <c r="C264" s="95">
        <v>4</v>
      </c>
      <c r="D264" s="95"/>
      <c r="E264" s="95">
        <v>109.48091642317452</v>
      </c>
      <c r="F264" s="95">
        <v>863.69438475829315</v>
      </c>
      <c r="G264" s="95">
        <v>1053.5867779969039</v>
      </c>
      <c r="H264" s="95">
        <v>1501.8623721558245</v>
      </c>
      <c r="I264" s="95">
        <v>3163.437227668011</v>
      </c>
      <c r="J264" s="95">
        <v>122.79695098951088</v>
      </c>
      <c r="K264" s="95">
        <v>465.38384386315556</v>
      </c>
      <c r="L264" s="95">
        <v>191.14516168464047</v>
      </c>
      <c r="M264" s="95">
        <v>2183.8885849507105</v>
      </c>
      <c r="N264" s="95">
        <v>344.7237795097767</v>
      </c>
      <c r="O264" s="95">
        <v>10000.000000000002</v>
      </c>
      <c r="Q264" s="98">
        <v>2183.8885849507105</v>
      </c>
      <c r="R264" s="95">
        <v>2198.1670947344519</v>
      </c>
      <c r="S264" s="99">
        <v>1335.5693405717914</v>
      </c>
      <c r="U264" s="121">
        <v>21928.015645778436</v>
      </c>
      <c r="V264" s="59">
        <v>173002.48202962568</v>
      </c>
      <c r="W264" s="59">
        <v>211045.3443792607</v>
      </c>
      <c r="X264" s="59">
        <v>619393.99020249734</v>
      </c>
      <c r="Y264" s="59">
        <v>1519070.7590414975</v>
      </c>
      <c r="Z264" s="59">
        <v>3140241.2601691186</v>
      </c>
      <c r="AA264" s="59">
        <v>1876648.8611911177</v>
      </c>
      <c r="AB264" s="59">
        <v>7561330.7126588961</v>
      </c>
      <c r="AC264" s="59">
        <v>1581897671.2607644</v>
      </c>
      <c r="AD264" s="68">
        <v>7561330.7126588961</v>
      </c>
    </row>
    <row r="265" spans="1:30" x14ac:dyDescent="0.2">
      <c r="A265" s="95">
        <v>257</v>
      </c>
      <c r="B265" s="95">
        <v>21</v>
      </c>
      <c r="C265" s="95">
        <v>5</v>
      </c>
      <c r="D265" s="95"/>
      <c r="E265" s="95">
        <v>108.37698384924084</v>
      </c>
      <c r="F265" s="95">
        <v>858.35609033979506</v>
      </c>
      <c r="G265" s="95">
        <v>1048.8175498496405</v>
      </c>
      <c r="H265" s="95">
        <v>1497.3796162142353</v>
      </c>
      <c r="I265" s="95">
        <v>3162.9289037674275</v>
      </c>
      <c r="J265" s="95">
        <v>122.80226034398787</v>
      </c>
      <c r="K265" s="95">
        <v>465.92461776341992</v>
      </c>
      <c r="L265" s="95">
        <v>191.30356589724494</v>
      </c>
      <c r="M265" s="95">
        <v>2196.8961699200527</v>
      </c>
      <c r="N265" s="95">
        <v>347.21424205495651</v>
      </c>
      <c r="O265" s="95">
        <v>10000.000000000002</v>
      </c>
      <c r="Q265" s="98">
        <v>2196.8961699200527</v>
      </c>
      <c r="R265" s="95">
        <v>2208.448265724373</v>
      </c>
      <c r="S265" s="99">
        <v>1342.5930418415692</v>
      </c>
      <c r="U265" s="121">
        <v>21703.253485409208</v>
      </c>
      <c r="V265" s="59">
        <v>171904.34469344738</v>
      </c>
      <c r="W265" s="59">
        <v>210054.80251098832</v>
      </c>
      <c r="X265" s="59">
        <v>617441.86917658034</v>
      </c>
      <c r="Y265" s="59">
        <v>1518573.1263611799</v>
      </c>
      <c r="Z265" s="59">
        <v>3142632.2208823115</v>
      </c>
      <c r="AA265" s="59">
        <v>1877890.5313388731</v>
      </c>
      <c r="AB265" s="59">
        <v>7560200.1484487895</v>
      </c>
      <c r="AC265" s="59">
        <v>1589457871.4092131</v>
      </c>
      <c r="AD265" s="68">
        <v>7560200.1484487895</v>
      </c>
    </row>
    <row r="266" spans="1:30" x14ac:dyDescent="0.2">
      <c r="A266" s="95">
        <v>258</v>
      </c>
      <c r="B266" s="95">
        <v>21</v>
      </c>
      <c r="C266" s="95">
        <v>6</v>
      </c>
      <c r="D266" s="95"/>
      <c r="E266" s="95">
        <v>107.28418259542767</v>
      </c>
      <c r="F266" s="95">
        <v>853.04662492897171</v>
      </c>
      <c r="G266" s="95">
        <v>1044.0597908077677</v>
      </c>
      <c r="H266" s="95">
        <v>1492.8939955505894</v>
      </c>
      <c r="I266" s="95">
        <v>3162.3796610979366</v>
      </c>
      <c r="J266" s="95">
        <v>122.8058162367812</v>
      </c>
      <c r="K266" s="95">
        <v>466.4570888248839</v>
      </c>
      <c r="L266" s="95">
        <v>191.45878218577286</v>
      </c>
      <c r="M266" s="95">
        <v>2209.9145191875718</v>
      </c>
      <c r="N266" s="95">
        <v>349.69953858429818</v>
      </c>
      <c r="O266" s="95">
        <v>10000.000000000002</v>
      </c>
      <c r="Q266" s="98">
        <v>2209.9145191875718</v>
      </c>
      <c r="R266" s="95">
        <v>2218.7277846616171</v>
      </c>
      <c r="S266" s="99">
        <v>1349.6192445385732</v>
      </c>
      <c r="U266" s="121">
        <v>21480.795137183763</v>
      </c>
      <c r="V266" s="59">
        <v>170812.34346767145</v>
      </c>
      <c r="W266" s="59">
        <v>209066.88285953482</v>
      </c>
      <c r="X266" s="59">
        <v>615489.20120537409</v>
      </c>
      <c r="Y266" s="59">
        <v>1518055.9697175177</v>
      </c>
      <c r="Z266" s="59">
        <v>3144968.5161058693</v>
      </c>
      <c r="AA266" s="59">
        <v>1879100.4422355841</v>
      </c>
      <c r="AB266" s="59">
        <v>7558974.1507287351</v>
      </c>
      <c r="AC266" s="59">
        <v>1597016845.5599418</v>
      </c>
      <c r="AD266" s="68">
        <v>7558974.1507287351</v>
      </c>
    </row>
    <row r="267" spans="1:30" x14ac:dyDescent="0.2">
      <c r="A267" s="95">
        <v>259</v>
      </c>
      <c r="B267" s="95">
        <v>21</v>
      </c>
      <c r="C267" s="95">
        <v>7</v>
      </c>
      <c r="D267" s="95"/>
      <c r="E267" s="95">
        <v>106.20240042092377</v>
      </c>
      <c r="F267" s="95">
        <v>847.76588324105387</v>
      </c>
      <c r="G267" s="95">
        <v>1039.3135865626678</v>
      </c>
      <c r="H267" s="95">
        <v>1488.4056535031611</v>
      </c>
      <c r="I267" s="95">
        <v>3161.7896663313772</v>
      </c>
      <c r="J267" s="95">
        <v>122.80762673404945</v>
      </c>
      <c r="K267" s="95">
        <v>466.98128042052383</v>
      </c>
      <c r="L267" s="95">
        <v>191.61082032556422</v>
      </c>
      <c r="M267" s="95">
        <v>2222.9434152289723</v>
      </c>
      <c r="N267" s="95">
        <v>352.17966723170753</v>
      </c>
      <c r="O267" s="95">
        <v>10000.000000000002</v>
      </c>
      <c r="Q267" s="98">
        <v>2222.9434152289723</v>
      </c>
      <c r="R267" s="95">
        <v>2229.0055185601855</v>
      </c>
      <c r="S267" s="99">
        <v>1356.6478439385369</v>
      </c>
      <c r="U267" s="121">
        <v>21260.616987027632</v>
      </c>
      <c r="V267" s="59">
        <v>169726.45428229583</v>
      </c>
      <c r="W267" s="59">
        <v>208081.60135573905</v>
      </c>
      <c r="X267" s="59">
        <v>613536.04583630594</v>
      </c>
      <c r="Y267" s="59">
        <v>1517519.3789475919</v>
      </c>
      <c r="Z267" s="59">
        <v>3147250.3442942696</v>
      </c>
      <c r="AA267" s="59">
        <v>1880278.7045147247</v>
      </c>
      <c r="AB267" s="59">
        <v>7557653.1462179543</v>
      </c>
      <c r="AC267" s="59">
        <v>1604574498.7061598</v>
      </c>
      <c r="AD267" s="68">
        <v>7557653.1462179543</v>
      </c>
    </row>
    <row r="268" spans="1:30" x14ac:dyDescent="0.2">
      <c r="A268" s="95">
        <v>260</v>
      </c>
      <c r="B268" s="95">
        <v>21</v>
      </c>
      <c r="C268" s="95">
        <v>8</v>
      </c>
      <c r="D268" s="95"/>
      <c r="E268" s="95">
        <v>105.13152621667945</v>
      </c>
      <c r="F268" s="95">
        <v>842.51375967778677</v>
      </c>
      <c r="G268" s="95">
        <v>1034.5790211744777</v>
      </c>
      <c r="H268" s="95">
        <v>1483.9147328337563</v>
      </c>
      <c r="I268" s="95">
        <v>3161.1590867335003</v>
      </c>
      <c r="J268" s="95">
        <v>122.80769988760748</v>
      </c>
      <c r="K268" s="95">
        <v>467.49721595022402</v>
      </c>
      <c r="L268" s="95">
        <v>191.75969011346689</v>
      </c>
      <c r="M268" s="95">
        <v>2235.9826412082816</v>
      </c>
      <c r="N268" s="95">
        <v>354.65462620422068</v>
      </c>
      <c r="O268" s="95">
        <v>10000.000000000002</v>
      </c>
      <c r="Q268" s="98">
        <v>2235.9826412082816</v>
      </c>
      <c r="R268" s="95">
        <v>2239.2813349757625</v>
      </c>
      <c r="S268" s="99">
        <v>1363.6787356897994</v>
      </c>
      <c r="U268" s="121">
        <v>21042.695662910595</v>
      </c>
      <c r="V268" s="59">
        <v>168646.65301961196</v>
      </c>
      <c r="W268" s="59">
        <v>207098.97359267005</v>
      </c>
      <c r="X268" s="59">
        <v>611582.46233939228</v>
      </c>
      <c r="Y268" s="59">
        <v>1516963.4441169763</v>
      </c>
      <c r="Z268" s="59">
        <v>3149477.9037513011</v>
      </c>
      <c r="AA268" s="59">
        <v>1881425.4290286289</v>
      </c>
      <c r="AB268" s="59">
        <v>7556237.5615114914</v>
      </c>
      <c r="AC268" s="59">
        <v>1612130736.2676713</v>
      </c>
      <c r="AD268" s="68">
        <v>7556237.5615114914</v>
      </c>
    </row>
    <row r="269" spans="1:30" x14ac:dyDescent="0.2">
      <c r="A269" s="95">
        <v>261</v>
      </c>
      <c r="B269" s="95">
        <v>21</v>
      </c>
      <c r="C269" s="95">
        <v>9</v>
      </c>
      <c r="D269" s="95"/>
      <c r="E269" s="95">
        <v>104.07144999399459</v>
      </c>
      <c r="F269" s="95">
        <v>837.29014834078919</v>
      </c>
      <c r="G269" s="95">
        <v>1029.8561770867257</v>
      </c>
      <c r="H269" s="95">
        <v>1479.4213757171635</v>
      </c>
      <c r="I269" s="95">
        <v>3160.4880901555757</v>
      </c>
      <c r="J269" s="95">
        <v>122.80604373549029</v>
      </c>
      <c r="K269" s="95">
        <v>468.00491884203393</v>
      </c>
      <c r="L269" s="95">
        <v>191.90540136782832</v>
      </c>
      <c r="M269" s="95">
        <v>2249.0319809786502</v>
      </c>
      <c r="N269" s="95">
        <v>357.12441378174987</v>
      </c>
      <c r="O269" s="95">
        <v>10000.000000000002</v>
      </c>
      <c r="Q269" s="98">
        <v>2249.0319809786502</v>
      </c>
      <c r="R269" s="95">
        <v>2249.5551020076464</v>
      </c>
      <c r="S269" s="99">
        <v>1370.7118158140695</v>
      </c>
      <c r="U269" s="121">
        <v>20827.008032365764</v>
      </c>
      <c r="V269" s="59">
        <v>167572.91551692662</v>
      </c>
      <c r="W269" s="59">
        <v>206119.01482883591</v>
      </c>
      <c r="X269" s="59">
        <v>609628.50970310462</v>
      </c>
      <c r="Y269" s="59">
        <v>1516388.2555154925</v>
      </c>
      <c r="Z269" s="59">
        <v>3151651.392642173</v>
      </c>
      <c r="AA269" s="59">
        <v>1882540.726844474</v>
      </c>
      <c r="AB269" s="59">
        <v>7554727.8230833728</v>
      </c>
      <c r="AC269" s="59">
        <v>1619685464.0907547</v>
      </c>
      <c r="AD269" s="68">
        <v>7554727.8230833728</v>
      </c>
    </row>
    <row r="270" spans="1:30" x14ac:dyDescent="0.2">
      <c r="A270" s="95">
        <v>262</v>
      </c>
      <c r="B270" s="95">
        <v>21</v>
      </c>
      <c r="C270" s="95">
        <v>10</v>
      </c>
      <c r="D270" s="95"/>
      <c r="E270" s="95">
        <v>103.02206287322181</v>
      </c>
      <c r="F270" s="95">
        <v>832.09494304470309</v>
      </c>
      <c r="G270" s="95">
        <v>1025.14513514091</v>
      </c>
      <c r="H270" s="95">
        <v>1474.9257237308591</v>
      </c>
      <c r="I270" s="95">
        <v>3159.7768450259359</v>
      </c>
      <c r="J270" s="95">
        <v>122.80266630249589</v>
      </c>
      <c r="K270" s="95">
        <v>468.50441255338825</v>
      </c>
      <c r="L270" s="95">
        <v>192.04796392848797</v>
      </c>
      <c r="M270" s="95">
        <v>2262.0912190831691</v>
      </c>
      <c r="N270" s="95">
        <v>359.58902831682968</v>
      </c>
      <c r="O270" s="95">
        <v>10000</v>
      </c>
      <c r="Q270" s="98">
        <v>2262.0912190831691</v>
      </c>
      <c r="R270" s="95">
        <v>2259.8266883006522</v>
      </c>
      <c r="S270" s="99">
        <v>1377.7469807071902</v>
      </c>
      <c r="U270" s="121">
        <v>20613.531200034016</v>
      </c>
      <c r="V270" s="59">
        <v>166505.2175692388</v>
      </c>
      <c r="W270" s="59">
        <v>205141.73999137804</v>
      </c>
      <c r="X270" s="59">
        <v>607674.24663034407</v>
      </c>
      <c r="Y270" s="59">
        <v>1515793.9036529378</v>
      </c>
      <c r="Z270" s="59">
        <v>3153771.0090052485</v>
      </c>
      <c r="AA270" s="59">
        <v>1883624.7092404335</v>
      </c>
      <c r="AB270" s="59">
        <v>7553124.3572896151</v>
      </c>
      <c r="AC270" s="59">
        <v>1627238588.4480443</v>
      </c>
      <c r="AD270" s="68">
        <v>7553124.3572896151</v>
      </c>
    </row>
    <row r="271" spans="1:30" x14ac:dyDescent="0.2">
      <c r="A271" s="95">
        <v>263</v>
      </c>
      <c r="B271" s="95">
        <v>21</v>
      </c>
      <c r="C271" s="95">
        <v>11</v>
      </c>
      <c r="D271" s="95"/>
      <c r="E271" s="95">
        <v>101.9832570725835</v>
      </c>
      <c r="F271" s="95">
        <v>826.92803733013545</v>
      </c>
      <c r="G271" s="95">
        <v>1020.4459745910207</v>
      </c>
      <c r="H271" s="95">
        <v>1470.4279178449597</v>
      </c>
      <c r="I271" s="95">
        <v>3159.0255203414608</v>
      </c>
      <c r="J271" s="95">
        <v>122.79757560070718</v>
      </c>
      <c r="K271" s="95">
        <v>468.99572057228983</v>
      </c>
      <c r="L271" s="95">
        <v>192.18738765677006</v>
      </c>
      <c r="M271" s="95">
        <v>2275.1601407557105</v>
      </c>
      <c r="N271" s="95">
        <v>362.04846823436304</v>
      </c>
      <c r="O271" s="95">
        <v>10000</v>
      </c>
      <c r="Q271" s="98">
        <v>2275.1601407557105</v>
      </c>
      <c r="R271" s="95">
        <v>2270.0959630469865</v>
      </c>
      <c r="S271" s="99">
        <v>1384.7841271399038</v>
      </c>
      <c r="U271" s="121">
        <v>20402.242505233666</v>
      </c>
      <c r="V271" s="59">
        <v>165443.53493187239</v>
      </c>
      <c r="W271" s="59">
        <v>204167.16367925066</v>
      </c>
      <c r="X271" s="59">
        <v>605719.73153452284</v>
      </c>
      <c r="Y271" s="59">
        <v>1515180.4792547908</v>
      </c>
      <c r="Z271" s="59">
        <v>3155836.9507634086</v>
      </c>
      <c r="AA271" s="59">
        <v>1884677.4877019885</v>
      </c>
      <c r="AB271" s="59">
        <v>7551427.5903710676</v>
      </c>
      <c r="AC271" s="59">
        <v>1634790016.0384154</v>
      </c>
      <c r="AD271" s="68">
        <v>7551427.5903710676</v>
      </c>
    </row>
    <row r="272" spans="1:30" x14ac:dyDescent="0.2">
      <c r="A272" s="95">
        <v>264</v>
      </c>
      <c r="B272" s="95">
        <v>22</v>
      </c>
      <c r="C272" s="95">
        <v>0</v>
      </c>
      <c r="D272" s="95"/>
      <c r="E272" s="95">
        <v>100.95492589710162</v>
      </c>
      <c r="F272" s="95">
        <v>821.78932447639465</v>
      </c>
      <c r="G272" s="95">
        <v>1015.758773118002</v>
      </c>
      <c r="H272" s="95">
        <v>1465.9280984124202</v>
      </c>
      <c r="I272" s="95">
        <v>3158.2342856590067</v>
      </c>
      <c r="J272" s="95">
        <v>122.79077962999381</v>
      </c>
      <c r="K272" s="95">
        <v>469.47886641845622</v>
      </c>
      <c r="L272" s="95">
        <v>192.32368243547643</v>
      </c>
      <c r="M272" s="95">
        <v>2288.2385319217829</v>
      </c>
      <c r="N272" s="95">
        <v>364.50273203136635</v>
      </c>
      <c r="O272" s="95">
        <v>10000</v>
      </c>
      <c r="Q272" s="98">
        <v>2288.2385319217829</v>
      </c>
      <c r="R272" s="95">
        <v>2280.3627959880964</v>
      </c>
      <c r="S272" s="99">
        <v>1391.8231522586159</v>
      </c>
      <c r="U272" s="121">
        <v>20193.119519555021</v>
      </c>
      <c r="V272" s="59">
        <v>164387.84332306508</v>
      </c>
      <c r="W272" s="59">
        <v>203195.30016638598</v>
      </c>
      <c r="X272" s="59">
        <v>603765.02253574959</v>
      </c>
      <c r="Y272" s="59">
        <v>1514548.0732578922</v>
      </c>
      <c r="Z272" s="59">
        <v>3157849.4157350413</v>
      </c>
      <c r="AA272" s="59">
        <v>1885699.1739183895</v>
      </c>
      <c r="AB272" s="59">
        <v>7549637.9484560788</v>
      </c>
      <c r="AC272" s="59">
        <v>1642339653.9868715</v>
      </c>
      <c r="AD272" s="68">
        <v>7549637.9484560788</v>
      </c>
    </row>
    <row r="273" spans="1:30" x14ac:dyDescent="0.2">
      <c r="A273" s="95">
        <v>265</v>
      </c>
      <c r="B273" s="95">
        <v>22</v>
      </c>
      <c r="C273" s="95">
        <v>1</v>
      </c>
      <c r="D273" s="95"/>
      <c r="E273" s="95">
        <v>99.936963727639181</v>
      </c>
      <c r="F273" s="95">
        <v>816.67869751402475</v>
      </c>
      <c r="G273" s="95">
        <v>1011.0836068441571</v>
      </c>
      <c r="H273" s="95">
        <v>1461.426405159476</v>
      </c>
      <c r="I273" s="95">
        <v>3157.4033110867799</v>
      </c>
      <c r="J273" s="95">
        <v>122.78228637849402</v>
      </c>
      <c r="K273" s="95">
        <v>469.9538736444299</v>
      </c>
      <c r="L273" s="95">
        <v>192.45685816887897</v>
      </c>
      <c r="M273" s="95">
        <v>2301.3261791994059</v>
      </c>
      <c r="N273" s="95">
        <v>366.9518182767153</v>
      </c>
      <c r="O273" s="95">
        <v>10000.000000000002</v>
      </c>
      <c r="Q273" s="98">
        <v>2301.3261791994059</v>
      </c>
      <c r="R273" s="95">
        <v>2290.6270574164882</v>
      </c>
      <c r="S273" s="99">
        <v>1398.8639535861594</v>
      </c>
      <c r="U273" s="121">
        <v>19986.140044479584</v>
      </c>
      <c r="V273" s="59">
        <v>163338.11842651418</v>
      </c>
      <c r="W273" s="59">
        <v>202226.16340484394</v>
      </c>
      <c r="X273" s="59">
        <v>601810.1774571205</v>
      </c>
      <c r="Y273" s="59">
        <v>1513896.776806104</v>
      </c>
      <c r="Z273" s="59">
        <v>3159808.6016446794</v>
      </c>
      <c r="AA273" s="59">
        <v>1886689.879779255</v>
      </c>
      <c r="AB273" s="59">
        <v>7547755.8575629964</v>
      </c>
      <c r="AC273" s="59">
        <v>1649887409.8444345</v>
      </c>
      <c r="AD273" s="68">
        <v>7547755.8575629964</v>
      </c>
    </row>
    <row r="274" spans="1:30" x14ac:dyDescent="0.2">
      <c r="A274" s="95">
        <v>266</v>
      </c>
      <c r="B274" s="95">
        <v>22</v>
      </c>
      <c r="C274" s="95">
        <v>2</v>
      </c>
      <c r="D274" s="95"/>
      <c r="E274" s="95">
        <v>98.929266010052146</v>
      </c>
      <c r="F274" s="95">
        <v>811.59604923714016</v>
      </c>
      <c r="G274" s="95">
        <v>1006.4205503474918</v>
      </c>
      <c r="H274" s="95">
        <v>1456.9229771763228</v>
      </c>
      <c r="I274" s="95">
        <v>3156.5327672756594</v>
      </c>
      <c r="J274" s="95">
        <v>122.77210382307733</v>
      </c>
      <c r="K274" s="95">
        <v>470.42076583665261</v>
      </c>
      <c r="L274" s="95">
        <v>192.58692478271121</v>
      </c>
      <c r="M274" s="95">
        <v>2314.4228699000037</v>
      </c>
      <c r="N274" s="95">
        <v>369.39572561088994</v>
      </c>
      <c r="O274" s="95">
        <v>10000.000000000002</v>
      </c>
      <c r="Q274" s="98">
        <v>2314.4228699000037</v>
      </c>
      <c r="R274" s="95">
        <v>2300.8886181775201</v>
      </c>
      <c r="S274" s="99">
        <v>1405.9064290225572</v>
      </c>
      <c r="U274" s="121">
        <v>19781.282109023665</v>
      </c>
      <c r="V274" s="59">
        <v>162294.33589388011</v>
      </c>
      <c r="W274" s="59">
        <v>201259.76702794756</v>
      </c>
      <c r="X274" s="59">
        <v>599855.2538211121</v>
      </c>
      <c r="Y274" s="59">
        <v>1513226.6812459496</v>
      </c>
      <c r="Z274" s="59">
        <v>3161714.7061332809</v>
      </c>
      <c r="AA274" s="59">
        <v>1887649.7173713038</v>
      </c>
      <c r="AB274" s="59">
        <v>7545781.7436024975</v>
      </c>
      <c r="AC274" s="59">
        <v>1657433191.588037</v>
      </c>
      <c r="AD274" s="68">
        <v>7545781.7436024975</v>
      </c>
    </row>
    <row r="275" spans="1:30" x14ac:dyDescent="0.2">
      <c r="A275" s="95">
        <v>267</v>
      </c>
      <c r="B275" s="95">
        <v>22</v>
      </c>
      <c r="C275" s="95">
        <v>3</v>
      </c>
      <c r="D275" s="95"/>
      <c r="E275" s="95">
        <v>97.931729244450793</v>
      </c>
      <c r="F275" s="95">
        <v>806.54127221556269</v>
      </c>
      <c r="G275" s="95">
        <v>1001.7696766759975</v>
      </c>
      <c r="H275" s="95">
        <v>1452.4179529080345</v>
      </c>
      <c r="I275" s="95">
        <v>3155.6228254104713</v>
      </c>
      <c r="J275" s="95">
        <v>122.76023992978818</v>
      </c>
      <c r="K275" s="95">
        <v>470.87956661650384</v>
      </c>
      <c r="L275" s="95">
        <v>192.71389222415891</v>
      </c>
      <c r="M275" s="95">
        <v>2327.5283920293141</v>
      </c>
      <c r="N275" s="95">
        <v>371.8344527457196</v>
      </c>
      <c r="O275" s="95">
        <v>10000.000000000002</v>
      </c>
      <c r="Q275" s="98">
        <v>2327.5283920293141</v>
      </c>
      <c r="R275" s="95">
        <v>2311.147349671166</v>
      </c>
      <c r="S275" s="99">
        <v>1412.9504768457839</v>
      </c>
      <c r="U275" s="121">
        <v>19578.523967406174</v>
      </c>
      <c r="V275" s="59">
        <v>161256.47134724783</v>
      </c>
      <c r="W275" s="59">
        <v>200296.12435340244</v>
      </c>
      <c r="X275" s="59">
        <v>597900.30884607474</v>
      </c>
      <c r="Y275" s="59">
        <v>1512537.8781222343</v>
      </c>
      <c r="Z275" s="59">
        <v>3163567.9267681553</v>
      </c>
      <c r="AA275" s="59">
        <v>1888578.798975205</v>
      </c>
      <c r="AB275" s="59">
        <v>7543716.0323797259</v>
      </c>
      <c r="AC275" s="59">
        <v>1664976907.6204166</v>
      </c>
      <c r="AD275" s="68">
        <v>7543716.0323797259</v>
      </c>
    </row>
    <row r="276" spans="1:30" x14ac:dyDescent="0.2">
      <c r="A276" s="95">
        <v>268</v>
      </c>
      <c r="B276" s="95">
        <v>22</v>
      </c>
      <c r="C276" s="95">
        <v>4</v>
      </c>
      <c r="D276" s="95"/>
      <c r="E276" s="95">
        <v>96.944250974569243</v>
      </c>
      <c r="F276" s="95">
        <v>801.51425880676402</v>
      </c>
      <c r="G276" s="95">
        <v>997.13105736187242</v>
      </c>
      <c r="H276" s="95">
        <v>1447.9114701457142</v>
      </c>
      <c r="I276" s="95">
        <v>3154.673657201216</v>
      </c>
      <c r="J276" s="95">
        <v>122.74670265427127</v>
      </c>
      <c r="K276" s="95">
        <v>471.33029964130452</v>
      </c>
      <c r="L276" s="95">
        <v>192.83777046184909</v>
      </c>
      <c r="M276" s="95">
        <v>2340.6425342883131</v>
      </c>
      <c r="N276" s="95">
        <v>374.26799846412791</v>
      </c>
      <c r="O276" s="95">
        <v>10000.000000000002</v>
      </c>
      <c r="Q276" s="98">
        <v>2340.6425342883131</v>
      </c>
      <c r="R276" s="95">
        <v>2321.40312385375</v>
      </c>
      <c r="S276" s="99">
        <v>1419.9959957125252</v>
      </c>
      <c r="U276" s="121">
        <v>19377.84409674026</v>
      </c>
      <c r="V276" s="59">
        <v>160224.50038154674</v>
      </c>
      <c r="W276" s="59">
        <v>199335.24838640139</v>
      </c>
      <c r="X276" s="59">
        <v>595945.39944282745</v>
      </c>
      <c r="Y276" s="59">
        <v>1511830.4591736461</v>
      </c>
      <c r="Z276" s="59">
        <v>3165368.4610525551</v>
      </c>
      <c r="AA276" s="59">
        <v>1889477.237062542</v>
      </c>
      <c r="AB276" s="59">
        <v>7541559.149596259</v>
      </c>
      <c r="AC276" s="59">
        <v>1672518466.7700129</v>
      </c>
      <c r="AD276" s="68">
        <v>7541559.149596259</v>
      </c>
    </row>
    <row r="277" spans="1:30" x14ac:dyDescent="0.2">
      <c r="A277" s="95">
        <v>269</v>
      </c>
      <c r="B277" s="95">
        <v>22</v>
      </c>
      <c r="C277" s="95">
        <v>5</v>
      </c>
      <c r="D277" s="95"/>
      <c r="E277" s="95">
        <v>95.966729777242335</v>
      </c>
      <c r="F277" s="95">
        <v>796.5149011676159</v>
      </c>
      <c r="G277" s="95">
        <v>992.50476243568096</v>
      </c>
      <c r="H277" s="95">
        <v>1443.4036660178758</v>
      </c>
      <c r="I277" s="95">
        <v>3153.6854348742522</v>
      </c>
      <c r="J277" s="95">
        <v>122.73149994217871</v>
      </c>
      <c r="K277" s="95">
        <v>471.7729886052856</v>
      </c>
      <c r="L277" s="95">
        <v>192.95856948583736</v>
      </c>
      <c r="M277" s="95">
        <v>2353.765086074156</v>
      </c>
      <c r="N277" s="95">
        <v>376.69636161987711</v>
      </c>
      <c r="O277" s="95">
        <v>10000.000000000002</v>
      </c>
      <c r="Q277" s="98">
        <v>2353.765086074156</v>
      </c>
      <c r="R277" s="95">
        <v>2331.655813239654</v>
      </c>
      <c r="S277" s="99">
        <v>1427.0428846589348</v>
      </c>
      <c r="U277" s="121">
        <v>19179.221194748672</v>
      </c>
      <c r="V277" s="59">
        <v>159198.39856692991</v>
      </c>
      <c r="W277" s="59">
        <v>198377.15182271347</v>
      </c>
      <c r="X277" s="59">
        <v>593990.58221134928</v>
      </c>
      <c r="Y277" s="59">
        <v>1511104.516328343</v>
      </c>
      <c r="Z277" s="59">
        <v>3167116.5064349244</v>
      </c>
      <c r="AA277" s="59">
        <v>1890345.1442928815</v>
      </c>
      <c r="AB277" s="59">
        <v>7539311.5208518906</v>
      </c>
      <c r="AC277" s="59">
        <v>1680057778.2908647</v>
      </c>
      <c r="AD277" s="68">
        <v>7539311.5208518906</v>
      </c>
    </row>
    <row r="278" spans="1:30" x14ac:dyDescent="0.2">
      <c r="A278" s="95">
        <v>270</v>
      </c>
      <c r="B278" s="95">
        <v>22</v>
      </c>
      <c r="C278" s="95">
        <v>6</v>
      </c>
      <c r="D278" s="95"/>
      <c r="E278" s="95">
        <v>94.999065251988469</v>
      </c>
      <c r="F278" s="95">
        <v>791.54309126595092</v>
      </c>
      <c r="G278" s="95">
        <v>987.8908604404495</v>
      </c>
      <c r="H278" s="95">
        <v>1438.8946769820539</v>
      </c>
      <c r="I278" s="95">
        <v>3152.658331163439</v>
      </c>
      <c r="J278" s="95">
        <v>122.71463972955979</v>
      </c>
      <c r="K278" s="95">
        <v>472.207657240522</v>
      </c>
      <c r="L278" s="95">
        <v>193.0762993075933</v>
      </c>
      <c r="M278" s="95">
        <v>2366.8958374811327</v>
      </c>
      <c r="N278" s="95">
        <v>379.11954113731247</v>
      </c>
      <c r="O278" s="95">
        <v>10000.000000000002</v>
      </c>
      <c r="Q278" s="98">
        <v>2366.8958374811327</v>
      </c>
      <c r="R278" s="95">
        <v>2341.9052909029951</v>
      </c>
      <c r="S278" s="99">
        <v>1434.0910431013904</v>
      </c>
      <c r="U278" s="121">
        <v>18982.634177502499</v>
      </c>
      <c r="V278" s="59">
        <v>158178.14145111281</v>
      </c>
      <c r="W278" s="59">
        <v>197421.84705175739</v>
      </c>
      <c r="X278" s="59">
        <v>592035.91343757021</v>
      </c>
      <c r="Y278" s="59">
        <v>1510360.1416995213</v>
      </c>
      <c r="Z278" s="59">
        <v>3168812.2603178169</v>
      </c>
      <c r="AA278" s="59">
        <v>1891182.6335109374</v>
      </c>
      <c r="AB278" s="59">
        <v>7536973.5716462182</v>
      </c>
      <c r="AC278" s="59">
        <v>1687594751.8625109</v>
      </c>
      <c r="AD278" s="68">
        <v>7536973.5716462182</v>
      </c>
    </row>
    <row r="279" spans="1:30" x14ac:dyDescent="0.2">
      <c r="A279" s="95">
        <v>271</v>
      </c>
      <c r="B279" s="95">
        <v>22</v>
      </c>
      <c r="C279" s="95">
        <v>7</v>
      </c>
      <c r="D279" s="95"/>
      <c r="E279" s="95">
        <v>94.041158010697586</v>
      </c>
      <c r="F279" s="95">
        <v>786.59872089193539</v>
      </c>
      <c r="G279" s="95">
        <v>983.28941844569863</v>
      </c>
      <c r="H279" s="95">
        <v>1434.3846388166378</v>
      </c>
      <c r="I279" s="95">
        <v>3151.592519301239</v>
      </c>
      <c r="J279" s="95">
        <v>122.69612994323334</v>
      </c>
      <c r="K279" s="95">
        <v>472.63432931783262</v>
      </c>
      <c r="L279" s="95">
        <v>193.19096995998339</v>
      </c>
      <c r="M279" s="95">
        <v>2380.0345793016377</v>
      </c>
      <c r="N279" s="95">
        <v>381.53753601110634</v>
      </c>
      <c r="O279" s="95">
        <v>10000.000000000002</v>
      </c>
      <c r="Q279" s="98">
        <v>2380.0345793016377</v>
      </c>
      <c r="R279" s="95">
        <v>2352.1514304792763</v>
      </c>
      <c r="S279" s="99">
        <v>1441.1403708372447</v>
      </c>
      <c r="U279" s="121">
        <v>18788.062177183099</v>
      </c>
      <c r="V279" s="59">
        <v>157163.70456167252</v>
      </c>
      <c r="W279" s="59">
        <v>196469.34615965933</v>
      </c>
      <c r="X279" s="59">
        <v>590081.44909025577</v>
      </c>
      <c r="Y279" s="59">
        <v>1509597.4275809736</v>
      </c>
      <c r="Z279" s="59">
        <v>3170455.9200664866</v>
      </c>
      <c r="AA279" s="59">
        <v>1891989.8177438285</v>
      </c>
      <c r="AB279" s="59">
        <v>7534545.7273800597</v>
      </c>
      <c r="AC279" s="59">
        <v>1695129297.589891</v>
      </c>
      <c r="AD279" s="68">
        <v>7534545.7273800597</v>
      </c>
    </row>
    <row r="280" spans="1:30" x14ac:dyDescent="0.2">
      <c r="A280" s="95">
        <v>272</v>
      </c>
      <c r="B280" s="95">
        <v>22</v>
      </c>
      <c r="C280" s="95">
        <v>8</v>
      </c>
      <c r="D280" s="95"/>
      <c r="E280" s="95">
        <v>93.092909667423058</v>
      </c>
      <c r="F280" s="95">
        <v>781.68168166925784</v>
      </c>
      <c r="G280" s="95">
        <v>978.70050206141093</v>
      </c>
      <c r="H280" s="95">
        <v>1429.8736866129284</v>
      </c>
      <c r="I280" s="95">
        <v>3150.4881730097854</v>
      </c>
      <c r="J280" s="95">
        <v>122.67597850114352</v>
      </c>
      <c r="K280" s="95">
        <v>473.05302864764627</v>
      </c>
      <c r="L280" s="95">
        <v>193.30259149725148</v>
      </c>
      <c r="M280" s="95">
        <v>2393.1811030271524</v>
      </c>
      <c r="N280" s="95">
        <v>383.95034530600208</v>
      </c>
      <c r="O280" s="95">
        <v>10000.000000000002</v>
      </c>
      <c r="Q280" s="98">
        <v>2393.1811030271524</v>
      </c>
      <c r="R280" s="95">
        <v>2362.3941061670052</v>
      </c>
      <c r="S280" s="99">
        <v>1448.1907680455756</v>
      </c>
      <c r="U280" s="121">
        <v>18595.484539866971</v>
      </c>
      <c r="V280" s="59">
        <v>156155.06340830735</v>
      </c>
      <c r="W280" s="59">
        <v>195519.66093229473</v>
      </c>
      <c r="X280" s="59">
        <v>588127.24481798802</v>
      </c>
      <c r="Y280" s="59">
        <v>1508816.4664426283</v>
      </c>
      <c r="Z280" s="59">
        <v>3172047.6830171589</v>
      </c>
      <c r="AA280" s="59">
        <v>1892766.8101984123</v>
      </c>
      <c r="AB280" s="59">
        <v>7532028.4133566562</v>
      </c>
      <c r="AC280" s="59">
        <v>1702661326.0032475</v>
      </c>
      <c r="AD280" s="68">
        <v>7532028.4133566562</v>
      </c>
    </row>
    <row r="281" spans="1:30" x14ac:dyDescent="0.2">
      <c r="A281" s="95">
        <v>273</v>
      </c>
      <c r="B281" s="95">
        <v>22</v>
      </c>
      <c r="C281" s="95">
        <v>9</v>
      </c>
      <c r="D281" s="95"/>
      <c r="E281" s="95">
        <v>92.154222828276545</v>
      </c>
      <c r="F281" s="95">
        <v>776.79186506613485</v>
      </c>
      <c r="G281" s="95">
        <v>974.12417545193364</v>
      </c>
      <c r="H281" s="95">
        <v>1425.3619547674132</v>
      </c>
      <c r="I281" s="95">
        <v>3149.3454664919141</v>
      </c>
      <c r="J281" s="95">
        <v>122.65419331269908</v>
      </c>
      <c r="K281" s="95">
        <v>473.4637790808344</v>
      </c>
      <c r="L281" s="95">
        <v>193.41117399499643</v>
      </c>
      <c r="M281" s="95">
        <v>2406.3352008492416</v>
      </c>
      <c r="N281" s="95">
        <v>386.35796815655766</v>
      </c>
      <c r="O281" s="95">
        <v>10000.000000000002</v>
      </c>
      <c r="Q281" s="98">
        <v>2406.3352008492416</v>
      </c>
      <c r="R281" s="95">
        <v>2372.6331927292872</v>
      </c>
      <c r="S281" s="99">
        <v>1455.2421352879303</v>
      </c>
      <c r="U281" s="121">
        <v>18404.880823333337</v>
      </c>
      <c r="V281" s="59">
        <v>155152.19348505806</v>
      </c>
      <c r="W281" s="59">
        <v>194572.80285831448</v>
      </c>
      <c r="X281" s="59">
        <v>586173.35594623873</v>
      </c>
      <c r="Y281" s="59">
        <v>1508017.3509260821</v>
      </c>
      <c r="Z281" s="59">
        <v>3173587.7464849851</v>
      </c>
      <c r="AA281" s="59">
        <v>1893513.7242587013</v>
      </c>
      <c r="AB281" s="59">
        <v>7529422.0547827128</v>
      </c>
      <c r="AC281" s="59">
        <v>1710190748.0580301</v>
      </c>
      <c r="AD281" s="68">
        <v>7529422.0547827128</v>
      </c>
    </row>
    <row r="282" spans="1:30" x14ac:dyDescent="0.2">
      <c r="A282" s="95">
        <v>274</v>
      </c>
      <c r="B282" s="95">
        <v>22</v>
      </c>
      <c r="C282" s="95">
        <v>10</v>
      </c>
      <c r="D282" s="95"/>
      <c r="E282" s="95">
        <v>91.22500108142475</v>
      </c>
      <c r="F282" s="95">
        <v>771.9291624061367</v>
      </c>
      <c r="G282" s="95">
        <v>969.56050134981547</v>
      </c>
      <c r="H282" s="95">
        <v>1420.8495769742583</v>
      </c>
      <c r="I282" s="95">
        <v>3148.1645744221623</v>
      </c>
      <c r="J282" s="95">
        <v>122.63078227909681</v>
      </c>
      <c r="K282" s="95">
        <v>473.86660450951047</v>
      </c>
      <c r="L282" s="95">
        <v>193.51672755014673</v>
      </c>
      <c r="M282" s="95">
        <v>2419.4966656605607</v>
      </c>
      <c r="N282" s="95">
        <v>388.76040376688906</v>
      </c>
      <c r="O282" s="95">
        <v>10000.000000000002</v>
      </c>
      <c r="Q282" s="98">
        <v>2419.4966656605607</v>
      </c>
      <c r="R282" s="95">
        <v>2382.8685654953861</v>
      </c>
      <c r="S282" s="99">
        <v>1462.2943735090676</v>
      </c>
      <c r="U282" s="121">
        <v>18216.230794894167</v>
      </c>
      <c r="V282" s="59">
        <v>154155.07027249053</v>
      </c>
      <c r="W282" s="59">
        <v>193628.7831321547</v>
      </c>
      <c r="X282" s="59">
        <v>584219.83747453487</v>
      </c>
      <c r="Y282" s="59">
        <v>1507200.173840119</v>
      </c>
      <c r="Z282" s="59">
        <v>3175076.3077716879</v>
      </c>
      <c r="AA282" s="59">
        <v>1894230.6734833445</v>
      </c>
      <c r="AB282" s="59">
        <v>7526727.0767692253</v>
      </c>
      <c r="AC282" s="59">
        <v>1717717475.1347992</v>
      </c>
      <c r="AD282" s="68">
        <v>7526727.0767692253</v>
      </c>
    </row>
    <row r="283" spans="1:30" x14ac:dyDescent="0.2">
      <c r="A283" s="95">
        <v>275</v>
      </c>
      <c r="B283" s="95">
        <v>22</v>
      </c>
      <c r="C283" s="95">
        <v>11</v>
      </c>
      <c r="D283" s="95"/>
      <c r="E283" s="95">
        <v>90.305148987187053</v>
      </c>
      <c r="F283" s="95">
        <v>767.09346487883511</v>
      </c>
      <c r="G283" s="95">
        <v>965.00954106957749</v>
      </c>
      <c r="H283" s="95">
        <v>1416.3366862180139</v>
      </c>
      <c r="I283" s="95">
        <v>3146.9456719377417</v>
      </c>
      <c r="J283" s="95">
        <v>122.60575329362922</v>
      </c>
      <c r="K283" s="95">
        <v>474.2615288677967</v>
      </c>
      <c r="L283" s="95">
        <v>193.61926228093191</v>
      </c>
      <c r="M283" s="95">
        <v>2432.6652910558751</v>
      </c>
      <c r="N283" s="95">
        <v>391.15765141041322</v>
      </c>
      <c r="O283" s="95">
        <v>10000.000000000002</v>
      </c>
      <c r="Q283" s="98">
        <v>2432.6652910558751</v>
      </c>
      <c r="R283" s="95">
        <v>2393.1001003622582</v>
      </c>
      <c r="S283" s="99">
        <v>1469.3473840376955</v>
      </c>
      <c r="U283" s="121">
        <v>18029.514429246501</v>
      </c>
      <c r="V283" s="59">
        <v>153163.66923984102</v>
      </c>
      <c r="W283" s="59">
        <v>192687.61265703055</v>
      </c>
      <c r="X283" s="59">
        <v>582266.74407371553</v>
      </c>
      <c r="Y283" s="59">
        <v>1506365.0281562197</v>
      </c>
      <c r="Z283" s="59">
        <v>3176513.5641728975</v>
      </c>
      <c r="AA283" s="59">
        <v>1894917.7716031743</v>
      </c>
      <c r="AB283" s="59">
        <v>7523943.9043321256</v>
      </c>
      <c r="AC283" s="59">
        <v>1725241419.0391314</v>
      </c>
      <c r="AD283" s="68">
        <v>7523943.9043321256</v>
      </c>
    </row>
    <row r="284" spans="1:30" x14ac:dyDescent="0.2">
      <c r="A284" s="95">
        <v>276</v>
      </c>
      <c r="B284" s="95">
        <v>23</v>
      </c>
      <c r="C284" s="95">
        <v>0</v>
      </c>
      <c r="D284" s="95"/>
      <c r="E284" s="95">
        <v>89.394572068232918</v>
      </c>
      <c r="F284" s="95">
        <v>762.28466355027547</v>
      </c>
      <c r="G284" s="95">
        <v>960.47135452141697</v>
      </c>
      <c r="H284" s="95">
        <v>1411.8234147665296</v>
      </c>
      <c r="I284" s="95">
        <v>3145.6889346294784</v>
      </c>
      <c r="J284" s="95">
        <v>122.57911424197719</v>
      </c>
      <c r="K284" s="95">
        <v>474.64857613255833</v>
      </c>
      <c r="L284" s="95">
        <v>193.71878832685056</v>
      </c>
      <c r="M284" s="95">
        <v>2445.8408713330909</v>
      </c>
      <c r="N284" s="95">
        <v>393.54971042959113</v>
      </c>
      <c r="O284" s="95">
        <v>10000.000000000002</v>
      </c>
      <c r="Q284" s="98">
        <v>2445.8408713330909</v>
      </c>
      <c r="R284" s="95">
        <v>2403.3276737960559</v>
      </c>
      <c r="S284" s="99">
        <v>1476.4010685872042</v>
      </c>
      <c r="U284" s="121">
        <v>17844.711906346725</v>
      </c>
      <c r="V284" s="59">
        <v>152177.96584712405</v>
      </c>
      <c r="W284" s="59">
        <v>191749.30204791395</v>
      </c>
      <c r="X284" s="59">
        <v>580314.13008327747</v>
      </c>
      <c r="Y284" s="59">
        <v>1505512.0070040622</v>
      </c>
      <c r="Z284" s="59">
        <v>3177899.7129851934</v>
      </c>
      <c r="AA284" s="59">
        <v>1895575.1325188112</v>
      </c>
      <c r="AB284" s="59">
        <v>7521072.9623927288</v>
      </c>
      <c r="AC284" s="59">
        <v>1732762492.0015242</v>
      </c>
      <c r="AD284" s="68">
        <v>7521072.9623927288</v>
      </c>
    </row>
    <row r="285" spans="1:30" x14ac:dyDescent="0.2">
      <c r="A285" s="95">
        <v>277</v>
      </c>
      <c r="B285" s="95">
        <v>23</v>
      </c>
      <c r="C285" s="95">
        <v>1</v>
      </c>
      <c r="D285" s="95"/>
      <c r="E285" s="95">
        <v>88.493176799878242</v>
      </c>
      <c r="F285" s="95">
        <v>757.5026493732762</v>
      </c>
      <c r="G285" s="95">
        <v>955.94600022484349</v>
      </c>
      <c r="H285" s="95">
        <v>1407.3098941640785</v>
      </c>
      <c r="I285" s="95">
        <v>3144.3945385327315</v>
      </c>
      <c r="J285" s="95">
        <v>122.55087300248756</v>
      </c>
      <c r="K285" s="95">
        <v>475.02777032410603</v>
      </c>
      <c r="L285" s="95">
        <v>193.81531584863461</v>
      </c>
      <c r="M285" s="95">
        <v>2459.0232014942953</v>
      </c>
      <c r="N285" s="95">
        <v>395.93658023567025</v>
      </c>
      <c r="O285" s="95">
        <v>10000.000000000002</v>
      </c>
      <c r="Q285" s="98">
        <v>2459.0232014942953</v>
      </c>
      <c r="R285" s="95">
        <v>2413.5511628336017</v>
      </c>
      <c r="S285" s="99">
        <v>1483.4553292563944</v>
      </c>
      <c r="U285" s="121">
        <v>17661.803609306673</v>
      </c>
      <c r="V285" s="59">
        <v>151197.93554720358</v>
      </c>
      <c r="W285" s="59">
        <v>190813.86163449462</v>
      </c>
      <c r="X285" s="59">
        <v>578362.04950880946</v>
      </c>
      <c r="Y285" s="59">
        <v>1504641.2036670151</v>
      </c>
      <c r="Z285" s="59">
        <v>3179234.9515128462</v>
      </c>
      <c r="AA285" s="59">
        <v>1896202.8702983197</v>
      </c>
      <c r="AB285" s="59">
        <v>7518114.675777995</v>
      </c>
      <c r="AC285" s="59">
        <v>1740280606.6773021</v>
      </c>
      <c r="AD285" s="68">
        <v>7518114.675777995</v>
      </c>
    </row>
    <row r="286" spans="1:30" x14ac:dyDescent="0.2">
      <c r="A286" s="95">
        <v>278</v>
      </c>
      <c r="B286" s="95">
        <v>23</v>
      </c>
      <c r="C286" s="95">
        <v>2</v>
      </c>
      <c r="D286" s="95"/>
      <c r="E286" s="95">
        <v>87.600870600479467</v>
      </c>
      <c r="F286" s="95">
        <v>752.74731319755654</v>
      </c>
      <c r="G286" s="95">
        <v>951.43353532224751</v>
      </c>
      <c r="H286" s="95">
        <v>1402.7962552246861</v>
      </c>
      <c r="I286" s="95">
        <v>3143.0626601182871</v>
      </c>
      <c r="J286" s="95">
        <v>122.52103744643638</v>
      </c>
      <c r="K286" s="95">
        <v>475.39913550686629</v>
      </c>
      <c r="L286" s="95">
        <v>193.90885502821004</v>
      </c>
      <c r="M286" s="95">
        <v>2472.2120772468052</v>
      </c>
      <c r="N286" s="95">
        <v>398.31826030842694</v>
      </c>
      <c r="O286" s="95">
        <v>10000.000000000002</v>
      </c>
      <c r="Q286" s="98">
        <v>2472.2120772468052</v>
      </c>
      <c r="R286" s="95">
        <v>2423.7704450838332</v>
      </c>
      <c r="S286" s="99">
        <v>1490.5100685302</v>
      </c>
      <c r="U286" s="121">
        <v>17480.770122311278</v>
      </c>
      <c r="V286" s="59">
        <v>150223.55378782802</v>
      </c>
      <c r="W286" s="59">
        <v>189881.30146412514</v>
      </c>
      <c r="X286" s="59">
        <v>576410.5560195134</v>
      </c>
      <c r="Y286" s="59">
        <v>1503752.7115776241</v>
      </c>
      <c r="Z286" s="59">
        <v>3180519.4770742748</v>
      </c>
      <c r="AA286" s="59">
        <v>1896801.0991749144</v>
      </c>
      <c r="AB286" s="59">
        <v>7515069.4692205908</v>
      </c>
      <c r="AC286" s="59">
        <v>1747795676.1465228</v>
      </c>
      <c r="AD286" s="68">
        <v>7515069.4692205908</v>
      </c>
    </row>
    <row r="287" spans="1:30" x14ac:dyDescent="0.2">
      <c r="A287" s="95">
        <v>279</v>
      </c>
      <c r="B287" s="95">
        <v>23</v>
      </c>
      <c r="C287" s="95">
        <v>3</v>
      </c>
      <c r="D287" s="95"/>
      <c r="E287" s="95">
        <v>86.717561821924633</v>
      </c>
      <c r="F287" s="95">
        <v>748.01854577969596</v>
      </c>
      <c r="G287" s="95">
        <v>946.93401559240033</v>
      </c>
      <c r="H287" s="95">
        <v>1398.2826280256618</v>
      </c>
      <c r="I287" s="95">
        <v>3141.6934762832307</v>
      </c>
      <c r="J287" s="95">
        <v>122.48961543827807</v>
      </c>
      <c r="K287" s="95">
        <v>475.76269579002081</v>
      </c>
      <c r="L287" s="95">
        <v>193.99941606865355</v>
      </c>
      <c r="M287" s="95">
        <v>2485.4072950042273</v>
      </c>
      <c r="N287" s="95">
        <v>400.69475019590857</v>
      </c>
      <c r="O287" s="95">
        <v>10000.000000000002</v>
      </c>
      <c r="Q287" s="98">
        <v>2485.4072950042273</v>
      </c>
      <c r="R287" s="95">
        <v>2433.9853987292176</v>
      </c>
      <c r="S287" s="99">
        <v>1497.5651892804067</v>
      </c>
      <c r="U287" s="121">
        <v>17301.592228557587</v>
      </c>
      <c r="V287" s="59">
        <v>149254.79601362953</v>
      </c>
      <c r="W287" s="59">
        <v>188951.63130474894</v>
      </c>
      <c r="X287" s="59">
        <v>574459.70294581167</v>
      </c>
      <c r="Y287" s="59">
        <v>1502846.6243130919</v>
      </c>
      <c r="Z287" s="59">
        <v>3181753.4870082135</v>
      </c>
      <c r="AA287" s="59">
        <v>1897369.9335447052</v>
      </c>
      <c r="AB287" s="59">
        <v>7511937.7673587585</v>
      </c>
      <c r="AC287" s="59">
        <v>1755307613.9138815</v>
      </c>
      <c r="AD287" s="68">
        <v>7511937.7673587585</v>
      </c>
    </row>
    <row r="288" spans="1:30" x14ac:dyDescent="0.2">
      <c r="A288" s="95">
        <v>280</v>
      </c>
      <c r="B288" s="95">
        <v>23</v>
      </c>
      <c r="C288" s="95">
        <v>4</v>
      </c>
      <c r="D288" s="95"/>
      <c r="E288" s="95">
        <v>85.84315974022023</v>
      </c>
      <c r="F288" s="95">
        <v>743.31623779292693</v>
      </c>
      <c r="G288" s="95">
        <v>942.44749546388505</v>
      </c>
      <c r="H288" s="95">
        <v>1393.7691419013292</v>
      </c>
      <c r="I288" s="95">
        <v>3140.2871643418002</v>
      </c>
      <c r="J288" s="95">
        <v>122.45661483588066</v>
      </c>
      <c r="K288" s="95">
        <v>476.11847532811487</v>
      </c>
      <c r="L288" s="95">
        <v>194.0870091941452</v>
      </c>
      <c r="M288" s="95">
        <v>2498.6086518875245</v>
      </c>
      <c r="N288" s="95">
        <v>403.06604951417518</v>
      </c>
      <c r="O288" s="95">
        <v>10000.000000000002</v>
      </c>
      <c r="Q288" s="98">
        <v>2498.6086518875245</v>
      </c>
      <c r="R288" s="95">
        <v>2444.1959025271381</v>
      </c>
      <c r="S288" s="99">
        <v>1504.6205947663641</v>
      </c>
      <c r="U288" s="121">
        <v>17124.250908214872</v>
      </c>
      <c r="V288" s="59">
        <v>148291.63766808793</v>
      </c>
      <c r="W288" s="59">
        <v>188024.86064781231</v>
      </c>
      <c r="X288" s="59">
        <v>572509.54327703884</v>
      </c>
      <c r="Y288" s="59">
        <v>1501923.0355907544</v>
      </c>
      <c r="Z288" s="59">
        <v>3182937.1786796018</v>
      </c>
      <c r="AA288" s="59">
        <v>1897909.487964482</v>
      </c>
      <c r="AB288" s="59">
        <v>7508719.9947359925</v>
      </c>
      <c r="AC288" s="59">
        <v>1762816333.9086175</v>
      </c>
      <c r="AD288" s="68">
        <v>7508719.9947359925</v>
      </c>
    </row>
    <row r="289" spans="1:30" x14ac:dyDescent="0.2">
      <c r="A289" s="95">
        <v>281</v>
      </c>
      <c r="B289" s="95">
        <v>23</v>
      </c>
      <c r="C289" s="95">
        <v>5</v>
      </c>
      <c r="D289" s="95"/>
      <c r="E289" s="95">
        <v>84.977574546173003</v>
      </c>
      <c r="F289" s="95">
        <v>738.64027983676317</v>
      </c>
      <c r="G289" s="95">
        <v>937.97402802845818</v>
      </c>
      <c r="H289" s="95">
        <v>1389.2559254369548</v>
      </c>
      <c r="I289" s="95">
        <v>3138.8439020162227</v>
      </c>
      <c r="J289" s="95">
        <v>122.42204349074768</v>
      </c>
      <c r="K289" s="95">
        <v>476.46649832163479</v>
      </c>
      <c r="L289" s="95">
        <v>194.17164464991689</v>
      </c>
      <c r="M289" s="95">
        <v>2511.8159457260895</v>
      </c>
      <c r="N289" s="95">
        <v>405.43215794704128</v>
      </c>
      <c r="O289" s="95">
        <v>10000.000000000002</v>
      </c>
      <c r="Q289" s="98">
        <v>2511.8159457260895</v>
      </c>
      <c r="R289" s="95">
        <v>2454.4018358112489</v>
      </c>
      <c r="S289" s="99">
        <v>1511.6761886356921</v>
      </c>
      <c r="U289" s="121">
        <v>16948.727336405671</v>
      </c>
      <c r="V289" s="59">
        <v>147334.05419546005</v>
      </c>
      <c r="W289" s="59">
        <v>187100.99871115922</v>
      </c>
      <c r="X289" s="59">
        <v>570560.1296592165</v>
      </c>
      <c r="Y289" s="59">
        <v>1500982.0392635537</v>
      </c>
      <c r="Z289" s="59">
        <v>3184070.7494851998</v>
      </c>
      <c r="AA289" s="59">
        <v>1898419.8771495325</v>
      </c>
      <c r="AB289" s="59">
        <v>7505416.5758005278</v>
      </c>
      <c r="AC289" s="59">
        <v>1770321750.4844179</v>
      </c>
      <c r="AD289" s="68">
        <v>7505416.5758005278</v>
      </c>
    </row>
    <row r="290" spans="1:30" x14ac:dyDescent="0.2">
      <c r="A290" s="95">
        <v>282</v>
      </c>
      <c r="B290" s="95">
        <v>23</v>
      </c>
      <c r="C290" s="95">
        <v>6</v>
      </c>
      <c r="D290" s="95"/>
      <c r="E290" s="95">
        <v>84.120717336165754</v>
      </c>
      <c r="F290" s="95">
        <v>733.99056244646567</v>
      </c>
      <c r="G290" s="95">
        <v>933.51366505434123</v>
      </c>
      <c r="H290" s="95">
        <v>1384.7431064628699</v>
      </c>
      <c r="I290" s="95">
        <v>3137.3638674275362</v>
      </c>
      <c r="J290" s="95">
        <v>122.38590924822695</v>
      </c>
      <c r="K290" s="95">
        <v>476.80678901755567</v>
      </c>
      <c r="L290" s="95">
        <v>194.25333270219647</v>
      </c>
      <c r="M290" s="95">
        <v>2525.0289750588272</v>
      </c>
      <c r="N290" s="95">
        <v>407.79307524581691</v>
      </c>
      <c r="O290" s="95">
        <v>10000.000000000002</v>
      </c>
      <c r="Q290" s="98">
        <v>2525.0289750588272</v>
      </c>
      <c r="R290" s="95">
        <v>2464.6030784928016</v>
      </c>
      <c r="S290" s="99">
        <v>1518.7318749249812</v>
      </c>
      <c r="U290" s="121">
        <v>16775.002881207511</v>
      </c>
      <c r="V290" s="59">
        <v>146382.02104267443</v>
      </c>
      <c r="W290" s="59">
        <v>186180.05444190989</v>
      </c>
      <c r="X290" s="59">
        <v>568611.51439291087</v>
      </c>
      <c r="Y290" s="59">
        <v>1500023.7293155058</v>
      </c>
      <c r="Z290" s="59">
        <v>3185154.3968589334</v>
      </c>
      <c r="AA290" s="59">
        <v>1898901.2159714901</v>
      </c>
      <c r="AB290" s="59">
        <v>7502027.9349046322</v>
      </c>
      <c r="AC290" s="59">
        <v>1777823778.4193225</v>
      </c>
      <c r="AD290" s="68">
        <v>7502027.9349046322</v>
      </c>
    </row>
    <row r="291" spans="1:30" x14ac:dyDescent="0.2">
      <c r="A291" s="95">
        <v>283</v>
      </c>
      <c r="B291" s="95">
        <v>23</v>
      </c>
      <c r="C291" s="95">
        <v>7</v>
      </c>
      <c r="D291" s="95"/>
      <c r="E291" s="95">
        <v>83.272500103026076</v>
      </c>
      <c r="F291" s="95">
        <v>729.36697610234864</v>
      </c>
      <c r="G291" s="95">
        <v>929.06645699944215</v>
      </c>
      <c r="H291" s="95">
        <v>1380.2308120487846</v>
      </c>
      <c r="I291" s="95">
        <v>3135.8472390863967</v>
      </c>
      <c r="J291" s="95">
        <v>122.34821994770654</v>
      </c>
      <c r="K291" s="95">
        <v>477.13937170985889</v>
      </c>
      <c r="L291" s="95">
        <v>194.33208363814748</v>
      </c>
      <c r="M291" s="95">
        <v>2538.2475391352423</v>
      </c>
      <c r="N291" s="95">
        <v>410.14880122904867</v>
      </c>
      <c r="O291" s="95">
        <v>10000.000000000002</v>
      </c>
      <c r="Q291" s="98">
        <v>2538.2475391352423</v>
      </c>
      <c r="R291" s="95">
        <v>2474.7995110619413</v>
      </c>
      <c r="S291" s="99">
        <v>1525.7875580604862</v>
      </c>
      <c r="U291" s="121">
        <v>16603.059101675135</v>
      </c>
      <c r="V291" s="59">
        <v>145435.51366119258</v>
      </c>
      <c r="W291" s="59">
        <v>185262.03651932211</v>
      </c>
      <c r="X291" s="59">
        <v>566663.74943117122</v>
      </c>
      <c r="Y291" s="59">
        <v>1499048.1998571695</v>
      </c>
      <c r="Z291" s="59">
        <v>3186188.3182769706</v>
      </c>
      <c r="AA291" s="59">
        <v>1899353.6194562055</v>
      </c>
      <c r="AB291" s="59">
        <v>7498554.4963037064</v>
      </c>
      <c r="AC291" s="59">
        <v>1785322332.9156263</v>
      </c>
      <c r="AD291" s="68">
        <v>7498554.4963037064</v>
      </c>
    </row>
    <row r="292" spans="1:30" x14ac:dyDescent="0.2">
      <c r="A292" s="95">
        <v>284</v>
      </c>
      <c r="B292" s="95">
        <v>23</v>
      </c>
      <c r="C292" s="95">
        <v>8</v>
      </c>
      <c r="D292" s="95"/>
      <c r="E292" s="95">
        <v>82.432835726987236</v>
      </c>
      <c r="F292" s="95">
        <v>724.76941123892743</v>
      </c>
      <c r="G292" s="95">
        <v>924.63245302450628</v>
      </c>
      <c r="H292" s="95">
        <v>1375.7191684982913</v>
      </c>
      <c r="I292" s="95">
        <v>3134.2941958838746</v>
      </c>
      <c r="J292" s="95">
        <v>122.30898342279833</v>
      </c>
      <c r="K292" s="95">
        <v>477.46427074002025</v>
      </c>
      <c r="L292" s="95">
        <v>194.40790776580434</v>
      </c>
      <c r="M292" s="95">
        <v>2551.4714379165321</v>
      </c>
      <c r="N292" s="95">
        <v>412.49933578226057</v>
      </c>
      <c r="O292" s="95">
        <v>10000.000000000002</v>
      </c>
      <c r="Q292" s="98">
        <v>2551.4714379165321</v>
      </c>
      <c r="R292" s="95">
        <v>2484.9910145889721</v>
      </c>
      <c r="S292" s="99">
        <v>1532.8431428588131</v>
      </c>
      <c r="U292" s="121">
        <v>16432.877745882965</v>
      </c>
      <c r="V292" s="59">
        <v>144494.50750883654</v>
      </c>
      <c r="W292" s="59">
        <v>184346.953357636</v>
      </c>
      <c r="X292" s="59">
        <v>564716.88637754822</v>
      </c>
      <c r="Y292" s="59">
        <v>1498055.5451211126</v>
      </c>
      <c r="Z292" s="59">
        <v>3187172.7112625423</v>
      </c>
      <c r="AA292" s="59">
        <v>1899777.2027816405</v>
      </c>
      <c r="AB292" s="59">
        <v>7494996.6841551987</v>
      </c>
      <c r="AC292" s="59">
        <v>1792817329.5997815</v>
      </c>
      <c r="AD292" s="68">
        <v>7494996.6841551987</v>
      </c>
    </row>
    <row r="293" spans="1:30" x14ac:dyDescent="0.2">
      <c r="A293" s="95">
        <v>285</v>
      </c>
      <c r="B293" s="95">
        <v>23</v>
      </c>
      <c r="C293" s="95">
        <v>9</v>
      </c>
      <c r="D293" s="95"/>
      <c r="E293" s="95">
        <v>81.601637966740114</v>
      </c>
      <c r="F293" s="95">
        <v>720.19775825391014</v>
      </c>
      <c r="G293" s="95">
        <v>920.21170100619543</v>
      </c>
      <c r="H293" s="95">
        <v>1371.2083013435536</v>
      </c>
      <c r="I293" s="95">
        <v>3132.7049170822429</v>
      </c>
      <c r="J293" s="95">
        <v>122.26820750150948</v>
      </c>
      <c r="K293" s="95">
        <v>477.78151049746884</v>
      </c>
      <c r="L293" s="95">
        <v>194.48081541400302</v>
      </c>
      <c r="M293" s="95">
        <v>2564.7004720766845</v>
      </c>
      <c r="N293" s="95">
        <v>414.8446788576943</v>
      </c>
      <c r="O293" s="95">
        <v>10000.000000000002</v>
      </c>
      <c r="Q293" s="98">
        <v>2564.7004720766845</v>
      </c>
      <c r="R293" s="95">
        <v>2495.1774707255945</v>
      </c>
      <c r="S293" s="99">
        <v>1539.8985345276003</v>
      </c>
      <c r="U293" s="121">
        <v>16264.440748987665</v>
      </c>
      <c r="V293" s="59">
        <v>143558.97805158357</v>
      </c>
      <c r="W293" s="59">
        <v>183434.81310890176</v>
      </c>
      <c r="X293" s="59">
        <v>562770.97648419056</v>
      </c>
      <c r="Y293" s="59">
        <v>1497045.8594573783</v>
      </c>
      <c r="Z293" s="59">
        <v>3188107.7733905027</v>
      </c>
      <c r="AA293" s="59">
        <v>1900172.0812757809</v>
      </c>
      <c r="AB293" s="59">
        <v>7491354.9225173257</v>
      </c>
      <c r="AC293" s="59">
        <v>1800308684.5222988</v>
      </c>
      <c r="AD293" s="68">
        <v>7491354.9225173257</v>
      </c>
    </row>
    <row r="294" spans="1:30" x14ac:dyDescent="0.2">
      <c r="A294" s="95">
        <v>286</v>
      </c>
      <c r="B294" s="95">
        <v>23</v>
      </c>
      <c r="C294" s="95">
        <v>10</v>
      </c>
      <c r="D294" s="95"/>
      <c r="E294" s="95">
        <v>80.778821450575478</v>
      </c>
      <c r="F294" s="95">
        <v>715.65190751703597</v>
      </c>
      <c r="G294" s="95">
        <v>915.80424755009665</v>
      </c>
      <c r="H294" s="95">
        <v>1366.6983353401799</v>
      </c>
      <c r="I294" s="95">
        <v>3131.0795823057565</v>
      </c>
      <c r="J294" s="95">
        <v>122.22590000640184</v>
      </c>
      <c r="K294" s="95">
        <v>478.09111542001727</v>
      </c>
      <c r="L294" s="95">
        <v>194.5508169323069</v>
      </c>
      <c r="M294" s="95">
        <v>2577.9344430035821</v>
      </c>
      <c r="N294" s="95">
        <v>417.18483047404953</v>
      </c>
      <c r="O294" s="95">
        <v>10000.000000000002</v>
      </c>
      <c r="Q294" s="98">
        <v>2577.9344430035821</v>
      </c>
      <c r="R294" s="95">
        <v>2505.3587617061116</v>
      </c>
      <c r="S294" s="99">
        <v>1546.9536386661905</v>
      </c>
      <c r="U294" s="121">
        <v>16097.730231310541</v>
      </c>
      <c r="V294" s="59">
        <v>142628.90076532835</v>
      </c>
      <c r="W294" s="59">
        <v>182525.62366579034</v>
      </c>
      <c r="X294" s="59">
        <v>560826.07065001992</v>
      </c>
      <c r="Y294" s="59">
        <v>1496019.2373289526</v>
      </c>
      <c r="Z294" s="59">
        <v>3188993.7022916414</v>
      </c>
      <c r="AA294" s="59">
        <v>1900538.3704145628</v>
      </c>
      <c r="AB294" s="59">
        <v>7487629.6353476057</v>
      </c>
      <c r="AC294" s="59">
        <v>1807796314.1576464</v>
      </c>
      <c r="AD294" s="68">
        <v>7487629.6353476057</v>
      </c>
    </row>
    <row r="295" spans="1:30" x14ac:dyDescent="0.2">
      <c r="A295" s="95">
        <v>287</v>
      </c>
      <c r="B295" s="95">
        <v>23</v>
      </c>
      <c r="C295" s="95">
        <v>11</v>
      </c>
      <c r="D295" s="95"/>
      <c r="E295" s="95">
        <v>79.964301667615516</v>
      </c>
      <c r="F295" s="95">
        <v>711.13174937876101</v>
      </c>
      <c r="G295" s="95">
        <v>911.41013800365795</v>
      </c>
      <c r="H295" s="95">
        <v>1362.1893944622791</v>
      </c>
      <c r="I295" s="95">
        <v>3129.4183715314257</v>
      </c>
      <c r="J295" s="95">
        <v>122.18206875474019</v>
      </c>
      <c r="K295" s="95">
        <v>478.39310999426357</v>
      </c>
      <c r="L295" s="95">
        <v>194.61792269092797</v>
      </c>
      <c r="M295" s="95">
        <v>2591.1731528001073</v>
      </c>
      <c r="N295" s="95">
        <v>419.51979071622361</v>
      </c>
      <c r="O295" s="95">
        <v>10000.000000000002</v>
      </c>
      <c r="Q295" s="98">
        <v>2591.1731528001073</v>
      </c>
      <c r="R295" s="95">
        <v>2515.5347703486054</v>
      </c>
      <c r="S295" s="99">
        <v>1554.008361266297</v>
      </c>
      <c r="U295" s="121">
        <v>15932.728496439608</v>
      </c>
      <c r="V295" s="59">
        <v>141704.25113761323</v>
      </c>
      <c r="W295" s="59">
        <v>181619.39266438727</v>
      </c>
      <c r="X295" s="59">
        <v>558882.21941898158</v>
      </c>
      <c r="Y295" s="59">
        <v>1494975.7733072345</v>
      </c>
      <c r="Z295" s="59">
        <v>3189830.6956567466</v>
      </c>
      <c r="AA295" s="59">
        <v>1900876.185819811</v>
      </c>
      <c r="AB295" s="59">
        <v>7483821.2465012139</v>
      </c>
      <c r="AC295" s="59">
        <v>1815280135.4041476</v>
      </c>
      <c r="AD295" s="68">
        <v>7483821.2465012139</v>
      </c>
    </row>
    <row r="296" spans="1:30" x14ac:dyDescent="0.2">
      <c r="A296" s="95">
        <v>288</v>
      </c>
      <c r="B296" s="95">
        <v>24</v>
      </c>
      <c r="C296" s="95">
        <v>0</v>
      </c>
      <c r="D296" s="95"/>
      <c r="E296" s="95">
        <v>79.157994959133731</v>
      </c>
      <c r="F296" s="95">
        <v>706.63717417879445</v>
      </c>
      <c r="G296" s="95">
        <v>907.02941646905299</v>
      </c>
      <c r="H296" s="95">
        <v>1357.6816018976929</v>
      </c>
      <c r="I296" s="95">
        <v>3127.7214650797869</v>
      </c>
      <c r="J296" s="95">
        <v>122.13672155862895</v>
      </c>
      <c r="K296" s="95">
        <v>478.68751875596456</v>
      </c>
      <c r="L296" s="95">
        <v>194.68214308064316</v>
      </c>
      <c r="M296" s="95">
        <v>2604.4164042852531</v>
      </c>
      <c r="N296" s="95">
        <v>421.84955973505151</v>
      </c>
      <c r="O296" s="95">
        <v>10000.000000000002</v>
      </c>
      <c r="Q296" s="98">
        <v>2604.4164042852531</v>
      </c>
      <c r="R296" s="95">
        <v>2525.7053800560825</v>
      </c>
      <c r="S296" s="99">
        <v>1561.0626087126614</v>
      </c>
      <c r="U296" s="121">
        <v>15769.418029351102</v>
      </c>
      <c r="V296" s="59">
        <v>140785.00466932662</v>
      </c>
      <c r="W296" s="59">
        <v>180716.12748696932</v>
      </c>
      <c r="X296" s="59">
        <v>556939.47297837108</v>
      </c>
      <c r="Y296" s="59">
        <v>1493915.5620675059</v>
      </c>
      <c r="Z296" s="59">
        <v>3190618.9512404259</v>
      </c>
      <c r="AA296" s="59">
        <v>1901185.6432571856</v>
      </c>
      <c r="AB296" s="59">
        <v>7479930.1797291357</v>
      </c>
      <c r="AC296" s="59">
        <v>1822760065.5838768</v>
      </c>
      <c r="AD296" s="68">
        <v>7479930.1797291357</v>
      </c>
    </row>
    <row r="297" spans="1:30" x14ac:dyDescent="0.2">
      <c r="A297" s="95">
        <v>289</v>
      </c>
      <c r="B297" s="95">
        <v>24</v>
      </c>
      <c r="C297" s="95">
        <v>1</v>
      </c>
      <c r="D297" s="95"/>
      <c r="E297" s="95">
        <v>78.359818509962466</v>
      </c>
      <c r="F297" s="95">
        <v>702.16807225448656</v>
      </c>
      <c r="G297" s="95">
        <v>902.66212581597256</v>
      </c>
      <c r="H297" s="95">
        <v>1353.1750800434065</v>
      </c>
      <c r="I297" s="95">
        <v>3125.9890436056689</v>
      </c>
      <c r="J297" s="95">
        <v>122.0898662251381</v>
      </c>
      <c r="K297" s="95">
        <v>478.97436629038225</v>
      </c>
      <c r="L297" s="95">
        <v>194.74348851270585</v>
      </c>
      <c r="M297" s="95">
        <v>2617.6640009952343</v>
      </c>
      <c r="N297" s="95">
        <v>424.17413774704471</v>
      </c>
      <c r="O297" s="95">
        <v>10000.000000000002</v>
      </c>
      <c r="Q297" s="98">
        <v>2617.6640009952343</v>
      </c>
      <c r="R297" s="95">
        <v>2535.8704748175919</v>
      </c>
      <c r="S297" s="99">
        <v>1568.1162877837039</v>
      </c>
      <c r="U297" s="121">
        <v>15607.781494550252</v>
      </c>
      <c r="V297" s="59">
        <v>139871.13687637041</v>
      </c>
      <c r="W297" s="59">
        <v>179815.83526476385</v>
      </c>
      <c r="X297" s="59">
        <v>554997.88115723443</v>
      </c>
      <c r="Y297" s="59">
        <v>1492838.6983844093</v>
      </c>
      <c r="Z297" s="59">
        <v>3191358.6668646913</v>
      </c>
      <c r="AA297" s="59">
        <v>1901466.8586341359</v>
      </c>
      <c r="AB297" s="59">
        <v>7475956.8586761551</v>
      </c>
      <c r="AC297" s="59">
        <v>1830236022.442553</v>
      </c>
      <c r="AD297" s="68">
        <v>7475956.8586761551</v>
      </c>
    </row>
    <row r="298" spans="1:30" x14ac:dyDescent="0.2">
      <c r="A298" s="95">
        <v>290</v>
      </c>
      <c r="B298" s="95">
        <v>24</v>
      </c>
      <c r="C298" s="95">
        <v>2</v>
      </c>
      <c r="D298" s="95"/>
      <c r="E298" s="95">
        <v>77.569690339987005</v>
      </c>
      <c r="F298" s="95">
        <v>697.72433394907125</v>
      </c>
      <c r="G298" s="95">
        <v>898.30830769434351</v>
      </c>
      <c r="H298" s="95">
        <v>1348.6699505011322</v>
      </c>
      <c r="I298" s="95">
        <v>3124.2212880889615</v>
      </c>
      <c r="J298" s="95">
        <v>122.0415105564185</v>
      </c>
      <c r="K298" s="95">
        <v>479.25367723260234</v>
      </c>
      <c r="L298" s="95">
        <v>194.80196941875241</v>
      </c>
      <c r="M298" s="95">
        <v>2630.9157471846029</v>
      </c>
      <c r="N298" s="95">
        <v>426.49352503413058</v>
      </c>
      <c r="O298" s="95">
        <v>10000.000000000002</v>
      </c>
      <c r="Q298" s="98">
        <v>2630.9157471846029</v>
      </c>
      <c r="R298" s="95">
        <v>2546.0299392093102</v>
      </c>
      <c r="S298" s="99">
        <v>1575.1693056521651</v>
      </c>
      <c r="U298" s="121">
        <v>15447.801734231112</v>
      </c>
      <c r="V298" s="59">
        <v>138962.62329129645</v>
      </c>
      <c r="W298" s="59">
        <v>178918.52288069148</v>
      </c>
      <c r="X298" s="59">
        <v>553057.49342484167</v>
      </c>
      <c r="Y298" s="59">
        <v>1491745.2771274247</v>
      </c>
      <c r="Z298" s="59">
        <v>3192050.0404223073</v>
      </c>
      <c r="AA298" s="59">
        <v>1901719.9479978562</v>
      </c>
      <c r="AB298" s="59">
        <v>7471901.7068786491</v>
      </c>
      <c r="AC298" s="59">
        <v>1837707924.1494317</v>
      </c>
      <c r="AD298" s="68">
        <v>7471901.7068786491</v>
      </c>
    </row>
    <row r="299" spans="1:30" x14ac:dyDescent="0.2">
      <c r="A299" s="95">
        <v>291</v>
      </c>
      <c r="B299" s="95">
        <v>24</v>
      </c>
      <c r="C299" s="95">
        <v>3</v>
      </c>
      <c r="D299" s="95"/>
      <c r="E299" s="95">
        <v>76.787529295725463</v>
      </c>
      <c r="F299" s="95">
        <v>693.30584961976388</v>
      </c>
      <c r="G299" s="95">
        <v>893.9680025469745</v>
      </c>
      <c r="H299" s="95">
        <v>1344.1663340730643</v>
      </c>
      <c r="I299" s="95">
        <v>3122.418379825383</v>
      </c>
      <c r="J299" s="95">
        <v>121.99166234980666</v>
      </c>
      <c r="K299" s="95">
        <v>479.52547626782587</v>
      </c>
      <c r="L299" s="95">
        <v>194.85759625070378</v>
      </c>
      <c r="M299" s="95">
        <v>2644.1714478273634</v>
      </c>
      <c r="N299" s="95">
        <v>428.80772194339102</v>
      </c>
      <c r="O299" s="95">
        <v>10000.000000000002</v>
      </c>
      <c r="Q299" s="98">
        <v>2644.1714478273634</v>
      </c>
      <c r="R299" s="95">
        <v>2556.1836583955992</v>
      </c>
      <c r="S299" s="99">
        <v>1582.2215698857401</v>
      </c>
      <c r="U299" s="121">
        <v>15289.461766455244</v>
      </c>
      <c r="V299" s="59">
        <v>138059.43946491287</v>
      </c>
      <c r="W299" s="59">
        <v>178024.1969720909</v>
      </c>
      <c r="X299" s="59">
        <v>551118.35888923286</v>
      </c>
      <c r="Y299" s="59">
        <v>1490635.393256356</v>
      </c>
      <c r="Z299" s="59">
        <v>3192693.269879912</v>
      </c>
      <c r="AA299" s="59">
        <v>1901945.0275332427</v>
      </c>
      <c r="AB299" s="59">
        <v>7467765.1477622027</v>
      </c>
      <c r="AC299" s="59">
        <v>1845175689.297194</v>
      </c>
      <c r="AD299" s="68">
        <v>7467765.1477622027</v>
      </c>
    </row>
    <row r="300" spans="1:30" x14ac:dyDescent="0.2">
      <c r="A300" s="95">
        <v>292</v>
      </c>
      <c r="B300" s="95">
        <v>24</v>
      </c>
      <c r="C300" s="95">
        <v>4</v>
      </c>
      <c r="D300" s="95"/>
      <c r="E300" s="95">
        <v>76.01325504199356</v>
      </c>
      <c r="F300" s="95">
        <v>688.91250964571725</v>
      </c>
      <c r="G300" s="95">
        <v>889.64124962212907</v>
      </c>
      <c r="H300" s="95">
        <v>1339.6643507578033</v>
      </c>
      <c r="I300" s="95">
        <v>3120.5805004172521</v>
      </c>
      <c r="J300" s="95">
        <v>121.94032939791954</v>
      </c>
      <c r="K300" s="95">
        <v>479.78978813163457</v>
      </c>
      <c r="L300" s="95">
        <v>194.91037948066219</v>
      </c>
      <c r="M300" s="95">
        <v>2657.4309086180892</v>
      </c>
      <c r="N300" s="95">
        <v>431.11672888680079</v>
      </c>
      <c r="O300" s="95">
        <v>10000.000000000002</v>
      </c>
      <c r="Q300" s="98">
        <v>2657.4309086180892</v>
      </c>
      <c r="R300" s="95">
        <v>2566.3315181300318</v>
      </c>
      <c r="S300" s="99">
        <v>1589.272988447703</v>
      </c>
      <c r="U300" s="121">
        <v>15132.744783349081</v>
      </c>
      <c r="V300" s="59">
        <v>137161.56096786022</v>
      </c>
      <c r="W300" s="59">
        <v>177132.86393342706</v>
      </c>
      <c r="X300" s="59">
        <v>549180.52629583329</v>
      </c>
      <c r="Y300" s="59">
        <v>1489509.1418168205</v>
      </c>
      <c r="Z300" s="59">
        <v>3193288.5532809142</v>
      </c>
      <c r="AA300" s="59">
        <v>1902142.213560849</v>
      </c>
      <c r="AB300" s="59">
        <v>7463547.6046390533</v>
      </c>
      <c r="AC300" s="59">
        <v>1852639236.9018331</v>
      </c>
      <c r="AD300" s="68">
        <v>7463547.6046390533</v>
      </c>
    </row>
    <row r="301" spans="1:30" x14ac:dyDescent="0.2">
      <c r="A301" s="95">
        <v>293</v>
      </c>
      <c r="B301" s="95">
        <v>24</v>
      </c>
      <c r="C301" s="95">
        <v>5</v>
      </c>
      <c r="D301" s="95"/>
      <c r="E301" s="95">
        <v>75.246788053653461</v>
      </c>
      <c r="F301" s="95">
        <v>684.54420443583763</v>
      </c>
      <c r="G301" s="95">
        <v>885.32808698602423</v>
      </c>
      <c r="H301" s="95">
        <v>1335.1641197464464</v>
      </c>
      <c r="I301" s="95">
        <v>3118.7078317642622</v>
      </c>
      <c r="J301" s="95">
        <v>121.88751948873961</v>
      </c>
      <c r="K301" s="95">
        <v>480.04663761022954</v>
      </c>
      <c r="L301" s="95">
        <v>194.96032960080268</v>
      </c>
      <c r="M301" s="95">
        <v>2670.69393597304</v>
      </c>
      <c r="N301" s="95">
        <v>433.42054634096581</v>
      </c>
      <c r="O301" s="95">
        <v>10000.000000000002</v>
      </c>
      <c r="Q301" s="98">
        <v>2670.69393597304</v>
      </c>
      <c r="R301" s="95">
        <v>2576.4734047563879</v>
      </c>
      <c r="S301" s="99">
        <v>1596.3234696975239</v>
      </c>
      <c r="U301" s="121">
        <v>14977.634149319752</v>
      </c>
      <c r="V301" s="59">
        <v>136268.96339215824</v>
      </c>
      <c r="W301" s="59">
        <v>176244.52991898175</v>
      </c>
      <c r="X301" s="59">
        <v>547244.04402614129</v>
      </c>
      <c r="Y301" s="59">
        <v>1488366.617935746</v>
      </c>
      <c r="Z301" s="59">
        <v>3193836.0887481649</v>
      </c>
      <c r="AA301" s="59">
        <v>1902311.6225348378</v>
      </c>
      <c r="AB301" s="59">
        <v>7459249.5007053502</v>
      </c>
      <c r="AC301" s="59">
        <v>1860098486.4025383</v>
      </c>
      <c r="AD301" s="68">
        <v>7459249.5007053502</v>
      </c>
    </row>
    <row r="302" spans="1:30" x14ac:dyDescent="0.2">
      <c r="A302" s="95">
        <v>294</v>
      </c>
      <c r="B302" s="95">
        <v>24</v>
      </c>
      <c r="C302" s="95">
        <v>6</v>
      </c>
      <c r="D302" s="95"/>
      <c r="E302" s="95">
        <v>74.488049607445788</v>
      </c>
      <c r="F302" s="95">
        <v>680.20082443646163</v>
      </c>
      <c r="G302" s="95">
        <v>881.02855153525581</v>
      </c>
      <c r="H302" s="95">
        <v>1330.6657594188423</v>
      </c>
      <c r="I302" s="95">
        <v>3116.8005560542642</v>
      </c>
      <c r="J302" s="95">
        <v>121.83324040569016</v>
      </c>
      <c r="K302" s="95">
        <v>480.29604954064433</v>
      </c>
      <c r="L302" s="95">
        <v>195.00745712325966</v>
      </c>
      <c r="M302" s="95">
        <v>2683.9603370312766</v>
      </c>
      <c r="N302" s="95">
        <v>435.71917484686116</v>
      </c>
      <c r="O302" s="95">
        <v>10000.000000000002</v>
      </c>
      <c r="Q302" s="98">
        <v>2683.9603370312766</v>
      </c>
      <c r="R302" s="95">
        <v>2586.6092052096219</v>
      </c>
      <c r="S302" s="99">
        <v>1603.3729223914763</v>
      </c>
      <c r="U302" s="121">
        <v>14824.113399289223</v>
      </c>
      <c r="V302" s="59">
        <v>135381.62235272359</v>
      </c>
      <c r="W302" s="59">
        <v>175359.20084552691</v>
      </c>
      <c r="X302" s="59">
        <v>545308.96009648207</v>
      </c>
      <c r="Y302" s="59">
        <v>1487207.9168168751</v>
      </c>
      <c r="Z302" s="59">
        <v>3194336.0744864186</v>
      </c>
      <c r="AA302" s="59">
        <v>1902453.3710409289</v>
      </c>
      <c r="AB302" s="59">
        <v>7454871.2590382444</v>
      </c>
      <c r="AC302" s="59">
        <v>1867553357.6615765</v>
      </c>
      <c r="AD302" s="68">
        <v>7454871.2590382444</v>
      </c>
    </row>
    <row r="303" spans="1:30" x14ac:dyDescent="0.2">
      <c r="A303" s="95">
        <v>295</v>
      </c>
      <c r="B303" s="95">
        <v>24</v>
      </c>
      <c r="C303" s="95">
        <v>7</v>
      </c>
      <c r="D303" s="95"/>
      <c r="E303" s="95">
        <v>73.736961773904042</v>
      </c>
      <c r="F303" s="95">
        <v>675.8822601388971</v>
      </c>
      <c r="G303" s="95">
        <v>876.74267900914981</v>
      </c>
      <c r="H303" s="95">
        <v>1326.1693873400063</v>
      </c>
      <c r="I303" s="95">
        <v>3114.8588557540552</v>
      </c>
      <c r="J303" s="95">
        <v>121.77749992770136</v>
      </c>
      <c r="K303" s="95">
        <v>480.53804881093254</v>
      </c>
      <c r="L303" s="95">
        <v>195.05177258000845</v>
      </c>
      <c r="M303" s="95">
        <v>2697.2299196557783</v>
      </c>
      <c r="N303" s="95">
        <v>438.01261500956844</v>
      </c>
      <c r="O303" s="95">
        <v>10000.000000000002</v>
      </c>
      <c r="Q303" s="98">
        <v>2697.2299196557783</v>
      </c>
      <c r="R303" s="95">
        <v>2596.7388070167981</v>
      </c>
      <c r="S303" s="99">
        <v>1610.4212556832356</v>
      </c>
      <c r="U303" s="121">
        <v>14672.166236946508</v>
      </c>
      <c r="V303" s="59">
        <v>134499.5134888585</v>
      </c>
      <c r="W303" s="59">
        <v>174476.88239498067</v>
      </c>
      <c r="X303" s="59">
        <v>543375.32215683069</v>
      </c>
      <c r="Y303" s="59">
        <v>1486033.1337362782</v>
      </c>
      <c r="Z303" s="59">
        <v>3194788.7087845774</v>
      </c>
      <c r="AA303" s="59">
        <v>1902567.5757943352</v>
      </c>
      <c r="AB303" s="59">
        <v>7450413.3025928074</v>
      </c>
      <c r="AC303" s="59">
        <v>1875003770.9641693</v>
      </c>
      <c r="AD303" s="68">
        <v>7450413.3025928074</v>
      </c>
    </row>
    <row r="304" spans="1:30" x14ac:dyDescent="0.2">
      <c r="A304" s="95">
        <v>296</v>
      </c>
      <c r="B304" s="95">
        <v>24</v>
      </c>
      <c r="C304" s="95">
        <v>8</v>
      </c>
      <c r="D304" s="95"/>
      <c r="E304" s="95">
        <v>72.993447409350509</v>
      </c>
      <c r="F304" s="95">
        <v>671.58840208682921</v>
      </c>
      <c r="G304" s="95">
        <v>872.47050400203909</v>
      </c>
      <c r="H304" s="95">
        <v>1321.6751202566977</v>
      </c>
      <c r="I304" s="95">
        <v>3112.8829136001768</v>
      </c>
      <c r="J304" s="95">
        <v>121.72030582926739</v>
      </c>
      <c r="K304" s="95">
        <v>480.77266036032989</v>
      </c>
      <c r="L304" s="95">
        <v>195.09328652274181</v>
      </c>
      <c r="M304" s="95">
        <v>2710.5024924345557</v>
      </c>
      <c r="N304" s="95">
        <v>440.30086749801336</v>
      </c>
      <c r="O304" s="95">
        <v>10000.000000000002</v>
      </c>
      <c r="Q304" s="98">
        <v>2710.5024924345557</v>
      </c>
      <c r="R304" s="95">
        <v>2606.8620982979987</v>
      </c>
      <c r="S304" s="99">
        <v>1617.4683791244677</v>
      </c>
      <c r="U304" s="121">
        <v>14521.776533017806</v>
      </c>
      <c r="V304" s="59">
        <v>133622.61246571154</v>
      </c>
      <c r="W304" s="59">
        <v>173597.58001704613</v>
      </c>
      <c r="X304" s="59">
        <v>541443.17748970143</v>
      </c>
      <c r="Y304" s="59">
        <v>1484842.3640378732</v>
      </c>
      <c r="Z304" s="59">
        <v>3195194.1900177286</v>
      </c>
      <c r="AA304" s="59">
        <v>1902654.3536376941</v>
      </c>
      <c r="AB304" s="59">
        <v>7445876.0541987726</v>
      </c>
      <c r="AC304" s="59">
        <v>1882449647.018368</v>
      </c>
      <c r="AD304" s="68">
        <v>7445876.0541987726</v>
      </c>
    </row>
    <row r="305" spans="1:30" x14ac:dyDescent="0.2">
      <c r="A305" s="95">
        <v>297</v>
      </c>
      <c r="B305" s="95">
        <v>24</v>
      </c>
      <c r="C305" s="95">
        <v>9</v>
      </c>
      <c r="D305" s="95"/>
      <c r="E305" s="95">
        <v>72.257430147972897</v>
      </c>
      <c r="F305" s="95">
        <v>667.31914088359304</v>
      </c>
      <c r="G305" s="95">
        <v>868.21205997546645</v>
      </c>
      <c r="H305" s="95">
        <v>1317.1830740941512</v>
      </c>
      <c r="I305" s="95">
        <v>3110.8729125897239</v>
      </c>
      <c r="J305" s="95">
        <v>121.66166588049468</v>
      </c>
      <c r="K305" s="95">
        <v>480.99990917939198</v>
      </c>
      <c r="L305" s="95">
        <v>195.13200952274124</v>
      </c>
      <c r="M305" s="95">
        <v>2723.7778646817637</v>
      </c>
      <c r="N305" s="95">
        <v>442.58393304470246</v>
      </c>
      <c r="O305" s="95">
        <v>10000.000000000002</v>
      </c>
      <c r="Q305" s="98">
        <v>2723.7778646817637</v>
      </c>
      <c r="R305" s="95">
        <v>2616.9789677671993</v>
      </c>
      <c r="S305" s="99">
        <v>1624.5142026654089</v>
      </c>
      <c r="U305" s="121">
        <v>14372.928323554373</v>
      </c>
      <c r="V305" s="59">
        <v>132750.89497571017</v>
      </c>
      <c r="W305" s="59">
        <v>172721.2989318326</v>
      </c>
      <c r="X305" s="59">
        <v>539512.57300910319</v>
      </c>
      <c r="Y305" s="59">
        <v>1483635.7031289579</v>
      </c>
      <c r="Z305" s="59">
        <v>3195552.7166489786</v>
      </c>
      <c r="AA305" s="59">
        <v>1902713.8215389864</v>
      </c>
      <c r="AB305" s="59">
        <v>7441259.9365571234</v>
      </c>
      <c r="AC305" s="59">
        <v>1889890906.9549251</v>
      </c>
      <c r="AD305" s="68">
        <v>7441259.9365571234</v>
      </c>
    </row>
    <row r="306" spans="1:30" x14ac:dyDescent="0.2">
      <c r="A306" s="95">
        <v>298</v>
      </c>
      <c r="B306" s="95">
        <v>24</v>
      </c>
      <c r="C306" s="95">
        <v>10</v>
      </c>
      <c r="D306" s="95"/>
      <c r="E306" s="95">
        <v>71.528834393980844</v>
      </c>
      <c r="F306" s="95">
        <v>663.07436719931582</v>
      </c>
      <c r="G306" s="95">
        <v>863.96737927031211</v>
      </c>
      <c r="H306" s="95">
        <v>1312.6933639529643</v>
      </c>
      <c r="I306" s="95">
        <v>3108.8290359711664</v>
      </c>
      <c r="J306" s="95">
        <v>121.60158784714157</v>
      </c>
      <c r="K306" s="95">
        <v>481.2198203101072</v>
      </c>
      <c r="L306" s="95">
        <v>195.16795217074349</v>
      </c>
      <c r="M306" s="95">
        <v>2737.0558464388096</v>
      </c>
      <c r="N306" s="95">
        <v>444.86181244546026</v>
      </c>
      <c r="O306" s="95">
        <v>10000.000000000002</v>
      </c>
      <c r="Q306" s="98">
        <v>2737.0558464388096</v>
      </c>
      <c r="R306" s="95">
        <v>2627.089304733116</v>
      </c>
      <c r="S306" s="99">
        <v>1631.5586366554362</v>
      </c>
      <c r="U306" s="121">
        <v>14225.605808237942</v>
      </c>
      <c r="V306" s="59">
        <v>131884.33673996569</v>
      </c>
      <c r="W306" s="59">
        <v>171848.04413245962</v>
      </c>
      <c r="X306" s="59">
        <v>537583.55525955826</v>
      </c>
      <c r="Y306" s="59">
        <v>1482413.2464757503</v>
      </c>
      <c r="Z306" s="59">
        <v>3195864.4872310851</v>
      </c>
      <c r="AA306" s="59">
        <v>1902746.0965894407</v>
      </c>
      <c r="AB306" s="59">
        <v>7436565.3722364977</v>
      </c>
      <c r="AC306" s="59">
        <v>1897327472.3271616</v>
      </c>
      <c r="AD306" s="68">
        <v>7436565.3722364977</v>
      </c>
    </row>
    <row r="307" spans="1:30" x14ac:dyDescent="0.2">
      <c r="A307" s="95">
        <v>299</v>
      </c>
      <c r="B307" s="95">
        <v>24</v>
      </c>
      <c r="C307" s="95">
        <v>11</v>
      </c>
      <c r="D307" s="95"/>
      <c r="E307" s="95">
        <v>70.807585313841543</v>
      </c>
      <c r="F307" s="95">
        <v>658.8539717779289</v>
      </c>
      <c r="G307" s="95">
        <v>859.73649311884742</v>
      </c>
      <c r="H307" s="95">
        <v>1308.2061041061379</v>
      </c>
      <c r="I307" s="95">
        <v>3106.7514672351822</v>
      </c>
      <c r="J307" s="95">
        <v>121.54007949064973</v>
      </c>
      <c r="K307" s="95">
        <v>481.43241884598586</v>
      </c>
      <c r="L307" s="95">
        <v>195.20112507680173</v>
      </c>
      <c r="M307" s="95">
        <v>2750.3362484754612</v>
      </c>
      <c r="N307" s="95">
        <v>447.13450655916552</v>
      </c>
      <c r="O307" s="95">
        <v>10000.000000000002</v>
      </c>
      <c r="Q307" s="98">
        <v>2750.3362484754612</v>
      </c>
      <c r="R307" s="95">
        <v>2637.1929991000225</v>
      </c>
      <c r="S307" s="99">
        <v>1638.6015918436269</v>
      </c>
      <c r="U307" s="121">
        <v>14079.793348703502</v>
      </c>
      <c r="V307" s="59">
        <v>131022.91350965125</v>
      </c>
      <c r="W307" s="59">
        <v>170977.82038764356</v>
      </c>
      <c r="X307" s="59">
        <v>535656.17041518562</v>
      </c>
      <c r="Y307" s="59">
        <v>1481175.0895989398</v>
      </c>
      <c r="Z307" s="59">
        <v>3196129.7004078911</v>
      </c>
      <c r="AA307" s="59">
        <v>1902751.2960014278</v>
      </c>
      <c r="AB307" s="59">
        <v>7431792.7836694429</v>
      </c>
      <c r="AC307" s="59">
        <v>1904759265.110831</v>
      </c>
      <c r="AD307" s="68">
        <v>7431792.7836694429</v>
      </c>
    </row>
    <row r="308" spans="1:30" x14ac:dyDescent="0.2">
      <c r="A308" s="95">
        <v>300</v>
      </c>
      <c r="B308" s="95">
        <v>25</v>
      </c>
      <c r="C308" s="95">
        <v>0</v>
      </c>
      <c r="D308" s="95"/>
      <c r="E308" s="95">
        <v>70.093608828593645</v>
      </c>
      <c r="F308" s="95">
        <v>654.65784544405255</v>
      </c>
      <c r="G308" s="95">
        <v>855.51943165671298</v>
      </c>
      <c r="H308" s="95">
        <v>1303.721407996265</v>
      </c>
      <c r="I308" s="95">
        <v>3104.6403901055078</v>
      </c>
      <c r="J308" s="95">
        <v>121.47714856816739</v>
      </c>
      <c r="K308" s="95">
        <v>481.63772993212535</v>
      </c>
      <c r="L308" s="95">
        <v>195.23153887014192</v>
      </c>
      <c r="M308" s="95">
        <v>2763.618882290948</v>
      </c>
      <c r="N308" s="95">
        <v>449.40201630748732</v>
      </c>
      <c r="O308" s="95">
        <v>10000.000000000002</v>
      </c>
      <c r="Q308" s="98">
        <v>2763.618882290948</v>
      </c>
      <c r="R308" s="95">
        <v>2647.2899413685368</v>
      </c>
      <c r="S308" s="99">
        <v>1645.6429793793088</v>
      </c>
      <c r="U308" s="121">
        <v>13935.47546687929</v>
      </c>
      <c r="V308" s="59">
        <v>130166.60106735292</v>
      </c>
      <c r="W308" s="59">
        <v>170110.63224426666</v>
      </c>
      <c r="X308" s="59">
        <v>533730.46427884744</v>
      </c>
      <c r="Y308" s="59">
        <v>1479921.328069251</v>
      </c>
      <c r="Z308" s="59">
        <v>3196348.5549155716</v>
      </c>
      <c r="AA308" s="59">
        <v>1902729.5371063363</v>
      </c>
      <c r="AB308" s="59">
        <v>7426942.5931485053</v>
      </c>
      <c r="AC308" s="59">
        <v>1912186207.7039795</v>
      </c>
      <c r="AD308" s="68">
        <v>7426942.5931485053</v>
      </c>
    </row>
    <row r="309" spans="1:30" x14ac:dyDescent="0.2">
      <c r="A309" s="95">
        <v>301</v>
      </c>
      <c r="B309" s="95">
        <v>25</v>
      </c>
      <c r="C309" s="95">
        <v>1</v>
      </c>
      <c r="D309" s="95"/>
      <c r="E309" s="95">
        <v>69.375149338100556</v>
      </c>
      <c r="F309" s="95">
        <v>650.37676946884733</v>
      </c>
      <c r="G309" s="95">
        <v>851.1736373628795</v>
      </c>
      <c r="H309" s="95">
        <v>1299.0221013315368</v>
      </c>
      <c r="I309" s="95">
        <v>3101.9785484647864</v>
      </c>
      <c r="J309" s="95">
        <v>121.39255664113678</v>
      </c>
      <c r="K309" s="95">
        <v>481.75550581026334</v>
      </c>
      <c r="L309" s="95">
        <v>195.22666560920237</v>
      </c>
      <c r="M309" s="95">
        <v>2776.9035601150608</v>
      </c>
      <c r="N309" s="95">
        <v>452.79550585818811</v>
      </c>
      <c r="O309" s="95">
        <v>10000.000000000002</v>
      </c>
      <c r="Q309" s="98">
        <v>2776.9035601150608</v>
      </c>
      <c r="R309" s="95">
        <v>2657.3800226363796</v>
      </c>
      <c r="S309" s="99">
        <v>1652.6827108126001</v>
      </c>
      <c r="U309" s="121">
        <v>13789.15297447706</v>
      </c>
      <c r="V309" s="59">
        <v>129282.83357812739</v>
      </c>
      <c r="W309" s="59">
        <v>169203.95637186788</v>
      </c>
      <c r="X309" s="59">
        <v>531673.04966528551</v>
      </c>
      <c r="Y309" s="59">
        <v>1478282.077171003</v>
      </c>
      <c r="Z309" s="59">
        <v>3195722.1624449589</v>
      </c>
      <c r="AA309" s="59">
        <v>1902205.2549681584</v>
      </c>
      <c r="AB309" s="59">
        <v>7420158.4871738786</v>
      </c>
      <c r="AC309" s="59">
        <v>1919606366.1911533</v>
      </c>
      <c r="AD309" s="68">
        <v>7420158.4871738786</v>
      </c>
    </row>
    <row r="310" spans="1:30" x14ac:dyDescent="0.2">
      <c r="A310" s="95">
        <v>302</v>
      </c>
      <c r="B310" s="95">
        <v>25</v>
      </c>
      <c r="C310" s="95">
        <v>2</v>
      </c>
      <c r="D310" s="95"/>
      <c r="E310" s="95">
        <v>68.66405405738503</v>
      </c>
      <c r="F310" s="95">
        <v>646.1211533397551</v>
      </c>
      <c r="G310" s="95">
        <v>846.84314962097358</v>
      </c>
      <c r="H310" s="95">
        <v>1294.3271130082949</v>
      </c>
      <c r="I310" s="95">
        <v>3099.2843675810395</v>
      </c>
      <c r="J310" s="95">
        <v>121.30531861241447</v>
      </c>
      <c r="K310" s="95">
        <v>481.86725590642618</v>
      </c>
      <c r="L310" s="95">
        <v>195.21905075223717</v>
      </c>
      <c r="M310" s="95">
        <v>2790.1878807962748</v>
      </c>
      <c r="N310" s="95">
        <v>456.18065632520148</v>
      </c>
      <c r="O310" s="95">
        <v>10000.000000000002</v>
      </c>
      <c r="Q310" s="98">
        <v>2790.1878807962748</v>
      </c>
      <c r="R310" s="95">
        <v>2667.4614529188902</v>
      </c>
      <c r="S310" s="99">
        <v>1659.719524806367</v>
      </c>
      <c r="U310" s="121">
        <v>13644.36686824505</v>
      </c>
      <c r="V310" s="59">
        <v>128404.56228993322</v>
      </c>
      <c r="W310" s="59">
        <v>168300.76724538204</v>
      </c>
      <c r="X310" s="59">
        <v>529618.39959775179</v>
      </c>
      <c r="Y310" s="59">
        <v>1476628.1400241142</v>
      </c>
      <c r="Z310" s="59">
        <v>3195049.9224830489</v>
      </c>
      <c r="AA310" s="59">
        <v>1901654.392754636</v>
      </c>
      <c r="AB310" s="59">
        <v>7413300.5512631107</v>
      </c>
      <c r="AC310" s="59">
        <v>1927019666.7424164</v>
      </c>
      <c r="AD310" s="68">
        <v>7413300.5512631107</v>
      </c>
    </row>
    <row r="311" spans="1:30" x14ac:dyDescent="0.2">
      <c r="A311" s="95">
        <v>303</v>
      </c>
      <c r="B311" s="95">
        <v>25</v>
      </c>
      <c r="C311" s="95">
        <v>3</v>
      </c>
      <c r="D311" s="95"/>
      <c r="E311" s="95">
        <v>67.960247503296827</v>
      </c>
      <c r="F311" s="95">
        <v>641.89087578732142</v>
      </c>
      <c r="G311" s="95">
        <v>842.52798805277666</v>
      </c>
      <c r="H311" s="95">
        <v>1289.6365521889202</v>
      </c>
      <c r="I311" s="95">
        <v>3096.558048199513</v>
      </c>
      <c r="J311" s="95">
        <v>121.21547149701632</v>
      </c>
      <c r="K311" s="95">
        <v>481.97298795284826</v>
      </c>
      <c r="L311" s="95">
        <v>195.20870635537858</v>
      </c>
      <c r="M311" s="95">
        <v>2803.4716504062903</v>
      </c>
      <c r="N311" s="95">
        <v>459.55747205664073</v>
      </c>
      <c r="O311" s="95">
        <v>10000.000000000002</v>
      </c>
      <c r="Q311" s="98">
        <v>2803.4716504062903</v>
      </c>
      <c r="R311" s="95">
        <v>2677.5341271135285</v>
      </c>
      <c r="S311" s="99">
        <v>1666.7533344908184</v>
      </c>
      <c r="U311" s="121">
        <v>13501.101016128476</v>
      </c>
      <c r="V311" s="59">
        <v>127531.7591289608</v>
      </c>
      <c r="W311" s="59">
        <v>167401.06631371455</v>
      </c>
      <c r="X311" s="59">
        <v>527566.55706483696</v>
      </c>
      <c r="Y311" s="59">
        <v>1474959.6236218433</v>
      </c>
      <c r="Z311" s="59">
        <v>3194332.1270736684</v>
      </c>
      <c r="AA311" s="59">
        <v>1901077.0881449385</v>
      </c>
      <c r="AB311" s="59">
        <v>7406369.3223640909</v>
      </c>
      <c r="AC311" s="59">
        <v>1934426036.0647805</v>
      </c>
      <c r="AD311" s="68">
        <v>7406369.3223640909</v>
      </c>
    </row>
    <row r="312" spans="1:30" x14ac:dyDescent="0.2">
      <c r="A312" s="95">
        <v>304</v>
      </c>
      <c r="B312" s="95">
        <v>25</v>
      </c>
      <c r="C312" s="95">
        <v>4</v>
      </c>
      <c r="D312" s="95"/>
      <c r="E312" s="95">
        <v>67.263654966388032</v>
      </c>
      <c r="F312" s="95">
        <v>637.68581572575806</v>
      </c>
      <c r="G312" s="95">
        <v>838.22817121504931</v>
      </c>
      <c r="H312" s="95">
        <v>1284.950527122194</v>
      </c>
      <c r="I312" s="95">
        <v>3093.7997911336915</v>
      </c>
      <c r="J312" s="95">
        <v>121.12305173317507</v>
      </c>
      <c r="K312" s="95">
        <v>482.07271000146574</v>
      </c>
      <c r="L312" s="95">
        <v>195.19564452750402</v>
      </c>
      <c r="M312" s="95">
        <v>2816.7546760793671</v>
      </c>
      <c r="N312" s="95">
        <v>462.92595749540925</v>
      </c>
      <c r="O312" s="95">
        <v>10000.000000000002</v>
      </c>
      <c r="Q312" s="98">
        <v>2816.7546760793671</v>
      </c>
      <c r="R312" s="95">
        <v>2687.597940770177</v>
      </c>
      <c r="S312" s="99">
        <v>1673.7840534839338</v>
      </c>
      <c r="U312" s="121">
        <v>13359.339455459127</v>
      </c>
      <c r="V312" s="59">
        <v>126664.39608402453</v>
      </c>
      <c r="W312" s="59">
        <v>166504.85481133891</v>
      </c>
      <c r="X312" s="59">
        <v>525517.56463716459</v>
      </c>
      <c r="Y312" s="59">
        <v>1473276.6348884769</v>
      </c>
      <c r="Z312" s="59">
        <v>3193569.0658540768</v>
      </c>
      <c r="AA312" s="59">
        <v>1900473.4794112432</v>
      </c>
      <c r="AB312" s="59">
        <v>7399365.3351417845</v>
      </c>
      <c r="AC312" s="59">
        <v>1941825401.3999224</v>
      </c>
      <c r="AD312" s="68">
        <v>7399365.3351417845</v>
      </c>
    </row>
    <row r="313" spans="1:30" x14ac:dyDescent="0.2">
      <c r="A313" s="95">
        <v>305</v>
      </c>
      <c r="B313" s="95">
        <v>25</v>
      </c>
      <c r="C313" s="95">
        <v>5</v>
      </c>
      <c r="D313" s="95"/>
      <c r="E313" s="95">
        <v>66.574202502982558</v>
      </c>
      <c r="F313" s="95">
        <v>633.50585225909333</v>
      </c>
      <c r="G313" s="95">
        <v>833.94371661201546</v>
      </c>
      <c r="H313" s="95">
        <v>1280.2691451419355</v>
      </c>
      <c r="I313" s="95">
        <v>3091.0097972561321</v>
      </c>
      <c r="J313" s="95">
        <v>121.02809519412355</v>
      </c>
      <c r="K313" s="95">
        <v>482.16643041970462</v>
      </c>
      <c r="L313" s="95">
        <v>195.17987742695553</v>
      </c>
      <c r="M313" s="95">
        <v>2830.0367660084376</v>
      </c>
      <c r="N313" s="95">
        <v>466.28611717862185</v>
      </c>
      <c r="O313" s="95">
        <v>10000.000000000002</v>
      </c>
      <c r="Q313" s="98">
        <v>2830.0367660084376</v>
      </c>
      <c r="R313" s="95">
        <v>2697.6527900913616</v>
      </c>
      <c r="S313" s="99">
        <v>1680.811595890086</v>
      </c>
      <c r="U313" s="121">
        <v>13219.066391176806</v>
      </c>
      <c r="V313" s="59">
        <v>125802.44520772374</v>
      </c>
      <c r="W313" s="59">
        <v>165612.13376104552</v>
      </c>
      <c r="X313" s="59">
        <v>523471.46446732961</v>
      </c>
      <c r="Y313" s="59">
        <v>1471579.2806749812</v>
      </c>
      <c r="Z313" s="59">
        <v>3192761.0261188298</v>
      </c>
      <c r="AA313" s="59">
        <v>1899843.7053704667</v>
      </c>
      <c r="AB313" s="59">
        <v>7392289.1219915533</v>
      </c>
      <c r="AC313" s="59">
        <v>1949217690.521914</v>
      </c>
      <c r="AD313" s="68">
        <v>7392289.1219915533</v>
      </c>
    </row>
    <row r="314" spans="1:30" x14ac:dyDescent="0.2">
      <c r="A314" s="95">
        <v>306</v>
      </c>
      <c r="B314" s="95">
        <v>25</v>
      </c>
      <c r="C314" s="95">
        <v>6</v>
      </c>
      <c r="D314" s="95"/>
      <c r="E314" s="95">
        <v>65.891816927326985</v>
      </c>
      <c r="F314" s="95">
        <v>629.35086468719931</v>
      </c>
      <c r="G314" s="95">
        <v>829.67464070775793</v>
      </c>
      <c r="H314" s="95">
        <v>1275.5925126657794</v>
      </c>
      <c r="I314" s="95">
        <v>3088.1882674893282</v>
      </c>
      <c r="J314" s="95">
        <v>120.9306371996189</v>
      </c>
      <c r="K314" s="95">
        <v>482.25415788631165</v>
      </c>
      <c r="L314" s="95">
        <v>195.16141725841007</v>
      </c>
      <c r="M314" s="95">
        <v>2843.3177294412417</v>
      </c>
      <c r="N314" s="95">
        <v>469.63795573702834</v>
      </c>
      <c r="O314" s="95">
        <v>10000.000000000002</v>
      </c>
      <c r="Q314" s="98">
        <v>2843.3177294412417</v>
      </c>
      <c r="R314" s="95">
        <v>2707.6985719324439</v>
      </c>
      <c r="S314" s="99">
        <v>1687.8358762986966</v>
      </c>
      <c r="U314" s="121">
        <v>13080.266194069449</v>
      </c>
      <c r="V314" s="59">
        <v>124945.8786175772</v>
      </c>
      <c r="W314" s="59">
        <v>164722.90397666901</v>
      </c>
      <c r="X314" s="59">
        <v>521428.29828989482</v>
      </c>
      <c r="Y314" s="59">
        <v>1469867.6677546776</v>
      </c>
      <c r="Z314" s="59">
        <v>3191908.2928818897</v>
      </c>
      <c r="AA314" s="59">
        <v>1899187.9053383111</v>
      </c>
      <c r="AB314" s="59">
        <v>7385141.2130530886</v>
      </c>
      <c r="AC314" s="59">
        <v>1956602831.734967</v>
      </c>
      <c r="AD314" s="68">
        <v>7385141.2130530886</v>
      </c>
    </row>
    <row r="315" spans="1:30" x14ac:dyDescent="0.2">
      <c r="A315" s="95">
        <v>307</v>
      </c>
      <c r="B315" s="95">
        <v>25</v>
      </c>
      <c r="C315" s="95">
        <v>7</v>
      </c>
      <c r="D315" s="95"/>
      <c r="E315" s="95">
        <v>65.216425803821878</v>
      </c>
      <c r="F315" s="95">
        <v>625.22073251169616</v>
      </c>
      <c r="G315" s="95">
        <v>825.42095893852752</v>
      </c>
      <c r="H315" s="95">
        <v>1270.9207351940881</v>
      </c>
      <c r="I315" s="95">
        <v>3085.3354027966084</v>
      </c>
      <c r="J315" s="95">
        <v>120.83071252721379</v>
      </c>
      <c r="K315" s="95">
        <v>482.33590138722735</v>
      </c>
      <c r="L315" s="95">
        <v>195.1402762698936</v>
      </c>
      <c r="M315" s="95">
        <v>2856.5973766764864</v>
      </c>
      <c r="N315" s="95">
        <v>472.98147789443919</v>
      </c>
      <c r="O315" s="95">
        <v>10000.000000000002</v>
      </c>
      <c r="Q315" s="98">
        <v>2856.5973766764864</v>
      </c>
      <c r="R315" s="95">
        <v>2717.7351838017844</v>
      </c>
      <c r="S315" s="99">
        <v>1694.8568097829211</v>
      </c>
      <c r="U315" s="121">
        <v>12942.923399031719</v>
      </c>
      <c r="V315" s="59">
        <v>124094.66849713169</v>
      </c>
      <c r="W315" s="59">
        <v>163837.16606579433</v>
      </c>
      <c r="X315" s="59">
        <v>519388.10742144374</v>
      </c>
      <c r="Y315" s="59">
        <v>1468141.9028189362</v>
      </c>
      <c r="Z315" s="59">
        <v>3191011.148937034</v>
      </c>
      <c r="AA315" s="59">
        <v>1898506.219085526</v>
      </c>
      <c r="AB315" s="59">
        <v>7377922.1362248976</v>
      </c>
      <c r="AC315" s="59">
        <v>1963980753.871192</v>
      </c>
      <c r="AD315" s="68">
        <v>7377922.1362248976</v>
      </c>
    </row>
    <row r="316" spans="1:30" x14ac:dyDescent="0.2">
      <c r="A316" s="95">
        <v>308</v>
      </c>
      <c r="B316" s="95">
        <v>25</v>
      </c>
      <c r="C316" s="95">
        <v>8</v>
      </c>
      <c r="D316" s="95"/>
      <c r="E316" s="95">
        <v>64.547957439332706</v>
      </c>
      <c r="F316" s="95">
        <v>621.11533544173642</v>
      </c>
      <c r="G316" s="95">
        <v>821.18268572496413</v>
      </c>
      <c r="H316" s="95">
        <v>1266.2539173090001</v>
      </c>
      <c r="I316" s="95">
        <v>3082.4514041730681</v>
      </c>
      <c r="J316" s="95">
        <v>120.72835542327984</v>
      </c>
      <c r="K316" s="95">
        <v>482.41167021150102</v>
      </c>
      <c r="L316" s="95">
        <v>195.11646674993281</v>
      </c>
      <c r="M316" s="95">
        <v>2869.8755190600336</v>
      </c>
      <c r="N316" s="95">
        <v>476.31668846715371</v>
      </c>
      <c r="O316" s="95">
        <v>10000.000000000002</v>
      </c>
      <c r="Q316" s="98">
        <v>2869.8755190600336</v>
      </c>
      <c r="R316" s="95">
        <v>2727.7625238608734</v>
      </c>
      <c r="S316" s="99">
        <v>1701.8743118983657</v>
      </c>
      <c r="U316" s="121">
        <v>12807.022703341885</v>
      </c>
      <c r="V316" s="59">
        <v>123248.7870970447</v>
      </c>
      <c r="W316" s="59">
        <v>162954.92043244172</v>
      </c>
      <c r="X316" s="59">
        <v>517350.93276068766</v>
      </c>
      <c r="Y316" s="59">
        <v>1466402.0924728983</v>
      </c>
      <c r="Z316" s="59">
        <v>3190069.8749165898</v>
      </c>
      <c r="AA316" s="59">
        <v>1897798.7867962841</v>
      </c>
      <c r="AB316" s="59">
        <v>7370632.4171792883</v>
      </c>
      <c r="AC316" s="59">
        <v>1971351386.2883713</v>
      </c>
      <c r="AD316" s="68">
        <v>7370632.4171792883</v>
      </c>
    </row>
    <row r="317" spans="1:30" x14ac:dyDescent="0.2">
      <c r="A317" s="95">
        <v>309</v>
      </c>
      <c r="B317" s="95">
        <v>25</v>
      </c>
      <c r="C317" s="95">
        <v>9</v>
      </c>
      <c r="D317" s="95"/>
      <c r="E317" s="95">
        <v>63.886340875579542</v>
      </c>
      <c r="F317" s="95">
        <v>617.03455339967013</v>
      </c>
      <c r="G317" s="95">
        <v>816.95983448423101</v>
      </c>
      <c r="H317" s="95">
        <v>1261.5921626736083</v>
      </c>
      <c r="I317" s="95">
        <v>3079.5364726365374</v>
      </c>
      <c r="J317" s="95">
        <v>120.62359961378871</v>
      </c>
      <c r="K317" s="95">
        <v>482.4814739472464</v>
      </c>
      <c r="L317" s="95">
        <v>195.09000102483841</v>
      </c>
      <c r="M317" s="95">
        <v>2883.1519689811125</v>
      </c>
      <c r="N317" s="95">
        <v>479.6435923633901</v>
      </c>
      <c r="O317" s="95">
        <v>10000.000000000002</v>
      </c>
      <c r="Q317" s="98">
        <v>2883.1519689811125</v>
      </c>
      <c r="R317" s="95">
        <v>2737.780490924436</v>
      </c>
      <c r="S317" s="99">
        <v>1708.8882986818314</v>
      </c>
      <c r="U317" s="121">
        <v>12672.548964956795</v>
      </c>
      <c r="V317" s="59">
        <v>122408.20673614211</v>
      </c>
      <c r="W317" s="59">
        <v>162076.16727973038</v>
      </c>
      <c r="X317" s="59">
        <v>515316.81478862785</v>
      </c>
      <c r="Y317" s="59">
        <v>1464648.3432312163</v>
      </c>
      <c r="Z317" s="59">
        <v>3189084.7493485454</v>
      </c>
      <c r="AA317" s="59">
        <v>1897065.749028581</v>
      </c>
      <c r="AB317" s="59">
        <v>7363272.5793778002</v>
      </c>
      <c r="AC317" s="59">
        <v>1978714658.8677492</v>
      </c>
      <c r="AD317" s="68">
        <v>7363272.5793778002</v>
      </c>
    </row>
    <row r="318" spans="1:30" x14ac:dyDescent="0.2">
      <c r="A318" s="95">
        <v>310</v>
      </c>
      <c r="B318" s="95">
        <v>25</v>
      </c>
      <c r="C318" s="95">
        <v>10</v>
      </c>
      <c r="D318" s="95"/>
      <c r="E318" s="95">
        <v>63.231505881604853</v>
      </c>
      <c r="F318" s="95">
        <v>612.97826652659285</v>
      </c>
      <c r="G318" s="95">
        <v>812.75241764206089</v>
      </c>
      <c r="H318" s="95">
        <v>1256.935574031269</v>
      </c>
      <c r="I318" s="95">
        <v>3076.5908092185859</v>
      </c>
      <c r="J318" s="95">
        <v>120.51647831485619</v>
      </c>
      <c r="K318" s="95">
        <v>482.54532247763785</v>
      </c>
      <c r="L318" s="95">
        <v>195.06089145611398</v>
      </c>
      <c r="M318" s="95">
        <v>2896.4265398685629</v>
      </c>
      <c r="N318" s="95">
        <v>482.96219458271787</v>
      </c>
      <c r="O318" s="95">
        <v>10000.000000000002</v>
      </c>
      <c r="Q318" s="98">
        <v>2896.4265398685629</v>
      </c>
      <c r="R318" s="95">
        <v>2747.7889844605047</v>
      </c>
      <c r="S318" s="99">
        <v>1715.8986866500866</v>
      </c>
      <c r="U318" s="121">
        <v>12539.487200824751</v>
      </c>
      <c r="V318" s="59">
        <v>121572.89980245067</v>
      </c>
      <c r="W318" s="59">
        <v>161200.90661252095</v>
      </c>
      <c r="X318" s="59">
        <v>513285.79356877023</v>
      </c>
      <c r="Y318" s="59">
        <v>1462880.7615138213</v>
      </c>
      <c r="Z318" s="59">
        <v>3188056.0487120692</v>
      </c>
      <c r="AA318" s="59">
        <v>1896307.2466765668</v>
      </c>
      <c r="AB318" s="59">
        <v>7355843.144087024</v>
      </c>
      <c r="AC318" s="59">
        <v>1986070502.0118363</v>
      </c>
      <c r="AD318" s="68">
        <v>7355843.144087024</v>
      </c>
    </row>
    <row r="319" spans="1:30" x14ac:dyDescent="0.2">
      <c r="A319" s="95">
        <v>311</v>
      </c>
      <c r="B319" s="95">
        <v>25</v>
      </c>
      <c r="C319" s="95">
        <v>11</v>
      </c>
      <c r="D319" s="95"/>
      <c r="E319" s="95">
        <v>62.583382946318402</v>
      </c>
      <c r="F319" s="95">
        <v>608.94635518777852</v>
      </c>
      <c r="G319" s="95">
        <v>808.56044664471597</v>
      </c>
      <c r="H319" s="95">
        <v>1252.2842532050383</v>
      </c>
      <c r="I319" s="95">
        <v>3073.6146149555634</v>
      </c>
      <c r="J319" s="95">
        <v>120.40702424305422</v>
      </c>
      <c r="K319" s="95">
        <v>482.60322597694653</v>
      </c>
      <c r="L319" s="95">
        <v>195.02915043798501</v>
      </c>
      <c r="M319" s="95">
        <v>2909.6990461871096</v>
      </c>
      <c r="N319" s="95">
        <v>486.27250021549224</v>
      </c>
      <c r="O319" s="95">
        <v>10000.000000000002</v>
      </c>
      <c r="Q319" s="98">
        <v>2909.6990461871096</v>
      </c>
      <c r="R319" s="95">
        <v>2757.7879045904651</v>
      </c>
      <c r="S319" s="99">
        <v>1722.9053927986656</v>
      </c>
      <c r="U319" s="121">
        <v>12407.82258521609</v>
      </c>
      <c r="V319" s="59">
        <v>120742.83875420618</v>
      </c>
      <c r="W319" s="59">
        <v>160329.13824003705</v>
      </c>
      <c r="X319" s="59">
        <v>511257.90874739247</v>
      </c>
      <c r="Y319" s="59">
        <v>1461099.4536417131</v>
      </c>
      <c r="Z319" s="59">
        <v>3186984.0474914783</v>
      </c>
      <c r="AA319" s="59">
        <v>1895523.420934723</v>
      </c>
      <c r="AB319" s="59">
        <v>7348344.6303947661</v>
      </c>
      <c r="AC319" s="59">
        <v>1993418846.642231</v>
      </c>
      <c r="AD319" s="68">
        <v>7348344.6303947661</v>
      </c>
    </row>
    <row r="320" spans="1:30" x14ac:dyDescent="0.2">
      <c r="A320" s="95">
        <v>312</v>
      </c>
      <c r="B320" s="95">
        <v>26</v>
      </c>
      <c r="C320" s="95">
        <v>0</v>
      </c>
      <c r="D320" s="95"/>
      <c r="E320" s="95">
        <v>61.94190327111864</v>
      </c>
      <c r="F320" s="95">
        <v>604.93869997799777</v>
      </c>
      <c r="G320" s="95">
        <v>804.38393197085986</v>
      </c>
      <c r="H320" s="95">
        <v>1247.6383010972343</v>
      </c>
      <c r="I320" s="95">
        <v>3070.6080908796807</v>
      </c>
      <c r="J320" s="95">
        <v>120.31546351003331</v>
      </c>
      <c r="K320" s="95">
        <v>482.63500102207854</v>
      </c>
      <c r="L320" s="95">
        <v>194.99479039504254</v>
      </c>
      <c r="M320" s="95">
        <v>2922.9693034336656</v>
      </c>
      <c r="N320" s="95">
        <v>489.57451444229093</v>
      </c>
      <c r="O320" s="95">
        <v>10000.000000000002</v>
      </c>
      <c r="Q320" s="98">
        <v>2922.9693034336656</v>
      </c>
      <c r="R320" s="95">
        <v>2767.7771520890706</v>
      </c>
      <c r="S320" s="99">
        <v>1729.9083346006937</v>
      </c>
      <c r="U320" s="121">
        <v>12277.54044807132</v>
      </c>
      <c r="V320" s="59">
        <v>119917.99612083743</v>
      </c>
      <c r="W320" s="59">
        <v>159460.86177846559</v>
      </c>
      <c r="X320" s="59">
        <v>509233.19955386285</v>
      </c>
      <c r="Y320" s="59">
        <v>1459304.525832776</v>
      </c>
      <c r="Z320" s="59">
        <v>3185869.0182286901</v>
      </c>
      <c r="AA320" s="59">
        <v>1894714.4132638033</v>
      </c>
      <c r="AB320" s="59">
        <v>7340777.5552265067</v>
      </c>
      <c r="AC320" s="59">
        <v>2000759624.1974576</v>
      </c>
      <c r="AD320" s="68">
        <v>7340777.5552265067</v>
      </c>
    </row>
    <row r="321" spans="1:30" x14ac:dyDescent="0.2">
      <c r="A321" s="95">
        <v>313</v>
      </c>
      <c r="B321" s="95">
        <v>26</v>
      </c>
      <c r="C321" s="95">
        <v>1</v>
      </c>
      <c r="D321" s="95"/>
      <c r="E321" s="95">
        <v>61.306998762589672</v>
      </c>
      <c r="F321" s="95">
        <v>600.95518172672473</v>
      </c>
      <c r="G321" s="95">
        <v>800.22288314334332</v>
      </c>
      <c r="H321" s="95">
        <v>1242.9978176891209</v>
      </c>
      <c r="I321" s="95">
        <v>3067.571438010129</v>
      </c>
      <c r="J321" s="95">
        <v>120.22118945390312</v>
      </c>
      <c r="K321" s="95">
        <v>482.66117896951147</v>
      </c>
      <c r="L321" s="95">
        <v>194.95782377999635</v>
      </c>
      <c r="M321" s="95">
        <v>2936.2372459313306</v>
      </c>
      <c r="N321" s="95">
        <v>492.868242533353</v>
      </c>
      <c r="O321" s="95">
        <v>10000.000000000002</v>
      </c>
      <c r="Q321" s="98">
        <v>2936.2372459313306</v>
      </c>
      <c r="R321" s="95">
        <v>2777.7566283844294</v>
      </c>
      <c r="S321" s="99">
        <v>1736.9074300057353</v>
      </c>
      <c r="U321" s="121">
        <v>12148.626273366572</v>
      </c>
      <c r="V321" s="59">
        <v>119098.34450392623</v>
      </c>
      <c r="W321" s="59">
        <v>158596.07665353635</v>
      </c>
      <c r="X321" s="59">
        <v>507211.70480100793</v>
      </c>
      <c r="Y321" s="59">
        <v>1457496.0841976188</v>
      </c>
      <c r="Z321" s="59">
        <v>3184710.2949221591</v>
      </c>
      <c r="AA321" s="59">
        <v>1893880.3653584607</v>
      </c>
      <c r="AB321" s="59">
        <v>7333141.496710076</v>
      </c>
      <c r="AC321" s="59">
        <v>2008092765.6941676</v>
      </c>
      <c r="AD321" s="68">
        <v>7333141.496710076</v>
      </c>
    </row>
    <row r="322" spans="1:30" x14ac:dyDescent="0.2">
      <c r="A322" s="95">
        <v>314</v>
      </c>
      <c r="B322" s="95">
        <v>26</v>
      </c>
      <c r="C322" s="95">
        <v>2</v>
      </c>
      <c r="D322" s="95"/>
      <c r="E322" s="95">
        <v>60.678602025273129</v>
      </c>
      <c r="F322" s="95">
        <v>596.99568150323228</v>
      </c>
      <c r="G322" s="95">
        <v>796.07730874090248</v>
      </c>
      <c r="H322" s="95">
        <v>1238.362902040715</v>
      </c>
      <c r="I322" s="95">
        <v>3064.5048573442405</v>
      </c>
      <c r="J322" s="95">
        <v>120.12549378889827</v>
      </c>
      <c r="K322" s="95">
        <v>482.68051482567188</v>
      </c>
      <c r="L322" s="95">
        <v>194.91826240401264</v>
      </c>
      <c r="M322" s="95">
        <v>2949.5026875379349</v>
      </c>
      <c r="N322" s="95">
        <v>496.15368978912068</v>
      </c>
      <c r="O322" s="95">
        <v>10000.000000000002</v>
      </c>
      <c r="Q322" s="98">
        <v>2949.5026875379349</v>
      </c>
      <c r="R322" s="95">
        <v>2787.7262355579624</v>
      </c>
      <c r="S322" s="99">
        <v>1743.9025967711464</v>
      </c>
      <c r="U322" s="121">
        <v>12021.065697496224</v>
      </c>
      <c r="V322" s="59">
        <v>118283.85657814414</v>
      </c>
      <c r="W322" s="59">
        <v>157734.7821030803</v>
      </c>
      <c r="X322" s="59">
        <v>505193.46288553101</v>
      </c>
      <c r="Y322" s="59">
        <v>1455674.2347354414</v>
      </c>
      <c r="Z322" s="59">
        <v>3183508.1821416686</v>
      </c>
      <c r="AA322" s="59">
        <v>1893021.409356256</v>
      </c>
      <c r="AB322" s="59">
        <v>7325436.9934976175</v>
      </c>
      <c r="AC322" s="59">
        <v>2015418202.6876652</v>
      </c>
      <c r="AD322" s="68">
        <v>7325436.9934976175</v>
      </c>
    </row>
    <row r="323" spans="1:30" x14ac:dyDescent="0.2">
      <c r="A323" s="95">
        <v>315</v>
      </c>
      <c r="B323" s="95">
        <v>26</v>
      </c>
      <c r="C323" s="95">
        <v>3</v>
      </c>
      <c r="D323" s="95"/>
      <c r="E323" s="95">
        <v>60.056646354514079</v>
      </c>
      <c r="F323" s="95">
        <v>593.06008062157923</v>
      </c>
      <c r="G323" s="95">
        <v>791.94721640977093</v>
      </c>
      <c r="H323" s="95">
        <v>1233.7336522907101</v>
      </c>
      <c r="I323" s="95">
        <v>3061.4085498486916</v>
      </c>
      <c r="J323" s="95">
        <v>120.02838777362626</v>
      </c>
      <c r="K323" s="95">
        <v>482.69303644668491</v>
      </c>
      <c r="L323" s="95">
        <v>194.87611815131871</v>
      </c>
      <c r="M323" s="95">
        <v>2962.7654505026489</v>
      </c>
      <c r="N323" s="95">
        <v>499.43086160045715</v>
      </c>
      <c r="O323" s="95">
        <v>10000.000000000002</v>
      </c>
      <c r="Q323" s="98">
        <v>2962.7654505026489</v>
      </c>
      <c r="R323" s="95">
        <v>2797.6858763443311</v>
      </c>
      <c r="S323" s="99">
        <v>1750.8937531535305</v>
      </c>
      <c r="U323" s="121">
        <v>11894.844507672513</v>
      </c>
      <c r="V323" s="59">
        <v>117474.50509216593</v>
      </c>
      <c r="W323" s="59">
        <v>156876.97717956739</v>
      </c>
      <c r="X323" s="59">
        <v>503178.51178847806</v>
      </c>
      <c r="Y323" s="59">
        <v>1453839.0833299272</v>
      </c>
      <c r="Z323" s="59">
        <v>3182262.9238670478</v>
      </c>
      <c r="AA323" s="59">
        <v>1892137.6782959155</v>
      </c>
      <c r="AB323" s="59">
        <v>7317664.5240607746</v>
      </c>
      <c r="AC323" s="59">
        <v>2022735867.211726</v>
      </c>
      <c r="AD323" s="68">
        <v>7317664.5240607746</v>
      </c>
    </row>
    <row r="324" spans="1:30" x14ac:dyDescent="0.2">
      <c r="A324" s="95">
        <v>316</v>
      </c>
      <c r="B324" s="95">
        <v>26</v>
      </c>
      <c r="C324" s="95">
        <v>4</v>
      </c>
      <c r="D324" s="95"/>
      <c r="E324" s="95">
        <v>59.441065729380313</v>
      </c>
      <c r="F324" s="95">
        <v>589.14826064548879</v>
      </c>
      <c r="G324" s="95">
        <v>787.83261287520452</v>
      </c>
      <c r="H324" s="95">
        <v>1229.110165656519</v>
      </c>
      <c r="I324" s="95">
        <v>3058.2827164507457</v>
      </c>
      <c r="J324" s="95">
        <v>119.92988259425073</v>
      </c>
      <c r="K324" s="95">
        <v>482.69877174230771</v>
      </c>
      <c r="L324" s="95">
        <v>194.83140293343052</v>
      </c>
      <c r="M324" s="95">
        <v>2976.0253579282689</v>
      </c>
      <c r="N324" s="95">
        <v>502.69976344440556</v>
      </c>
      <c r="O324" s="95">
        <v>10000.000000000002</v>
      </c>
      <c r="Q324" s="98">
        <v>2976.0253579282689</v>
      </c>
      <c r="R324" s="95">
        <v>2807.6354541313394</v>
      </c>
      <c r="S324" s="99">
        <v>1757.8808178656025</v>
      </c>
      <c r="U324" s="121">
        <v>11769.948640341951</v>
      </c>
      <c r="V324" s="59">
        <v>116670.26286956044</v>
      </c>
      <c r="W324" s="59">
        <v>156022.66075262323</v>
      </c>
      <c r="X324" s="59">
        <v>501166.88907575089</v>
      </c>
      <c r="Y324" s="59">
        <v>1451990.7357451608</v>
      </c>
      <c r="Z324" s="59">
        <v>3180974.7636206378</v>
      </c>
      <c r="AA324" s="59">
        <v>1891229.3054504655</v>
      </c>
      <c r="AB324" s="59">
        <v>7309824.5661545405</v>
      </c>
      <c r="AC324" s="59">
        <v>2030045691.7778804</v>
      </c>
      <c r="AD324" s="68">
        <v>7309824.5661545405</v>
      </c>
    </row>
    <row r="325" spans="1:30" x14ac:dyDescent="0.2">
      <c r="A325" s="95">
        <v>317</v>
      </c>
      <c r="B325" s="95">
        <v>26</v>
      </c>
      <c r="C325" s="95">
        <v>5</v>
      </c>
      <c r="D325" s="95"/>
      <c r="E325" s="95">
        <v>58.831794805654162</v>
      </c>
      <c r="F325" s="95">
        <v>585.26010339312199</v>
      </c>
      <c r="G325" s="95">
        <v>783.73350395292039</v>
      </c>
      <c r="H325" s="95">
        <v>1224.4925384344299</v>
      </c>
      <c r="I325" s="95">
        <v>3055.1275580295428</v>
      </c>
      <c r="J325" s="95">
        <v>119.82998936574371</v>
      </c>
      <c r="K325" s="95">
        <v>482.6977486752632</v>
      </c>
      <c r="L325" s="95">
        <v>194.78412868801561</v>
      </c>
      <c r="M325" s="95">
        <v>2989.2822337715911</v>
      </c>
      <c r="N325" s="95">
        <v>505.96040088371922</v>
      </c>
      <c r="O325" s="95">
        <v>10000.000000000002</v>
      </c>
      <c r="Q325" s="98">
        <v>2989.2822337715911</v>
      </c>
      <c r="R325" s="95">
        <v>2817.5748729598045</v>
      </c>
      <c r="S325" s="99">
        <v>1764.8637100760354</v>
      </c>
      <c r="U325" s="121">
        <v>11646.36417961836</v>
      </c>
      <c r="V325" s="59">
        <v>115871.10280965889</v>
      </c>
      <c r="W325" s="59">
        <v>155171.83151152523</v>
      </c>
      <c r="X325" s="59">
        <v>499158.63189866778</v>
      </c>
      <c r="Y325" s="59">
        <v>1450129.2976215754</v>
      </c>
      <c r="Z325" s="59">
        <v>3179643.9444740848</v>
      </c>
      <c r="AA325" s="59">
        <v>1890296.4243111</v>
      </c>
      <c r="AB325" s="59">
        <v>7301917.59680623</v>
      </c>
      <c r="AC325" s="59">
        <v>2037347609.3746867</v>
      </c>
      <c r="AD325" s="68">
        <v>7301917.59680623</v>
      </c>
    </row>
    <row r="326" spans="1:30" x14ac:dyDescent="0.2">
      <c r="A326" s="95">
        <v>318</v>
      </c>
      <c r="B326" s="95">
        <v>26</v>
      </c>
      <c r="C326" s="95">
        <v>6</v>
      </c>
      <c r="D326" s="95"/>
      <c r="E326" s="95">
        <v>58.228768908896207</v>
      </c>
      <c r="F326" s="95">
        <v>581.39549094174595</v>
      </c>
      <c r="G326" s="95">
        <v>779.6498945604493</v>
      </c>
      <c r="H326" s="95">
        <v>1219.8808659998758</v>
      </c>
      <c r="I326" s="95">
        <v>3051.9432754074305</v>
      </c>
      <c r="J326" s="95">
        <v>119.7287191331052</v>
      </c>
      <c r="K326" s="95">
        <v>482.68999526056194</v>
      </c>
      <c r="L326" s="95">
        <v>194.73430737778989</v>
      </c>
      <c r="M326" s="95">
        <v>3002.535902843756</v>
      </c>
      <c r="N326" s="95">
        <v>509.21277956639159</v>
      </c>
      <c r="O326" s="95">
        <v>10000.000000000002</v>
      </c>
      <c r="Q326" s="98">
        <v>3002.535902843756</v>
      </c>
      <c r="R326" s="95">
        <v>2827.5040375234003</v>
      </c>
      <c r="S326" s="99">
        <v>1771.8423494093022</v>
      </c>
      <c r="U326" s="121">
        <v>11524.077355732366</v>
      </c>
      <c r="V326" s="59">
        <v>115076.99788840118</v>
      </c>
      <c r="W326" s="59">
        <v>154324.48796767808</v>
      </c>
      <c r="X326" s="59">
        <v>497153.77699456841</v>
      </c>
      <c r="Y326" s="59">
        <v>1448254.8744719233</v>
      </c>
      <c r="Z326" s="59">
        <v>3178270.7090548105</v>
      </c>
      <c r="AA326" s="59">
        <v>1889339.1685716077</v>
      </c>
      <c r="AB326" s="59">
        <v>7293944.0923047215</v>
      </c>
      <c r="AC326" s="59">
        <v>2044641553.4669914</v>
      </c>
      <c r="AD326" s="68">
        <v>7293944.0923047215</v>
      </c>
    </row>
    <row r="327" spans="1:30" x14ac:dyDescent="0.2">
      <c r="A327" s="95">
        <v>319</v>
      </c>
      <c r="B327" s="95">
        <v>26</v>
      </c>
      <c r="C327" s="95">
        <v>7</v>
      </c>
      <c r="D327" s="95"/>
      <c r="E327" s="95">
        <v>57.63192402758002</v>
      </c>
      <c r="F327" s="95">
        <v>577.55430563229947</v>
      </c>
      <c r="G327" s="95">
        <v>775.58178872840199</v>
      </c>
      <c r="H327" s="95">
        <v>1215.2752428078149</v>
      </c>
      <c r="I327" s="95">
        <v>3048.7300693413426</v>
      </c>
      <c r="J327" s="95">
        <v>119.62608287255058</v>
      </c>
      <c r="K327" s="95">
        <v>482.67553956481242</v>
      </c>
      <c r="L327" s="95">
        <v>194.68195098944742</v>
      </c>
      <c r="M327" s="95">
        <v>3015.7861908105665</v>
      </c>
      <c r="N327" s="95">
        <v>512.45690522518657</v>
      </c>
      <c r="O327" s="95">
        <v>10000.000000000002</v>
      </c>
      <c r="Q327" s="98">
        <v>3015.7861908105665</v>
      </c>
      <c r="R327" s="95">
        <v>2837.4228531684744</v>
      </c>
      <c r="S327" s="99">
        <v>1778.8166559455083</v>
      </c>
      <c r="U327" s="121">
        <v>11403.074543497178</v>
      </c>
      <c r="V327" s="59">
        <v>114287.92115916041</v>
      </c>
      <c r="W327" s="59">
        <v>153480.62845706838</v>
      </c>
      <c r="X327" s="59">
        <v>495152.36068746442</v>
      </c>
      <c r="Y327" s="59">
        <v>1446367.5716772785</v>
      </c>
      <c r="Z327" s="59">
        <v>3176855.2995521664</v>
      </c>
      <c r="AA327" s="59">
        <v>1888357.6721133362</v>
      </c>
      <c r="AB327" s="59">
        <v>7285904.5281899711</v>
      </c>
      <c r="AC327" s="59">
        <v>2051927457.9951813</v>
      </c>
      <c r="AD327" s="68">
        <v>7285904.5281899711</v>
      </c>
    </row>
    <row r="328" spans="1:30" x14ac:dyDescent="0.2">
      <c r="A328" s="95">
        <v>320</v>
      </c>
      <c r="B328" s="95">
        <v>26</v>
      </c>
      <c r="C328" s="95">
        <v>8</v>
      </c>
      <c r="D328" s="95"/>
      <c r="E328" s="95">
        <v>57.041196806297322</v>
      </c>
      <c r="F328" s="95">
        <v>573.73643007385681</v>
      </c>
      <c r="G328" s="95">
        <v>771.52918961164926</v>
      </c>
      <c r="H328" s="95">
        <v>1210.6757623932194</v>
      </c>
      <c r="I328" s="95">
        <v>3045.4881405142232</v>
      </c>
      <c r="J328" s="95">
        <v>119.52209149266668</v>
      </c>
      <c r="K328" s="95">
        <v>482.65440970552004</v>
      </c>
      <c r="L328" s="95">
        <v>194.62707153262147</v>
      </c>
      <c r="M328" s="95">
        <v>3029.0329241927798</v>
      </c>
      <c r="N328" s="95">
        <v>515.69278367716868</v>
      </c>
      <c r="O328" s="95">
        <v>10000.000000000002</v>
      </c>
      <c r="Q328" s="98">
        <v>3029.0329241927798</v>
      </c>
      <c r="R328" s="95">
        <v>2847.3312258938336</v>
      </c>
      <c r="S328" s="99">
        <v>1785.7865502202183</v>
      </c>
      <c r="U328" s="121">
        <v>11283.342260790458</v>
      </c>
      <c r="V328" s="59">
        <v>113503.84575354608</v>
      </c>
      <c r="W328" s="59">
        <v>152640.25114269895</v>
      </c>
      <c r="X328" s="59">
        <v>493154.41888873314</v>
      </c>
      <c r="Y328" s="59">
        <v>1444467.4944830642</v>
      </c>
      <c r="Z328" s="59">
        <v>3175397.9577232813</v>
      </c>
      <c r="AA328" s="59">
        <v>1887352.0689906713</v>
      </c>
      <c r="AB328" s="59">
        <v>7277799.3792427853</v>
      </c>
      <c r="AC328" s="59">
        <v>2059205257.3744242</v>
      </c>
      <c r="AD328" s="68">
        <v>7277799.3792427853</v>
      </c>
    </row>
    <row r="329" spans="1:30" x14ac:dyDescent="0.2">
      <c r="A329" s="95">
        <v>321</v>
      </c>
      <c r="B329" s="95">
        <v>26</v>
      </c>
      <c r="C329" s="95">
        <v>9</v>
      </c>
      <c r="D329" s="95"/>
      <c r="E329" s="95">
        <v>56.456524539032777</v>
      </c>
      <c r="F329" s="95">
        <v>569.94174714799146</v>
      </c>
      <c r="G329" s="95">
        <v>767.49209950041677</v>
      </c>
      <c r="H329" s="95">
        <v>1206.0825173716714</v>
      </c>
      <c r="I329" s="95">
        <v>3042.2176895264961</v>
      </c>
      <c r="J329" s="95">
        <v>119.4167558355372</v>
      </c>
      <c r="K329" s="95">
        <v>482.62663385037496</v>
      </c>
      <c r="L329" s="95">
        <v>194.5696810388757</v>
      </c>
      <c r="M329" s="95">
        <v>3042.2759303663724</v>
      </c>
      <c r="N329" s="95">
        <v>518.92042082323371</v>
      </c>
      <c r="O329" s="95">
        <v>10000.000000000002</v>
      </c>
      <c r="Q329" s="98">
        <v>3042.2759303663724</v>
      </c>
      <c r="R329" s="95">
        <v>2857.2290623505046</v>
      </c>
      <c r="S329" s="99">
        <v>1792.7519532242745</v>
      </c>
      <c r="U329" s="121">
        <v>11164.867167052156</v>
      </c>
      <c r="V329" s="59">
        <v>112724.744882186</v>
      </c>
      <c r="W329" s="59">
        <v>151803.35401700257</v>
      </c>
      <c r="X329" s="59">
        <v>491159.98709785461</v>
      </c>
      <c r="Y329" s="59">
        <v>1442554.7479951088</v>
      </c>
      <c r="Z329" s="59">
        <v>3173898.9248986058</v>
      </c>
      <c r="AA329" s="59">
        <v>1886322.4934170118</v>
      </c>
      <c r="AB329" s="59">
        <v>7269629.1194748217</v>
      </c>
      <c r="AC329" s="59">
        <v>2066474886.4938991</v>
      </c>
      <c r="AD329" s="68">
        <v>7269629.1194748217</v>
      </c>
    </row>
    <row r="330" spans="1:30" x14ac:dyDescent="0.2">
      <c r="A330" s="95">
        <v>322</v>
      </c>
      <c r="B330" s="95">
        <v>26</v>
      </c>
      <c r="C330" s="95">
        <v>10</v>
      </c>
      <c r="D330" s="95"/>
      <c r="E330" s="95">
        <v>55.87784516250769</v>
      </c>
      <c r="F330" s="95">
        <v>566.17014001304142</v>
      </c>
      <c r="G330" s="95">
        <v>763.47051983129404</v>
      </c>
      <c r="H330" s="95">
        <v>1201.4955994400636</v>
      </c>
      <c r="I330" s="95">
        <v>3038.9189168875837</v>
      </c>
      <c r="J330" s="95">
        <v>119.31008667783837</v>
      </c>
      <c r="K330" s="95">
        <v>482.59224021652932</v>
      </c>
      <c r="L330" s="95">
        <v>194.50979156072401</v>
      </c>
      <c r="M330" s="95">
        <v>3055.5150375627818</v>
      </c>
      <c r="N330" s="95">
        <v>522.13982264763888</v>
      </c>
      <c r="O330" s="95">
        <v>10000.000000000004</v>
      </c>
      <c r="Q330" s="98">
        <v>3055.5150375627818</v>
      </c>
      <c r="R330" s="95">
        <v>2867.1162698414655</v>
      </c>
      <c r="S330" s="99">
        <v>1799.712786403609</v>
      </c>
      <c r="U330" s="121">
        <v>11047.63606179811</v>
      </c>
      <c r="V330" s="59">
        <v>111950.59183548765</v>
      </c>
      <c r="W330" s="59">
        <v>150969.93490423527</v>
      </c>
      <c r="X330" s="59">
        <v>489169.10040319024</v>
      </c>
      <c r="Y330" s="59">
        <v>1440629.4371757333</v>
      </c>
      <c r="Z330" s="59">
        <v>3172358.4419871662</v>
      </c>
      <c r="AA330" s="59">
        <v>1885269.0797512147</v>
      </c>
      <c r="AB330" s="59">
        <v>7261394.2221188257</v>
      </c>
      <c r="AC330" s="59">
        <v>2073736280.716018</v>
      </c>
      <c r="AD330" s="68">
        <v>7261394.2221188257</v>
      </c>
    </row>
    <row r="331" spans="1:30" x14ac:dyDescent="0.2">
      <c r="A331" s="95">
        <v>323</v>
      </c>
      <c r="B331" s="95">
        <v>26</v>
      </c>
      <c r="C331" s="95">
        <v>11</v>
      </c>
      <c r="D331" s="95"/>
      <c r="E331" s="95">
        <v>55.305097249591988</v>
      </c>
      <c r="F331" s="95">
        <v>562.42149210827699</v>
      </c>
      <c r="G331" s="95">
        <v>759.4644511981578</v>
      </c>
      <c r="H331" s="95">
        <v>1196.9150993774026</v>
      </c>
      <c r="I331" s="95">
        <v>3035.5920230074735</v>
      </c>
      <c r="J331" s="95">
        <v>119.20209473190526</v>
      </c>
      <c r="K331" s="95">
        <v>482.55125706986365</v>
      </c>
      <c r="L331" s="95">
        <v>194.44741517067814</v>
      </c>
      <c r="M331" s="95">
        <v>3068.7500748691191</v>
      </c>
      <c r="N331" s="95">
        <v>525.35099521753364</v>
      </c>
      <c r="O331" s="95">
        <v>10000.000000000002</v>
      </c>
      <c r="Q331" s="98">
        <v>3068.7500748691191</v>
      </c>
      <c r="R331" s="95">
        <v>2876.99275632135</v>
      </c>
      <c r="S331" s="99">
        <v>1806.6689716590458</v>
      </c>
      <c r="U331" s="121">
        <v>10931.635883149229</v>
      </c>
      <c r="V331" s="59">
        <v>111181.35998437885</v>
      </c>
      <c r="W331" s="59">
        <v>150139.99146284946</v>
      </c>
      <c r="X331" s="59">
        <v>487181.7934828031</v>
      </c>
      <c r="Y331" s="59">
        <v>1438691.6668398629</v>
      </c>
      <c r="Z331" s="59">
        <v>3170776.7494815309</v>
      </c>
      <c r="AA331" s="59">
        <v>1884191.9624844957</v>
      </c>
      <c r="AB331" s="59">
        <v>7253095.1596190706</v>
      </c>
      <c r="AC331" s="59">
        <v>2080989375.8756371</v>
      </c>
      <c r="AD331" s="68">
        <v>7253095.1596190706</v>
      </c>
    </row>
    <row r="332" spans="1:30" x14ac:dyDescent="0.2">
      <c r="A332" s="95">
        <v>324</v>
      </c>
      <c r="B332" s="95">
        <v>27</v>
      </c>
      <c r="C332" s="95">
        <v>0</v>
      </c>
      <c r="D332" s="95"/>
      <c r="E332" s="95">
        <v>54.73822000278367</v>
      </c>
      <c r="F332" s="95">
        <v>558.69568715797277</v>
      </c>
      <c r="G332" s="95">
        <v>755.4738933630108</v>
      </c>
      <c r="H332" s="95">
        <v>1192.3411070457139</v>
      </c>
      <c r="I332" s="95">
        <v>3032.237208188335</v>
      </c>
      <c r="J332" s="95">
        <v>119.09279064676969</v>
      </c>
      <c r="K332" s="95">
        <v>482.50371272424331</v>
      </c>
      <c r="L332" s="95">
        <v>194.38256396032159</v>
      </c>
      <c r="M332" s="95">
        <v>3081.9808722283615</v>
      </c>
      <c r="N332" s="95">
        <v>528.55394468249028</v>
      </c>
      <c r="O332" s="95">
        <v>10000.000000000002</v>
      </c>
      <c r="Q332" s="98">
        <v>3081.9808722283615</v>
      </c>
      <c r="R332" s="95">
        <v>2886.8584303961243</v>
      </c>
      <c r="S332" s="99">
        <v>1813.6204313460978</v>
      </c>
      <c r="U332" s="121">
        <v>10816.853706376161</v>
      </c>
      <c r="V332" s="59">
        <v>110417.0227810286</v>
      </c>
      <c r="W332" s="59">
        <v>149313.52118784652</v>
      </c>
      <c r="X332" s="59">
        <v>485198.10060531786</v>
      </c>
      <c r="Y332" s="59">
        <v>1436741.5416511742</v>
      </c>
      <c r="Z332" s="59">
        <v>3169154.0874624979</v>
      </c>
      <c r="AA332" s="59">
        <v>1883091.276227765</v>
      </c>
      <c r="AB332" s="59">
        <v>7244732.4036220061</v>
      </c>
      <c r="AC332" s="59">
        <v>2088234108.279259</v>
      </c>
      <c r="AD332" s="68">
        <v>7244732.4036220061</v>
      </c>
    </row>
    <row r="333" spans="1:30" x14ac:dyDescent="0.2">
      <c r="A333" s="95">
        <v>325</v>
      </c>
      <c r="B333" s="95">
        <v>27</v>
      </c>
      <c r="C333" s="95">
        <v>1</v>
      </c>
      <c r="D333" s="95"/>
      <c r="E333" s="95">
        <v>54.177153247755136</v>
      </c>
      <c r="F333" s="95">
        <v>554.99260917538527</v>
      </c>
      <c r="G333" s="95">
        <v>751.49884526673486</v>
      </c>
      <c r="H333" s="95">
        <v>1187.7737113910459</v>
      </c>
      <c r="I333" s="95">
        <v>3028.8546726161844</v>
      </c>
      <c r="J333" s="95">
        <v>118.98218500917028</v>
      </c>
      <c r="K333" s="95">
        <v>482.44963554076463</v>
      </c>
      <c r="L333" s="95">
        <v>194.3152500394088</v>
      </c>
      <c r="M333" s="95">
        <v>3095.2072604395184</v>
      </c>
      <c r="N333" s="95">
        <v>531.74867727403478</v>
      </c>
      <c r="O333" s="95">
        <v>10000.000000000002</v>
      </c>
      <c r="Q333" s="98">
        <v>3095.2072604395184</v>
      </c>
      <c r="R333" s="95">
        <v>2896.7132013227365</v>
      </c>
      <c r="S333" s="99">
        <v>1820.5670882747534</v>
      </c>
      <c r="U333" s="121">
        <v>10703.276742459213</v>
      </c>
      <c r="V333" s="59">
        <v>109657.55375954772</v>
      </c>
      <c r="W333" s="59">
        <v>148490.52141310944</v>
      </c>
      <c r="X333" s="59">
        <v>483218.05563082109</v>
      </c>
      <c r="Y333" s="59">
        <v>1434779.1661182654</v>
      </c>
      <c r="Z333" s="59">
        <v>3167490.6956035099</v>
      </c>
      <c r="AA333" s="59">
        <v>1881967.1556993807</v>
      </c>
      <c r="AB333" s="59">
        <v>7236306.4249670934</v>
      </c>
      <c r="AC333" s="59">
        <v>2095470414.704226</v>
      </c>
      <c r="AD333" s="68">
        <v>7236306.4249670934</v>
      </c>
    </row>
    <row r="334" spans="1:30" x14ac:dyDescent="0.2">
      <c r="A334" s="95">
        <v>326</v>
      </c>
      <c r="B334" s="95">
        <v>27</v>
      </c>
      <c r="C334" s="95">
        <v>2</v>
      </c>
      <c r="D334" s="95"/>
      <c r="E334" s="95">
        <v>53.621837426965648</v>
      </c>
      <c r="F334" s="95">
        <v>551.31214246663751</v>
      </c>
      <c r="G334" s="95">
        <v>747.53930503975982</v>
      </c>
      <c r="H334" s="95">
        <v>1183.213000444571</v>
      </c>
      <c r="I334" s="95">
        <v>3025.4446163526018</v>
      </c>
      <c r="J334" s="95">
        <v>118.87028834453541</v>
      </c>
      <c r="K334" s="95">
        <v>482.38905392699127</v>
      </c>
      <c r="L334" s="95">
        <v>194.24548553498863</v>
      </c>
      <c r="M334" s="95">
        <v>3108.4290711577737</v>
      </c>
      <c r="N334" s="95">
        <v>534.935199305178</v>
      </c>
      <c r="O334" s="95">
        <v>10000.000000000004</v>
      </c>
      <c r="Q334" s="98">
        <v>3108.4290711577737</v>
      </c>
      <c r="R334" s="95">
        <v>2906.5569790087393</v>
      </c>
      <c r="S334" s="99">
        <v>1827.5088657092551</v>
      </c>
      <c r="U334" s="121">
        <v>10590.89233666339</v>
      </c>
      <c r="V334" s="59">
        <v>108902.92653667025</v>
      </c>
      <c r="W334" s="59">
        <v>147670.98931371531</v>
      </c>
      <c r="X334" s="59">
        <v>481241.69201179931</v>
      </c>
      <c r="Y334" s="59">
        <v>1432804.6445908609</v>
      </c>
      <c r="Z334" s="59">
        <v>3165786.8131748037</v>
      </c>
      <c r="AA334" s="59">
        <v>1880819.7357132987</v>
      </c>
      <c r="AB334" s="59">
        <v>7227817.6936778119</v>
      </c>
      <c r="AC334" s="59">
        <v>2102698232.3979039</v>
      </c>
      <c r="AD334" s="68">
        <v>7227817.6936778119</v>
      </c>
    </row>
    <row r="335" spans="1:30" x14ac:dyDescent="0.2">
      <c r="A335" s="95">
        <v>327</v>
      </c>
      <c r="B335" s="95">
        <v>27</v>
      </c>
      <c r="C335" s="95">
        <v>3</v>
      </c>
      <c r="D335" s="95"/>
      <c r="E335" s="95">
        <v>53.072213593339249</v>
      </c>
      <c r="F335" s="95">
        <v>547.65417163451173</v>
      </c>
      <c r="G335" s="95">
        <v>743.59527001264769</v>
      </c>
      <c r="H335" s="95">
        <v>1178.659061323782</v>
      </c>
      <c r="I335" s="95">
        <v>3022.0072393264991</v>
      </c>
      <c r="J335" s="95">
        <v>118.75711111793957</v>
      </c>
      <c r="K335" s="95">
        <v>482.32199633618126</v>
      </c>
      <c r="L335" s="95">
        <v>194.17328259055114</v>
      </c>
      <c r="M335" s="95">
        <v>3121.6461368946043</v>
      </c>
      <c r="N335" s="95">
        <v>538.11351716994659</v>
      </c>
      <c r="O335" s="95">
        <v>10000.000000000002</v>
      </c>
      <c r="Q335" s="98">
        <v>3121.6461368946043</v>
      </c>
      <c r="R335" s="95">
        <v>2916.3896740118853</v>
      </c>
      <c r="S335" s="99">
        <v>1834.4456873678719</v>
      </c>
      <c r="U335" s="121">
        <v>10479.687967128424</v>
      </c>
      <c r="V335" s="59">
        <v>108153.11481241547</v>
      </c>
      <c r="W335" s="59">
        <v>146854.92190822764</v>
      </c>
      <c r="X335" s="59">
        <v>479269.04279411567</v>
      </c>
      <c r="Y335" s="59">
        <v>1430818.081256046</v>
      </c>
      <c r="Z335" s="59">
        <v>3164042.6790473028</v>
      </c>
      <c r="AA335" s="59">
        <v>1879649.1511676102</v>
      </c>
      <c r="AB335" s="59">
        <v>7219266.6789528457</v>
      </c>
      <c r="AC335" s="59">
        <v>2109917499.0768569</v>
      </c>
      <c r="AD335" s="68">
        <v>7219266.6789528457</v>
      </c>
    </row>
    <row r="336" spans="1:30" x14ac:dyDescent="0.2">
      <c r="A336" s="95">
        <v>328</v>
      </c>
      <c r="B336" s="95">
        <v>27</v>
      </c>
      <c r="C336" s="95">
        <v>4</v>
      </c>
      <c r="D336" s="95"/>
      <c r="E336" s="95">
        <v>52.52822340400752</v>
      </c>
      <c r="F336" s="95">
        <v>544.01858158215168</v>
      </c>
      <c r="G336" s="95">
        <v>739.66673672659272</v>
      </c>
      <c r="H336" s="95">
        <v>1174.1119802337835</v>
      </c>
      <c r="I336" s="95">
        <v>3018.5427413259404</v>
      </c>
      <c r="J336" s="95">
        <v>118.64266373503385</v>
      </c>
      <c r="K336" s="95">
        <v>482.24849126650457</v>
      </c>
      <c r="L336" s="95">
        <v>194.09865336519636</v>
      </c>
      <c r="M336" s="95">
        <v>3134.8582910178779</v>
      </c>
      <c r="N336" s="95">
        <v>541.28363734291429</v>
      </c>
      <c r="O336" s="95">
        <v>10000.000000000004</v>
      </c>
      <c r="Q336" s="98">
        <v>3134.8582910178779</v>
      </c>
      <c r="R336" s="95">
        <v>2926.2111975396965</v>
      </c>
      <c r="S336" s="99">
        <v>1841.3774774226595</v>
      </c>
      <c r="U336" s="121">
        <v>10369.651243473576</v>
      </c>
      <c r="V336" s="59">
        <v>107408.09237073104</v>
      </c>
      <c r="W336" s="59">
        <v>146042.31606096879</v>
      </c>
      <c r="X336" s="59">
        <v>477300.14061802276</v>
      </c>
      <c r="Y336" s="59">
        <v>1428819.5801345273</v>
      </c>
      <c r="Z336" s="59">
        <v>3162258.5316962572</v>
      </c>
      <c r="AA336" s="59">
        <v>1878455.5370334436</v>
      </c>
      <c r="AB336" s="59">
        <v>7210653.8491574246</v>
      </c>
      <c r="AC336" s="59">
        <v>2117128152.9260142</v>
      </c>
      <c r="AD336" s="68">
        <v>7210653.8491574246</v>
      </c>
    </row>
    <row r="337" spans="1:30" x14ac:dyDescent="0.2">
      <c r="A337" s="95">
        <v>329</v>
      </c>
      <c r="B337" s="95">
        <v>27</v>
      </c>
      <c r="C337" s="95">
        <v>5</v>
      </c>
      <c r="D337" s="95"/>
      <c r="E337" s="95">
        <v>51.98980911411644</v>
      </c>
      <c r="F337" s="95">
        <v>540.4052575166761</v>
      </c>
      <c r="G337" s="95">
        <v>735.75370094383709</v>
      </c>
      <c r="H337" s="95">
        <v>1169.5718424686727</v>
      </c>
      <c r="I337" s="95">
        <v>3015.0513219900145</v>
      </c>
      <c r="J337" s="95">
        <v>118.5269565429512</v>
      </c>
      <c r="K337" s="95">
        <v>482.16856726025168</v>
      </c>
      <c r="L337" s="95">
        <v>194.0216100328245</v>
      </c>
      <c r="M337" s="95">
        <v>3148.0653677519249</v>
      </c>
      <c r="N337" s="95">
        <v>544.44556637873393</v>
      </c>
      <c r="O337" s="95">
        <v>10000.000000000004</v>
      </c>
      <c r="Q337" s="98">
        <v>3148.0653677519249</v>
      </c>
      <c r="R337" s="95">
        <v>2936.021461449006</v>
      </c>
      <c r="S337" s="99">
        <v>1848.3041604992152</v>
      </c>
      <c r="U337" s="121">
        <v>10260.769905417104</v>
      </c>
      <c r="V337" s="59">
        <v>106667.83308011752</v>
      </c>
      <c r="W337" s="59">
        <v>145233.16848427273</v>
      </c>
      <c r="X337" s="59">
        <v>475335.01771921286</v>
      </c>
      <c r="Y337" s="59">
        <v>1426809.2450769306</v>
      </c>
      <c r="Z337" s="59">
        <v>3160434.6092046346</v>
      </c>
      <c r="AA337" s="59">
        <v>1877239.0283442189</v>
      </c>
      <c r="AB337" s="59">
        <v>7201979.671814804</v>
      </c>
      <c r="AC337" s="59">
        <v>2124330132.5978291</v>
      </c>
      <c r="AD337" s="68">
        <v>7201979.671814804</v>
      </c>
    </row>
    <row r="338" spans="1:30" x14ac:dyDescent="0.2">
      <c r="A338" s="95">
        <v>330</v>
      </c>
      <c r="B338" s="95">
        <v>27</v>
      </c>
      <c r="C338" s="95">
        <v>6</v>
      </c>
      <c r="D338" s="95"/>
      <c r="E338" s="95">
        <v>51.456913570696749</v>
      </c>
      <c r="F338" s="95">
        <v>536.81408495270398</v>
      </c>
      <c r="G338" s="95">
        <v>731.85615765800321</v>
      </c>
      <c r="H338" s="95">
        <v>1165.0387324130129</v>
      </c>
      <c r="I338" s="95">
        <v>3011.5331808007609</v>
      </c>
      <c r="J338" s="95">
        <v>118.40999983118702</v>
      </c>
      <c r="K338" s="95">
        <v>482.08225290303324</v>
      </c>
      <c r="L338" s="95">
        <v>193.94216478134658</v>
      </c>
      <c r="M338" s="95">
        <v>3161.2672021775902</v>
      </c>
      <c r="N338" s="95">
        <v>547.59931091166857</v>
      </c>
      <c r="O338" s="95">
        <v>10000.000000000004</v>
      </c>
      <c r="Q338" s="98">
        <v>3161.2672021775902</v>
      </c>
      <c r="R338" s="95">
        <v>2945.8203782454734</v>
      </c>
      <c r="S338" s="99">
        <v>1855.2256616764216</v>
      </c>
      <c r="U338" s="121">
        <v>10153.031821410224</v>
      </c>
      <c r="V338" s="59">
        <v>105932.31089423441</v>
      </c>
      <c r="W338" s="59">
        <v>144427.47574071761</v>
      </c>
      <c r="X338" s="59">
        <v>473373.70592990215</v>
      </c>
      <c r="Y338" s="59">
        <v>1424787.1797601255</v>
      </c>
      <c r="Z338" s="59">
        <v>3158571.1492662774</v>
      </c>
      <c r="AA338" s="59">
        <v>1875999.7601852396</v>
      </c>
      <c r="AB338" s="59">
        <v>7193244.6135979071</v>
      </c>
      <c r="AC338" s="59">
        <v>2131523377.211427</v>
      </c>
      <c r="AD338" s="68">
        <v>7193244.6135979071</v>
      </c>
    </row>
    <row r="339" spans="1:30" x14ac:dyDescent="0.2">
      <c r="A339" s="95">
        <v>331</v>
      </c>
      <c r="B339" s="95">
        <v>27</v>
      </c>
      <c r="C339" s="95">
        <v>7</v>
      </c>
      <c r="D339" s="95"/>
      <c r="E339" s="95">
        <v>50.929480206597106</v>
      </c>
      <c r="F339" s="95">
        <v>533.24494971579361</v>
      </c>
      <c r="G339" s="95">
        <v>727.97410110434248</v>
      </c>
      <c r="H339" s="95">
        <v>1160.512733543394</v>
      </c>
      <c r="I339" s="95">
        <v>3007.9885170751495</v>
      </c>
      <c r="J339" s="95">
        <v>118.29180383245567</v>
      </c>
      <c r="K339" s="95">
        <v>481.9895768229714</v>
      </c>
      <c r="L339" s="95">
        <v>193.86032981191445</v>
      </c>
      <c r="M339" s="95">
        <v>3174.463630232261</v>
      </c>
      <c r="N339" s="95">
        <v>550.7448776551239</v>
      </c>
      <c r="O339" s="95">
        <v>10000.000000000004</v>
      </c>
      <c r="Q339" s="98">
        <v>3174.463630232261</v>
      </c>
      <c r="R339" s="95">
        <v>2955.6078610830759</v>
      </c>
      <c r="S339" s="99">
        <v>1862.1419064861832</v>
      </c>
      <c r="U339" s="121">
        <v>10046.424987285416</v>
      </c>
      <c r="V339" s="59">
        <v>105201.49985248833</v>
      </c>
      <c r="W339" s="59">
        <v>143625.23424533906</v>
      </c>
      <c r="X339" s="59">
        <v>471416.23667995096</v>
      </c>
      <c r="Y339" s="59">
        <v>1422753.4876835805</v>
      </c>
      <c r="Z339" s="59">
        <v>3156668.3891888205</v>
      </c>
      <c r="AA339" s="59">
        <v>1874737.8676836086</v>
      </c>
      <c r="AB339" s="59">
        <v>7184449.1403210731</v>
      </c>
      <c r="AC339" s="59">
        <v>2138707826.351748</v>
      </c>
      <c r="AD339" s="68">
        <v>7184449.1403210731</v>
      </c>
    </row>
    <row r="340" spans="1:30" x14ac:dyDescent="0.2">
      <c r="A340" s="95">
        <v>332</v>
      </c>
      <c r="B340" s="95">
        <v>27</v>
      </c>
      <c r="C340" s="95">
        <v>8</v>
      </c>
      <c r="D340" s="95"/>
      <c r="E340" s="95">
        <v>50.407453034479488</v>
      </c>
      <c r="F340" s="95">
        <v>529.69773794579646</v>
      </c>
      <c r="G340" s="95">
        <v>724.10752476990046</v>
      </c>
      <c r="H340" s="95">
        <v>1155.9939284300797</v>
      </c>
      <c r="I340" s="95">
        <v>3004.4175299571161</v>
      </c>
      <c r="J340" s="95">
        <v>118.17237872352348</v>
      </c>
      <c r="K340" s="95">
        <v>481.89056768988269</v>
      </c>
      <c r="L340" s="95">
        <v>193.77611733816963</v>
      </c>
      <c r="M340" s="95">
        <v>3187.6544887098748</v>
      </c>
      <c r="N340" s="95">
        <v>553.88227340118021</v>
      </c>
      <c r="O340" s="95">
        <v>10000.000000000004</v>
      </c>
      <c r="Q340" s="98">
        <v>3187.6544887098748</v>
      </c>
      <c r="R340" s="95">
        <v>2965.38382376357</v>
      </c>
      <c r="S340" s="99">
        <v>1869.0528209131517</v>
      </c>
      <c r="U340" s="121">
        <v>9940.9375249189197</v>
      </c>
      <c r="V340" s="59">
        <v>104475.3740806032</v>
      </c>
      <c r="W340" s="59">
        <v>142826.44026782346</v>
      </c>
      <c r="X340" s="59">
        <v>469462.64099801728</v>
      </c>
      <c r="Y340" s="59">
        <v>1420708.2721657539</v>
      </c>
      <c r="Z340" s="59">
        <v>3154726.5658963867</v>
      </c>
      <c r="AA340" s="59">
        <v>1873453.4859984529</v>
      </c>
      <c r="AB340" s="59">
        <v>7175593.7169319568</v>
      </c>
      <c r="AC340" s="59">
        <v>2145883420.06868</v>
      </c>
      <c r="AD340" s="68">
        <v>7175593.7169319568</v>
      </c>
    </row>
    <row r="341" spans="1:30" x14ac:dyDescent="0.2">
      <c r="A341" s="95">
        <v>333</v>
      </c>
      <c r="B341" s="95">
        <v>27</v>
      </c>
      <c r="C341" s="95">
        <v>9</v>
      </c>
      <c r="D341" s="95"/>
      <c r="E341" s="95">
        <v>49.890776640876076</v>
      </c>
      <c r="F341" s="95">
        <v>526.17233610012704</v>
      </c>
      <c r="G341" s="95">
        <v>720.25642140359923</v>
      </c>
      <c r="H341" s="95">
        <v>1151.4823987387394</v>
      </c>
      <c r="I341" s="95">
        <v>3000.8204184096512</v>
      </c>
      <c r="J341" s="95">
        <v>118.05173462601888</v>
      </c>
      <c r="K341" s="95">
        <v>481.78525421445289</v>
      </c>
      <c r="L341" s="95">
        <v>193.68953958550995</v>
      </c>
      <c r="M341" s="95">
        <v>3200.8396152609039</v>
      </c>
      <c r="N341" s="95">
        <v>557.01150502012467</v>
      </c>
      <c r="O341" s="95">
        <v>10000.000000000004</v>
      </c>
      <c r="Q341" s="98">
        <v>3200.8396152609039</v>
      </c>
      <c r="R341" s="95">
        <v>2975.1481807359305</v>
      </c>
      <c r="S341" s="99">
        <v>1875.9583313944443</v>
      </c>
      <c r="U341" s="121">
        <v>9836.55768090727</v>
      </c>
      <c r="V341" s="59">
        <v>103753.9077911731</v>
      </c>
      <c r="W341" s="59">
        <v>142031.08993468198</v>
      </c>
      <c r="X341" s="59">
        <v>467512.94951274316</v>
      </c>
      <c r="Y341" s="59">
        <v>1418651.6363405108</v>
      </c>
      <c r="Z341" s="59">
        <v>3152745.9159320584</v>
      </c>
      <c r="AA341" s="59">
        <v>1872146.7503114464</v>
      </c>
      <c r="AB341" s="59">
        <v>7166678.8075035214</v>
      </c>
      <c r="AC341" s="59">
        <v>2153050098.8761835</v>
      </c>
      <c r="AD341" s="68">
        <v>7166678.8075035214</v>
      </c>
    </row>
    <row r="342" spans="1:30" x14ac:dyDescent="0.2">
      <c r="A342" s="95">
        <v>334</v>
      </c>
      <c r="B342" s="95">
        <v>27</v>
      </c>
      <c r="C342" s="95">
        <v>10</v>
      </c>
      <c r="D342" s="95"/>
      <c r="E342" s="95">
        <v>49.379396180307097</v>
      </c>
      <c r="F342" s="95">
        <v>522.66863095694964</v>
      </c>
      <c r="G342" s="95">
        <v>716.42078302623736</v>
      </c>
      <c r="H342" s="95">
        <v>1146.978225232265</v>
      </c>
      <c r="I342" s="95">
        <v>2997.197381206945</v>
      </c>
      <c r="J342" s="95">
        <v>117.92988160722011</v>
      </c>
      <c r="K342" s="95">
        <v>481.67366514740394</v>
      </c>
      <c r="L342" s="95">
        <v>193.6006087903734</v>
      </c>
      <c r="M342" s="95">
        <v>3214.018848392318</v>
      </c>
      <c r="N342" s="95">
        <v>560.13257945998407</v>
      </c>
      <c r="O342" s="95">
        <v>10000.000000000004</v>
      </c>
      <c r="Q342" s="98">
        <v>3214.018848392318</v>
      </c>
      <c r="R342" s="95">
        <v>2984.9008470957619</v>
      </c>
      <c r="S342" s="99">
        <v>1882.8583648193514</v>
      </c>
      <c r="U342" s="121">
        <v>9733.2738252577437</v>
      </c>
      <c r="V342" s="59">
        <v>103037.07528419775</v>
      </c>
      <c r="W342" s="59">
        <v>141239.17923140494</v>
      </c>
      <c r="X342" s="59">
        <v>465567.19245397393</v>
      </c>
      <c r="Y342" s="59">
        <v>1416583.6831535769</v>
      </c>
      <c r="Z342" s="59">
        <v>3150726.6754601346</v>
      </c>
      <c r="AA342" s="59">
        <v>1870817.7958176171</v>
      </c>
      <c r="AB342" s="59">
        <v>7157704.8752261633</v>
      </c>
      <c r="AC342" s="59">
        <v>2160207803.7514095</v>
      </c>
      <c r="AD342" s="68">
        <v>7157704.8752261633</v>
      </c>
    </row>
    <row r="343" spans="1:30" x14ac:dyDescent="0.2">
      <c r="A343" s="95">
        <v>335</v>
      </c>
      <c r="B343" s="95">
        <v>27</v>
      </c>
      <c r="C343" s="95">
        <v>11</v>
      </c>
      <c r="D343" s="95"/>
      <c r="E343" s="95">
        <v>48.873257369458948</v>
      </c>
      <c r="F343" s="95">
        <v>519.18650961828405</v>
      </c>
      <c r="G343" s="95">
        <v>712.60060094040693</v>
      </c>
      <c r="H343" s="95">
        <v>1142.481487772666</v>
      </c>
      <c r="I343" s="95">
        <v>2993.5486169265896</v>
      </c>
      <c r="J343" s="95">
        <v>117.80682968082114</v>
      </c>
      <c r="K343" s="95">
        <v>481.55582927865333</v>
      </c>
      <c r="L343" s="95">
        <v>193.50933719953841</v>
      </c>
      <c r="M343" s="95">
        <v>3227.1920274675272</v>
      </c>
      <c r="N343" s="95">
        <v>563.24550374605792</v>
      </c>
      <c r="O343" s="95">
        <v>10000.000000000004</v>
      </c>
      <c r="Q343" s="98">
        <v>3227.1920274675272</v>
      </c>
      <c r="R343" s="95">
        <v>2994.6417385846844</v>
      </c>
      <c r="S343" s="99">
        <v>1889.7528485290356</v>
      </c>
      <c r="U343" s="121">
        <v>9631.0744500925375</v>
      </c>
      <c r="V343" s="59">
        <v>102324.85094760114</v>
      </c>
      <c r="W343" s="59">
        <v>140450.70400459706</v>
      </c>
      <c r="X343" s="59">
        <v>463625.3996540092</v>
      </c>
      <c r="Y343" s="59">
        <v>1414504.5153590215</v>
      </c>
      <c r="Z343" s="59">
        <v>3148669.0802681781</v>
      </c>
      <c r="AA343" s="59">
        <v>1869466.7577164264</v>
      </c>
      <c r="AB343" s="59">
        <v>7148672.382399926</v>
      </c>
      <c r="AC343" s="59">
        <v>2167356476.1338096</v>
      </c>
      <c r="AD343" s="68">
        <v>7148672.382399926</v>
      </c>
    </row>
    <row r="344" spans="1:30" x14ac:dyDescent="0.2">
      <c r="A344" s="95">
        <v>336</v>
      </c>
      <c r="B344" s="95">
        <v>28</v>
      </c>
      <c r="C344" s="95">
        <v>0</v>
      </c>
      <c r="D344" s="95"/>
      <c r="E344" s="95">
        <v>48.372306481421994</v>
      </c>
      <c r="F344" s="95">
        <v>515.72585951303097</v>
      </c>
      <c r="G344" s="95">
        <v>708.79586574032885</v>
      </c>
      <c r="H344" s="95">
        <v>1137.9922653230481</v>
      </c>
      <c r="I344" s="95">
        <v>2989.8743239418363</v>
      </c>
      <c r="J344" s="95">
        <v>117.6825888076763</v>
      </c>
      <c r="K344" s="95">
        <v>481.4317754364663</v>
      </c>
      <c r="L344" s="95">
        <v>193.41573706943979</v>
      </c>
      <c r="M344" s="95">
        <v>3240.358992706304</v>
      </c>
      <c r="N344" s="95">
        <v>566.35028498045108</v>
      </c>
      <c r="O344" s="95">
        <v>10000.000000000004</v>
      </c>
      <c r="Q344" s="98">
        <v>3240.358992706304</v>
      </c>
      <c r="R344" s="95">
        <v>3004.3707715896958</v>
      </c>
      <c r="S344" s="99">
        <v>1896.6417103162203</v>
      </c>
      <c r="U344" s="121">
        <v>9529.9481683665654</v>
      </c>
      <c r="V344" s="59">
        <v>101617.20925773332</v>
      </c>
      <c r="W344" s="59">
        <v>139665.65996409315</v>
      </c>
      <c r="X344" s="59">
        <v>461687.60054888437</v>
      </c>
      <c r="Y344" s="59">
        <v>1412414.2355157726</v>
      </c>
      <c r="Z344" s="59">
        <v>3146573.3657688559</v>
      </c>
      <c r="AA344" s="59">
        <v>1868093.7712031114</v>
      </c>
      <c r="AB344" s="59">
        <v>7139581.7904268177</v>
      </c>
      <c r="AC344" s="59">
        <v>2174496057.9242363</v>
      </c>
      <c r="AD344" s="68">
        <v>7139581.7904268177</v>
      </c>
    </row>
    <row r="345" spans="1:30" x14ac:dyDescent="0.2">
      <c r="A345" s="95">
        <v>337</v>
      </c>
      <c r="B345" s="95">
        <v>28</v>
      </c>
      <c r="C345" s="95">
        <v>1</v>
      </c>
      <c r="D345" s="95"/>
      <c r="E345" s="95">
        <v>47.87649033998742</v>
      </c>
      <c r="F345" s="95">
        <v>512.28656839991766</v>
      </c>
      <c r="G345" s="95">
        <v>705.00656732160598</v>
      </c>
      <c r="H345" s="95">
        <v>1133.5106359496669</v>
      </c>
      <c r="I345" s="95">
        <v>2986.174700413912</v>
      </c>
      <c r="J345" s="95">
        <v>117.5571688965241</v>
      </c>
      <c r="K345" s="95">
        <v>481.30153248660048</v>
      </c>
      <c r="L345" s="95">
        <v>193.31982066549978</v>
      </c>
      <c r="M345" s="95">
        <v>3253.5195851846815</v>
      </c>
      <c r="N345" s="95">
        <v>569.44693034160764</v>
      </c>
      <c r="O345" s="95">
        <v>10000.000000000004</v>
      </c>
      <c r="Q345" s="98">
        <v>3253.5195851846815</v>
      </c>
      <c r="R345" s="95">
        <v>3014.0878631425066</v>
      </c>
      <c r="S345" s="99">
        <v>1903.5248784248693</v>
      </c>
      <c r="U345" s="121">
        <v>9429.8837125987175</v>
      </c>
      <c r="V345" s="59">
        <v>100914.12477985599</v>
      </c>
      <c r="W345" s="59">
        <v>138884.04268505477</v>
      </c>
      <c r="X345" s="59">
        <v>459753.82417968247</v>
      </c>
      <c r="Y345" s="59">
        <v>1410312.9459841663</v>
      </c>
      <c r="Z345" s="59">
        <v>3144439.7670015865</v>
      </c>
      <c r="AA345" s="59">
        <v>1866698.9714602761</v>
      </c>
      <c r="AB345" s="59">
        <v>7130433.5598032204</v>
      </c>
      <c r="AC345" s="59">
        <v>2181626491.4840393</v>
      </c>
      <c r="AD345" s="68">
        <v>7130433.5598032204</v>
      </c>
    </row>
    <row r="346" spans="1:30" x14ac:dyDescent="0.2">
      <c r="A346" s="95">
        <v>338</v>
      </c>
      <c r="B346" s="95">
        <v>28</v>
      </c>
      <c r="C346" s="95">
        <v>2</v>
      </c>
      <c r="D346" s="95"/>
      <c r="E346" s="95">
        <v>47.385756314002549</v>
      </c>
      <c r="F346" s="95">
        <v>508.86852437036652</v>
      </c>
      <c r="G346" s="95">
        <v>701.23269489089523</v>
      </c>
      <c r="H346" s="95">
        <v>1129.0366768240615</v>
      </c>
      <c r="I346" s="95">
        <v>2982.4499442843903</v>
      </c>
      <c r="J346" s="95">
        <v>117.43057980469086</v>
      </c>
      <c r="K346" s="95">
        <v>481.16512933144412</v>
      </c>
      <c r="L346" s="95">
        <v>193.22160026147358</v>
      </c>
      <c r="M346" s="95">
        <v>3266.6736468348345</v>
      </c>
      <c r="N346" s="95">
        <v>572.53544708384447</v>
      </c>
      <c r="O346" s="95">
        <v>10000.000000000004</v>
      </c>
      <c r="Q346" s="98">
        <v>3266.6736468348345</v>
      </c>
      <c r="R346" s="95">
        <v>3023.7929309188517</v>
      </c>
      <c r="S346" s="99">
        <v>1910.4022815498565</v>
      </c>
      <c r="U346" s="121">
        <v>9330.86993361643</v>
      </c>
      <c r="V346" s="59">
        <v>100215.57216861163</v>
      </c>
      <c r="W346" s="59">
        <v>138105.84761004773</v>
      </c>
      <c r="X346" s="59">
        <v>457824.09919387562</v>
      </c>
      <c r="Y346" s="59">
        <v>1408200.7489225275</v>
      </c>
      <c r="Z346" s="59">
        <v>3142268.5186339887</v>
      </c>
      <c r="AA346" s="59">
        <v>1865282.4936497253</v>
      </c>
      <c r="AB346" s="59">
        <v>7121228.1501123933</v>
      </c>
      <c r="AC346" s="59">
        <v>2188747719.6341519</v>
      </c>
      <c r="AD346" s="68">
        <v>7121228.1501123933</v>
      </c>
    </row>
    <row r="347" spans="1:30" x14ac:dyDescent="0.2">
      <c r="A347" s="95">
        <v>339</v>
      </c>
      <c r="B347" s="95">
        <v>28</v>
      </c>
      <c r="C347" s="95">
        <v>3</v>
      </c>
      <c r="D347" s="95"/>
      <c r="E347" s="95">
        <v>46.900052311784023</v>
      </c>
      <c r="F347" s="95">
        <v>505.47161585128612</v>
      </c>
      <c r="G347" s="95">
        <v>697.47423697549755</v>
      </c>
      <c r="H347" s="95">
        <v>1124.5704642252592</v>
      </c>
      <c r="I347" s="95">
        <v>2978.7002532676247</v>
      </c>
      <c r="J347" s="95">
        <v>117.30283133877448</v>
      </c>
      <c r="K347" s="95">
        <v>481.0225949091473</v>
      </c>
      <c r="L347" s="95">
        <v>193.12108813880863</v>
      </c>
      <c r="M347" s="95">
        <v>3279.8210204449365</v>
      </c>
      <c r="N347" s="95">
        <v>575.61584253688511</v>
      </c>
      <c r="O347" s="95">
        <v>10000.000000000004</v>
      </c>
      <c r="Q347" s="98">
        <v>3279.8210204449365</v>
      </c>
      <c r="R347" s="95">
        <v>3033.4858932377761</v>
      </c>
      <c r="S347" s="99">
        <v>1917.2738488366265</v>
      </c>
      <c r="U347" s="121">
        <v>9232.8957993134572</v>
      </c>
      <c r="V347" s="59">
        <v>99521.526168476921</v>
      </c>
      <c r="W347" s="59">
        <v>137331.07005110072</v>
      </c>
      <c r="X347" s="59">
        <v>455898.45384669531</v>
      </c>
      <c r="Y347" s="59">
        <v>1406077.7462837838</v>
      </c>
      <c r="Z347" s="59">
        <v>3140059.8549631443</v>
      </c>
      <c r="AA347" s="59">
        <v>1863844.4729045262</v>
      </c>
      <c r="AB347" s="59">
        <v>7111966.0200170409</v>
      </c>
      <c r="AC347" s="59">
        <v>2195859685.6541691</v>
      </c>
      <c r="AD347" s="68">
        <v>7111966.0200170409</v>
      </c>
    </row>
    <row r="348" spans="1:30" x14ac:dyDescent="0.2">
      <c r="A348" s="95">
        <v>340</v>
      </c>
      <c r="B348" s="95">
        <v>28</v>
      </c>
      <c r="C348" s="95">
        <v>4</v>
      </c>
      <c r="D348" s="95"/>
      <c r="E348" s="95">
        <v>46.419326775588239</v>
      </c>
      <c r="F348" s="95">
        <v>502.09573160778712</v>
      </c>
      <c r="G348" s="95">
        <v>693.73118143286808</v>
      </c>
      <c r="H348" s="95">
        <v>1120.1120735420575</v>
      </c>
      <c r="I348" s="95">
        <v>2974.9258248432366</v>
      </c>
      <c r="J348" s="95">
        <v>117.17393325530892</v>
      </c>
      <c r="K348" s="95">
        <v>480.87395819274701</v>
      </c>
      <c r="L348" s="95">
        <v>193.01829658601707</v>
      </c>
      <c r="M348" s="95">
        <v>3292.961549658999</v>
      </c>
      <c r="N348" s="95">
        <v>578.68812410539419</v>
      </c>
      <c r="O348" s="95">
        <v>10000.000000000004</v>
      </c>
      <c r="Q348" s="98">
        <v>3292.961549658999</v>
      </c>
      <c r="R348" s="95">
        <v>3043.1666690608959</v>
      </c>
      <c r="S348" s="99">
        <v>1924.1395098808437</v>
      </c>
      <c r="U348" s="121">
        <v>9135.9503934206659</v>
      </c>
      <c r="V348" s="59">
        <v>98831.961614200496</v>
      </c>
      <c r="W348" s="59">
        <v>136559.70519174475</v>
      </c>
      <c r="X348" s="59">
        <v>453976.91600253066</v>
      </c>
      <c r="Y348" s="59">
        <v>1403944.0398121111</v>
      </c>
      <c r="Z348" s="59">
        <v>3137814.0099166762</v>
      </c>
      <c r="AA348" s="59">
        <v>1862385.0443212925</v>
      </c>
      <c r="AB348" s="59">
        <v>7102647.6272519762</v>
      </c>
      <c r="AC348" s="59">
        <v>2202962333.2814212</v>
      </c>
      <c r="AD348" s="68">
        <v>7102647.6272519762</v>
      </c>
    </row>
    <row r="349" spans="1:30" x14ac:dyDescent="0.2">
      <c r="A349" s="95">
        <v>341</v>
      </c>
      <c r="B349" s="95">
        <v>28</v>
      </c>
      <c r="C349" s="95">
        <v>5</v>
      </c>
      <c r="D349" s="95"/>
      <c r="E349" s="95">
        <v>45.943528676138456</v>
      </c>
      <c r="F349" s="95">
        <v>498.74076074582337</v>
      </c>
      <c r="G349" s="95">
        <v>690.00351546004481</v>
      </c>
      <c r="H349" s="95">
        <v>1115.6615792753753</v>
      </c>
      <c r="I349" s="95">
        <v>2971.1268562486639</v>
      </c>
      <c r="J349" s="95">
        <v>117.04389526141006</v>
      </c>
      <c r="K349" s="95">
        <v>480.71924818928557</v>
      </c>
      <c r="L349" s="95">
        <v>192.91323789806106</v>
      </c>
      <c r="M349" s="95">
        <v>3306.0950789766894</v>
      </c>
      <c r="N349" s="95">
        <v>581.75229926851205</v>
      </c>
      <c r="O349" s="95">
        <v>10000.000000000004</v>
      </c>
      <c r="Q349" s="98">
        <v>3306.0950789766894</v>
      </c>
      <c r="R349" s="95">
        <v>3052.8351779916366</v>
      </c>
      <c r="S349" s="99">
        <v>1930.999194728033</v>
      </c>
      <c r="U349" s="121">
        <v>9040.0229142897497</v>
      </c>
      <c r="V349" s="59">
        <v>98146.853431225099</v>
      </c>
      <c r="W349" s="59">
        <v>135791.74808903411</v>
      </c>
      <c r="X349" s="59">
        <v>452059.51313635393</v>
      </c>
      <c r="Y349" s="59">
        <v>1401799.7310396151</v>
      </c>
      <c r="Z349" s="59">
        <v>3135531.2170536546</v>
      </c>
      <c r="AA349" s="59">
        <v>1860904.3429526794</v>
      </c>
      <c r="AB349" s="59">
        <v>7093273.4286168516</v>
      </c>
      <c r="AC349" s="59">
        <v>2210055606.7100382</v>
      </c>
      <c r="AD349" s="68">
        <v>7093273.4286168516</v>
      </c>
    </row>
    <row r="350" spans="1:30" x14ac:dyDescent="0.2">
      <c r="A350" s="95">
        <v>342</v>
      </c>
      <c r="B350" s="95">
        <v>28</v>
      </c>
      <c r="C350" s="95">
        <v>6</v>
      </c>
      <c r="D350" s="95"/>
      <c r="E350" s="95">
        <v>45.472607507208039</v>
      </c>
      <c r="F350" s="95">
        <v>495.40659271475988</v>
      </c>
      <c r="G350" s="95">
        <v>686.2912256029972</v>
      </c>
      <c r="H350" s="95">
        <v>1111.219055040676</v>
      </c>
      <c r="I350" s="95">
        <v>2967.3035444717698</v>
      </c>
      <c r="J350" s="95">
        <v>116.91272701540294</v>
      </c>
      <c r="K350" s="95">
        <v>480.5584939389235</v>
      </c>
      <c r="L350" s="95">
        <v>192.80592437575007</v>
      </c>
      <c r="M350" s="95">
        <v>3319.2214537531268</v>
      </c>
      <c r="N350" s="95">
        <v>584.80837557938946</v>
      </c>
      <c r="O350" s="95">
        <v>10000.000000000004</v>
      </c>
      <c r="Q350" s="98">
        <v>3319.2214537531268</v>
      </c>
      <c r="R350" s="95">
        <v>3062.4913402744446</v>
      </c>
      <c r="S350" s="99">
        <v>1937.8528338732103</v>
      </c>
      <c r="U350" s="121">
        <v>8945.1026736897074</v>
      </c>
      <c r="V350" s="59">
        <v>97466.176636094839</v>
      </c>
      <c r="W350" s="59">
        <v>135027.19367554816</v>
      </c>
      <c r="X350" s="59">
        <v>450146.2723351735</v>
      </c>
      <c r="Y350" s="59">
        <v>1399644.9212830428</v>
      </c>
      <c r="Z350" s="59">
        <v>3133211.7095653205</v>
      </c>
      <c r="AA350" s="59">
        <v>1859402.5038000813</v>
      </c>
      <c r="AB350" s="59">
        <v>7083843.8799689505</v>
      </c>
      <c r="AC350" s="59">
        <v>2217139450.5900073</v>
      </c>
      <c r="AD350" s="68">
        <v>7083843.8799689505</v>
      </c>
    </row>
    <row r="351" spans="1:30" x14ac:dyDescent="0.2">
      <c r="A351" s="95">
        <v>343</v>
      </c>
      <c r="B351" s="95">
        <v>28</v>
      </c>
      <c r="C351" s="95">
        <v>7</v>
      </c>
      <c r="D351" s="95"/>
      <c r="E351" s="95">
        <v>45.006513280259156</v>
      </c>
      <c r="F351" s="95">
        <v>492.09311730986821</v>
      </c>
      <c r="G351" s="95">
        <v>682.59429776589525</v>
      </c>
      <c r="H351" s="95">
        <v>1106.7845735704591</v>
      </c>
      <c r="I351" s="95">
        <v>2963.4560862435101</v>
      </c>
      <c r="J351" s="95">
        <v>116.78043812743135</v>
      </c>
      <c r="K351" s="95">
        <v>480.39172451404642</v>
      </c>
      <c r="L351" s="95">
        <v>192.69636832514999</v>
      </c>
      <c r="M351" s="95">
        <v>3332.3405201986607</v>
      </c>
      <c r="N351" s="95">
        <v>587.85636066472318</v>
      </c>
      <c r="O351" s="95">
        <v>10000.000000000004</v>
      </c>
      <c r="Q351" s="98">
        <v>3332.3405201986607</v>
      </c>
      <c r="R351" s="95">
        <v>3072.135076793978</v>
      </c>
      <c r="S351" s="99">
        <v>1944.7003582605018</v>
      </c>
      <c r="U351" s="121">
        <v>8851.1790956159657</v>
      </c>
      <c r="V351" s="59">
        <v>96789.906336847227</v>
      </c>
      <c r="W351" s="59">
        <v>134266.03676137503</v>
      </c>
      <c r="X351" s="59">
        <v>448237.22029951197</v>
      </c>
      <c r="Y351" s="59">
        <v>1397479.7116405289</v>
      </c>
      <c r="Z351" s="59">
        <v>3130855.7202756517</v>
      </c>
      <c r="AA351" s="59">
        <v>1857879.6618065254</v>
      </c>
      <c r="AB351" s="59">
        <v>7074359.4362160563</v>
      </c>
      <c r="AC351" s="59">
        <v>2224213810.0262232</v>
      </c>
      <c r="AD351" s="68">
        <v>7074359.4362160563</v>
      </c>
    </row>
    <row r="352" spans="1:30" x14ac:dyDescent="0.2">
      <c r="A352" s="95">
        <v>344</v>
      </c>
      <c r="B352" s="95">
        <v>28</v>
      </c>
      <c r="C352" s="95">
        <v>8</v>
      </c>
      <c r="D352" s="95"/>
      <c r="E352" s="95">
        <v>44.545196519136503</v>
      </c>
      <c r="F352" s="95">
        <v>488.80022467475089</v>
      </c>
      <c r="G352" s="95">
        <v>678.9127172202983</v>
      </c>
      <c r="H352" s="95">
        <v>1102.3582067168184</v>
      </c>
      <c r="I352" s="95">
        <v>2959.5846780306606</v>
      </c>
      <c r="J352" s="95">
        <v>116.64703816004985</v>
      </c>
      <c r="K352" s="95">
        <v>480.21896901836641</v>
      </c>
      <c r="L352" s="95">
        <v>192.5845820570033</v>
      </c>
      <c r="M352" s="95">
        <v>3345.4521253786279</v>
      </c>
      <c r="N352" s="95">
        <v>590.89626222429149</v>
      </c>
      <c r="O352" s="95">
        <v>10000.000000000004</v>
      </c>
      <c r="Q352" s="98">
        <v>3345.4521253786279</v>
      </c>
      <c r="R352" s="95">
        <v>3081.7663090742694</v>
      </c>
      <c r="S352" s="99">
        <v>1951.5416992827543</v>
      </c>
      <c r="U352" s="121">
        <v>8758.2417151119971</v>
      </c>
      <c r="V352" s="59">
        <v>96118.01773339085</v>
      </c>
      <c r="W352" s="59">
        <v>133508.27203607626</v>
      </c>
      <c r="X352" s="59">
        <v>446332.38334491063</v>
      </c>
      <c r="Y352" s="59">
        <v>1395304.2029883761</v>
      </c>
      <c r="Z352" s="59">
        <v>3128463.4816417564</v>
      </c>
      <c r="AA352" s="59">
        <v>1856335.9518497502</v>
      </c>
      <c r="AB352" s="59">
        <v>7064820.5513093723</v>
      </c>
      <c r="AC352" s="59">
        <v>2231278630.5775328</v>
      </c>
      <c r="AD352" s="68">
        <v>7064820.5513093723</v>
      </c>
    </row>
    <row r="353" spans="1:30" x14ac:dyDescent="0.2">
      <c r="A353" s="95">
        <v>345</v>
      </c>
      <c r="B353" s="95">
        <v>28</v>
      </c>
      <c r="C353" s="95">
        <v>9</v>
      </c>
      <c r="D353" s="95"/>
      <c r="E353" s="95">
        <v>44.088608254815355</v>
      </c>
      <c r="F353" s="95">
        <v>485.52780530369563</v>
      </c>
      <c r="G353" s="95">
        <v>675.2464686142647</v>
      </c>
      <c r="H353" s="95">
        <v>1097.9400254540669</v>
      </c>
      <c r="I353" s="95">
        <v>2955.6895160286058</v>
      </c>
      <c r="J353" s="95">
        <v>116.5125366287988</v>
      </c>
      <c r="K353" s="95">
        <v>480.04025658601802</v>
      </c>
      <c r="L353" s="95">
        <v>192.4705778861599</v>
      </c>
      <c r="M353" s="95">
        <v>3358.5561172130883</v>
      </c>
      <c r="N353" s="95">
        <v>593.92808803049002</v>
      </c>
      <c r="O353" s="95">
        <v>10000.000000000004</v>
      </c>
      <c r="Q353" s="98">
        <v>3358.5561172130883</v>
      </c>
      <c r="R353" s="95">
        <v>3091.3849592778693</v>
      </c>
      <c r="S353" s="99">
        <v>1958.3767887811343</v>
      </c>
      <c r="U353" s="121">
        <v>8666.280177103321</v>
      </c>
      <c r="V353" s="59">
        <v>95450.486117868306</v>
      </c>
      <c r="W353" s="59">
        <v>132753.89407063328</v>
      </c>
      <c r="X353" s="59">
        <v>444431.78740345762</v>
      </c>
      <c r="Y353" s="59">
        <v>1393118.4959778681</v>
      </c>
      <c r="Z353" s="59">
        <v>3126035.2257541153</v>
      </c>
      <c r="AA353" s="59">
        <v>1854771.5087354628</v>
      </c>
      <c r="AB353" s="59">
        <v>7055227.6782365087</v>
      </c>
      <c r="AC353" s="59">
        <v>2238333858.2557693</v>
      </c>
      <c r="AD353" s="68">
        <v>7055227.6782365087</v>
      </c>
    </row>
    <row r="354" spans="1:30" x14ac:dyDescent="0.2">
      <c r="A354" s="95">
        <v>346</v>
      </c>
      <c r="B354" s="95">
        <v>28</v>
      </c>
      <c r="C354" s="95">
        <v>10</v>
      </c>
      <c r="D354" s="95"/>
      <c r="E354" s="95">
        <v>43.636700020203499</v>
      </c>
      <c r="F354" s="95">
        <v>482.27575004396039</v>
      </c>
      <c r="G354" s="95">
        <v>671.5955359813828</v>
      </c>
      <c r="H354" s="95">
        <v>1093.5300998814266</v>
      </c>
      <c r="I354" s="95">
        <v>2951.7707961541878</v>
      </c>
      <c r="J354" s="95">
        <v>116.37694300276286</v>
      </c>
      <c r="K354" s="95">
        <v>479.85561638064928</v>
      </c>
      <c r="L354" s="95">
        <v>192.3543681310183</v>
      </c>
      <c r="M354" s="95">
        <v>3371.6523444765439</v>
      </c>
      <c r="N354" s="95">
        <v>596.95184592786825</v>
      </c>
      <c r="O354" s="95">
        <v>10000.000000000004</v>
      </c>
      <c r="Q354" s="98">
        <v>3371.6523444765439</v>
      </c>
      <c r="R354" s="95">
        <v>3100.9909502049622</v>
      </c>
      <c r="S354" s="99">
        <v>1965.2055590447183</v>
      </c>
      <c r="U354" s="121">
        <v>8575.2842352437365</v>
      </c>
      <c r="V354" s="59">
        <v>94787.286875005084</v>
      </c>
      <c r="W354" s="59">
        <v>132002.89731937554</v>
      </c>
      <c r="X354" s="59">
        <v>442535.45802534156</v>
      </c>
      <c r="Y354" s="59">
        <v>1390922.6910321163</v>
      </c>
      <c r="Z354" s="59">
        <v>3123571.184336666</v>
      </c>
      <c r="AA354" s="59">
        <v>1853186.4671907683</v>
      </c>
      <c r="AB354" s="59">
        <v>7045581.2690145168</v>
      </c>
      <c r="AC354" s="59">
        <v>2245379439.5247836</v>
      </c>
      <c r="AD354" s="68">
        <v>7045581.2690145168</v>
      </c>
    </row>
    <row r="355" spans="1:30" x14ac:dyDescent="0.2">
      <c r="A355" s="95">
        <v>347</v>
      </c>
      <c r="B355" s="95">
        <v>28</v>
      </c>
      <c r="C355" s="95">
        <v>11</v>
      </c>
      <c r="D355" s="95"/>
      <c r="E355" s="95">
        <v>43.189423844996412</v>
      </c>
      <c r="F355" s="95">
        <v>479.04395009799066</v>
      </c>
      <c r="G355" s="95">
        <v>667.95990274972303</v>
      </c>
      <c r="H355" s="95">
        <v>1089.1284992257793</v>
      </c>
      <c r="I355" s="95">
        <v>2947.8287140386169</v>
      </c>
      <c r="J355" s="95">
        <v>116.2402667051133</v>
      </c>
      <c r="K355" s="95">
        <v>479.66507759450764</v>
      </c>
      <c r="L355" s="95">
        <v>192.23596511297663</v>
      </c>
      <c r="M355" s="95">
        <v>3384.7406567976341</v>
      </c>
      <c r="N355" s="95">
        <v>599.96754383266602</v>
      </c>
      <c r="O355" s="95">
        <v>10000.000000000004</v>
      </c>
      <c r="Q355" s="98">
        <v>3384.7406567976341</v>
      </c>
      <c r="R355" s="95">
        <v>3110.5842052924631</v>
      </c>
      <c r="S355" s="99">
        <v>1972.0279428100707</v>
      </c>
      <c r="U355" s="121">
        <v>8485.2437507736777</v>
      </c>
      <c r="V355" s="59">
        <v>94128.39548244451</v>
      </c>
      <c r="W355" s="59">
        <v>131255.27612189023</v>
      </c>
      <c r="X355" s="59">
        <v>440643.4203804275</v>
      </c>
      <c r="Y355" s="59">
        <v>1388716.8883429402</v>
      </c>
      <c r="Z355" s="59">
        <v>3121071.5887467391</v>
      </c>
      <c r="AA355" s="59">
        <v>1851580.9618577643</v>
      </c>
      <c r="AB355" s="59">
        <v>7035881.7746829791</v>
      </c>
      <c r="AC355" s="59">
        <v>2252415321.2994666</v>
      </c>
      <c r="AD355" s="68">
        <v>7035881.7746829791</v>
      </c>
    </row>
    <row r="356" spans="1:30" x14ac:dyDescent="0.2">
      <c r="A356" s="95">
        <v>348</v>
      </c>
      <c r="B356" s="95">
        <v>29</v>
      </c>
      <c r="C356" s="95">
        <v>0</v>
      </c>
      <c r="D356" s="95"/>
      <c r="E356" s="95">
        <v>42.746732250585197</v>
      </c>
      <c r="F356" s="95">
        <v>475.83229702556963</v>
      </c>
      <c r="G356" s="95">
        <v>664.33955175071173</v>
      </c>
      <c r="H356" s="95">
        <v>1084.735291844481</v>
      </c>
      <c r="I356" s="95">
        <v>2943.8634650204431</v>
      </c>
      <c r="J356" s="95">
        <v>116.10251711363456</v>
      </c>
      <c r="K356" s="95">
        <v>479.46866944752128</v>
      </c>
      <c r="L356" s="95">
        <v>192.11538115589295</v>
      </c>
      <c r="M356" s="95">
        <v>3397.8209046588136</v>
      </c>
      <c r="N356" s="95">
        <v>602.97518973235083</v>
      </c>
      <c r="O356" s="95">
        <v>10000.000000000004</v>
      </c>
      <c r="Q356" s="98">
        <v>3397.8209046588136</v>
      </c>
      <c r="R356" s="95">
        <v>3120.1646486130885</v>
      </c>
      <c r="S356" s="99">
        <v>1978.8438732608136</v>
      </c>
      <c r="U356" s="121">
        <v>8396.1486913905537</v>
      </c>
      <c r="V356" s="59">
        <v>93473.787511068731</v>
      </c>
      <c r="W356" s="59">
        <v>130511.02470491389</v>
      </c>
      <c r="X356" s="59">
        <v>438755.69925985654</v>
      </c>
      <c r="Y356" s="59">
        <v>1386501.1878677835</v>
      </c>
      <c r="Z356" s="59">
        <v>3118536.6699748496</v>
      </c>
      <c r="AA356" s="59">
        <v>1849955.1272872915</v>
      </c>
      <c r="AB356" s="59">
        <v>7026129.6452971539</v>
      </c>
      <c r="AC356" s="59">
        <v>2259441450.9447637</v>
      </c>
      <c r="AD356" s="68">
        <v>7026129.6452971539</v>
      </c>
    </row>
    <row r="357" spans="1:30" x14ac:dyDescent="0.2">
      <c r="A357" s="95">
        <v>349</v>
      </c>
      <c r="B357" s="95">
        <v>29</v>
      </c>
      <c r="C357" s="95">
        <v>1</v>
      </c>
      <c r="D357" s="95"/>
      <c r="E357" s="95">
        <v>42.308578245016697</v>
      </c>
      <c r="F357" s="95">
        <v>472.64068274590227</v>
      </c>
      <c r="G357" s="95">
        <v>660.7344652279271</v>
      </c>
      <c r="H357" s="95">
        <v>1080.3505452282359</v>
      </c>
      <c r="I357" s="95">
        <v>2939.8752441385891</v>
      </c>
      <c r="J357" s="95">
        <v>115.96370356123543</v>
      </c>
      <c r="K357" s="95">
        <v>479.26642118637608</v>
      </c>
      <c r="L357" s="95">
        <v>191.99262858555488</v>
      </c>
      <c r="M357" s="95">
        <v>3410.8929393960111</v>
      </c>
      <c r="N357" s="95">
        <v>605.9747916851552</v>
      </c>
      <c r="O357" s="95">
        <v>10000.000000000004</v>
      </c>
      <c r="Q357" s="98">
        <v>3410.8929393960111</v>
      </c>
      <c r="R357" s="95">
        <v>3129.7322048744049</v>
      </c>
      <c r="S357" s="99">
        <v>1985.6532840271839</v>
      </c>
      <c r="U357" s="121">
        <v>8307.9891301309544</v>
      </c>
      <c r="V357" s="59">
        <v>92823.438625306429</v>
      </c>
      <c r="W357" s="59">
        <v>129770.13718420613</v>
      </c>
      <c r="X357" s="59">
        <v>436872.31907766749</v>
      </c>
      <c r="Y357" s="59">
        <v>1384275.68932666</v>
      </c>
      <c r="Z357" s="59">
        <v>3115966.6586443461</v>
      </c>
      <c r="AA357" s="59">
        <v>1848309.0979328363</v>
      </c>
      <c r="AB357" s="59">
        <v>7016325.3299211534</v>
      </c>
      <c r="AC357" s="59">
        <v>2266457776.2746849</v>
      </c>
      <c r="AD357" s="68">
        <v>7016325.3299211534</v>
      </c>
    </row>
    <row r="358" spans="1:30" x14ac:dyDescent="0.2">
      <c r="A358" s="95">
        <v>350</v>
      </c>
      <c r="B358" s="95">
        <v>29</v>
      </c>
      <c r="C358" s="95">
        <v>2</v>
      </c>
      <c r="D358" s="95"/>
      <c r="E358" s="95">
        <v>41.874915318005279</v>
      </c>
      <c r="F358" s="95">
        <v>469.46899953963475</v>
      </c>
      <c r="G358" s="95">
        <v>657.14462484581736</v>
      </c>
      <c r="H358" s="95">
        <v>1075.9743260040282</v>
      </c>
      <c r="I358" s="95">
        <v>2935.8642461254472</v>
      </c>
      <c r="J358" s="95">
        <v>115.82383533644531</v>
      </c>
      <c r="K358" s="95">
        <v>479.05836208358807</v>
      </c>
      <c r="L358" s="95">
        <v>191.86771972915759</v>
      </c>
      <c r="M358" s="95">
        <v>3423.9566131982651</v>
      </c>
      <c r="N358" s="95">
        <v>608.9663578196147</v>
      </c>
      <c r="O358" s="95">
        <v>10000.000000000004</v>
      </c>
      <c r="Q358" s="98">
        <v>3423.9566131982651</v>
      </c>
      <c r="R358" s="95">
        <v>3139.2867994178555</v>
      </c>
      <c r="S358" s="99">
        <v>1992.4561091855821</v>
      </c>
      <c r="U358" s="121">
        <v>8220.7552442645792</v>
      </c>
      <c r="V358" s="59">
        <v>92177.324583426962</v>
      </c>
      <c r="W358" s="59">
        <v>129032.60756640518</v>
      </c>
      <c r="X358" s="59">
        <v>434993.30387244018</v>
      </c>
      <c r="Y358" s="59">
        <v>1382040.4921991394</v>
      </c>
      <c r="Z358" s="59">
        <v>3113361.785010926</v>
      </c>
      <c r="AA358" s="59">
        <v>1846643.0081445789</v>
      </c>
      <c r="AB358" s="59">
        <v>7006469.2766211815</v>
      </c>
      <c r="AC358" s="59">
        <v>2273464245.5513062</v>
      </c>
      <c r="AD358" s="68">
        <v>7006469.2766211815</v>
      </c>
    </row>
    <row r="359" spans="1:30" x14ac:dyDescent="0.2">
      <c r="A359" s="95">
        <v>351</v>
      </c>
      <c r="B359" s="95">
        <v>29</v>
      </c>
      <c r="C359" s="95">
        <v>3</v>
      </c>
      <c r="D359" s="95"/>
      <c r="E359" s="95">
        <v>41.445697435995726</v>
      </c>
      <c r="F359" s="95">
        <v>466.31714005080971</v>
      </c>
      <c r="G359" s="95">
        <v>653.570011698342</v>
      </c>
      <c r="H359" s="95">
        <v>1071.6066999381121</v>
      </c>
      <c r="I359" s="95">
        <v>2931.8306654000362</v>
      </c>
      <c r="J359" s="95">
        <v>115.68292168389587</v>
      </c>
      <c r="K359" s="95">
        <v>478.84452143657211</v>
      </c>
      <c r="L359" s="95">
        <v>191.74066691479035</v>
      </c>
      <c r="M359" s="95">
        <v>3437.011779107344</v>
      </c>
      <c r="N359" s="95">
        <v>611.94989633410569</v>
      </c>
      <c r="O359" s="95">
        <v>10000.000000000004</v>
      </c>
      <c r="Q359" s="98">
        <v>3437.011779107344</v>
      </c>
      <c r="R359" s="95">
        <v>3148.8283582177633</v>
      </c>
      <c r="S359" s="99">
        <v>1999.2522832581087</v>
      </c>
      <c r="U359" s="121">
        <v>8134.4373141998012</v>
      </c>
      <c r="V359" s="59">
        <v>91535.421237821691</v>
      </c>
      <c r="W359" s="59">
        <v>128298.4297508656</v>
      </c>
      <c r="X359" s="59">
        <v>433118.6773089596</v>
      </c>
      <c r="Y359" s="59">
        <v>1379795.6957213606</v>
      </c>
      <c r="Z359" s="59">
        <v>3110722.2789620175</v>
      </c>
      <c r="AA359" s="59">
        <v>1844956.9921635804</v>
      </c>
      <c r="AB359" s="59">
        <v>6996561.9324588049</v>
      </c>
      <c r="AC359" s="59">
        <v>2280460807.4837651</v>
      </c>
      <c r="AD359" s="68">
        <v>6996561.9324588049</v>
      </c>
    </row>
    <row r="360" spans="1:30" x14ac:dyDescent="0.2">
      <c r="A360" s="95">
        <v>352</v>
      </c>
      <c r="B360" s="95">
        <v>29</v>
      </c>
      <c r="C360" s="95">
        <v>4</v>
      </c>
      <c r="D360" s="95"/>
      <c r="E360" s="95">
        <v>41.020879037276771</v>
      </c>
      <c r="F360" s="95">
        <v>463.18499728875872</v>
      </c>
      <c r="G360" s="95">
        <v>650.01060631753603</v>
      </c>
      <c r="H360" s="95">
        <v>1067.247731939058</v>
      </c>
      <c r="I360" s="95">
        <v>2927.7746960612212</v>
      </c>
      <c r="J360" s="95">
        <v>115.54097180478843</v>
      </c>
      <c r="K360" s="95">
        <v>478.62492856670633</v>
      </c>
      <c r="L360" s="95">
        <v>191.61148247093104</v>
      </c>
      <c r="M360" s="95">
        <v>3450.0582910173425</v>
      </c>
      <c r="N360" s="95">
        <v>614.92541549638497</v>
      </c>
      <c r="O360" s="95">
        <v>10000.000000000004</v>
      </c>
      <c r="Q360" s="98">
        <v>3450.0582910173425</v>
      </c>
      <c r="R360" s="95">
        <v>3158.3568078803132</v>
      </c>
      <c r="S360" s="99">
        <v>2006.0417412120914</v>
      </c>
      <c r="U360" s="121">
        <v>8049.0257224007037</v>
      </c>
      <c r="V360" s="59">
        <v>90897.704535272205</v>
      </c>
      <c r="W360" s="59">
        <v>127567.59753147836</v>
      </c>
      <c r="X360" s="59">
        <v>431248.46267990128</v>
      </c>
      <c r="Y360" s="59">
        <v>1377541.3988830848</v>
      </c>
      <c r="Z360" s="59">
        <v>3108048.3700160314</v>
      </c>
      <c r="AA360" s="59">
        <v>1843251.1841161028</v>
      </c>
      <c r="AB360" s="59">
        <v>6986603.7434842717</v>
      </c>
      <c r="AC360" s="59">
        <v>2287447411.2272496</v>
      </c>
      <c r="AD360" s="68">
        <v>6986603.7434842717</v>
      </c>
    </row>
    <row r="361" spans="1:30" x14ac:dyDescent="0.2">
      <c r="A361" s="95">
        <v>353</v>
      </c>
      <c r="B361" s="95">
        <v>29</v>
      </c>
      <c r="C361" s="95">
        <v>5</v>
      </c>
      <c r="D361" s="95"/>
      <c r="E361" s="95">
        <v>40.600415027144685</v>
      </c>
      <c r="F361" s="95">
        <v>460.07246462993243</v>
      </c>
      <c r="G361" s="95">
        <v>646.46638868199727</v>
      </c>
      <c r="H361" s="95">
        <v>1062.897486060853</v>
      </c>
      <c r="I361" s="95">
        <v>2923.6965318809976</v>
      </c>
      <c r="J361" s="95">
        <v>115.39799485734763</v>
      </c>
      <c r="K361" s="95">
        <v>478.39961281839334</v>
      </c>
      <c r="L361" s="95">
        <v>191.48017872594818</v>
      </c>
      <c r="M361" s="95">
        <v>3463.0960036742617</v>
      </c>
      <c r="N361" s="95">
        <v>617.89292364312814</v>
      </c>
      <c r="O361" s="95">
        <v>10000.000000000004</v>
      </c>
      <c r="Q361" s="98">
        <v>3463.0960036742617</v>
      </c>
      <c r="R361" s="95">
        <v>3167.8720756425123</v>
      </c>
      <c r="S361" s="99">
        <v>2012.8244184596012</v>
      </c>
      <c r="U361" s="121">
        <v>7964.510952315497</v>
      </c>
      <c r="V361" s="59">
        <v>90264.150517205984</v>
      </c>
      <c r="W361" s="59">
        <v>126840.10459847315</v>
      </c>
      <c r="X361" s="59">
        <v>429382.68290753569</v>
      </c>
      <c r="Y361" s="59">
        <v>1375277.700424779</v>
      </c>
      <c r="Z361" s="59">
        <v>3105340.2873214935</v>
      </c>
      <c r="AA361" s="59">
        <v>1841525.7180080577</v>
      </c>
      <c r="AB361" s="59">
        <v>6976595.1547298608</v>
      </c>
      <c r="AC361" s="59">
        <v>2294424006.3819795</v>
      </c>
      <c r="AD361" s="68">
        <v>6976595.1547298608</v>
      </c>
    </row>
    <row r="362" spans="1:30" x14ac:dyDescent="0.2">
      <c r="A362" s="95">
        <v>354</v>
      </c>
      <c r="B362" s="95">
        <v>29</v>
      </c>
      <c r="C362" s="95">
        <v>6</v>
      </c>
      <c r="D362" s="95"/>
      <c r="E362" s="95">
        <v>40.184260773116449</v>
      </c>
      <c r="F362" s="95">
        <v>456.97943581967007</v>
      </c>
      <c r="G362" s="95">
        <v>642.93733822529828</v>
      </c>
      <c r="H362" s="95">
        <v>1058.5560255060543</v>
      </c>
      <c r="I362" s="95">
        <v>2919.5963662978374</v>
      </c>
      <c r="J362" s="95">
        <v>115.25399995726151</v>
      </c>
      <c r="K362" s="95">
        <v>478.16860355811752</v>
      </c>
      <c r="L362" s="95">
        <v>191.34676800761056</v>
      </c>
      <c r="M362" s="95">
        <v>3476.1247726755682</v>
      </c>
      <c r="N362" s="95">
        <v>620.85242917946937</v>
      </c>
      <c r="O362" s="95">
        <v>10000.000000000004</v>
      </c>
      <c r="Q362" s="98">
        <v>3476.1247726755682</v>
      </c>
      <c r="R362" s="95">
        <v>3177.3740893711256</v>
      </c>
      <c r="S362" s="99">
        <v>2019.6002508569584</v>
      </c>
      <c r="U362" s="121">
        <v>7880.8835873161834</v>
      </c>
      <c r="V362" s="59">
        <v>89634.735319939617</v>
      </c>
      <c r="W362" s="59">
        <v>126115.9445402031</v>
      </c>
      <c r="X362" s="59">
        <v>427521.36054545274</v>
      </c>
      <c r="Y362" s="59">
        <v>1373004.6988347366</v>
      </c>
      <c r="Z362" s="59">
        <v>3102598.2596560512</v>
      </c>
      <c r="AA362" s="59">
        <v>1839780.7277195789</v>
      </c>
      <c r="AB362" s="59">
        <v>6966536.6102032783</v>
      </c>
      <c r="AC362" s="59">
        <v>2301390542.9921827</v>
      </c>
      <c r="AD362" s="68">
        <v>6966536.6102032783</v>
      </c>
    </row>
    <row r="363" spans="1:30" x14ac:dyDescent="0.2">
      <c r="A363" s="95">
        <v>355</v>
      </c>
      <c r="B363" s="95">
        <v>29</v>
      </c>
      <c r="C363" s="95">
        <v>7</v>
      </c>
      <c r="D363" s="95"/>
      <c r="E363" s="95">
        <v>39.772372100192008</v>
      </c>
      <c r="F363" s="95">
        <v>453.9058049739088</v>
      </c>
      <c r="G363" s="95">
        <v>639.42343384432195</v>
      </c>
      <c r="H363" s="95">
        <v>1054.2234126289957</v>
      </c>
      <c r="I363" s="95">
        <v>2915.4743924100981</v>
      </c>
      <c r="J363" s="95">
        <v>115.10899617810851</v>
      </c>
      <c r="K363" s="95">
        <v>477.93193017349944</v>
      </c>
      <c r="L363" s="95">
        <v>191.21126264260391</v>
      </c>
      <c r="M363" s="95">
        <v>3489.1444544697333</v>
      </c>
      <c r="N363" s="95">
        <v>623.80394057854187</v>
      </c>
      <c r="O363" s="95">
        <v>10000.000000000004</v>
      </c>
      <c r="Q363" s="98">
        <v>3489.1444544697333</v>
      </c>
      <c r="R363" s="95">
        <v>3186.8627775615937</v>
      </c>
      <c r="S363" s="99">
        <v>2026.3691747042265</v>
      </c>
      <c r="U363" s="121">
        <v>7798.1343096493638</v>
      </c>
      <c r="V363" s="59">
        <v>89009.435174909755</v>
      </c>
      <c r="W363" s="59">
        <v>125395.11084491215</v>
      </c>
      <c r="X363" s="59">
        <v>425664.51778030454</v>
      </c>
      <c r="Y363" s="59">
        <v>1370722.4923462295</v>
      </c>
      <c r="Z363" s="59">
        <v>3099822.5154253668</v>
      </c>
      <c r="AA363" s="59">
        <v>1838016.3469997121</v>
      </c>
      <c r="AB363" s="59">
        <v>6956428.5528810844</v>
      </c>
      <c r="AC363" s="59">
        <v>2308346971.545064</v>
      </c>
      <c r="AD363" s="68">
        <v>6956428.5528810844</v>
      </c>
    </row>
    <row r="364" spans="1:30" x14ac:dyDescent="0.2">
      <c r="A364" s="95">
        <v>356</v>
      </c>
      <c r="B364" s="95">
        <v>29</v>
      </c>
      <c r="C364" s="95">
        <v>8</v>
      </c>
      <c r="D364" s="95"/>
      <c r="E364" s="95">
        <v>39.364705286165041</v>
      </c>
      <c r="F364" s="95">
        <v>450.85146658083352</v>
      </c>
      <c r="G364" s="95">
        <v>635.9246539075217</v>
      </c>
      <c r="H364" s="95">
        <v>1049.8997089390441</v>
      </c>
      <c r="I364" s="95">
        <v>2911.3308029694954</v>
      </c>
      <c r="J364" s="95">
        <v>114.96299255177155</v>
      </c>
      <c r="K364" s="95">
        <v>477.68962207234699</v>
      </c>
      <c r="L364" s="95">
        <v>191.07367495605419</v>
      </c>
      <c r="M364" s="95">
        <v>3502.1549063557532</v>
      </c>
      <c r="N364" s="95">
        <v>626.74746638101772</v>
      </c>
      <c r="O364" s="95">
        <v>10000.000000000004</v>
      </c>
      <c r="Q364" s="98">
        <v>3502.1549063557532</v>
      </c>
      <c r="R364" s="95">
        <v>3196.3380693369263</v>
      </c>
      <c r="S364" s="99">
        <v>2033.1311267446974</v>
      </c>
      <c r="U364" s="121">
        <v>7716.2538993980461</v>
      </c>
      <c r="V364" s="59">
        <v>88388.226408892035</v>
      </c>
      <c r="W364" s="59">
        <v>124677.59690248495</v>
      </c>
      <c r="X364" s="59">
        <v>423812.17643356667</v>
      </c>
      <c r="Y364" s="59">
        <v>1368431.1789346966</v>
      </c>
      <c r="Z364" s="59">
        <v>3097013.2826618995</v>
      </c>
      <c r="AA364" s="59">
        <v>1836232.709461218</v>
      </c>
      <c r="AB364" s="59">
        <v>6946271.4247021554</v>
      </c>
      <c r="AC364" s="59">
        <v>2315293242.9697661</v>
      </c>
      <c r="AD364" s="68">
        <v>6946271.4247021554</v>
      </c>
    </row>
    <row r="365" spans="1:30" x14ac:dyDescent="0.2">
      <c r="A365" s="95">
        <v>357</v>
      </c>
      <c r="B365" s="95">
        <v>29</v>
      </c>
      <c r="C365" s="95">
        <v>9</v>
      </c>
      <c r="D365" s="95"/>
      <c r="E365" s="95">
        <v>38.961217056981852</v>
      </c>
      <c r="F365" s="95">
        <v>447.81631550246897</v>
      </c>
      <c r="G365" s="95">
        <v>632.4409762631069</v>
      </c>
      <c r="H365" s="95">
        <v>1045.5849751039057</v>
      </c>
      <c r="I365" s="95">
        <v>2907.1657903746395</v>
      </c>
      <c r="J365" s="95">
        <v>114.81599806883982</v>
      </c>
      <c r="K365" s="95">
        <v>477.44170868170374</v>
      </c>
      <c r="L365" s="95">
        <v>190.93401727105766</v>
      </c>
      <c r="M365" s="95">
        <v>3515.15598648265</v>
      </c>
      <c r="N365" s="95">
        <v>629.68301519464933</v>
      </c>
      <c r="O365" s="95">
        <v>10000.000000000004</v>
      </c>
      <c r="Q365" s="98">
        <v>3515.15598648265</v>
      </c>
      <c r="R365" s="95">
        <v>3205.7998944465771</v>
      </c>
      <c r="S365" s="99">
        <v>2039.8860441643651</v>
      </c>
      <c r="U365" s="121">
        <v>7635.2332334543662</v>
      </c>
      <c r="V365" s="59">
        <v>87771.085444208191</v>
      </c>
      <c r="W365" s="59">
        <v>123963.39600617957</v>
      </c>
      <c r="X365" s="59">
        <v>421964.35796331725</v>
      </c>
      <c r="Y365" s="59">
        <v>1366130.8563149662</v>
      </c>
      <c r="Z365" s="59">
        <v>3094170.7890235749</v>
      </c>
      <c r="AA365" s="59">
        <v>1834429.9485754855</v>
      </c>
      <c r="AB365" s="59">
        <v>6936065.6665611863</v>
      </c>
      <c r="AC365" s="59">
        <v>2322229308.6363273</v>
      </c>
      <c r="AD365" s="68">
        <v>6936065.6665611863</v>
      </c>
    </row>
    <row r="366" spans="1:30" x14ac:dyDescent="0.2">
      <c r="A366" s="95">
        <v>358</v>
      </c>
      <c r="B366" s="95">
        <v>29</v>
      </c>
      <c r="C366" s="95">
        <v>10</v>
      </c>
      <c r="D366" s="95"/>
      <c r="E366" s="95">
        <v>38.561864582147791</v>
      </c>
      <c r="F366" s="95">
        <v>444.80024697621417</v>
      </c>
      <c r="G366" s="95">
        <v>628.97237824715342</v>
      </c>
      <c r="H366" s="95">
        <v>1041.2792709529804</v>
      </c>
      <c r="I366" s="95">
        <v>2902.9795466646351</v>
      </c>
      <c r="J366" s="95">
        <v>114.66802167899831</v>
      </c>
      <c r="K366" s="95">
        <v>477.18821944689449</v>
      </c>
      <c r="L366" s="95">
        <v>190.79230190821715</v>
      </c>
      <c r="M366" s="95">
        <v>3528.1475538489517</v>
      </c>
      <c r="N366" s="95">
        <v>632.61059569381075</v>
      </c>
      <c r="O366" s="95">
        <v>10000.000000000004</v>
      </c>
      <c r="Q366" s="98">
        <v>3528.1475538489517</v>
      </c>
      <c r="R366" s="95">
        <v>3215.2481832652948</v>
      </c>
      <c r="S366" s="99">
        <v>2046.6338645913886</v>
      </c>
      <c r="U366" s="121">
        <v>7555.0632845030959</v>
      </c>
      <c r="V366" s="59">
        <v>87157.988798921404</v>
      </c>
      <c r="W366" s="59">
        <v>123252.50135434294</v>
      </c>
      <c r="X366" s="59">
        <v>420121.08346603246</v>
      </c>
      <c r="Y366" s="59">
        <v>1363821.6219385115</v>
      </c>
      <c r="Z366" s="59">
        <v>3091295.2617923515</v>
      </c>
      <c r="AA366" s="59">
        <v>1832608.1976675487</v>
      </c>
      <c r="AB366" s="59">
        <v>6925811.7183022117</v>
      </c>
      <c r="AC366" s="59">
        <v>2329155120.3546295</v>
      </c>
      <c r="AD366" s="68">
        <v>6925811.7183022117</v>
      </c>
    </row>
    <row r="367" spans="1:30" x14ac:dyDescent="0.2">
      <c r="A367" s="95">
        <v>359</v>
      </c>
      <c r="B367" s="95">
        <v>29</v>
      </c>
      <c r="C367" s="95">
        <v>11</v>
      </c>
      <c r="D367" s="95"/>
      <c r="E367" s="95">
        <v>38.166605470180777</v>
      </c>
      <c r="F367" s="95">
        <v>441.80315661632051</v>
      </c>
      <c r="G367" s="95">
        <v>625.51883669163988</v>
      </c>
      <c r="H367" s="95">
        <v>1036.9826554807632</v>
      </c>
      <c r="I367" s="95">
        <v>2898.7722635127461</v>
      </c>
      <c r="J367" s="95">
        <v>114.51907229140558</v>
      </c>
      <c r="K367" s="95">
        <v>476.92918383056843</v>
      </c>
      <c r="L367" s="95">
        <v>190.64854118518446</v>
      </c>
      <c r="M367" s="95">
        <v>3541.1294683021551</v>
      </c>
      <c r="N367" s="95">
        <v>635.53021661903938</v>
      </c>
      <c r="O367" s="95">
        <v>10000.000000000004</v>
      </c>
      <c r="Q367" s="98">
        <v>3541.1294683021551</v>
      </c>
      <c r="R367" s="95">
        <v>3224.6828667919549</v>
      </c>
      <c r="S367" s="99">
        <v>2053.3745260955438</v>
      </c>
      <c r="U367" s="121">
        <v>7475.7351200158137</v>
      </c>
      <c r="V367" s="59">
        <v>86548.91308702041</v>
      </c>
      <c r="W367" s="59">
        <v>122544.90605210947</v>
      </c>
      <c r="X367" s="59">
        <v>418282.37367839972</v>
      </c>
      <c r="Y367" s="59">
        <v>1361503.5729907434</v>
      </c>
      <c r="Z367" s="59">
        <v>3088386.9278726857</v>
      </c>
      <c r="AA367" s="59">
        <v>1830767.5899112052</v>
      </c>
      <c r="AB367" s="59">
        <v>6915510.0187121797</v>
      </c>
      <c r="AC367" s="59">
        <v>2336070630.3733416</v>
      </c>
      <c r="AD367" s="68">
        <v>6915510.0187121797</v>
      </c>
    </row>
    <row r="368" spans="1:30" x14ac:dyDescent="0.2">
      <c r="A368" s="95">
        <v>360</v>
      </c>
      <c r="B368" s="95">
        <v>30</v>
      </c>
      <c r="C368" s="95">
        <v>0</v>
      </c>
      <c r="D368" s="95"/>
      <c r="E368" s="95">
        <v>37.775397764111425</v>
      </c>
      <c r="F368" s="95">
        <v>438.82494041531436</v>
      </c>
      <c r="G368" s="95">
        <v>622.08032793240989</v>
      </c>
      <c r="H368" s="95">
        <v>1032.695186850292</v>
      </c>
      <c r="I368" s="95">
        <v>2894.5441322201227</v>
      </c>
      <c r="J368" s="95">
        <v>114.36915877505997</v>
      </c>
      <c r="K368" s="95">
        <v>476.66463131173998</v>
      </c>
      <c r="L368" s="95">
        <v>190.50274741620845</v>
      </c>
      <c r="M368" s="95">
        <v>3554.1015905381664</v>
      </c>
      <c r="N368" s="95">
        <v>638.44188677657871</v>
      </c>
      <c r="O368" s="95">
        <v>10000.000000000004</v>
      </c>
      <c r="Q368" s="98">
        <v>3554.1015905381664</v>
      </c>
      <c r="R368" s="95">
        <v>3234.1038766483712</v>
      </c>
      <c r="S368" s="99">
        <v>2060.1079671876664</v>
      </c>
      <c r="U368" s="121">
        <v>7397.239901255648</v>
      </c>
      <c r="V368" s="59">
        <v>85943.835018592246</v>
      </c>
      <c r="W368" s="59">
        <v>121840.60311308234</v>
      </c>
      <c r="X368" s="59">
        <v>416448.24897914607</v>
      </c>
      <c r="Y368" s="59">
        <v>1359176.8063883334</v>
      </c>
      <c r="Z368" s="59">
        <v>3085446.0137898983</v>
      </c>
      <c r="AA368" s="59">
        <v>1828908.2583242299</v>
      </c>
      <c r="AB368" s="59">
        <v>6905161.0055145379</v>
      </c>
      <c r="AC368" s="59">
        <v>2342975791.3788562</v>
      </c>
      <c r="AD368" s="68">
        <v>6905161.0055145379</v>
      </c>
    </row>
    <row r="369" spans="1:30" x14ac:dyDescent="0.2">
      <c r="A369" s="95">
        <v>361</v>
      </c>
      <c r="B369" s="95">
        <v>30</v>
      </c>
      <c r="C369" s="95">
        <v>1</v>
      </c>
      <c r="D369" s="95"/>
      <c r="E369" s="95">
        <v>37.378756087588258</v>
      </c>
      <c r="F369" s="95">
        <v>435.75578851026114</v>
      </c>
      <c r="G369" s="95">
        <v>618.50130773507829</v>
      </c>
      <c r="H369" s="95">
        <v>1028.1587485999255</v>
      </c>
      <c r="I369" s="95">
        <v>2889.5717076765382</v>
      </c>
      <c r="J369" s="95">
        <v>114.1896976694609</v>
      </c>
      <c r="K369" s="95">
        <v>476.27542522699952</v>
      </c>
      <c r="L369" s="95">
        <v>190.30730722483489</v>
      </c>
      <c r="M369" s="95">
        <v>3567.0637821007244</v>
      </c>
      <c r="N369" s="95">
        <v>642.79747916859264</v>
      </c>
      <c r="O369" s="95">
        <v>10000.000000000004</v>
      </c>
      <c r="Q369" s="98">
        <v>3567.0637821007244</v>
      </c>
      <c r="R369" s="95">
        <v>3243.5111450780864</v>
      </c>
      <c r="S369" s="99">
        <v>2066.8341268190816</v>
      </c>
      <c r="U369" s="121">
        <v>7316.4866990002738</v>
      </c>
      <c r="V369" s="59">
        <v>85306.921468726112</v>
      </c>
      <c r="W369" s="59">
        <v>121088.81854303462</v>
      </c>
      <c r="X369" s="59">
        <v>414445.20928714139</v>
      </c>
      <c r="Y369" s="59">
        <v>1356275.0951072471</v>
      </c>
      <c r="Z369" s="59">
        <v>3081187.1431826963</v>
      </c>
      <c r="AA369" s="59">
        <v>1826268.2906560486</v>
      </c>
      <c r="AB369" s="59">
        <v>6891887.9649438942</v>
      </c>
      <c r="AC369" s="59">
        <v>2349867679.3438001</v>
      </c>
      <c r="AD369" s="68">
        <v>6891887.9649438942</v>
      </c>
    </row>
    <row r="370" spans="1:30" x14ac:dyDescent="0.2">
      <c r="A370" s="95">
        <v>362</v>
      </c>
      <c r="B370" s="95">
        <v>30</v>
      </c>
      <c r="C370" s="95">
        <v>2</v>
      </c>
      <c r="D370" s="95"/>
      <c r="E370" s="95">
        <v>36.986279148668579</v>
      </c>
      <c r="F370" s="95">
        <v>432.70681103878474</v>
      </c>
      <c r="G370" s="95">
        <v>614.93902217887387</v>
      </c>
      <c r="H370" s="95">
        <v>1023.6337747126937</v>
      </c>
      <c r="I370" s="95">
        <v>2884.5811217566752</v>
      </c>
      <c r="J370" s="95">
        <v>114.00759307105</v>
      </c>
      <c r="K370" s="95">
        <v>475.88270562000139</v>
      </c>
      <c r="L370" s="95">
        <v>190.1099444177018</v>
      </c>
      <c r="M370" s="95">
        <v>3580.0126648329137</v>
      </c>
      <c r="N370" s="95">
        <v>647.14008322264067</v>
      </c>
      <c r="O370" s="95">
        <v>10000.000000000004</v>
      </c>
      <c r="Q370" s="98">
        <v>3580.0126648329137</v>
      </c>
      <c r="R370" s="95">
        <v>3252.9022531280352</v>
      </c>
      <c r="S370" s="99">
        <v>2073.5512628411175</v>
      </c>
      <c r="U370" s="121">
        <v>7236.6150525361882</v>
      </c>
      <c r="V370" s="59">
        <v>84674.475111924374</v>
      </c>
      <c r="W370" s="59">
        <v>120340.91742970754</v>
      </c>
      <c r="X370" s="59">
        <v>412448.39127418137</v>
      </c>
      <c r="Y370" s="59">
        <v>1353367.041312661</v>
      </c>
      <c r="Z370" s="59">
        <v>3076899.1577097243</v>
      </c>
      <c r="AA370" s="59">
        <v>1823611.747160302</v>
      </c>
      <c r="AB370" s="59">
        <v>6878578.3450510371</v>
      </c>
      <c r="AC370" s="59">
        <v>2356746257.6888509</v>
      </c>
      <c r="AD370" s="68">
        <v>6878578.3450510371</v>
      </c>
    </row>
    <row r="371" spans="1:30" x14ac:dyDescent="0.2">
      <c r="A371" s="95">
        <v>363</v>
      </c>
      <c r="B371" s="95">
        <v>30</v>
      </c>
      <c r="C371" s="95">
        <v>3</v>
      </c>
      <c r="D371" s="95"/>
      <c r="E371" s="95">
        <v>36.597923217607558</v>
      </c>
      <c r="F371" s="95">
        <v>429.67789057401376</v>
      </c>
      <c r="G371" s="95">
        <v>611.39343426864241</v>
      </c>
      <c r="H371" s="95">
        <v>1019.1203131145586</v>
      </c>
      <c r="I371" s="95">
        <v>2879.5725791164882</v>
      </c>
      <c r="J371" s="95">
        <v>113.82289808584436</v>
      </c>
      <c r="K371" s="95">
        <v>475.4864727536177</v>
      </c>
      <c r="L371" s="95">
        <v>189.91067277182404</v>
      </c>
      <c r="M371" s="95">
        <v>3592.948097435808</v>
      </c>
      <c r="N371" s="95">
        <v>651.46971866159902</v>
      </c>
      <c r="O371" s="95">
        <v>10000.000000000004</v>
      </c>
      <c r="Q371" s="98">
        <v>3592.948097435808</v>
      </c>
      <c r="R371" s="95">
        <v>3262.2771417737445</v>
      </c>
      <c r="S371" s="99">
        <v>2080.2593191757496</v>
      </c>
      <c r="U371" s="121">
        <v>7157.6153382126686</v>
      </c>
      <c r="V371" s="59">
        <v>84046.467689013225</v>
      </c>
      <c r="W371" s="59">
        <v>119596.88805045193</v>
      </c>
      <c r="X371" s="59">
        <v>410457.80749226391</v>
      </c>
      <c r="Y371" s="59">
        <v>1350452.7504404583</v>
      </c>
      <c r="Z371" s="59">
        <v>3072582.4113722895</v>
      </c>
      <c r="AA371" s="59">
        <v>1820938.7823213681</v>
      </c>
      <c r="AB371" s="59">
        <v>6865232.7227040576</v>
      </c>
      <c r="AC371" s="59">
        <v>2363611490.4115548</v>
      </c>
      <c r="AD371" s="68">
        <v>6865232.7227040576</v>
      </c>
    </row>
    <row r="372" spans="1:30" x14ac:dyDescent="0.2">
      <c r="A372" s="95">
        <v>364</v>
      </c>
      <c r="B372" s="95">
        <v>30</v>
      </c>
      <c r="C372" s="95">
        <v>4</v>
      </c>
      <c r="D372" s="95"/>
      <c r="E372" s="95">
        <v>36.213645023822679</v>
      </c>
      <c r="F372" s="95">
        <v>426.66891018255563</v>
      </c>
      <c r="G372" s="95">
        <v>607.86450657515377</v>
      </c>
      <c r="H372" s="95">
        <v>1014.6184108623017</v>
      </c>
      <c r="I372" s="95">
        <v>2874.5462838178273</v>
      </c>
      <c r="J372" s="95">
        <v>113.63566486868285</v>
      </c>
      <c r="K372" s="95">
        <v>475.08672735668551</v>
      </c>
      <c r="L372" s="95">
        <v>189.70950610484061</v>
      </c>
      <c r="M372" s="95">
        <v>3605.8699399086076</v>
      </c>
      <c r="N372" s="95">
        <v>655.78640529952588</v>
      </c>
      <c r="O372" s="95">
        <v>10000.000000000004</v>
      </c>
      <c r="Q372" s="98">
        <v>3605.8699399086076</v>
      </c>
      <c r="R372" s="95">
        <v>3271.6357526558731</v>
      </c>
      <c r="S372" s="99">
        <v>2086.9582402861424</v>
      </c>
      <c r="U372" s="121">
        <v>7079.4780374371794</v>
      </c>
      <c r="V372" s="59">
        <v>83422.871080126439</v>
      </c>
      <c r="W372" s="59">
        <v>118856.71861335241</v>
      </c>
      <c r="X372" s="59">
        <v>408473.47011605802</v>
      </c>
      <c r="Y372" s="59">
        <v>1347532.3274791085</v>
      </c>
      <c r="Z372" s="59">
        <v>3068237.2536057043</v>
      </c>
      <c r="AA372" s="59">
        <v>1818249.5511501436</v>
      </c>
      <c r="AB372" s="59">
        <v>6851851.6700819302</v>
      </c>
      <c r="AC372" s="59">
        <v>2370463342.0816369</v>
      </c>
      <c r="AD372" s="68">
        <v>6851851.6700819302</v>
      </c>
    </row>
    <row r="373" spans="1:30" x14ac:dyDescent="0.2">
      <c r="A373" s="95">
        <v>365</v>
      </c>
      <c r="B373" s="95">
        <v>30</v>
      </c>
      <c r="C373" s="95">
        <v>5</v>
      </c>
      <c r="D373" s="95"/>
      <c r="E373" s="95">
        <v>35.833401751072543</v>
      </c>
      <c r="F373" s="95">
        <v>423.67975342510789</v>
      </c>
      <c r="G373" s="95">
        <v>604.35220124326395</v>
      </c>
      <c r="H373" s="95">
        <v>1010.1281141482376</v>
      </c>
      <c r="I373" s="95">
        <v>2869.5024393231042</v>
      </c>
      <c r="J373" s="95">
        <v>113.44594464259902</v>
      </c>
      <c r="K373" s="95">
        <v>474.68347061589373</v>
      </c>
      <c r="L373" s="95">
        <v>189.50645827009595</v>
      </c>
      <c r="M373" s="95">
        <v>3618.7780535400088</v>
      </c>
      <c r="N373" s="95">
        <v>660.09016304061981</v>
      </c>
      <c r="O373" s="95">
        <v>10000.000000000004</v>
      </c>
      <c r="Q373" s="98">
        <v>3618.7780535400088</v>
      </c>
      <c r="R373" s="95">
        <v>3280.9780280782811</v>
      </c>
      <c r="S373" s="99">
        <v>2093.6479711732068</v>
      </c>
      <c r="U373" s="121">
        <v>7002.1937355284908</v>
      </c>
      <c r="V373" s="59">
        <v>82803.657304580411</v>
      </c>
      <c r="W373" s="59">
        <v>118120.39725898753</v>
      </c>
      <c r="X373" s="59">
        <v>406495.39094556577</v>
      </c>
      <c r="Y373" s="59">
        <v>1344605.8769679184</v>
      </c>
      <c r="Z373" s="59">
        <v>3063864.0293885707</v>
      </c>
      <c r="AA373" s="59">
        <v>1815544.2091064416</v>
      </c>
      <c r="AB373" s="59">
        <v>6838435.7547075925</v>
      </c>
      <c r="AC373" s="59">
        <v>2377301777.8363447</v>
      </c>
      <c r="AD373" s="68">
        <v>6838435.7547075925</v>
      </c>
    </row>
    <row r="374" spans="1:30" x14ac:dyDescent="0.2">
      <c r="A374" s="95">
        <v>366</v>
      </c>
      <c r="B374" s="95">
        <v>30</v>
      </c>
      <c r="C374" s="95">
        <v>6</v>
      </c>
      <c r="D374" s="95"/>
      <c r="E374" s="95">
        <v>35.457151032686284</v>
      </c>
      <c r="F374" s="95">
        <v>420.71030435701749</v>
      </c>
      <c r="G374" s="95">
        <v>600.85647999999333</v>
      </c>
      <c r="H374" s="95">
        <v>1005.6494683049594</v>
      </c>
      <c r="I374" s="95">
        <v>2864.4412484900345</v>
      </c>
      <c r="J374" s="95">
        <v>113.25378771777476</v>
      </c>
      <c r="K374" s="95">
        <v>474.27670416778165</v>
      </c>
      <c r="L374" s="95">
        <v>189.30154315195753</v>
      </c>
      <c r="M374" s="95">
        <v>3631.6723008996141</v>
      </c>
      <c r="N374" s="95">
        <v>664.38101187818438</v>
      </c>
      <c r="O374" s="95">
        <v>10000.000000000004</v>
      </c>
      <c r="Q374" s="98">
        <v>3631.6723008996141</v>
      </c>
      <c r="R374" s="95">
        <v>3290.3039110060813</v>
      </c>
      <c r="S374" s="99">
        <v>2100.3284573722153</v>
      </c>
      <c r="U374" s="121">
        <v>6925.7531205823052</v>
      </c>
      <c r="V374" s="59">
        <v>82188.79852073903</v>
      </c>
      <c r="W374" s="59">
        <v>117387.91206216962</v>
      </c>
      <c r="X374" s="59">
        <v>404523.58140879148</v>
      </c>
      <c r="Y374" s="59">
        <v>1341673.5029953229</v>
      </c>
      <c r="Z374" s="59">
        <v>3059463.0793491644</v>
      </c>
      <c r="AA374" s="59">
        <v>1812822.9120253408</v>
      </c>
      <c r="AB374" s="59">
        <v>6824985.5394821102</v>
      </c>
      <c r="AC374" s="59">
        <v>2384126763.3758268</v>
      </c>
      <c r="AD374" s="68">
        <v>6824985.5394821102</v>
      </c>
    </row>
    <row r="375" spans="1:30" x14ac:dyDescent="0.2">
      <c r="A375" s="95">
        <v>367</v>
      </c>
      <c r="B375" s="95">
        <v>30</v>
      </c>
      <c r="C375" s="95">
        <v>7</v>
      </c>
      <c r="D375" s="95"/>
      <c r="E375" s="95">
        <v>35.084850946843076</v>
      </c>
      <c r="F375" s="95">
        <v>417.76044752878954</v>
      </c>
      <c r="G375" s="95">
        <v>597.37730416252225</v>
      </c>
      <c r="H375" s="95">
        <v>1001.182517810116</v>
      </c>
      <c r="I375" s="95">
        <v>2859.3629135664505</v>
      </c>
      <c r="J375" s="95">
        <v>113.05924351008389</v>
      </c>
      <c r="K375" s="95">
        <v>473.86643009084725</v>
      </c>
      <c r="L375" s="95">
        <v>189.09477466135959</v>
      </c>
      <c r="M375" s="95">
        <v>3644.5525458293901</v>
      </c>
      <c r="N375" s="95">
        <v>668.65897189360101</v>
      </c>
      <c r="O375" s="95">
        <v>10000.000000000004</v>
      </c>
      <c r="Q375" s="98">
        <v>3644.5525458293901</v>
      </c>
      <c r="R375" s="95">
        <v>3299.6133450636739</v>
      </c>
      <c r="S375" s="99">
        <v>2106.999644949472</v>
      </c>
      <c r="U375" s="121">
        <v>6850.1469823492816</v>
      </c>
      <c r="V375" s="59">
        <v>81578.267025868612</v>
      </c>
      <c r="W375" s="59">
        <v>116659.25103366395</v>
      </c>
      <c r="X375" s="59">
        <v>402558.05256441736</v>
      </c>
      <c r="Y375" s="59">
        <v>1338735.3091972165</v>
      </c>
      <c r="Z375" s="59">
        <v>3055034.739868972</v>
      </c>
      <c r="AA375" s="59">
        <v>1810085.8160473071</v>
      </c>
      <c r="AB375" s="59">
        <v>6811501.5827197945</v>
      </c>
      <c r="AC375" s="59">
        <v>2390938264.9585466</v>
      </c>
      <c r="AD375" s="68">
        <v>6811501.5827197945</v>
      </c>
    </row>
    <row r="376" spans="1:30" x14ac:dyDescent="0.2">
      <c r="A376" s="95">
        <v>368</v>
      </c>
      <c r="B376" s="95">
        <v>30</v>
      </c>
      <c r="C376" s="95">
        <v>8</v>
      </c>
      <c r="D376" s="95"/>
      <c r="E376" s="95">
        <v>34.716460011901226</v>
      </c>
      <c r="F376" s="95">
        <v>414.83006798654577</v>
      </c>
      <c r="G376" s="95">
        <v>593.9146346461041</v>
      </c>
      <c r="H376" s="95">
        <v>996.72730629121918</v>
      </c>
      <c r="I376" s="95">
        <v>2854.2676361851882</v>
      </c>
      <c r="J376" s="95">
        <v>112.8623605592346</v>
      </c>
      <c r="K376" s="95">
        <v>473.45265089776404</v>
      </c>
      <c r="L376" s="95">
        <v>188.88616673156301</v>
      </c>
      <c r="M376" s="95">
        <v>3657.4186534351743</v>
      </c>
      <c r="N376" s="95">
        <v>672.92406325530874</v>
      </c>
      <c r="O376" s="95">
        <v>10000.000000000004</v>
      </c>
      <c r="Q376" s="98">
        <v>3657.4186534351743</v>
      </c>
      <c r="R376" s="95">
        <v>3308.9062745327651</v>
      </c>
      <c r="S376" s="99">
        <v>2113.6614804990381</v>
      </c>
      <c r="U376" s="121">
        <v>6775.3662111253025</v>
      </c>
      <c r="V376" s="59">
        <v>80972.035255983108</v>
      </c>
      <c r="W376" s="59">
        <v>115934.40212188794</v>
      </c>
      <c r="X376" s="59">
        <v>400598.81510448613</v>
      </c>
      <c r="Y376" s="59">
        <v>1335791.3987553227</v>
      </c>
      <c r="Z376" s="59">
        <v>3050579.343183469</v>
      </c>
      <c r="AA376" s="59">
        <v>1807333.0775519228</v>
      </c>
      <c r="AB376" s="59">
        <v>6797984.4381841971</v>
      </c>
      <c r="AC376" s="59">
        <v>2397736249.3967309</v>
      </c>
      <c r="AD376" s="68">
        <v>6797984.4381841971</v>
      </c>
    </row>
    <row r="377" spans="1:30" x14ac:dyDescent="0.2">
      <c r="A377" s="95">
        <v>369</v>
      </c>
      <c r="B377" s="95">
        <v>30</v>
      </c>
      <c r="C377" s="95">
        <v>9</v>
      </c>
      <c r="D377" s="95"/>
      <c r="E377" s="95">
        <v>34.351937181776265</v>
      </c>
      <c r="F377" s="95">
        <v>411.91905127243388</v>
      </c>
      <c r="G377" s="95">
        <v>590.46843197189651</v>
      </c>
      <c r="H377" s="95">
        <v>992.28387653048003</v>
      </c>
      <c r="I377" s="95">
        <v>2849.1556173590466</v>
      </c>
      <c r="J377" s="95">
        <v>112.66318654651941</v>
      </c>
      <c r="K377" s="95">
        <v>473.03536952770452</v>
      </c>
      <c r="L377" s="95">
        <v>188.67573331412194</v>
      </c>
      <c r="M377" s="95">
        <v>3670.2704900782333</v>
      </c>
      <c r="N377" s="95">
        <v>677.17630621779085</v>
      </c>
      <c r="O377" s="95">
        <v>10000.000000000004</v>
      </c>
      <c r="Q377" s="98">
        <v>3670.2704900782333</v>
      </c>
      <c r="R377" s="95">
        <v>3318.1826443503669</v>
      </c>
      <c r="S377" s="99">
        <v>2120.3139111395103</v>
      </c>
      <c r="U377" s="121">
        <v>6701.4017966538513</v>
      </c>
      <c r="V377" s="59">
        <v>80370.075785679714</v>
      </c>
      <c r="W377" s="59">
        <v>115213.35321459005</v>
      </c>
      <c r="X377" s="59">
        <v>398645.87935708917</v>
      </c>
      <c r="Y377" s="59">
        <v>1332841.8743956026</v>
      </c>
      <c r="Z377" s="59">
        <v>3046097.2174801901</v>
      </c>
      <c r="AA377" s="59">
        <v>1804564.8530950635</v>
      </c>
      <c r="AB377" s="59">
        <v>6784434.6551248692</v>
      </c>
      <c r="AC377" s="59">
        <v>2404520684.0518556</v>
      </c>
      <c r="AD377" s="68">
        <v>6784434.6551248692</v>
      </c>
    </row>
    <row r="378" spans="1:30" x14ac:dyDescent="0.2">
      <c r="A378" s="95">
        <v>370</v>
      </c>
      <c r="B378" s="95">
        <v>30</v>
      </c>
      <c r="C378" s="95">
        <v>10</v>
      </c>
      <c r="D378" s="95"/>
      <c r="E378" s="95">
        <v>33.991241841367611</v>
      </c>
      <c r="F378" s="95">
        <v>409.02728342498881</v>
      </c>
      <c r="G378" s="95">
        <v>587.03865627471168</v>
      </c>
      <c r="H378" s="95">
        <v>987.85227046967316</v>
      </c>
      <c r="I378" s="95">
        <v>2844.0270574758197</v>
      </c>
      <c r="J378" s="95">
        <v>112.46176831218139</v>
      </c>
      <c r="K378" s="95">
        <v>472.61458933876906</v>
      </c>
      <c r="L378" s="95">
        <v>188.46348837504834</v>
      </c>
      <c r="M378" s="95">
        <v>3683.1079233668747</v>
      </c>
      <c r="N378" s="95">
        <v>681.41572112056883</v>
      </c>
      <c r="O378" s="95">
        <v>10000.000000000004</v>
      </c>
      <c r="Q378" s="98">
        <v>3683.1079233668747</v>
      </c>
      <c r="R378" s="95">
        <v>3327.4424001067837</v>
      </c>
      <c r="S378" s="99">
        <v>2126.9568845108497</v>
      </c>
      <c r="U378" s="121">
        <v>6628.2448270403793</v>
      </c>
      <c r="V378" s="59">
        <v>79772.361327965235</v>
      </c>
      <c r="W378" s="59">
        <v>114496.09214050905</v>
      </c>
      <c r="X378" s="59">
        <v>396699.2552890603</v>
      </c>
      <c r="Y378" s="59">
        <v>1329886.8383867056</v>
      </c>
      <c r="Z378" s="59">
        <v>3041588.6869941764</v>
      </c>
      <c r="AA378" s="59">
        <v>1801781.2993493667</v>
      </c>
      <c r="AB378" s="59">
        <v>6770852.7783148233</v>
      </c>
      <c r="AC378" s="59">
        <v>2411291536.8301702</v>
      </c>
      <c r="AD378" s="68">
        <v>6770852.7783148233</v>
      </c>
    </row>
    <row r="379" spans="1:30" x14ac:dyDescent="0.2">
      <c r="A379" s="95">
        <v>371</v>
      </c>
      <c r="B379" s="95">
        <v>30</v>
      </c>
      <c r="C379" s="95">
        <v>11</v>
      </c>
      <c r="D379" s="95"/>
      <c r="E379" s="95">
        <v>33.634333802033254</v>
      </c>
      <c r="F379" s="95">
        <v>406.15465097944639</v>
      </c>
      <c r="G379" s="95">
        <v>583.62526731068556</v>
      </c>
      <c r="H379" s="95">
        <v>983.4325292150279</v>
      </c>
      <c r="I379" s="95">
        <v>2838.8821562934013</v>
      </c>
      <c r="J379" s="95">
        <v>112.2581518724048</v>
      </c>
      <c r="K379" s="95">
        <v>472.19031410051855</v>
      </c>
      <c r="L379" s="95">
        <v>188.24944589116544</v>
      </c>
      <c r="M379" s="95">
        <v>3695.9308221481169</v>
      </c>
      <c r="N379" s="95">
        <v>685.64232838720329</v>
      </c>
      <c r="O379" s="95">
        <v>10000.000000000004</v>
      </c>
      <c r="Q379" s="98">
        <v>3695.9308221481169</v>
      </c>
      <c r="R379" s="95">
        <v>3336.6854880435799</v>
      </c>
      <c r="S379" s="99">
        <v>2133.5903487712603</v>
      </c>
      <c r="U379" s="121">
        <v>6555.8864876785228</v>
      </c>
      <c r="V379" s="59">
        <v>79178.864734073155</v>
      </c>
      <c r="W379" s="59">
        <v>113782.60667101311</v>
      </c>
      <c r="X379" s="59">
        <v>394758.95250867459</v>
      </c>
      <c r="Y379" s="59">
        <v>1326926.3925384546</v>
      </c>
      <c r="Z379" s="59">
        <v>3037054.0721008498</v>
      </c>
      <c r="AA379" s="59">
        <v>1798982.5730478454</v>
      </c>
      <c r="AB379" s="59">
        <v>6757239.3480885895</v>
      </c>
      <c r="AC379" s="59">
        <v>2418048776.1782589</v>
      </c>
      <c r="AD379" s="68">
        <v>6757239.3480885895</v>
      </c>
    </row>
    <row r="380" spans="1:30" x14ac:dyDescent="0.2">
      <c r="A380" s="95">
        <v>372</v>
      </c>
      <c r="B380" s="95">
        <v>31</v>
      </c>
      <c r="C380" s="95">
        <v>0</v>
      </c>
      <c r="D380" s="95"/>
      <c r="E380" s="95">
        <v>33.281173297111906</v>
      </c>
      <c r="F380" s="95">
        <v>403.30104096801057</v>
      </c>
      <c r="G380" s="95">
        <v>580.2282244648668</v>
      </c>
      <c r="H380" s="95">
        <v>979.02469304214492</v>
      </c>
      <c r="I380" s="95">
        <v>2833.7211129349639</v>
      </c>
      <c r="J380" s="95">
        <v>112.08064546550771</v>
      </c>
      <c r="K380" s="95">
        <v>471.73428495703996</v>
      </c>
      <c r="L380" s="95">
        <v>188.03361984664195</v>
      </c>
      <c r="M380" s="95">
        <v>3708.7390564994139</v>
      </c>
      <c r="N380" s="95">
        <v>689.85614852430183</v>
      </c>
      <c r="O380" s="95">
        <v>10000.000000000004</v>
      </c>
      <c r="Q380" s="98">
        <v>3708.7390564994139</v>
      </c>
      <c r="R380" s="95">
        <v>3345.9118550515336</v>
      </c>
      <c r="S380" s="99">
        <v>2140.2142525941158</v>
      </c>
      <c r="U380" s="121">
        <v>6484.3180601880322</v>
      </c>
      <c r="V380" s="59">
        <v>78589.55899327193</v>
      </c>
      <c r="W380" s="59">
        <v>113072.88452171981</v>
      </c>
      <c r="X380" s="59">
        <v>392824.98026835144</v>
      </c>
      <c r="Y380" s="59">
        <v>1323960.6382003732</v>
      </c>
      <c r="Z380" s="59">
        <v>3032493.6894063889</v>
      </c>
      <c r="AA380" s="59">
        <v>1796168.8309305066</v>
      </c>
      <c r="AB380" s="59">
        <v>6743594.9003807995</v>
      </c>
      <c r="AC380" s="59">
        <v>2424792371.0786395</v>
      </c>
      <c r="AD380" s="68">
        <v>6743594.9003807995</v>
      </c>
    </row>
    <row r="381" spans="1:30" x14ac:dyDescent="0.2">
      <c r="A381" s="95">
        <v>373</v>
      </c>
      <c r="B381" s="95">
        <v>31</v>
      </c>
      <c r="C381" s="95">
        <v>1</v>
      </c>
      <c r="D381" s="95"/>
      <c r="E381" s="95">
        <v>32.931720977492233</v>
      </c>
      <c r="F381" s="95">
        <v>400.46634092007469</v>
      </c>
      <c r="G381" s="95">
        <v>576.84748675872618</v>
      </c>
      <c r="H381" s="95">
        <v>974.62880140093796</v>
      </c>
      <c r="I381" s="95">
        <v>2828.5441258842075</v>
      </c>
      <c r="J381" s="95">
        <v>111.90037924483003</v>
      </c>
      <c r="K381" s="95">
        <v>471.27525587538571</v>
      </c>
      <c r="L381" s="95">
        <v>187.8160242296992</v>
      </c>
      <c r="M381" s="95">
        <v>3721.5326625881162</v>
      </c>
      <c r="N381" s="95">
        <v>694.05720212053404</v>
      </c>
      <c r="O381" s="95">
        <v>10000.000000000004</v>
      </c>
      <c r="Q381" s="98">
        <v>3721.5326625881162</v>
      </c>
      <c r="R381" s="95">
        <v>3355.1214486685722</v>
      </c>
      <c r="S381" s="99">
        <v>2146.8285451649344</v>
      </c>
      <c r="U381" s="121">
        <v>6413.5309213643131</v>
      </c>
      <c r="V381" s="59">
        <v>78004.417232664258</v>
      </c>
      <c r="W381" s="59">
        <v>112366.91335409628</v>
      </c>
      <c r="X381" s="59">
        <v>390897.34746736207</v>
      </c>
      <c r="Y381" s="59">
        <v>1320989.6762602506</v>
      </c>
      <c r="Z381" s="59">
        <v>3027906.4168769098</v>
      </c>
      <c r="AA381" s="59">
        <v>1793340.2296938384</v>
      </c>
      <c r="AB381" s="59">
        <v>6729918.5318064857</v>
      </c>
      <c r="AC381" s="59">
        <v>2431522289.610446</v>
      </c>
      <c r="AD381" s="68">
        <v>6729918.5318064857</v>
      </c>
    </row>
    <row r="382" spans="1:30" x14ac:dyDescent="0.2">
      <c r="A382" s="95">
        <v>374</v>
      </c>
      <c r="B382" s="95">
        <v>31</v>
      </c>
      <c r="C382" s="95">
        <v>2</v>
      </c>
      <c r="D382" s="95"/>
      <c r="E382" s="95">
        <v>32.585937907228562</v>
      </c>
      <c r="F382" s="95">
        <v>397.650438862398</v>
      </c>
      <c r="G382" s="95">
        <v>573.48301285758703</v>
      </c>
      <c r="H382" s="95">
        <v>970.24489292059877</v>
      </c>
      <c r="I382" s="95">
        <v>2823.3513929806813</v>
      </c>
      <c r="J382" s="95">
        <v>111.7191534035741</v>
      </c>
      <c r="K382" s="95">
        <v>470.81148166036041</v>
      </c>
      <c r="L382" s="95">
        <v>187.59667209523292</v>
      </c>
      <c r="M382" s="95">
        <v>3734.3115075903397</v>
      </c>
      <c r="N382" s="95">
        <v>698.24550972200257</v>
      </c>
      <c r="O382" s="95">
        <v>10000.000000000004</v>
      </c>
      <c r="Q382" s="98">
        <v>3734.3115075903397</v>
      </c>
      <c r="R382" s="95">
        <v>3364.314217077696</v>
      </c>
      <c r="S382" s="99">
        <v>2153.4331752441472</v>
      </c>
      <c r="U382" s="121">
        <v>6343.5165421394195</v>
      </c>
      <c r="V382" s="59">
        <v>77423.412716978084</v>
      </c>
      <c r="W382" s="59">
        <v>111664.68077704024</v>
      </c>
      <c r="X382" s="59">
        <v>388976.06265454018</v>
      </c>
      <c r="Y382" s="59">
        <v>1318013.6071427458</v>
      </c>
      <c r="Z382" s="59">
        <v>3023292.6210614261</v>
      </c>
      <c r="AA382" s="59">
        <v>1790496.9109902908</v>
      </c>
      <c r="AB382" s="59">
        <v>6716210.8118851604</v>
      </c>
      <c r="AC382" s="59">
        <v>2438238500.4223313</v>
      </c>
      <c r="AD382" s="68">
        <v>6716210.8118851604</v>
      </c>
    </row>
    <row r="383" spans="1:30" x14ac:dyDescent="0.2">
      <c r="A383" s="95">
        <v>375</v>
      </c>
      <c r="B383" s="95">
        <v>31</v>
      </c>
      <c r="C383" s="95">
        <v>3</v>
      </c>
      <c r="D383" s="95"/>
      <c r="E383" s="95">
        <v>32.243785559202664</v>
      </c>
      <c r="F383" s="95">
        <v>394.85322331923805</v>
      </c>
      <c r="G383" s="95">
        <v>570.13476107797658</v>
      </c>
      <c r="H383" s="95">
        <v>965.87300541458512</v>
      </c>
      <c r="I383" s="95">
        <v>2818.1431114151801</v>
      </c>
      <c r="J383" s="95">
        <v>111.53698121666366</v>
      </c>
      <c r="K383" s="95">
        <v>470.34299331068024</v>
      </c>
      <c r="L383" s="95">
        <v>187.37557656627922</v>
      </c>
      <c r="M383" s="95">
        <v>3747.0754701611795</v>
      </c>
      <c r="N383" s="95">
        <v>702.42109195901833</v>
      </c>
      <c r="O383" s="95">
        <v>10000.000000000004</v>
      </c>
      <c r="Q383" s="98">
        <v>3747.0754701611795</v>
      </c>
      <c r="R383" s="95">
        <v>3373.4901091048832</v>
      </c>
      <c r="S383" s="99">
        <v>2160.0280921346534</v>
      </c>
      <c r="U383" s="121">
        <v>6274.2664865543966</v>
      </c>
      <c r="V383" s="59">
        <v>76846.518848348875</v>
      </c>
      <c r="W383" s="59">
        <v>110966.17434844187</v>
      </c>
      <c r="X383" s="59">
        <v>387061.13403099618</v>
      </c>
      <c r="Y383" s="59">
        <v>1315032.5308080271</v>
      </c>
      <c r="Z383" s="59">
        <v>3018652.5754716028</v>
      </c>
      <c r="AA383" s="59">
        <v>1787639.0174816211</v>
      </c>
      <c r="AB383" s="59">
        <v>6702472.2174755922</v>
      </c>
      <c r="AC383" s="59">
        <v>2444940972.6398067</v>
      </c>
      <c r="AD383" s="68">
        <v>6702472.2174755922</v>
      </c>
    </row>
    <row r="384" spans="1:30" x14ac:dyDescent="0.2">
      <c r="A384" s="95">
        <v>376</v>
      </c>
      <c r="B384" s="95">
        <v>31</v>
      </c>
      <c r="C384" s="95">
        <v>4</v>
      </c>
      <c r="D384" s="95"/>
      <c r="E384" s="95">
        <v>31.905225810831034</v>
      </c>
      <c r="F384" s="95">
        <v>392.07458331243959</v>
      </c>
      <c r="G384" s="95">
        <v>566.80268939489963</v>
      </c>
      <c r="H384" s="95">
        <v>961.51317588562961</v>
      </c>
      <c r="I384" s="95">
        <v>2812.9194777252092</v>
      </c>
      <c r="J384" s="95">
        <v>111.35387582051273</v>
      </c>
      <c r="K384" s="95">
        <v>469.86982182969433</v>
      </c>
      <c r="L384" s="95">
        <v>187.15275077001041</v>
      </c>
      <c r="M384" s="95">
        <v>3759.8244299133485</v>
      </c>
      <c r="N384" s="95">
        <v>706.58396953742817</v>
      </c>
      <c r="O384" s="95">
        <v>10000.000000000004</v>
      </c>
      <c r="Q384" s="98">
        <v>3759.8244299133485</v>
      </c>
      <c r="R384" s="95">
        <v>3382.6490742169826</v>
      </c>
      <c r="S384" s="99">
        <v>2166.6132456202927</v>
      </c>
      <c r="U384" s="121">
        <v>6205.7724107428439</v>
      </c>
      <c r="V384" s="59">
        <v>76273.709166093904</v>
      </c>
      <c r="W384" s="59">
        <v>110271.38157672675</v>
      </c>
      <c r="X384" s="59">
        <v>385152.5694528342</v>
      </c>
      <c r="Y384" s="59">
        <v>1312046.5467504552</v>
      </c>
      <c r="Z384" s="59">
        <v>3013986.5522580845</v>
      </c>
      <c r="AA384" s="59">
        <v>1784766.6918212438</v>
      </c>
      <c r="AB384" s="59">
        <v>6688703.2234361814</v>
      </c>
      <c r="AC384" s="59">
        <v>2451629675.8632431</v>
      </c>
      <c r="AD384" s="68">
        <v>6688703.2234361814</v>
      </c>
    </row>
    <row r="385" spans="1:30" x14ac:dyDescent="0.2">
      <c r="A385" s="95">
        <v>377</v>
      </c>
      <c r="B385" s="95">
        <v>31</v>
      </c>
      <c r="C385" s="95">
        <v>5</v>
      </c>
      <c r="D385" s="95"/>
      <c r="E385" s="95">
        <v>31.570220939817307</v>
      </c>
      <c r="F385" s="95">
        <v>389.31440836148107</v>
      </c>
      <c r="G385" s="95">
        <v>563.48675544903426</v>
      </c>
      <c r="H385" s="95">
        <v>957.16544053076996</v>
      </c>
      <c r="I385" s="95">
        <v>2807.6806877905233</v>
      </c>
      <c r="J385" s="95">
        <v>111.16985021532264</v>
      </c>
      <c r="K385" s="95">
        <v>469.39199822388093</v>
      </c>
      <c r="L385" s="95">
        <v>186.92820783606396</v>
      </c>
      <c r="M385" s="95">
        <v>3772.5582674152697</v>
      </c>
      <c r="N385" s="95">
        <v>710.73416323784011</v>
      </c>
      <c r="O385" s="95">
        <v>10000.000000000004</v>
      </c>
      <c r="Q385" s="98">
        <v>3772.5582674152697</v>
      </c>
      <c r="R385" s="95">
        <v>3391.7910625195896</v>
      </c>
      <c r="S385" s="99">
        <v>2173.1885859643235</v>
      </c>
      <c r="U385" s="121">
        <v>6138.0260619255678</v>
      </c>
      <c r="V385" s="59">
        <v>75704.957346478361</v>
      </c>
      <c r="W385" s="59">
        <v>109580.2899223798</v>
      </c>
      <c r="X385" s="59">
        <v>383250.37643387087</v>
      </c>
      <c r="Y385" s="59">
        <v>1309055.7539972973</v>
      </c>
      <c r="Z385" s="59">
        <v>3009294.8222230799</v>
      </c>
      <c r="AA385" s="59">
        <v>1781880.0766292424</v>
      </c>
      <c r="AB385" s="59">
        <v>6674904.3026142744</v>
      </c>
      <c r="AC385" s="59">
        <v>2458304580.1658573</v>
      </c>
      <c r="AD385" s="68">
        <v>6674904.3026142744</v>
      </c>
    </row>
    <row r="386" spans="1:30" x14ac:dyDescent="0.2">
      <c r="A386" s="95">
        <v>378</v>
      </c>
      <c r="B386" s="95">
        <v>31</v>
      </c>
      <c r="C386" s="95">
        <v>6</v>
      </c>
      <c r="D386" s="95"/>
      <c r="E386" s="95">
        <v>31.238733619949226</v>
      </c>
      <c r="F386" s="95">
        <v>386.57258848347936</v>
      </c>
      <c r="G386" s="95">
        <v>560.18691655385101</v>
      </c>
      <c r="H386" s="95">
        <v>952.82983474639809</v>
      </c>
      <c r="I386" s="95">
        <v>2802.4269368287364</v>
      </c>
      <c r="J386" s="95">
        <v>110.98491726732792</v>
      </c>
      <c r="K386" s="95">
        <v>468.90955350135465</v>
      </c>
      <c r="L386" s="95">
        <v>186.7019608949314</v>
      </c>
      <c r="M386" s="95">
        <v>3785.2768641891248</v>
      </c>
      <c r="N386" s="95">
        <v>714.87169391485031</v>
      </c>
      <c r="O386" s="95">
        <v>10000.000000000004</v>
      </c>
      <c r="Q386" s="98">
        <v>3785.2768641891248</v>
      </c>
      <c r="R386" s="95">
        <v>3400.9160247549089</v>
      </c>
      <c r="S386" s="99">
        <v>2179.7540639079011</v>
      </c>
      <c r="U386" s="121">
        <v>6071.0192774162142</v>
      </c>
      <c r="V386" s="59">
        <v>75140.237202473698</v>
      </c>
      <c r="W386" s="59">
        <v>108892.88679945079</v>
      </c>
      <c r="X386" s="59">
        <v>381354.56214835687</v>
      </c>
      <c r="Y386" s="59">
        <v>1306060.251107486</v>
      </c>
      <c r="Z386" s="59">
        <v>3004577.6548325662</v>
      </c>
      <c r="AA386" s="59">
        <v>1778979.3144684015</v>
      </c>
      <c r="AB386" s="59">
        <v>6661075.9258361515</v>
      </c>
      <c r="AC386" s="59">
        <v>2464965656.0916934</v>
      </c>
      <c r="AD386" s="68">
        <v>6661075.9258361515</v>
      </c>
    </row>
    <row r="387" spans="1:30" x14ac:dyDescent="0.2">
      <c r="A387" s="95">
        <v>379</v>
      </c>
      <c r="B387" s="95">
        <v>31</v>
      </c>
      <c r="C387" s="95">
        <v>7</v>
      </c>
      <c r="D387" s="95"/>
      <c r="E387" s="95">
        <v>30.910726916939758</v>
      </c>
      <c r="F387" s="95">
        <v>383.84901419315327</v>
      </c>
      <c r="G387" s="95">
        <v>556.90312970265506</v>
      </c>
      <c r="H387" s="95">
        <v>948.50639313332829</v>
      </c>
      <c r="I387" s="95">
        <v>2797.158419391003</v>
      </c>
      <c r="J387" s="95">
        <v>110.79908971099202</v>
      </c>
      <c r="K387" s="95">
        <v>468.42251867038442</v>
      </c>
      <c r="L387" s="95">
        <v>186.47402307640496</v>
      </c>
      <c r="M387" s="95">
        <v>3797.9801027088697</v>
      </c>
      <c r="N387" s="95">
        <v>718.99658249627225</v>
      </c>
      <c r="O387" s="95">
        <v>10000.000000000004</v>
      </c>
      <c r="Q387" s="98">
        <v>3797.9801027088697</v>
      </c>
      <c r="R387" s="95">
        <v>3410.0239122996022</v>
      </c>
      <c r="S387" s="99">
        <v>2186.309630668557</v>
      </c>
      <c r="U387" s="121">
        <v>6004.7439836377534</v>
      </c>
      <c r="V387" s="59">
        <v>74579.522683508083</v>
      </c>
      <c r="W387" s="59">
        <v>108209.15957704109</v>
      </c>
      <c r="X387" s="59">
        <v>379465.13343369914</v>
      </c>
      <c r="Y387" s="59">
        <v>1303060.1361704103</v>
      </c>
      <c r="Z387" s="59">
        <v>2999835.31822812</v>
      </c>
      <c r="AA387" s="59">
        <v>1776064.5478212181</v>
      </c>
      <c r="AB387" s="59">
        <v>6647218.5618976345</v>
      </c>
      <c r="AC387" s="59">
        <v>2471612874.6535912</v>
      </c>
      <c r="AD387" s="68">
        <v>6647218.5618976345</v>
      </c>
    </row>
    <row r="388" spans="1:30" x14ac:dyDescent="0.2">
      <c r="A388" s="95">
        <v>380</v>
      </c>
      <c r="B388" s="95">
        <v>31</v>
      </c>
      <c r="C388" s="95">
        <v>8</v>
      </c>
      <c r="D388" s="95"/>
      <c r="E388" s="95">
        <v>30.586164284311891</v>
      </c>
      <c r="F388" s="95">
        <v>381.14357650274707</v>
      </c>
      <c r="G388" s="95">
        <v>553.63535157555305</v>
      </c>
      <c r="H388" s="95">
        <v>944.19514950188272</v>
      </c>
      <c r="I388" s="95">
        <v>2791.8753293577715</v>
      </c>
      <c r="J388" s="95">
        <v>110.61238015115413</v>
      </c>
      <c r="K388" s="95">
        <v>467.93092473792228</v>
      </c>
      <c r="L388" s="95">
        <v>186.24440750807955</v>
      </c>
      <c r="M388" s="95">
        <v>3810.667866398212</v>
      </c>
      <c r="N388" s="95">
        <v>723.10884998236838</v>
      </c>
      <c r="O388" s="95">
        <v>10000.000000000002</v>
      </c>
      <c r="Q388" s="98">
        <v>3810.667866398212</v>
      </c>
      <c r="R388" s="95">
        <v>3419.1146771626231</v>
      </c>
      <c r="S388" s="99">
        <v>2192.8552379386742</v>
      </c>
      <c r="U388" s="121">
        <v>5939.1921951497088</v>
      </c>
      <c r="V388" s="59">
        <v>74022.787875209615</v>
      </c>
      <c r="W388" s="59">
        <v>107529.09558077231</v>
      </c>
      <c r="X388" s="59">
        <v>377582.09679318493</v>
      </c>
      <c r="Y388" s="59">
        <v>1300055.5068047473</v>
      </c>
      <c r="Z388" s="59">
        <v>2995068.0792383817</v>
      </c>
      <c r="AA388" s="59">
        <v>1773135.9190678506</v>
      </c>
      <c r="AB388" s="59">
        <v>6633332.6775552966</v>
      </c>
      <c r="AC388" s="59">
        <v>2478246207.3311462</v>
      </c>
      <c r="AD388" s="68">
        <v>6633332.6775552966</v>
      </c>
    </row>
    <row r="389" spans="1:30" x14ac:dyDescent="0.2">
      <c r="A389" s="95">
        <v>381</v>
      </c>
      <c r="B389" s="95">
        <v>31</v>
      </c>
      <c r="C389" s="95">
        <v>9</v>
      </c>
      <c r="D389" s="95"/>
      <c r="E389" s="95">
        <v>30.265009559326618</v>
      </c>
      <c r="F389" s="95">
        <v>378.45616692191425</v>
      </c>
      <c r="G389" s="95">
        <v>550.38353854634363</v>
      </c>
      <c r="H389" s="95">
        <v>939.89613687699364</v>
      </c>
      <c r="I389" s="95">
        <v>2786.5778599346081</v>
      </c>
      <c r="J389" s="95">
        <v>110.42480106512815</v>
      </c>
      <c r="K389" s="95">
        <v>467.43480270814297</v>
      </c>
      <c r="L389" s="95">
        <v>186.01312731390814</v>
      </c>
      <c r="M389" s="95">
        <v>3823.3400396285542</v>
      </c>
      <c r="N389" s="95">
        <v>727.20851744508286</v>
      </c>
      <c r="O389" s="95">
        <v>10000.000000000002</v>
      </c>
      <c r="Q389" s="98">
        <v>3823.3400396285542</v>
      </c>
      <c r="R389" s="95">
        <v>3428.188271983036</v>
      </c>
      <c r="S389" s="99">
        <v>2199.3908378839633</v>
      </c>
      <c r="U389" s="121">
        <v>5874.3560136859905</v>
      </c>
      <c r="V389" s="59">
        <v>73470.006999141842</v>
      </c>
      <c r="W389" s="59">
        <v>106852.68209423641</v>
      </c>
      <c r="X389" s="59">
        <v>375705.45839870605</v>
      </c>
      <c r="Y389" s="59">
        <v>1297046.4601573288</v>
      </c>
      <c r="Z389" s="59">
        <v>2990276.2033901704</v>
      </c>
      <c r="AA389" s="59">
        <v>1770193.5704649705</v>
      </c>
      <c r="AB389" s="59">
        <v>6619418.7375182398</v>
      </c>
      <c r="AC389" s="59">
        <v>2484865626.0686646</v>
      </c>
      <c r="AD389" s="68">
        <v>6619418.7375182398</v>
      </c>
    </row>
    <row r="390" spans="1:30" x14ac:dyDescent="0.2">
      <c r="A390" s="95">
        <v>382</v>
      </c>
      <c r="B390" s="95">
        <v>31</v>
      </c>
      <c r="C390" s="95">
        <v>10</v>
      </c>
      <c r="D390" s="95"/>
      <c r="E390" s="95">
        <v>29.947226958953689</v>
      </c>
      <c r="F390" s="95">
        <v>375.78667745756269</v>
      </c>
      <c r="G390" s="95">
        <v>547.14764668933401</v>
      </c>
      <c r="H390" s="95">
        <v>935.60938750332173</v>
      </c>
      <c r="I390" s="95">
        <v>2781.2662036480901</v>
      </c>
      <c r="J390" s="95">
        <v>110.23636480475501</v>
      </c>
      <c r="K390" s="95">
        <v>466.93418358099461</v>
      </c>
      <c r="L390" s="95">
        <v>185.7801956128084</v>
      </c>
      <c r="M390" s="95">
        <v>3835.9965077169045</v>
      </c>
      <c r="N390" s="95">
        <v>731.29560602727759</v>
      </c>
      <c r="O390" s="95">
        <v>10000.000000000002</v>
      </c>
      <c r="Q390" s="98">
        <v>3835.9965077169045</v>
      </c>
      <c r="R390" s="95">
        <v>3437.2446500278234</v>
      </c>
      <c r="S390" s="99">
        <v>2205.9163831419355</v>
      </c>
      <c r="U390" s="121">
        <v>5810.2276272032523</v>
      </c>
      <c r="V390" s="59">
        <v>72921.154412532371</v>
      </c>
      <c r="W390" s="59">
        <v>106179.90636042802</v>
      </c>
      <c r="X390" s="59">
        <v>373835.22409348376</v>
      </c>
      <c r="Y390" s="59">
        <v>1294033.0929020473</v>
      </c>
      <c r="Z390" s="59">
        <v>2985459.9549192516</v>
      </c>
      <c r="AA390" s="59">
        <v>1767237.6441254804</v>
      </c>
      <c r="AB390" s="59">
        <v>6605477.204440427</v>
      </c>
      <c r="AC390" s="59">
        <v>2491471103.2731051</v>
      </c>
      <c r="AD390" s="68">
        <v>6605477.204440427</v>
      </c>
    </row>
    <row r="391" spans="1:30" x14ac:dyDescent="0.2">
      <c r="A391" s="95">
        <v>383</v>
      </c>
      <c r="B391" s="95">
        <v>31</v>
      </c>
      <c r="C391" s="95">
        <v>11</v>
      </c>
      <c r="D391" s="95"/>
      <c r="E391" s="95">
        <v>29.632781075884676</v>
      </c>
      <c r="F391" s="95">
        <v>373.13500061366159</v>
      </c>
      <c r="G391" s="95">
        <v>543.92763178608141</v>
      </c>
      <c r="H391" s="95">
        <v>931.33493285038878</v>
      </c>
      <c r="I391" s="95">
        <v>2775.9405523417736</v>
      </c>
      <c r="J391" s="95">
        <v>110.04708359840919</v>
      </c>
      <c r="K391" s="95">
        <v>466.42909835076011</v>
      </c>
      <c r="L391" s="95">
        <v>185.54562551731837</v>
      </c>
      <c r="M391" s="95">
        <v>3848.6371569237549</v>
      </c>
      <c r="N391" s="95">
        <v>735.37013694196946</v>
      </c>
      <c r="O391" s="95">
        <v>10000.000000000002</v>
      </c>
      <c r="Q391" s="98">
        <v>3848.6371569237549</v>
      </c>
      <c r="R391" s="95">
        <v>3446.2837651896798</v>
      </c>
      <c r="S391" s="99">
        <v>2212.4318268203774</v>
      </c>
      <c r="U391" s="121">
        <v>5746.7993089396168</v>
      </c>
      <c r="V391" s="59">
        <v>72376.204607994208</v>
      </c>
      <c r="W391" s="59">
        <v>105510.75558315869</v>
      </c>
      <c r="X391" s="59">
        <v>371971.39939479355</v>
      </c>
      <c r="Y391" s="59">
        <v>1291015.5012387962</v>
      </c>
      <c r="Z391" s="59">
        <v>2980619.5967807751</v>
      </c>
      <c r="AA391" s="59">
        <v>1764268.2819990616</v>
      </c>
      <c r="AB391" s="59">
        <v>6591508.5389135191</v>
      </c>
      <c r="AC391" s="59">
        <v>2498062611.8120189</v>
      </c>
      <c r="AD391" s="68">
        <v>6591508.5389135191</v>
      </c>
    </row>
    <row r="392" spans="1:30" x14ac:dyDescent="0.2">
      <c r="A392" s="95">
        <v>384</v>
      </c>
      <c r="B392" s="95">
        <v>32</v>
      </c>
      <c r="C392" s="95">
        <v>0</v>
      </c>
      <c r="D392" s="95"/>
      <c r="E392" s="95">
        <v>29.321636874587888</v>
      </c>
      <c r="F392" s="95">
        <v>370.50102939101112</v>
      </c>
      <c r="G392" s="95">
        <v>540.72344933206114</v>
      </c>
      <c r="H392" s="95">
        <v>927.07280361772473</v>
      </c>
      <c r="I392" s="95">
        <v>2770.601097172228</v>
      </c>
      <c r="J392" s="95">
        <v>109.85696955296071</v>
      </c>
      <c r="K392" s="95">
        <v>465.91957800462922</v>
      </c>
      <c r="L392" s="95">
        <v>185.30943013229984</v>
      </c>
      <c r="M392" s="95">
        <v>3861.2618744509291</v>
      </c>
      <c r="N392" s="95">
        <v>739.43213147157019</v>
      </c>
      <c r="O392" s="95">
        <v>10000.000000000002</v>
      </c>
      <c r="Q392" s="98">
        <v>3861.2618744509291</v>
      </c>
      <c r="R392" s="95">
        <v>3455.3055719847907</v>
      </c>
      <c r="S392" s="99">
        <v>2218.9371224958213</v>
      </c>
      <c r="U392" s="121">
        <v>5684.063416483692</v>
      </c>
      <c r="V392" s="59">
        <v>71835.132213240417</v>
      </c>
      <c r="W392" s="59">
        <v>104845.21692845339</v>
      </c>
      <c r="X392" s="59">
        <v>370113.98949668952</v>
      </c>
      <c r="Y392" s="59">
        <v>1287993.780892449</v>
      </c>
      <c r="Z392" s="59">
        <v>2975755.390659383</v>
      </c>
      <c r="AA392" s="59">
        <v>1761285.6258535238</v>
      </c>
      <c r="AB392" s="59">
        <v>6577513.1994602233</v>
      </c>
      <c r="AC392" s="59">
        <v>2504640125.0114789</v>
      </c>
      <c r="AD392" s="68">
        <v>6577513.1994602233</v>
      </c>
    </row>
    <row r="393" spans="1:30" x14ac:dyDescent="0.2">
      <c r="A393" s="95">
        <v>385</v>
      </c>
      <c r="B393" s="95">
        <v>32</v>
      </c>
      <c r="C393" s="95">
        <v>1</v>
      </c>
      <c r="D393" s="95"/>
      <c r="E393" s="95">
        <v>29.013759687404715</v>
      </c>
      <c r="F393" s="95">
        <v>367.88465728697543</v>
      </c>
      <c r="G393" s="95">
        <v>537.53505454326114</v>
      </c>
      <c r="H393" s="95">
        <v>922.82302974002732</v>
      </c>
      <c r="I393" s="95">
        <v>2765.2480286051427</v>
      </c>
      <c r="J393" s="95">
        <v>109.66603465569342</v>
      </c>
      <c r="K393" s="95">
        <v>465.40565352128192</v>
      </c>
      <c r="L393" s="95">
        <v>185.07162255368689</v>
      </c>
      <c r="M393" s="95">
        <v>3873.8705484394</v>
      </c>
      <c r="N393" s="95">
        <v>743.48161096712829</v>
      </c>
      <c r="O393" s="95">
        <v>10000.000000000002</v>
      </c>
      <c r="Q393" s="98">
        <v>3873.8705484394</v>
      </c>
      <c r="R393" s="95">
        <v>3464.3100255506006</v>
      </c>
      <c r="S393" s="99">
        <v>2225.4322242120152</v>
      </c>
      <c r="U393" s="121">
        <v>5622.0123908537453</v>
      </c>
      <c r="V393" s="59">
        <v>71297.911990791908</v>
      </c>
      <c r="W393" s="59">
        <v>104183.27752592943</v>
      </c>
      <c r="X393" s="59">
        <v>368262.99927272781</v>
      </c>
      <c r="Y393" s="59">
        <v>1284968.027111873</v>
      </c>
      <c r="Z393" s="59">
        <v>2970867.5969790081</v>
      </c>
      <c r="AA393" s="59">
        <v>1758289.817256917</v>
      </c>
      <c r="AB393" s="59">
        <v>6563491.6425281009</v>
      </c>
      <c r="AC393" s="59">
        <v>2511203616.654007</v>
      </c>
      <c r="AD393" s="68">
        <v>6563491.6425281009</v>
      </c>
    </row>
    <row r="394" spans="1:30" x14ac:dyDescent="0.2">
      <c r="A394" s="95">
        <v>386</v>
      </c>
      <c r="B394" s="95">
        <v>32</v>
      </c>
      <c r="C394" s="95">
        <v>2</v>
      </c>
      <c r="D394" s="95"/>
      <c r="E394" s="95">
        <v>28.709115210686964</v>
      </c>
      <c r="F394" s="95">
        <v>365.28577829517963</v>
      </c>
      <c r="G394" s="95">
        <v>534.36240236270385</v>
      </c>
      <c r="H394" s="95">
        <v>918.58564039233465</v>
      </c>
      <c r="I394" s="95">
        <v>2759.881536411503</v>
      </c>
      <c r="J394" s="95">
        <v>109.47429077618078</v>
      </c>
      <c r="K394" s="95">
        <v>464.88735586948235</v>
      </c>
      <c r="L394" s="95">
        <v>184.83221586727845</v>
      </c>
      <c r="M394" s="95">
        <v>3886.4630679670786</v>
      </c>
      <c r="N394" s="95">
        <v>747.51859684757335</v>
      </c>
      <c r="O394" s="95">
        <v>10000.000000000002</v>
      </c>
      <c r="Q394" s="98">
        <v>3886.4630679670786</v>
      </c>
      <c r="R394" s="95">
        <v>3473.2970816435673</v>
      </c>
      <c r="S394" s="99">
        <v>2231.9170864783905</v>
      </c>
      <c r="U394" s="121">
        <v>5560.6387555869251</v>
      </c>
      <c r="V394" s="59">
        <v>70764.518837678697</v>
      </c>
      <c r="W394" s="59">
        <v>103524.924470158</v>
      </c>
      <c r="X394" s="59">
        <v>366418.43327868945</v>
      </c>
      <c r="Y394" s="59">
        <v>1281938.3346689797</v>
      </c>
      <c r="Z394" s="59">
        <v>2965956.4749123608</v>
      </c>
      <c r="AA394" s="59">
        <v>1755280.9975603821</v>
      </c>
      <c r="AB394" s="59">
        <v>6549444.3224838357</v>
      </c>
      <c r="AC394" s="59">
        <v>2517753060.976491</v>
      </c>
      <c r="AD394" s="68">
        <v>6549444.3224838357</v>
      </c>
    </row>
    <row r="395" spans="1:30" x14ac:dyDescent="0.2">
      <c r="A395" s="95">
        <v>387</v>
      </c>
      <c r="B395" s="95">
        <v>32</v>
      </c>
      <c r="C395" s="95">
        <v>3</v>
      </c>
      <c r="D395" s="95"/>
      <c r="E395" s="95">
        <v>28.407669500974752</v>
      </c>
      <c r="F395" s="95">
        <v>362.70428690517156</v>
      </c>
      <c r="G395" s="95">
        <v>531.20544746689563</v>
      </c>
      <c r="H395" s="95">
        <v>914.36066399520826</v>
      </c>
      <c r="I395" s="95">
        <v>2754.501809663836</v>
      </c>
      <c r="J395" s="95">
        <v>109.28174966811987</v>
      </c>
      <c r="K395" s="95">
        <v>464.36471600668375</v>
      </c>
      <c r="L395" s="95">
        <v>184.59122314757283</v>
      </c>
      <c r="M395" s="95">
        <v>3899.0393230465766</v>
      </c>
      <c r="N395" s="95">
        <v>751.54311059896236</v>
      </c>
      <c r="O395" s="95">
        <v>10000.000000000002</v>
      </c>
      <c r="Q395" s="98">
        <v>3899.0393230465766</v>
      </c>
      <c r="R395" s="95">
        <v>3482.2666966369047</v>
      </c>
      <c r="S395" s="99">
        <v>2238.3916642685294</v>
      </c>
      <c r="U395" s="121">
        <v>5499.9351158384343</v>
      </c>
      <c r="V395" s="59">
        <v>70234.927785134831</v>
      </c>
      <c r="W395" s="59">
        <v>102870.14482200812</v>
      </c>
      <c r="X395" s="59">
        <v>364580.29575530102</v>
      </c>
      <c r="Y395" s="59">
        <v>1278904.7978578121</v>
      </c>
      <c r="Z395" s="59">
        <v>2961022.2823901209</v>
      </c>
      <c r="AA395" s="59">
        <v>1752259.3078817076</v>
      </c>
      <c r="AB395" s="59">
        <v>6535371.6916079232</v>
      </c>
      <c r="AC395" s="59">
        <v>2524288432.6680989</v>
      </c>
      <c r="AD395" s="68">
        <v>6535371.6916079232</v>
      </c>
    </row>
    <row r="396" spans="1:30" x14ac:dyDescent="0.2">
      <c r="A396" s="95">
        <v>388</v>
      </c>
      <c r="B396" s="95">
        <v>32</v>
      </c>
      <c r="C396" s="95">
        <v>4</v>
      </c>
      <c r="D396" s="95"/>
      <c r="E396" s="95">
        <v>28.109388971214518</v>
      </c>
      <c r="F396" s="95">
        <v>360.1400781020489</v>
      </c>
      <c r="G396" s="95">
        <v>528.06414427220477</v>
      </c>
      <c r="H396" s="95">
        <v>910.14812821992712</v>
      </c>
      <c r="I396" s="95">
        <v>2749.1090367325264</v>
      </c>
      <c r="J396" s="95">
        <v>109.0884229711248</v>
      </c>
      <c r="K396" s="95">
        <v>463.83776487764408</v>
      </c>
      <c r="L396" s="95">
        <v>184.34865745664271</v>
      </c>
      <c r="M396" s="95">
        <v>3911.5992046229399</v>
      </c>
      <c r="N396" s="95">
        <v>755.55517377372814</v>
      </c>
      <c r="O396" s="95">
        <v>10000.000000000002</v>
      </c>
      <c r="Q396" s="98">
        <v>3911.5992046229399</v>
      </c>
      <c r="R396" s="95">
        <v>3491.2188275183121</v>
      </c>
      <c r="S396" s="99">
        <v>2244.8559130186277</v>
      </c>
      <c r="U396" s="121">
        <v>5439.8941574905311</v>
      </c>
      <c r="V396" s="59">
        <v>69709.113998286892</v>
      </c>
      <c r="W396" s="59">
        <v>102218.92560997374</v>
      </c>
      <c r="X396" s="59">
        <v>362748.59063095407</v>
      </c>
      <c r="Y396" s="59">
        <v>1275867.5104936664</v>
      </c>
      <c r="Z396" s="59">
        <v>2956065.2761098403</v>
      </c>
      <c r="AA396" s="59">
        <v>1749224.8890895627</v>
      </c>
      <c r="AB396" s="59">
        <v>6521274.200089775</v>
      </c>
      <c r="AC396" s="59">
        <v>2530809706.8681889</v>
      </c>
      <c r="AD396" s="68">
        <v>6521274.200089775</v>
      </c>
    </row>
    <row r="397" spans="1:30" x14ac:dyDescent="0.2">
      <c r="A397" s="95">
        <v>389</v>
      </c>
      <c r="B397" s="95">
        <v>32</v>
      </c>
      <c r="C397" s="95">
        <v>5</v>
      </c>
      <c r="D397" s="95"/>
      <c r="E397" s="95">
        <v>27.814240387016767</v>
      </c>
      <c r="F397" s="95">
        <v>357.59304736605219</v>
      </c>
      <c r="G397" s="95">
        <v>524.93844694116808</v>
      </c>
      <c r="H397" s="95">
        <v>905.94805999369157</v>
      </c>
      <c r="I397" s="95">
        <v>2743.7034052822009</v>
      </c>
      <c r="J397" s="95">
        <v>108.89432221248033</v>
      </c>
      <c r="K397" s="95">
        <v>463.30653341305293</v>
      </c>
      <c r="L397" s="95">
        <v>184.10453184304899</v>
      </c>
      <c r="M397" s="95">
        <v>3924.1426045713588</v>
      </c>
      <c r="N397" s="95">
        <v>759.55480798993062</v>
      </c>
      <c r="O397" s="95">
        <v>10000.000000000002</v>
      </c>
      <c r="Q397" s="98">
        <v>3924.1426045713588</v>
      </c>
      <c r="R397" s="95">
        <v>3500.1534318876929</v>
      </c>
      <c r="S397" s="99">
        <v>2251.3097886259588</v>
      </c>
      <c r="U397" s="121">
        <v>5380.5086462712588</v>
      </c>
      <c r="V397" s="59">
        <v>69187.052775836564</v>
      </c>
      <c r="W397" s="59">
        <v>101571.25383148357</v>
      </c>
      <c r="X397" s="59">
        <v>360923.32152442215</v>
      </c>
      <c r="Y397" s="59">
        <v>1272826.5659122493</v>
      </c>
      <c r="Z397" s="59">
        <v>2951085.7115445626</v>
      </c>
      <c r="AA397" s="59">
        <v>1746177.8817883846</v>
      </c>
      <c r="AB397" s="59">
        <v>6507152.2960232096</v>
      </c>
      <c r="AC397" s="59">
        <v>2537316859.1642122</v>
      </c>
      <c r="AD397" s="68">
        <v>6507152.2960232096</v>
      </c>
    </row>
    <row r="398" spans="1:30" x14ac:dyDescent="0.2">
      <c r="A398" s="95">
        <v>390</v>
      </c>
      <c r="B398" s="95">
        <v>32</v>
      </c>
      <c r="C398" s="95">
        <v>6</v>
      </c>
      <c r="D398" s="95"/>
      <c r="E398" s="95">
        <v>27.522190862953092</v>
      </c>
      <c r="F398" s="95">
        <v>355.06309067212487</v>
      </c>
      <c r="G398" s="95">
        <v>521.82830938872678</v>
      </c>
      <c r="H398" s="95">
        <v>901.76048550483563</v>
      </c>
      <c r="I398" s="95">
        <v>2738.2851022681821</v>
      </c>
      <c r="J398" s="95">
        <v>108.69945880885659</v>
      </c>
      <c r="K398" s="95">
        <v>462.77105252816887</v>
      </c>
      <c r="L398" s="95">
        <v>183.85885934079212</v>
      </c>
      <c r="M398" s="95">
        <v>3936.6694156948515</v>
      </c>
      <c r="N398" s="95">
        <v>763.54203493050966</v>
      </c>
      <c r="O398" s="95">
        <v>10000.000000000002</v>
      </c>
      <c r="Q398" s="98">
        <v>3936.6694156948515</v>
      </c>
      <c r="R398" s="95">
        <v>3509.0704679548603</v>
      </c>
      <c r="S398" s="99">
        <v>2257.7532474473328</v>
      </c>
      <c r="U398" s="121">
        <v>5321.7714268827976</v>
      </c>
      <c r="V398" s="59">
        <v>68668.719549737041</v>
      </c>
      <c r="W398" s="59">
        <v>100927.11645419417</v>
      </c>
      <c r="X398" s="59">
        <v>359104.49174757535</v>
      </c>
      <c r="Y398" s="59">
        <v>1269782.0569688724</v>
      </c>
      <c r="Z398" s="59">
        <v>2946083.842951173</v>
      </c>
      <c r="AA398" s="59">
        <v>1743118.4263038887</v>
      </c>
      <c r="AB398" s="59">
        <v>6493006.4254023237</v>
      </c>
      <c r="AC398" s="59">
        <v>2543809865.5896144</v>
      </c>
      <c r="AD398" s="68">
        <v>6493006.4254023237</v>
      </c>
    </row>
    <row r="399" spans="1:30" x14ac:dyDescent="0.2">
      <c r="A399" s="95">
        <v>391</v>
      </c>
      <c r="B399" s="95">
        <v>32</v>
      </c>
      <c r="C399" s="95">
        <v>7</v>
      </c>
      <c r="D399" s="95"/>
      <c r="E399" s="95">
        <v>27.233207858892087</v>
      </c>
      <c r="F399" s="95">
        <v>352.55010448944034</v>
      </c>
      <c r="G399" s="95">
        <v>518.73368528839217</v>
      </c>
      <c r="H399" s="95">
        <v>897.58543020804757</v>
      </c>
      <c r="I399" s="95">
        <v>2732.85431393301</v>
      </c>
      <c r="J399" s="95">
        <v>108.5038440679859</v>
      </c>
      <c r="K399" s="95">
        <v>462.23135312146803</v>
      </c>
      <c r="L399" s="95">
        <v>183.61165296829935</v>
      </c>
      <c r="M399" s="95">
        <v>3949.1795317219253</v>
      </c>
      <c r="N399" s="95">
        <v>767.51687634254063</v>
      </c>
      <c r="O399" s="95">
        <v>10000.000000000002</v>
      </c>
      <c r="Q399" s="98">
        <v>3949.1795317219253</v>
      </c>
      <c r="R399" s="95">
        <v>3517.969894537232</v>
      </c>
      <c r="S399" s="99">
        <v>2264.1862462975555</v>
      </c>
      <c r="U399" s="121">
        <v>5263.6754221393276</v>
      </c>
      <c r="V399" s="59">
        <v>68154.089884863817</v>
      </c>
      <c r="W399" s="59">
        <v>100286.5004172663</v>
      </c>
      <c r="X399" s="59">
        <v>357292.10430809238</v>
      </c>
      <c r="Y399" s="59">
        <v>1266734.0760376791</v>
      </c>
      <c r="Z399" s="59">
        <v>2941059.9233784787</v>
      </c>
      <c r="AA399" s="59">
        <v>1740046.662669179</v>
      </c>
      <c r="AB399" s="59">
        <v>6478837.0321176983</v>
      </c>
      <c r="AC399" s="59">
        <v>2550288702.6217322</v>
      </c>
      <c r="AD399" s="68">
        <v>6478837.0321176983</v>
      </c>
    </row>
    <row r="400" spans="1:30" x14ac:dyDescent="0.2">
      <c r="A400" s="95">
        <v>392</v>
      </c>
      <c r="B400" s="95">
        <v>32</v>
      </c>
      <c r="C400" s="95">
        <v>8</v>
      </c>
      <c r="D400" s="95"/>
      <c r="E400" s="95">
        <v>26.94725917637372</v>
      </c>
      <c r="F400" s="95">
        <v>350.05398578089728</v>
      </c>
      <c r="G400" s="95">
        <v>515.6545280783422</v>
      </c>
      <c r="H400" s="95">
        <v>893.42291882959762</v>
      </c>
      <c r="I400" s="95">
        <v>2727.4112258030341</v>
      </c>
      <c r="J400" s="95">
        <v>108.30748919030242</v>
      </c>
      <c r="K400" s="95">
        <v>461.68746607330331</v>
      </c>
      <c r="L400" s="95">
        <v>183.36292572744657</v>
      </c>
      <c r="M400" s="95">
        <v>3961.6728473042122</v>
      </c>
      <c r="N400" s="95">
        <v>771.47935403649228</v>
      </c>
      <c r="O400" s="95">
        <v>10000.000000000002</v>
      </c>
      <c r="Q400" s="98">
        <v>3961.6728473042122</v>
      </c>
      <c r="R400" s="95">
        <v>3526.8516710575141</v>
      </c>
      <c r="S400" s="99">
        <v>2270.6087424478842</v>
      </c>
      <c r="U400" s="121">
        <v>5206.2136321143062</v>
      </c>
      <c r="V400" s="59">
        <v>67643.139478679557</v>
      </c>
      <c r="W400" s="59">
        <v>99649.392632624615</v>
      </c>
      <c r="X400" s="59">
        <v>355486.16191216902</v>
      </c>
      <c r="Y400" s="59">
        <v>1263682.7150109077</v>
      </c>
      <c r="Z400" s="59">
        <v>2936014.2046750393</v>
      </c>
      <c r="AA400" s="59">
        <v>1736962.7306114375</v>
      </c>
      <c r="AB400" s="59">
        <v>6464644.5579529721</v>
      </c>
      <c r="AC400" s="59">
        <v>2556753347.1796851</v>
      </c>
      <c r="AD400" s="68">
        <v>6464644.5579529721</v>
      </c>
    </row>
    <row r="401" spans="1:30" x14ac:dyDescent="0.2">
      <c r="A401" s="95">
        <v>393</v>
      </c>
      <c r="B401" s="95">
        <v>32</v>
      </c>
      <c r="C401" s="95">
        <v>9</v>
      </c>
      <c r="D401" s="95"/>
      <c r="E401" s="95">
        <v>26.664312955021796</v>
      </c>
      <c r="F401" s="95">
        <v>347.5746320025832</v>
      </c>
      <c r="G401" s="95">
        <v>512.59079096744802</v>
      </c>
      <c r="H401" s="95">
        <v>889.27297537257277</v>
      </c>
      <c r="I401" s="95">
        <v>2721.9560226850713</v>
      </c>
      <c r="J401" s="95">
        <v>108.11040527054574</v>
      </c>
      <c r="K401" s="95">
        <v>461.13942224457463</v>
      </c>
      <c r="L401" s="95">
        <v>183.11269060261333</v>
      </c>
      <c r="M401" s="95">
        <v>3974.1492580140844</v>
      </c>
      <c r="N401" s="95">
        <v>775.42948988548676</v>
      </c>
      <c r="O401" s="95">
        <v>10000.000000000002</v>
      </c>
      <c r="Q401" s="98">
        <v>3974.1492580140844</v>
      </c>
      <c r="R401" s="95">
        <v>3535.7157575413739</v>
      </c>
      <c r="S401" s="99">
        <v>2277.0206936244813</v>
      </c>
      <c r="U401" s="121">
        <v>5149.3791332970586</v>
      </c>
      <c r="V401" s="59">
        <v>67135.844160893554</v>
      </c>
      <c r="W401" s="59">
        <v>99015.779986200956</v>
      </c>
      <c r="X401" s="59">
        <v>353686.66696722363</v>
      </c>
      <c r="Y401" s="59">
        <v>1260628.0652981892</v>
      </c>
      <c r="Z401" s="59">
        <v>2930946.937496738</v>
      </c>
      <c r="AA401" s="59">
        <v>1733866.7695391623</v>
      </c>
      <c r="AB401" s="59">
        <v>6450429.4425817048</v>
      </c>
      <c r="AC401" s="59">
        <v>2563203776.6222668</v>
      </c>
      <c r="AD401" s="68">
        <v>6450429.4425817048</v>
      </c>
    </row>
    <row r="402" spans="1:30" x14ac:dyDescent="0.2">
      <c r="A402" s="95">
        <v>394</v>
      </c>
      <c r="B402" s="95">
        <v>32</v>
      </c>
      <c r="C402" s="95">
        <v>10</v>
      </c>
      <c r="D402" s="95"/>
      <c r="E402" s="95">
        <v>26.384337668994068</v>
      </c>
      <c r="F402" s="95">
        <v>345.11194110320776</v>
      </c>
      <c r="G402" s="95">
        <v>509.54242694123292</v>
      </c>
      <c r="H402" s="95">
        <v>885.13562312211627</v>
      </c>
      <c r="I402" s="95">
        <v>2716.4888886631334</v>
      </c>
      <c r="J402" s="95">
        <v>107.91260329932877</v>
      </c>
      <c r="K402" s="95">
        <v>460.58725247541008</v>
      </c>
      <c r="L402" s="95">
        <v>182.86096055976998</v>
      </c>
      <c r="M402" s="95">
        <v>3986.6086603422468</v>
      </c>
      <c r="N402" s="95">
        <v>779.3673058245621</v>
      </c>
      <c r="O402" s="95">
        <v>10000.000000000002</v>
      </c>
      <c r="Q402" s="98">
        <v>3986.6086603422468</v>
      </c>
      <c r="R402" s="95">
        <v>3544.5621146151002</v>
      </c>
      <c r="S402" s="99">
        <v>2283.4220580068663</v>
      </c>
      <c r="U402" s="121">
        <v>5093.1650777585655</v>
      </c>
      <c r="V402" s="59">
        <v>66632.179893115826</v>
      </c>
      <c r="W402" s="59">
        <v>98385.649339161377</v>
      </c>
      <c r="X402" s="59">
        <v>351893.6215845985</v>
      </c>
      <c r="Y402" s="59">
        <v>1257570.2178258791</v>
      </c>
      <c r="Z402" s="59">
        <v>2925858.3713141209</v>
      </c>
      <c r="AA402" s="59">
        <v>1730758.9185299412</v>
      </c>
      <c r="AB402" s="59">
        <v>6436192.1235645758</v>
      </c>
      <c r="AC402" s="59">
        <v>2569639968.7458315</v>
      </c>
      <c r="AD402" s="68">
        <v>6436192.1235645758</v>
      </c>
    </row>
    <row r="403" spans="1:30" x14ac:dyDescent="0.2">
      <c r="A403" s="95">
        <v>395</v>
      </c>
      <c r="B403" s="95">
        <v>32</v>
      </c>
      <c r="C403" s="95">
        <v>11</v>
      </c>
      <c r="D403" s="95"/>
      <c r="E403" s="95">
        <v>26.10730212346963</v>
      </c>
      <c r="F403" s="95">
        <v>342.66581152350534</v>
      </c>
      <c r="G403" s="95">
        <v>506.5093887677624</v>
      </c>
      <c r="H403" s="95">
        <v>881.01088465067323</v>
      </c>
      <c r="I403" s="95">
        <v>2711.0100070952208</v>
      </c>
      <c r="J403" s="95">
        <v>107.71409416467125</v>
      </c>
      <c r="K403" s="95">
        <v>460.03098758385789</v>
      </c>
      <c r="L403" s="95">
        <v>182.60774854559551</v>
      </c>
      <c r="M403" s="95">
        <v>3999.0509516953089</v>
      </c>
      <c r="N403" s="95">
        <v>783.29282384993689</v>
      </c>
      <c r="O403" s="95">
        <v>10000.000000000002</v>
      </c>
      <c r="Q403" s="98">
        <v>3999.0509516953089</v>
      </c>
      <c r="R403" s="95">
        <v>3553.3907035032553</v>
      </c>
      <c r="S403" s="99">
        <v>2289.8127942263636</v>
      </c>
      <c r="U403" s="121">
        <v>5037.5646923263675</v>
      </c>
      <c r="V403" s="59">
        <v>66132.122768505767</v>
      </c>
      <c r="W403" s="59">
        <v>97758.987529116974</v>
      </c>
      <c r="X403" s="59">
        <v>350107.02758225787</v>
      </c>
      <c r="Y403" s="59">
        <v>1254509.2630364238</v>
      </c>
      <c r="Z403" s="59">
        <v>2920748.7544194926</v>
      </c>
      <c r="AA403" s="59">
        <v>1727639.3163187329</v>
      </c>
      <c r="AB403" s="59">
        <v>6421933.0363468565</v>
      </c>
      <c r="AC403" s="59">
        <v>2576061901.7821784</v>
      </c>
      <c r="AD403" s="68">
        <v>6421933.0363468565</v>
      </c>
    </row>
    <row r="404" spans="1:30" x14ac:dyDescent="0.2">
      <c r="A404" s="95">
        <v>396</v>
      </c>
      <c r="B404" s="95">
        <v>33</v>
      </c>
      <c r="C404" s="95">
        <v>0</v>
      </c>
      <c r="D404" s="95"/>
      <c r="E404" s="95">
        <v>25.833175451173197</v>
      </c>
      <c r="F404" s="95">
        <v>340.23614219560835</v>
      </c>
      <c r="G404" s="95">
        <v>503.4916290034671</v>
      </c>
      <c r="H404" s="95">
        <v>876.89878182323969</v>
      </c>
      <c r="I404" s="95">
        <v>2705.5195606101852</v>
      </c>
      <c r="J404" s="95">
        <v>107.51488865349948</v>
      </c>
      <c r="K404" s="95">
        <v>459.47065836458921</v>
      </c>
      <c r="L404" s="95">
        <v>182.35306748662495</v>
      </c>
      <c r="M404" s="95">
        <v>4011.4760303933367</v>
      </c>
      <c r="N404" s="95">
        <v>787.20606601827797</v>
      </c>
      <c r="O404" s="95">
        <v>10000.000000000002</v>
      </c>
      <c r="Q404" s="98">
        <v>4011.4760303933367</v>
      </c>
      <c r="R404" s="95">
        <v>3562.2014860263148</v>
      </c>
      <c r="S404" s="99">
        <v>2296.1928613645496</v>
      </c>
      <c r="U404" s="121">
        <v>4982.5712777684712</v>
      </c>
      <c r="V404" s="59">
        <v>65635.649011415779</v>
      </c>
      <c r="W404" s="59">
        <v>97135.78137131875</v>
      </c>
      <c r="X404" s="59">
        <v>348326.88648748095</v>
      </c>
      <c r="Y404" s="59">
        <v>1251445.2908877593</v>
      </c>
      <c r="Z404" s="59">
        <v>2915618.3339337893</v>
      </c>
      <c r="AA404" s="59">
        <v>1724508.1012866371</v>
      </c>
      <c r="AB404" s="59">
        <v>6407652.6142561696</v>
      </c>
      <c r="AC404" s="59">
        <v>2582469554.3964348</v>
      </c>
      <c r="AD404" s="68">
        <v>6407652.6142561696</v>
      </c>
    </row>
    <row r="405" spans="1:30" x14ac:dyDescent="0.2">
      <c r="A405" s="95">
        <v>397</v>
      </c>
      <c r="B405" s="95">
        <v>33</v>
      </c>
      <c r="C405" s="95">
        <v>1</v>
      </c>
      <c r="D405" s="95"/>
      <c r="E405" s="95">
        <v>25.56192710893588</v>
      </c>
      <c r="F405" s="95">
        <v>337.82283254239167</v>
      </c>
      <c r="G405" s="95">
        <v>500.48909999889872</v>
      </c>
      <c r="H405" s="95">
        <v>872.79933580261559</v>
      </c>
      <c r="I405" s="95">
        <v>2700.0177311046573</v>
      </c>
      <c r="J405" s="95">
        <v>107.31499745311287</v>
      </c>
      <c r="K405" s="95">
        <v>458.90629558761196</v>
      </c>
      <c r="L405" s="95">
        <v>182.09693028842528</v>
      </c>
      <c r="M405" s="95">
        <v>4023.8837956673833</v>
      </c>
      <c r="N405" s="95">
        <v>791.10705444596931</v>
      </c>
      <c r="O405" s="95">
        <v>10000.000000000002</v>
      </c>
      <c r="Q405" s="98">
        <v>4023.8837956673833</v>
      </c>
      <c r="R405" s="95">
        <v>3570.9944245982979</v>
      </c>
      <c r="S405" s="99">
        <v>2302.5622189516971</v>
      </c>
      <c r="U405" s="121">
        <v>4928.178207986165</v>
      </c>
      <c r="V405" s="59">
        <v>65142.734977029839</v>
      </c>
      <c r="W405" s="59">
        <v>96516.017659836565</v>
      </c>
      <c r="X405" s="59">
        <v>346553.19953955058</v>
      </c>
      <c r="Y405" s="59">
        <v>1248378.3908527463</v>
      </c>
      <c r="Z405" s="59">
        <v>2910467.355813229</v>
      </c>
      <c r="AA405" s="59">
        <v>1721365.4114501365</v>
      </c>
      <c r="AB405" s="59">
        <v>6393351.2885005148</v>
      </c>
      <c r="AC405" s="59">
        <v>2588862905.6849351</v>
      </c>
      <c r="AD405" s="68">
        <v>6393351.2885005148</v>
      </c>
    </row>
    <row r="406" spans="1:30" x14ac:dyDescent="0.2">
      <c r="A406" s="95">
        <v>398</v>
      </c>
      <c r="B406" s="95">
        <v>33</v>
      </c>
      <c r="C406" s="95">
        <v>2</v>
      </c>
      <c r="D406" s="95"/>
      <c r="E406" s="95">
        <v>25.293526874292052</v>
      </c>
      <c r="F406" s="95">
        <v>335.42578247678841</v>
      </c>
      <c r="G406" s="95">
        <v>497.50175390441916</v>
      </c>
      <c r="H406" s="95">
        <v>868.71256705466067</v>
      </c>
      <c r="I406" s="95">
        <v>2694.5046997400418</v>
      </c>
      <c r="J406" s="95">
        <v>107.11443115261831</v>
      </c>
      <c r="K406" s="95">
        <v>458.3379299969954</v>
      </c>
      <c r="L406" s="95">
        <v>181.8393498347987</v>
      </c>
      <c r="M406" s="95">
        <v>4036.2741476570031</v>
      </c>
      <c r="N406" s="95">
        <v>794.99581130838419</v>
      </c>
      <c r="O406" s="95">
        <v>10000.000000000002</v>
      </c>
      <c r="Q406" s="98">
        <v>4036.2741476570031</v>
      </c>
      <c r="R406" s="95">
        <v>3579.769482224388</v>
      </c>
      <c r="S406" s="99">
        <v>2308.9208269652167</v>
      </c>
      <c r="U406" s="121">
        <v>4874.3789292156498</v>
      </c>
      <c r="V406" s="59">
        <v>64653.35715099721</v>
      </c>
      <c r="W406" s="59">
        <v>95899.683168722346</v>
      </c>
      <c r="X406" s="59">
        <v>344785.96769243735</v>
      </c>
      <c r="Y406" s="59">
        <v>1245308.6519186362</v>
      </c>
      <c r="Z406" s="59">
        <v>2905296.0648557451</v>
      </c>
      <c r="AA406" s="59">
        <v>1718211.3844507888</v>
      </c>
      <c r="AB406" s="59">
        <v>6379029.4881665427</v>
      </c>
      <c r="AC406" s="59">
        <v>2595241935.1731014</v>
      </c>
      <c r="AD406" s="68">
        <v>6379029.4881665427</v>
      </c>
    </row>
    <row r="407" spans="1:30" x14ac:dyDescent="0.2">
      <c r="A407" s="95">
        <v>399</v>
      </c>
      <c r="B407" s="95">
        <v>33</v>
      </c>
      <c r="C407" s="95">
        <v>3</v>
      </c>
      <c r="D407" s="95"/>
      <c r="E407" s="95">
        <v>25.027944842111985</v>
      </c>
      <c r="F407" s="95">
        <v>333.0448924010779</v>
      </c>
      <c r="G407" s="95">
        <v>494.5295426758239</v>
      </c>
      <c r="H407" s="95">
        <v>864.63849535355212</v>
      </c>
      <c r="I407" s="95">
        <v>2688.9806469395799</v>
      </c>
      <c r="J407" s="95">
        <v>106.9132002443331</v>
      </c>
      <c r="K407" s="95">
        <v>457.76559230960572</v>
      </c>
      <c r="L407" s="95">
        <v>181.5803389870122</v>
      </c>
      <c r="M407" s="95">
        <v>4048.6469874077447</v>
      </c>
      <c r="N407" s="95">
        <v>798.87235883916014</v>
      </c>
      <c r="O407" s="95">
        <v>10000.000000000002</v>
      </c>
      <c r="Q407" s="98">
        <v>4048.6469874077447</v>
      </c>
      <c r="R407" s="95">
        <v>3588.526622498543</v>
      </c>
      <c r="S407" s="99">
        <v>2315.2686458280946</v>
      </c>
      <c r="U407" s="121">
        <v>4821.1669592383787</v>
      </c>
      <c r="V407" s="59">
        <v>64167.492149061334</v>
      </c>
      <c r="W407" s="59">
        <v>95286.764653157836</v>
      </c>
      <c r="X407" s="59">
        <v>343025.19161747827</v>
      </c>
      <c r="Y407" s="59">
        <v>1242236.1625865716</v>
      </c>
      <c r="Z407" s="59">
        <v>2900104.7047072183</v>
      </c>
      <c r="AA407" s="59">
        <v>1715046.1575453519</v>
      </c>
      <c r="AB407" s="59">
        <v>6364687.6402180772</v>
      </c>
      <c r="AC407" s="59">
        <v>2601606622.8133197</v>
      </c>
      <c r="AD407" s="68">
        <v>6364687.6402180772</v>
      </c>
    </row>
    <row r="408" spans="1:30" x14ac:dyDescent="0.2">
      <c r="A408" s="95">
        <v>400</v>
      </c>
      <c r="B408" s="95">
        <v>33</v>
      </c>
      <c r="C408" s="95">
        <v>4</v>
      </c>
      <c r="D408" s="95"/>
      <c r="E408" s="95">
        <v>24.76515142126981</v>
      </c>
      <c r="F408" s="95">
        <v>330.68006320614671</v>
      </c>
      <c r="G408" s="95">
        <v>491.57241807989976</v>
      </c>
      <c r="H408" s="95">
        <v>860.57713978704419</v>
      </c>
      <c r="I408" s="95">
        <v>2683.4457523854762</v>
      </c>
      <c r="J408" s="95">
        <v>106.71131512515694</v>
      </c>
      <c r="K408" s="95">
        <v>457.18931321385236</v>
      </c>
      <c r="L408" s="95">
        <v>181.31991058305258</v>
      </c>
      <c r="M408" s="95">
        <v>4061.0022168686278</v>
      </c>
      <c r="N408" s="95">
        <v>802.73671932947502</v>
      </c>
      <c r="O408" s="95">
        <v>10000.000000000002</v>
      </c>
      <c r="Q408" s="98">
        <v>4061.0022168686278</v>
      </c>
      <c r="R408" s="95">
        <v>3597.2658096010969</v>
      </c>
      <c r="S408" s="99">
        <v>2321.6056364073297</v>
      </c>
      <c r="U408" s="121">
        <v>4768.535886600027</v>
      </c>
      <c r="V408" s="59">
        <v>63685.116716684155</v>
      </c>
      <c r="W408" s="59">
        <v>94677.248850586766</v>
      </c>
      <c r="X408" s="59">
        <v>341270.87170605001</v>
      </c>
      <c r="Y408" s="59">
        <v>1239161.01087112</v>
      </c>
      <c r="Z408" s="59">
        <v>2894893.5178674995</v>
      </c>
      <c r="AA408" s="59">
        <v>1711869.867596325</v>
      </c>
      <c r="AB408" s="59">
        <v>6350326.1694948655</v>
      </c>
      <c r="AC408" s="59">
        <v>2607956948.9828143</v>
      </c>
      <c r="AD408" s="68">
        <v>6350326.1694948655</v>
      </c>
    </row>
    <row r="409" spans="1:30" x14ac:dyDescent="0.2">
      <c r="A409" s="95">
        <v>401</v>
      </c>
      <c r="B409" s="95">
        <v>33</v>
      </c>
      <c r="C409" s="95">
        <v>5</v>
      </c>
      <c r="D409" s="95"/>
      <c r="E409" s="95">
        <v>24.505117331346476</v>
      </c>
      <c r="F409" s="95">
        <v>328.33119627072261</v>
      </c>
      <c r="G409" s="95">
        <v>488.63033169991769</v>
      </c>
      <c r="H409" s="95">
        <v>856.52851876172815</v>
      </c>
      <c r="I409" s="95">
        <v>2677.9001950160928</v>
      </c>
      <c r="J409" s="95">
        <v>106.508786097914</v>
      </c>
      <c r="K409" s="95">
        <v>456.6091233684453</v>
      </c>
      <c r="L409" s="95">
        <v>181.05807743690576</v>
      </c>
      <c r="M409" s="95">
        <v>4073.3397388896024</v>
      </c>
      <c r="N409" s="95">
        <v>806.58891512732646</v>
      </c>
      <c r="O409" s="95">
        <v>10000.000000000002</v>
      </c>
      <c r="Q409" s="98">
        <v>4073.3397388896024</v>
      </c>
      <c r="R409" s="95">
        <v>3605.9870082963498</v>
      </c>
      <c r="S409" s="99">
        <v>2327.9317600123672</v>
      </c>
      <c r="U409" s="121">
        <v>4716.4793698379763</v>
      </c>
      <c r="V409" s="59">
        <v>63206.207728665853</v>
      </c>
      <c r="W409" s="59">
        <v>94071.122481831728</v>
      </c>
      <c r="X409" s="59">
        <v>339523.00807223679</v>
      </c>
      <c r="Y409" s="59">
        <v>1236083.2842998386</v>
      </c>
      <c r="Z409" s="59">
        <v>2889662.7456962415</v>
      </c>
      <c r="AA409" s="59">
        <v>1708682.6510628893</v>
      </c>
      <c r="AB409" s="59">
        <v>6335945.4987115413</v>
      </c>
      <c r="AC409" s="59">
        <v>2614292894.4815259</v>
      </c>
      <c r="AD409" s="68">
        <v>6335945.4987115413</v>
      </c>
    </row>
    <row r="410" spans="1:30" x14ac:dyDescent="0.2">
      <c r="A410" s="95">
        <v>402</v>
      </c>
      <c r="B410" s="95">
        <v>33</v>
      </c>
      <c r="C410" s="95">
        <v>6</v>
      </c>
      <c r="D410" s="95"/>
      <c r="E410" s="95">
        <v>24.247813599367337</v>
      </c>
      <c r="F410" s="95">
        <v>325.99819346058257</v>
      </c>
      <c r="G410" s="95">
        <v>485.70323494106117</v>
      </c>
      <c r="H410" s="95">
        <v>852.49265000829269</v>
      </c>
      <c r="I410" s="95">
        <v>2672.3441530232062</v>
      </c>
      <c r="J410" s="95">
        <v>106.30562337266547</v>
      </c>
      <c r="K410" s="95">
        <v>456.02505340116312</v>
      </c>
      <c r="L410" s="95">
        <v>180.79485233785965</v>
      </c>
      <c r="M410" s="95">
        <v>4085.6594572189892</v>
      </c>
      <c r="N410" s="95">
        <v>810.42896863681381</v>
      </c>
      <c r="O410" s="95">
        <v>10000.000000000002</v>
      </c>
      <c r="Q410" s="98">
        <v>4085.6594572189892</v>
      </c>
      <c r="R410" s="95">
        <v>3614.6901839301522</v>
      </c>
      <c r="S410" s="99">
        <v>2334.2469783935289</v>
      </c>
      <c r="U410" s="121">
        <v>4664.9911367172454</v>
      </c>
      <c r="V410" s="59">
        <v>62730.742188760283</v>
      </c>
      <c r="W410" s="59">
        <v>93468.372252195986</v>
      </c>
      <c r="X410" s="59">
        <v>337781.60055549192</v>
      </c>
      <c r="Y410" s="59">
        <v>1233003.0699128727</v>
      </c>
      <c r="Z410" s="59">
        <v>2884412.6284185429</v>
      </c>
      <c r="AA410" s="59">
        <v>1705484.6439922324</v>
      </c>
      <c r="AB410" s="59">
        <v>6321546.0484568132</v>
      </c>
      <c r="AC410" s="59">
        <v>2620614440.5299826</v>
      </c>
      <c r="AD410" s="68">
        <v>6321546.0484568132</v>
      </c>
    </row>
    <row r="411" spans="1:30" x14ac:dyDescent="0.2">
      <c r="A411" s="95">
        <v>403</v>
      </c>
      <c r="B411" s="95">
        <v>33</v>
      </c>
      <c r="C411" s="95">
        <v>7</v>
      </c>
      <c r="D411" s="95"/>
      <c r="E411" s="95">
        <v>23.993211556573979</v>
      </c>
      <c r="F411" s="95">
        <v>323.68095712773516</v>
      </c>
      <c r="G411" s="95">
        <v>482.79107903579057</v>
      </c>
      <c r="H411" s="95">
        <v>848.46955058678361</v>
      </c>
      <c r="I411" s="95">
        <v>2666.7778038493329</v>
      </c>
      <c r="J411" s="95">
        <v>106.1018370679935</v>
      </c>
      <c r="K411" s="95">
        <v>455.43713390763213</v>
      </c>
      <c r="L411" s="95">
        <v>180.53024804982951</v>
      </c>
      <c r="M411" s="95">
        <v>4097.9612765009078</v>
      </c>
      <c r="N411" s="95">
        <v>814.25690231742192</v>
      </c>
      <c r="O411" s="95">
        <v>10000.000000000002</v>
      </c>
      <c r="Q411" s="98">
        <v>4097.9612765009078</v>
      </c>
      <c r="R411" s="95">
        <v>3623.3753024274774</v>
      </c>
      <c r="S411" s="99">
        <v>2340.5512537404411</v>
      </c>
      <c r="U411" s="121">
        <v>4614.0649834747483</v>
      </c>
      <c r="V411" s="59">
        <v>62258.697229286008</v>
      </c>
      <c r="W411" s="59">
        <v>92868.984852550173</v>
      </c>
      <c r="X411" s="59">
        <v>336046.64872329379</v>
      </c>
      <c r="Y411" s="59">
        <v>1229920.4542625875</v>
      </c>
      <c r="Z411" s="59">
        <v>2879143.405130405</v>
      </c>
      <c r="AA411" s="59">
        <v>1702275.9820112388</v>
      </c>
      <c r="AB411" s="59">
        <v>6307128.2371928357</v>
      </c>
      <c r="AC411" s="59">
        <v>2626921568.7671752</v>
      </c>
      <c r="AD411" s="68">
        <v>6307128.2371928357</v>
      </c>
    </row>
    <row r="412" spans="1:30" x14ac:dyDescent="0.2">
      <c r="A412" s="95">
        <v>404</v>
      </c>
      <c r="B412" s="95">
        <v>33</v>
      </c>
      <c r="C412" s="95">
        <v>8</v>
      </c>
      <c r="D412" s="95"/>
      <c r="E412" s="95">
        <v>23.741282835229953</v>
      </c>
      <c r="F412" s="95">
        <v>321.3793901095778</v>
      </c>
      <c r="G412" s="95">
        <v>479.89381504914394</v>
      </c>
      <c r="H412" s="95">
        <v>844.45923689186247</v>
      </c>
      <c r="I412" s="95">
        <v>2661.2013241851168</v>
      </c>
      <c r="J412" s="95">
        <v>105.89743721225713</v>
      </c>
      <c r="K412" s="95">
        <v>454.84539545011609</v>
      </c>
      <c r="L412" s="95">
        <v>180.26427731070513</v>
      </c>
      <c r="M412" s="95">
        <v>4110.2451022726837</v>
      </c>
      <c r="N412" s="95">
        <v>818.07273868330822</v>
      </c>
      <c r="O412" s="95">
        <v>10000.000000000002</v>
      </c>
      <c r="Q412" s="98">
        <v>4110.2451022726837</v>
      </c>
      <c r="R412" s="95">
        <v>3632.0423302899876</v>
      </c>
      <c r="S412" s="99">
        <v>2346.8445486804603</v>
      </c>
      <c r="U412" s="121">
        <v>4563.6947740718151</v>
      </c>
      <c r="V412" s="59">
        <v>61790.050110733275</v>
      </c>
      <c r="W412" s="59">
        <v>92272.946960404137</v>
      </c>
      <c r="X412" s="59">
        <v>334318.15187379491</v>
      </c>
      <c r="Y412" s="59">
        <v>1226835.5234132286</v>
      </c>
      <c r="Z412" s="59">
        <v>2873855.3138040141</v>
      </c>
      <c r="AA412" s="59">
        <v>1699056.8003185363</v>
      </c>
      <c r="AB412" s="59">
        <v>6292692.4812547835</v>
      </c>
      <c r="AC412" s="59">
        <v>2633214261.2484298</v>
      </c>
      <c r="AD412" s="68">
        <v>6292692.4812547835</v>
      </c>
    </row>
    <row r="413" spans="1:30" x14ac:dyDescent="0.2">
      <c r="A413" s="95">
        <v>405</v>
      </c>
      <c r="B413" s="95">
        <v>33</v>
      </c>
      <c r="C413" s="95">
        <v>9</v>
      </c>
      <c r="D413" s="95"/>
      <c r="E413" s="95">
        <v>23.491999365460039</v>
      </c>
      <c r="F413" s="95">
        <v>319.09339572802958</v>
      </c>
      <c r="G413" s="95">
        <v>477.01139388397513</v>
      </c>
      <c r="H413" s="95">
        <v>840.46172465806364</v>
      </c>
      <c r="I413" s="95">
        <v>2655.6148899667819</v>
      </c>
      <c r="J413" s="95">
        <v>105.69243374482072</v>
      </c>
      <c r="K413" s="95">
        <v>454.24986855631693</v>
      </c>
      <c r="L413" s="95">
        <v>179.99695283171891</v>
      </c>
      <c r="M413" s="95">
        <v>4122.5108409622435</v>
      </c>
      <c r="N413" s="95">
        <v>821.87650030259124</v>
      </c>
      <c r="O413" s="95">
        <v>10000.000000000002</v>
      </c>
      <c r="Q413" s="98">
        <v>4122.5108409622435</v>
      </c>
      <c r="R413" s="95">
        <v>3640.6912345935893</v>
      </c>
      <c r="S413" s="99">
        <v>2353.1268262770964</v>
      </c>
      <c r="U413" s="121">
        <v>4513.8744394548648</v>
      </c>
      <c r="V413" s="59">
        <v>61324.778221366934</v>
      </c>
      <c r="W413" s="59">
        <v>91680.245240963981</v>
      </c>
      <c r="X413" s="59">
        <v>332596.10903846455</v>
      </c>
      <c r="Y413" s="59">
        <v>1223748.3629406176</v>
      </c>
      <c r="Z413" s="59">
        <v>2868548.5912928507</v>
      </c>
      <c r="AA413" s="59">
        <v>1695827.2336768806</v>
      </c>
      <c r="AB413" s="59">
        <v>6278239.1948505994</v>
      </c>
      <c r="AC413" s="59">
        <v>2639492500.4432802</v>
      </c>
      <c r="AD413" s="68">
        <v>6278239.1948505994</v>
      </c>
    </row>
    <row r="414" spans="1:30" x14ac:dyDescent="0.2">
      <c r="A414" s="95">
        <v>406</v>
      </c>
      <c r="B414" s="95">
        <v>33</v>
      </c>
      <c r="C414" s="95">
        <v>10</v>
      </c>
      <c r="D414" s="95"/>
      <c r="E414" s="95">
        <v>23.245333372122708</v>
      </c>
      <c r="F414" s="95">
        <v>316.82287778863991</v>
      </c>
      <c r="G414" s="95">
        <v>474.14376628612928</v>
      </c>
      <c r="H414" s="95">
        <v>836.47702896504859</v>
      </c>
      <c r="I414" s="95">
        <v>2650.0186763736483</v>
      </c>
      <c r="J414" s="95">
        <v>105.48683651725572</v>
      </c>
      <c r="K414" s="95">
        <v>453.65058371818628</v>
      </c>
      <c r="L414" s="95">
        <v>179.72828729683414</v>
      </c>
      <c r="M414" s="95">
        <v>4134.7583998854943</v>
      </c>
      <c r="N414" s="95">
        <v>825.6682097966426</v>
      </c>
      <c r="O414" s="95">
        <v>10000.000000000002</v>
      </c>
      <c r="Q414" s="98">
        <v>4134.7583998854943</v>
      </c>
      <c r="R414" s="95">
        <v>3649.3219829859813</v>
      </c>
      <c r="S414" s="99">
        <v>2359.3980500284306</v>
      </c>
      <c r="U414" s="121">
        <v>4464.5979768241486</v>
      </c>
      <c r="V414" s="59">
        <v>60862.859076825334</v>
      </c>
      <c r="W414" s="59">
        <v>91090.866348174575</v>
      </c>
      <c r="X414" s="59">
        <v>330880.51898472459</v>
      </c>
      <c r="Y414" s="59">
        <v>1220659.0579318774</v>
      </c>
      <c r="Z414" s="59">
        <v>2863223.4733366319</v>
      </c>
      <c r="AA414" s="59">
        <v>1692587.4164058657</v>
      </c>
      <c r="AB414" s="59">
        <v>6263768.7900609234</v>
      </c>
      <c r="AC414" s="59">
        <v>2645756269.2333412</v>
      </c>
      <c r="AD414" s="68">
        <v>6263768.7900609234</v>
      </c>
    </row>
    <row r="415" spans="1:30" x14ac:dyDescent="0.2">
      <c r="A415" s="95">
        <v>407</v>
      </c>
      <c r="B415" s="95">
        <v>33</v>
      </c>
      <c r="C415" s="95">
        <v>11</v>
      </c>
      <c r="D415" s="95"/>
      <c r="E415" s="95">
        <v>23.001257371715418</v>
      </c>
      <c r="F415" s="95">
        <v>314.56774057967374</v>
      </c>
      <c r="G415" s="95">
        <v>471.29088284955623</v>
      </c>
      <c r="H415" s="95">
        <v>832.50516424285729</v>
      </c>
      <c r="I415" s="95">
        <v>2644.4128578257132</v>
      </c>
      <c r="J415" s="95">
        <v>105.28065529451632</v>
      </c>
      <c r="K415" s="95">
        <v>453.04757139074786</v>
      </c>
      <c r="L415" s="95">
        <v>179.4582933621526</v>
      </c>
      <c r="M415" s="95">
        <v>4146.987687243688</v>
      </c>
      <c r="N415" s="95">
        <v>829.44788983938099</v>
      </c>
      <c r="O415" s="95">
        <v>10000.000000000002</v>
      </c>
      <c r="Q415" s="98">
        <v>4146.987687243688</v>
      </c>
      <c r="R415" s="95">
        <v>3657.9345436841959</v>
      </c>
      <c r="S415" s="99">
        <v>2365.6581838655338</v>
      </c>
      <c r="U415" s="121">
        <v>4415.8594489104853</v>
      </c>
      <c r="V415" s="59">
        <v>60404.270319715564</v>
      </c>
      <c r="W415" s="59">
        <v>90504.796925747462</v>
      </c>
      <c r="X415" s="59">
        <v>329171.38021857792</v>
      </c>
      <c r="Y415" s="59">
        <v>1217567.6929851882</v>
      </c>
      <c r="Z415" s="59">
        <v>2857880.1945660962</v>
      </c>
      <c r="AA415" s="59">
        <v>1689337.4823749459</v>
      </c>
      <c r="AB415" s="59">
        <v>6249281.6768391822</v>
      </c>
      <c r="AC415" s="59">
        <v>2652005550.9101806</v>
      </c>
      <c r="AD415" s="68">
        <v>6249281.6768391822</v>
      </c>
    </row>
    <row r="416" spans="1:30" x14ac:dyDescent="0.2">
      <c r="A416" s="95">
        <v>408</v>
      </c>
      <c r="B416" s="95">
        <v>34</v>
      </c>
      <c r="C416" s="95">
        <v>0</v>
      </c>
      <c r="D416" s="95"/>
      <c r="E416" s="95">
        <v>22.759744169312405</v>
      </c>
      <c r="F416" s="95">
        <v>312.32788887117385</v>
      </c>
      <c r="G416" s="95">
        <v>468.45269402136284</v>
      </c>
      <c r="H416" s="95">
        <v>828.54614427715637</v>
      </c>
      <c r="I416" s="95">
        <v>2638.7976079812947</v>
      </c>
      <c r="J416" s="95">
        <v>105.0738997560895</v>
      </c>
      <c r="K416" s="95">
        <v>452.44086199093067</v>
      </c>
      <c r="L416" s="95">
        <v>179.1869836553409</v>
      </c>
      <c r="M416" s="95">
        <v>4159.1986121207719</v>
      </c>
      <c r="N416" s="95">
        <v>833.21556315656869</v>
      </c>
      <c r="O416" s="95">
        <v>10000.000000000002</v>
      </c>
      <c r="Q416" s="98">
        <v>4159.1986121207719</v>
      </c>
      <c r="R416" s="95">
        <v>3666.5288854721293</v>
      </c>
      <c r="S416" s="99">
        <v>2371.9071921508803</v>
      </c>
      <c r="U416" s="121">
        <v>4367.6529832598799</v>
      </c>
      <c r="V416" s="59">
        <v>59948.989719204787</v>
      </c>
      <c r="W416" s="59">
        <v>89922.023608174597</v>
      </c>
      <c r="X416" s="59">
        <v>327468.69098723028</v>
      </c>
      <c r="Y416" s="59">
        <v>1214474.3522095764</v>
      </c>
      <c r="Z416" s="59">
        <v>2852518.988507627</v>
      </c>
      <c r="AA416" s="59">
        <v>1686077.5649967617</v>
      </c>
      <c r="AB416" s="59">
        <v>6234778.2630118346</v>
      </c>
      <c r="AC416" s="59">
        <v>2658240329.1731925</v>
      </c>
      <c r="AD416" s="68">
        <v>6234778.2630118346</v>
      </c>
    </row>
    <row r="417" spans="1:30" x14ac:dyDescent="0.2">
      <c r="A417" s="95">
        <v>409</v>
      </c>
      <c r="B417" s="95">
        <v>34</v>
      </c>
      <c r="C417" s="95">
        <v>1</v>
      </c>
      <c r="D417" s="95"/>
      <c r="E417" s="95">
        <v>22.520766855534625</v>
      </c>
      <c r="F417" s="95">
        <v>310.10322791400046</v>
      </c>
      <c r="G417" s="95">
        <v>465.62915010680399</v>
      </c>
      <c r="H417" s="95">
        <v>824.59998221448291</v>
      </c>
      <c r="I417" s="95">
        <v>2633.1730997347372</v>
      </c>
      <c r="J417" s="95">
        <v>104.8665794971203</v>
      </c>
      <c r="K417" s="95">
        <v>451.83048589641299</v>
      </c>
      <c r="L417" s="95">
        <v>178.91437077507481</v>
      </c>
      <c r="M417" s="95">
        <v>4171.3910844807242</v>
      </c>
      <c r="N417" s="95">
        <v>836.97125252511069</v>
      </c>
      <c r="O417" s="95">
        <v>10000.000000000002</v>
      </c>
      <c r="Q417" s="98">
        <v>4171.3910844807242</v>
      </c>
      <c r="R417" s="95">
        <v>3675.1049776980685</v>
      </c>
      <c r="S417" s="99">
        <v>2378.1450396767582</v>
      </c>
      <c r="U417" s="121">
        <v>4319.9727715259587</v>
      </c>
      <c r="V417" s="59">
        <v>59496.995170608134</v>
      </c>
      <c r="W417" s="59">
        <v>89342.533021727679</v>
      </c>
      <c r="X417" s="59">
        <v>325772.44928170362</v>
      </c>
      <c r="Y417" s="59">
        <v>1211379.1192247313</v>
      </c>
      <c r="Z417" s="59">
        <v>2847140.087587731</v>
      </c>
      <c r="AA417" s="59">
        <v>1682807.7972207498</v>
      </c>
      <c r="AB417" s="59">
        <v>6220258.9542787774</v>
      </c>
      <c r="AC417" s="59">
        <v>2664460588.1274714</v>
      </c>
      <c r="AD417" s="68">
        <v>6220258.9542787774</v>
      </c>
    </row>
    <row r="418" spans="1:30" x14ac:dyDescent="0.2">
      <c r="A418" s="95">
        <v>410</v>
      </c>
      <c r="B418" s="95">
        <v>34</v>
      </c>
      <c r="C418" s="95">
        <v>2</v>
      </c>
      <c r="D418" s="95"/>
      <c r="E418" s="95">
        <v>22.284298803551511</v>
      </c>
      <c r="F418" s="95">
        <v>307.89366343884893</v>
      </c>
      <c r="G418" s="95">
        <v>462.82020127421333</v>
      </c>
      <c r="H418" s="95">
        <v>820.66669056748344</v>
      </c>
      <c r="I418" s="95">
        <v>2627.5395052141812</v>
      </c>
      <c r="J418" s="95">
        <v>104.65870402951255</v>
      </c>
      <c r="K418" s="95">
        <v>451.21647344447729</v>
      </c>
      <c r="L418" s="95">
        <v>178.64046729050096</v>
      </c>
      <c r="M418" s="95">
        <v>4183.565015164877</v>
      </c>
      <c r="N418" s="95">
        <v>840.71498077235628</v>
      </c>
      <c r="O418" s="95">
        <v>10000.000000000002</v>
      </c>
      <c r="Q418" s="98">
        <v>4183.565015164877</v>
      </c>
      <c r="R418" s="95">
        <v>3683.6627902722066</v>
      </c>
      <c r="S418" s="99">
        <v>2384.3716916636786</v>
      </c>
      <c r="U418" s="121">
        <v>4272.8130687701341</v>
      </c>
      <c r="V418" s="59">
        <v>59048.264694972997</v>
      </c>
      <c r="W418" s="59">
        <v>88766.311785443526</v>
      </c>
      <c r="X418" s="59">
        <v>324082.65283944231</v>
      </c>
      <c r="Y418" s="59">
        <v>1208282.0771608567</v>
      </c>
      <c r="Z418" s="59">
        <v>2841743.7231373684</v>
      </c>
      <c r="AA418" s="59">
        <v>1679528.3115270343</v>
      </c>
      <c r="AB418" s="59">
        <v>6205724.1542138886</v>
      </c>
      <c r="AC418" s="59">
        <v>2670666312.2816854</v>
      </c>
      <c r="AD418" s="68">
        <v>6205724.1542138886</v>
      </c>
    </row>
    <row r="419" spans="1:30" x14ac:dyDescent="0.2">
      <c r="A419" s="95">
        <v>411</v>
      </c>
      <c r="B419" s="95">
        <v>34</v>
      </c>
      <c r="C419" s="95">
        <v>3</v>
      </c>
      <c r="D419" s="95"/>
      <c r="E419" s="95">
        <v>22.050313666114221</v>
      </c>
      <c r="F419" s="95">
        <v>305.6991016552459</v>
      </c>
      <c r="G419" s="95">
        <v>460.02579755987404</v>
      </c>
      <c r="H419" s="95">
        <v>816.74628122014758</v>
      </c>
      <c r="I419" s="95">
        <v>2621.8969957793938</v>
      </c>
      <c r="J419" s="95">
        <v>104.45028278300605</v>
      </c>
      <c r="K419" s="95">
        <v>450.59885493087575</v>
      </c>
      <c r="L419" s="95">
        <v>178.36528574071525</v>
      </c>
      <c r="M419" s="95">
        <v>4195.7203158892271</v>
      </c>
      <c r="N419" s="95">
        <v>844.44677077540337</v>
      </c>
      <c r="O419" s="95">
        <v>10000.000000000004</v>
      </c>
      <c r="Q419" s="98">
        <v>4195.7203158892271</v>
      </c>
      <c r="R419" s="95">
        <v>3692.2022936641529</v>
      </c>
      <c r="S419" s="99">
        <v>2390.587113758781</v>
      </c>
      <c r="U419" s="121">
        <v>4226.1681927693935</v>
      </c>
      <c r="V419" s="59">
        <v>58602.776438659974</v>
      </c>
      <c r="W419" s="59">
        <v>88193.346512095464</v>
      </c>
      <c r="X419" s="59">
        <v>322399.29914691142</v>
      </c>
      <c r="Y419" s="59">
        <v>1205183.3086585468</v>
      </c>
      <c r="Z419" s="59">
        <v>2836330.1253961427</v>
      </c>
      <c r="AA419" s="59">
        <v>1676239.2399205805</v>
      </c>
      <c r="AB419" s="59">
        <v>6191174.2642657058</v>
      </c>
      <c r="AC419" s="59">
        <v>2676857486.5459509</v>
      </c>
      <c r="AD419" s="68">
        <v>6191174.2642657058</v>
      </c>
    </row>
    <row r="420" spans="1:30" x14ac:dyDescent="0.2">
      <c r="A420" s="95">
        <v>412</v>
      </c>
      <c r="B420" s="95">
        <v>34</v>
      </c>
      <c r="C420" s="95">
        <v>4</v>
      </c>
      <c r="D420" s="95"/>
      <c r="E420" s="95">
        <v>21.81878537262002</v>
      </c>
      <c r="F420" s="95">
        <v>303.51944925052442</v>
      </c>
      <c r="G420" s="95">
        <v>457.24588887283005</v>
      </c>
      <c r="H420" s="95">
        <v>812.83876543303643</v>
      </c>
      <c r="I420" s="95">
        <v>2616.2457420196615</v>
      </c>
      <c r="J420" s="95">
        <v>104.24132510623029</v>
      </c>
      <c r="K420" s="95">
        <v>449.97766060870669</v>
      </c>
      <c r="L420" s="95">
        <v>178.08883863425723</v>
      </c>
      <c r="M420" s="95">
        <v>4207.8568992417313</v>
      </c>
      <c r="N420" s="95">
        <v>848.16664546040488</v>
      </c>
      <c r="O420" s="95">
        <v>10000.000000000004</v>
      </c>
      <c r="Q420" s="98">
        <v>4207.8568992417313</v>
      </c>
      <c r="R420" s="95">
        <v>3700.7234589004361</v>
      </c>
      <c r="S420" s="99">
        <v>2396.7912720342356</v>
      </c>
      <c r="U420" s="121">
        <v>4180.0325233316607</v>
      </c>
      <c r="V420" s="59">
        <v>58160.508672920529</v>
      </c>
      <c r="W420" s="59">
        <v>87623.6238091509</v>
      </c>
      <c r="X420" s="59">
        <v>320722.38544218655</v>
      </c>
      <c r="Y420" s="59">
        <v>1202082.8958686972</v>
      </c>
      <c r="Z420" s="59">
        <v>2830899.5235163542</v>
      </c>
      <c r="AA420" s="59">
        <v>1672940.7139256068</v>
      </c>
      <c r="AB420" s="59">
        <v>6176609.6837582476</v>
      </c>
      <c r="AC420" s="59">
        <v>2683034096.2297091</v>
      </c>
      <c r="AD420" s="68">
        <v>6176609.6837582476</v>
      </c>
    </row>
    <row r="421" spans="1:30" x14ac:dyDescent="0.2">
      <c r="A421" s="95">
        <v>413</v>
      </c>
      <c r="B421" s="95">
        <v>34</v>
      </c>
      <c r="C421" s="95">
        <v>5</v>
      </c>
      <c r="D421" s="95"/>
      <c r="E421" s="95">
        <v>21.589688126207509</v>
      </c>
      <c r="F421" s="95">
        <v>301.35461338877838</v>
      </c>
      <c r="G421" s="95">
        <v>454.48042499963833</v>
      </c>
      <c r="H421" s="95">
        <v>808.9441538485039</v>
      </c>
      <c r="I421" s="95">
        <v>2610.5859137517459</v>
      </c>
      <c r="J421" s="95">
        <v>104.03184026773573</v>
      </c>
      <c r="K421" s="95">
        <v>449.35292068730189</v>
      </c>
      <c r="L421" s="95">
        <v>177.81113844862014</v>
      </c>
      <c r="M421" s="95">
        <v>4219.9746786795931</v>
      </c>
      <c r="N421" s="95">
        <v>851.87462780187832</v>
      </c>
      <c r="O421" s="95">
        <v>10000.000000000004</v>
      </c>
      <c r="Q421" s="98">
        <v>4219.9746786795931</v>
      </c>
      <c r="R421" s="95">
        <v>3709.2262575619998</v>
      </c>
      <c r="S421" s="99">
        <v>2402.9841329856431</v>
      </c>
      <c r="U421" s="121">
        <v>4134.4005016186229</v>
      </c>
      <c r="V421" s="59">
        <v>57721.439793471422</v>
      </c>
      <c r="W421" s="59">
        <v>87057.130279715246</v>
      </c>
      <c r="X421" s="59">
        <v>319051.90871753561</v>
      </c>
      <c r="Y421" s="59">
        <v>1198980.9204524427</v>
      </c>
      <c r="Z421" s="59">
        <v>2825452.1455669226</v>
      </c>
      <c r="AA421" s="59">
        <v>1669632.8645802408</v>
      </c>
      <c r="AB421" s="59">
        <v>6162030.8098919466</v>
      </c>
      <c r="AC421" s="59">
        <v>2689196127.0396013</v>
      </c>
      <c r="AD421" s="68">
        <v>6162030.8098919466</v>
      </c>
    </row>
    <row r="422" spans="1:30" x14ac:dyDescent="0.2">
      <c r="A422" s="95">
        <v>414</v>
      </c>
      <c r="B422" s="95">
        <v>34</v>
      </c>
      <c r="C422" s="95">
        <v>6</v>
      </c>
      <c r="D422" s="95"/>
      <c r="E422" s="95">
        <v>21.362996400882331</v>
      </c>
      <c r="F422" s="95">
        <v>299.20450170979677</v>
      </c>
      <c r="G422" s="95">
        <v>451.72935560906274</v>
      </c>
      <c r="H422" s="95">
        <v>805.06245649591165</v>
      </c>
      <c r="I422" s="95">
        <v>2604.9176800178975</v>
      </c>
      <c r="J422" s="95">
        <v>103.82183745700277</v>
      </c>
      <c r="K422" s="95">
        <v>448.72466533112441</v>
      </c>
      <c r="L422" s="95">
        <v>177.53219762977585</v>
      </c>
      <c r="M422" s="95">
        <v>4232.0735685265317</v>
      </c>
      <c r="N422" s="95">
        <v>855.57074082201723</v>
      </c>
      <c r="O422" s="95">
        <v>10000.000000000004</v>
      </c>
      <c r="Q422" s="98">
        <v>4232.0735685265317</v>
      </c>
      <c r="R422" s="95">
        <v>3717.710661781693</v>
      </c>
      <c r="S422" s="99">
        <v>2409.1656635304321</v>
      </c>
      <c r="U422" s="121">
        <v>4089.2666294759533</v>
      </c>
      <c r="V422" s="59">
        <v>57285.548320066067</v>
      </c>
      <c r="W422" s="59">
        <v>86493.852523462177</v>
      </c>
      <c r="X422" s="59">
        <v>317387.86572199175</v>
      </c>
      <c r="Y422" s="59">
        <v>1195877.4635811255</v>
      </c>
      <c r="Z422" s="59">
        <v>2819988.2185371849</v>
      </c>
      <c r="AA422" s="59">
        <v>1666315.8224314114</v>
      </c>
      <c r="AB422" s="59">
        <v>6147438.0377447177</v>
      </c>
      <c r="AC422" s="59">
        <v>2695343565.0773458</v>
      </c>
      <c r="AD422" s="68">
        <v>6147438.0377447177</v>
      </c>
    </row>
    <row r="423" spans="1:30" x14ac:dyDescent="0.2">
      <c r="A423" s="95">
        <v>415</v>
      </c>
      <c r="B423" s="95">
        <v>34</v>
      </c>
      <c r="C423" s="95">
        <v>7</v>
      </c>
      <c r="D423" s="95"/>
      <c r="E423" s="95">
        <v>21.138684938673066</v>
      </c>
      <c r="F423" s="95">
        <v>297.06902232797864</v>
      </c>
      <c r="G423" s="95">
        <v>448.99263025670973</v>
      </c>
      <c r="H423" s="95">
        <v>801.19368279683658</v>
      </c>
      <c r="I423" s="95">
        <v>2599.2412090839321</v>
      </c>
      <c r="J423" s="95">
        <v>103.61132578542916</v>
      </c>
      <c r="K423" s="95">
        <v>448.09292465867736</v>
      </c>
      <c r="L423" s="95">
        <v>177.25202859171426</v>
      </c>
      <c r="M423" s="95">
        <v>4244.1534839700462</v>
      </c>
      <c r="N423" s="95">
        <v>859.25500759000579</v>
      </c>
      <c r="O423" s="95">
        <v>10000.000000000004</v>
      </c>
      <c r="Q423" s="98">
        <v>4244.1534839700462</v>
      </c>
      <c r="R423" s="95">
        <v>3726.1766442417511</v>
      </c>
      <c r="S423" s="99">
        <v>2415.3358310062522</v>
      </c>
      <c r="U423" s="121">
        <v>4044.6254687708406</v>
      </c>
      <c r="V423" s="59">
        <v>56852.812896062911</v>
      </c>
      <c r="W423" s="59">
        <v>85933.777137550656</v>
      </c>
      <c r="X423" s="59">
        <v>315730.25296391791</v>
      </c>
      <c r="Y423" s="59">
        <v>1192772.6059362926</v>
      </c>
      <c r="Z423" s="59">
        <v>2814507.9683405659</v>
      </c>
      <c r="AA423" s="59">
        <v>1662989.7175299674</v>
      </c>
      <c r="AB423" s="59">
        <v>6132831.7602731278</v>
      </c>
      <c r="AC423" s="59">
        <v>2701476396.8376188</v>
      </c>
      <c r="AD423" s="68">
        <v>6132831.7602731278</v>
      </c>
    </row>
    <row r="424" spans="1:30" x14ac:dyDescent="0.2">
      <c r="A424" s="95">
        <v>416</v>
      </c>
      <c r="B424" s="95">
        <v>34</v>
      </c>
      <c r="C424" s="95">
        <v>8</v>
      </c>
      <c r="D424" s="95"/>
      <c r="E424" s="95">
        <v>20.916728746817</v>
      </c>
      <c r="F424" s="95">
        <v>294.94808383122819</v>
      </c>
      <c r="G424" s="95">
        <v>446.27019838960661</v>
      </c>
      <c r="H424" s="95">
        <v>797.33784157026992</v>
      </c>
      <c r="I424" s="95">
        <v>2593.556668437368</v>
      </c>
      <c r="J424" s="95">
        <v>103.40031428729627</v>
      </c>
      <c r="K424" s="95">
        <v>447.45772874142335</v>
      </c>
      <c r="L424" s="95">
        <v>176.97064371599652</v>
      </c>
      <c r="M424" s="95">
        <v>4256.2143410586614</v>
      </c>
      <c r="N424" s="95">
        <v>862.92745122133567</v>
      </c>
      <c r="O424" s="95">
        <v>10000.000000000004</v>
      </c>
      <c r="Q424" s="98">
        <v>4256.2143410586614</v>
      </c>
      <c r="R424" s="95">
        <v>3734.6241781712738</v>
      </c>
      <c r="S424" s="99">
        <v>2421.4946031693667</v>
      </c>
      <c r="U424" s="121">
        <v>4000.4716407367591</v>
      </c>
      <c r="V424" s="59">
        <v>56423.212287990907</v>
      </c>
      <c r="W424" s="59">
        <v>85376.89071752844</v>
      </c>
      <c r="X424" s="59">
        <v>314079.06671356224</v>
      </c>
      <c r="Y424" s="59">
        <v>1189666.4277097208</v>
      </c>
      <c r="Z424" s="59">
        <v>2809011.6198181361</v>
      </c>
      <c r="AA424" s="59">
        <v>1659654.6794260144</v>
      </c>
      <c r="AB424" s="59">
        <v>6118212.3683136897</v>
      </c>
      <c r="AC424" s="59">
        <v>2707594609.2059326</v>
      </c>
      <c r="AD424" s="68">
        <v>6118212.3683136897</v>
      </c>
    </row>
    <row r="425" spans="1:30" x14ac:dyDescent="0.2">
      <c r="A425" s="95">
        <v>417</v>
      </c>
      <c r="B425" s="95">
        <v>34</v>
      </c>
      <c r="C425" s="95">
        <v>9</v>
      </c>
      <c r="D425" s="95"/>
      <c r="E425" s="95">
        <v>20.697103094975422</v>
      </c>
      <c r="F425" s="95">
        <v>292.84159527983172</v>
      </c>
      <c r="G425" s="95">
        <v>443.56200935072286</v>
      </c>
      <c r="H425" s="95">
        <v>793.49494103780899</v>
      </c>
      <c r="I425" s="95">
        <v>2587.864224785621</v>
      </c>
      <c r="J425" s="95">
        <v>103.18881192071476</v>
      </c>
      <c r="K425" s="95">
        <v>446.81910760271472</v>
      </c>
      <c r="L425" s="95">
        <v>176.68805535132165</v>
      </c>
      <c r="M425" s="95">
        <v>4268.256056699166</v>
      </c>
      <c r="N425" s="95">
        <v>866.58809487712574</v>
      </c>
      <c r="O425" s="95">
        <v>10000.000000000004</v>
      </c>
      <c r="Q425" s="98">
        <v>4268.256056699166</v>
      </c>
      <c r="R425" s="95">
        <v>3743.0532373436954</v>
      </c>
      <c r="S425" s="99">
        <v>2427.6419481930398</v>
      </c>
      <c r="U425" s="121">
        <v>3956.7998253253832</v>
      </c>
      <c r="V425" s="59">
        <v>55996.725385112171</v>
      </c>
      <c r="W425" s="59">
        <v>84823.179858222647</v>
      </c>
      <c r="X425" s="59">
        <v>312434.30300560466</v>
      </c>
      <c r="Y425" s="59">
        <v>1186559.0086034723</v>
      </c>
      <c r="Z425" s="59">
        <v>2803499.3967420519</v>
      </c>
      <c r="AA425" s="59">
        <v>1656310.8371644593</v>
      </c>
      <c r="AB425" s="59">
        <v>6103580.2505842485</v>
      </c>
      <c r="AC425" s="59">
        <v>2713698189.4565167</v>
      </c>
      <c r="AD425" s="68">
        <v>6103580.2505842485</v>
      </c>
    </row>
    <row r="426" spans="1:30" x14ac:dyDescent="0.2">
      <c r="A426" s="95">
        <v>418</v>
      </c>
      <c r="B426" s="95">
        <v>34</v>
      </c>
      <c r="C426" s="95">
        <v>10</v>
      </c>
      <c r="D426" s="95"/>
      <c r="E426" s="95">
        <v>20.479783512478178</v>
      </c>
      <c r="F426" s="95">
        <v>290.74946620531574</v>
      </c>
      <c r="G426" s="95">
        <v>440.86801238343475</v>
      </c>
      <c r="H426" s="95">
        <v>789.664988828839</v>
      </c>
      <c r="I426" s="95">
        <v>2582.1640440542606</v>
      </c>
      <c r="J426" s="95">
        <v>102.97682756855009</v>
      </c>
      <c r="K426" s="95">
        <v>446.17709121673448</v>
      </c>
      <c r="L426" s="95">
        <v>176.4042758131063</v>
      </c>
      <c r="M426" s="95">
        <v>4280.2785486538405</v>
      </c>
      <c r="N426" s="95">
        <v>870.23696176344356</v>
      </c>
      <c r="O426" s="95">
        <v>10000.000000000004</v>
      </c>
      <c r="Q426" s="98">
        <v>4280.2785486538405</v>
      </c>
      <c r="R426" s="95">
        <v>3751.4637960742489</v>
      </c>
      <c r="S426" s="99">
        <v>2433.7778346659225</v>
      </c>
      <c r="U426" s="121">
        <v>3913.6047605655813</v>
      </c>
      <c r="V426" s="59">
        <v>55573.331198981927</v>
      </c>
      <c r="W426" s="59">
        <v>84272.631154617047</v>
      </c>
      <c r="X426" s="59">
        <v>310795.95764169365</v>
      </c>
      <c r="Y426" s="59">
        <v>1183450.4278299781</v>
      </c>
      <c r="Z426" s="59">
        <v>2797971.5218188879</v>
      </c>
      <c r="AA426" s="59">
        <v>1652958.3192807566</v>
      </c>
      <c r="AB426" s="59">
        <v>6088935.793685481</v>
      </c>
      <c r="AC426" s="59">
        <v>2719787125.2502022</v>
      </c>
      <c r="AD426" s="68">
        <v>6088935.793685481</v>
      </c>
    </row>
    <row r="427" spans="1:30" x14ac:dyDescent="0.2">
      <c r="A427" s="95">
        <v>419</v>
      </c>
      <c r="B427" s="95">
        <v>34</v>
      </c>
      <c r="C427" s="95">
        <v>11</v>
      </c>
      <c r="D427" s="95"/>
      <c r="E427" s="95">
        <v>20.264745785597157</v>
      </c>
      <c r="F427" s="95">
        <v>288.67160660928744</v>
      </c>
      <c r="G427" s="95">
        <v>438.18815663593381</v>
      </c>
      <c r="H427" s="95">
        <v>785.84799198570624</v>
      </c>
      <c r="I427" s="95">
        <v>2576.4562913853256</v>
      </c>
      <c r="J427" s="95">
        <v>102.7643700393284</v>
      </c>
      <c r="K427" s="95">
        <v>445.53170950744777</v>
      </c>
      <c r="L427" s="95">
        <v>176.11931738307669</v>
      </c>
      <c r="M427" s="95">
        <v>4292.2817355376692</v>
      </c>
      <c r="N427" s="95">
        <v>873.87407513063067</v>
      </c>
      <c r="O427" s="95">
        <v>10000.000000000004</v>
      </c>
      <c r="Q427" s="98">
        <v>4292.2817355376692</v>
      </c>
      <c r="R427" s="95">
        <v>3759.8558292174253</v>
      </c>
      <c r="S427" s="99">
        <v>2439.9022315904358</v>
      </c>
      <c r="U427" s="121">
        <v>3870.8812419294068</v>
      </c>
      <c r="V427" s="59">
        <v>55153.008863005838</v>
      </c>
      <c r="W427" s="59">
        <v>83725.231202716604</v>
      </c>
      <c r="X427" s="59">
        <v>309164.0261929743</v>
      </c>
      <c r="Y427" s="59">
        <v>1180340.764112147</v>
      </c>
      <c r="Z427" s="59">
        <v>2792428.216692863</v>
      </c>
      <c r="AA427" s="59">
        <v>1649597.2537968487</v>
      </c>
      <c r="AB427" s="59">
        <v>6074279.3821024848</v>
      </c>
      <c r="AC427" s="59">
        <v>2725861404.6323047</v>
      </c>
      <c r="AD427" s="68">
        <v>6074279.3821024848</v>
      </c>
    </row>
    <row r="428" spans="1:30" x14ac:dyDescent="0.2">
      <c r="A428" s="95">
        <v>420</v>
      </c>
      <c r="B428" s="95">
        <v>35</v>
      </c>
      <c r="C428" s="95">
        <v>0</v>
      </c>
      <c r="D428" s="95"/>
      <c r="E428" s="95">
        <v>20.051965954848388</v>
      </c>
      <c r="F428" s="95">
        <v>286.60792696225758</v>
      </c>
      <c r="G428" s="95">
        <v>435.52239116557996</v>
      </c>
      <c r="H428" s="95">
        <v>782.04395696888116</v>
      </c>
      <c r="I428" s="95">
        <v>2570.7411311356964</v>
      </c>
      <c r="J428" s="95">
        <v>102.55144806812309</v>
      </c>
      <c r="K428" s="95">
        <v>444.88299234756425</v>
      </c>
      <c r="L428" s="95">
        <v>175.83319230887284</v>
      </c>
      <c r="M428" s="95">
        <v>4304.2655368155492</v>
      </c>
      <c r="N428" s="95">
        <v>877.49945827262945</v>
      </c>
      <c r="O428" s="95">
        <v>10000.000000000002</v>
      </c>
      <c r="Q428" s="98">
        <v>4304.2655368155492</v>
      </c>
      <c r="R428" s="95">
        <v>3768.2293121644275</v>
      </c>
      <c r="S428" s="99">
        <v>2446.0151083811506</v>
      </c>
      <c r="U428" s="121">
        <v>3828.6241217050106</v>
      </c>
      <c r="V428" s="59">
        <v>54735.737631994853</v>
      </c>
      <c r="W428" s="59">
        <v>83180.966600399232</v>
      </c>
      <c r="X428" s="59">
        <v>307538.50400260632</v>
      </c>
      <c r="Y428" s="59">
        <v>1177230.0956835069</v>
      </c>
      <c r="Z428" s="59">
        <v>2786869.7019489631</v>
      </c>
      <c r="AA428" s="59">
        <v>1646227.7682172896</v>
      </c>
      <c r="AB428" s="59">
        <v>6059611.3982064649</v>
      </c>
      <c r="AC428" s="59">
        <v>2731921016.0305109</v>
      </c>
      <c r="AD428" s="68">
        <v>6059611.3982064649</v>
      </c>
    </row>
    <row r="429" spans="1:30" x14ac:dyDescent="0.2">
      <c r="A429" s="95">
        <v>421</v>
      </c>
      <c r="B429" s="95">
        <v>35</v>
      </c>
      <c r="C429" s="95">
        <v>1</v>
      </c>
      <c r="D429" s="95"/>
      <c r="E429" s="95">
        <v>19.83306532650796</v>
      </c>
      <c r="F429" s="95">
        <v>284.43891823287873</v>
      </c>
      <c r="G429" s="95">
        <v>432.68919728021365</v>
      </c>
      <c r="H429" s="95">
        <v>777.92703801337404</v>
      </c>
      <c r="I429" s="95">
        <v>2563.9475847375547</v>
      </c>
      <c r="J429" s="95">
        <v>102.29534054739445</v>
      </c>
      <c r="K429" s="95">
        <v>444.0456016440329</v>
      </c>
      <c r="L429" s="95">
        <v>175.47264897353563</v>
      </c>
      <c r="M429" s="95">
        <v>4316.2298727994839</v>
      </c>
      <c r="N429" s="95">
        <v>883.12073244502653</v>
      </c>
      <c r="O429" s="95">
        <v>10000.000000000002</v>
      </c>
      <c r="Q429" s="98">
        <v>4316.2298727994839</v>
      </c>
      <c r="R429" s="95">
        <v>3776.5842208406184</v>
      </c>
      <c r="S429" s="99">
        <v>2452.1164348631646</v>
      </c>
      <c r="U429" s="121">
        <v>3783.9568402851187</v>
      </c>
      <c r="V429" s="59">
        <v>54280.445078493518</v>
      </c>
      <c r="W429" s="59">
        <v>82577.438223304431</v>
      </c>
      <c r="X429" s="59">
        <v>305688.7323102706</v>
      </c>
      <c r="Y429" s="59">
        <v>1173235.5777166076</v>
      </c>
      <c r="Z429" s="59">
        <v>2779206.044839507</v>
      </c>
      <c r="AA429" s="59">
        <v>1641615.3186993846</v>
      </c>
      <c r="AB429" s="59">
        <v>6040387.5137078529</v>
      </c>
      <c r="AC429" s="59">
        <v>2737961403.5442185</v>
      </c>
      <c r="AD429" s="68">
        <v>6040387.5137078529</v>
      </c>
    </row>
    <row r="430" spans="1:30" x14ac:dyDescent="0.2">
      <c r="A430" s="95">
        <v>422</v>
      </c>
      <c r="B430" s="95">
        <v>35</v>
      </c>
      <c r="C430" s="95">
        <v>2</v>
      </c>
      <c r="D430" s="95"/>
      <c r="E430" s="95">
        <v>19.616554363360247</v>
      </c>
      <c r="F430" s="95">
        <v>282.28566954439094</v>
      </c>
      <c r="G430" s="95">
        <v>429.87227691473413</v>
      </c>
      <c r="H430" s="95">
        <v>773.82638707436467</v>
      </c>
      <c r="I430" s="95">
        <v>2557.1521720902329</v>
      </c>
      <c r="J430" s="95">
        <v>102.03633358831264</v>
      </c>
      <c r="K430" s="95">
        <v>443.20820353489057</v>
      </c>
      <c r="L430" s="95">
        <v>175.11123331170342</v>
      </c>
      <c r="M430" s="95">
        <v>4328.1696795057724</v>
      </c>
      <c r="N430" s="95">
        <v>888.72149007224129</v>
      </c>
      <c r="O430" s="95">
        <v>10000.000000000004</v>
      </c>
      <c r="Q430" s="98">
        <v>4328.1696795057724</v>
      </c>
      <c r="R430" s="95">
        <v>3784.9170504910153</v>
      </c>
      <c r="S430" s="99">
        <v>2458.2036390511098</v>
      </c>
      <c r="U430" s="121">
        <v>3739.810677148459</v>
      </c>
      <c r="V430" s="59">
        <v>53828.814651979861</v>
      </c>
      <c r="W430" s="59">
        <v>81977.876903782701</v>
      </c>
      <c r="X430" s="59">
        <v>303847.96155580349</v>
      </c>
      <c r="Y430" s="59">
        <v>1169245.5396235229</v>
      </c>
      <c r="Z430" s="59">
        <v>2771537.5439879172</v>
      </c>
      <c r="AA430" s="59">
        <v>1637000.6951993126</v>
      </c>
      <c r="AB430" s="59">
        <v>6021178.2425994677</v>
      </c>
      <c r="AC430" s="59">
        <v>2743982581.786818</v>
      </c>
      <c r="AD430" s="68">
        <v>6021178.2425994677</v>
      </c>
    </row>
    <row r="431" spans="1:30" x14ac:dyDescent="0.2">
      <c r="A431" s="95">
        <v>423</v>
      </c>
      <c r="B431" s="95">
        <v>35</v>
      </c>
      <c r="C431" s="95">
        <v>3</v>
      </c>
      <c r="D431" s="95"/>
      <c r="E431" s="95">
        <v>19.4024069782269</v>
      </c>
      <c r="F431" s="95">
        <v>280.1480741756925</v>
      </c>
      <c r="G431" s="95">
        <v>427.07155998179235</v>
      </c>
      <c r="H431" s="95">
        <v>769.74199065020639</v>
      </c>
      <c r="I431" s="95">
        <v>2550.3550608711148</v>
      </c>
      <c r="J431" s="95">
        <v>101.77450679523096</v>
      </c>
      <c r="K431" s="95">
        <v>442.3707762578419</v>
      </c>
      <c r="L431" s="95">
        <v>174.7489587319684</v>
      </c>
      <c r="M431" s="95">
        <v>4340.0848818501954</v>
      </c>
      <c r="N431" s="95">
        <v>894.30178370773365</v>
      </c>
      <c r="O431" s="95">
        <v>10000.000000000004</v>
      </c>
      <c r="Q431" s="98">
        <v>4340.0848818501954</v>
      </c>
      <c r="R431" s="95">
        <v>3793.2277950503085</v>
      </c>
      <c r="S431" s="99">
        <v>2464.27670229558</v>
      </c>
      <c r="U431" s="121">
        <v>3696.179552581727</v>
      </c>
      <c r="V431" s="59">
        <v>53380.818474214248</v>
      </c>
      <c r="W431" s="59">
        <v>81382.261307797497</v>
      </c>
      <c r="X431" s="59">
        <v>302016.16915305605</v>
      </c>
      <c r="Y431" s="59">
        <v>1165260.0543351318</v>
      </c>
      <c r="Z431" s="59">
        <v>2763864.5807860731</v>
      </c>
      <c r="AA431" s="59">
        <v>1632384.0356284259</v>
      </c>
      <c r="AB431" s="59">
        <v>6001984.09923728</v>
      </c>
      <c r="AC431" s="59">
        <v>2749984565.8860555</v>
      </c>
      <c r="AD431" s="68">
        <v>6001984.09923728</v>
      </c>
    </row>
    <row r="432" spans="1:30" x14ac:dyDescent="0.2">
      <c r="A432" s="95">
        <v>424</v>
      </c>
      <c r="B432" s="95">
        <v>35</v>
      </c>
      <c r="C432" s="95">
        <v>4</v>
      </c>
      <c r="D432" s="95"/>
      <c r="E432" s="95">
        <v>19.190597368714588</v>
      </c>
      <c r="F432" s="95">
        <v>278.02602603178076</v>
      </c>
      <c r="G432" s="95">
        <v>424.28697642074013</v>
      </c>
      <c r="H432" s="95">
        <v>765.67383468464709</v>
      </c>
      <c r="I432" s="95">
        <v>2543.5564176908697</v>
      </c>
      <c r="J432" s="95">
        <v>101.50993815348127</v>
      </c>
      <c r="K432" s="95">
        <v>441.53329881509251</v>
      </c>
      <c r="L432" s="95">
        <v>174.38583867355229</v>
      </c>
      <c r="M432" s="95">
        <v>4351.9754062298753</v>
      </c>
      <c r="N432" s="95">
        <v>899.86166593124938</v>
      </c>
      <c r="O432" s="95">
        <v>10000.000000000004</v>
      </c>
      <c r="Q432" s="98">
        <v>4351.9754062298753</v>
      </c>
      <c r="R432" s="95">
        <v>3801.5164489981398</v>
      </c>
      <c r="S432" s="99">
        <v>2470.3356064705636</v>
      </c>
      <c r="U432" s="121">
        <v>3653.0574578016067</v>
      </c>
      <c r="V432" s="59">
        <v>52936.428858583997</v>
      </c>
      <c r="W432" s="59">
        <v>80790.570158071918</v>
      </c>
      <c r="X432" s="59">
        <v>300193.33233827213</v>
      </c>
      <c r="Y432" s="59">
        <v>1161279.1940662153</v>
      </c>
      <c r="Z432" s="59">
        <v>2756187.5284546809</v>
      </c>
      <c r="AA432" s="59">
        <v>1627765.4784402829</v>
      </c>
      <c r="AB432" s="59">
        <v>5982805.5897739092</v>
      </c>
      <c r="AC432" s="59">
        <v>2755967371.4758296</v>
      </c>
      <c r="AD432" s="68">
        <v>5982805.5897739092</v>
      </c>
    </row>
    <row r="433" spans="1:30" x14ac:dyDescent="0.2">
      <c r="A433" s="95">
        <v>425</v>
      </c>
      <c r="B433" s="95">
        <v>35</v>
      </c>
      <c r="C433" s="95">
        <v>5</v>
      </c>
      <c r="D433" s="95"/>
      <c r="E433" s="95">
        <v>18.981100014106122</v>
      </c>
      <c r="F433" s="95">
        <v>275.91941964136356</v>
      </c>
      <c r="G433" s="95">
        <v>421.51845620176698</v>
      </c>
      <c r="H433" s="95">
        <v>761.62190457310419</v>
      </c>
      <c r="I433" s="95">
        <v>2536.7564080940474</v>
      </c>
      <c r="J433" s="95">
        <v>101.24270406338117</v>
      </c>
      <c r="K433" s="95">
        <v>440.69575095913405</v>
      </c>
      <c r="L433" s="95">
        <v>174.02188659909385</v>
      </c>
      <c r="M433" s="95">
        <v>4363.8411805069445</v>
      </c>
      <c r="N433" s="95">
        <v>905.4011893470614</v>
      </c>
      <c r="O433" s="95">
        <v>10000.000000000004</v>
      </c>
      <c r="Q433" s="98">
        <v>4363.8411805069445</v>
      </c>
      <c r="R433" s="95">
        <v>3809.7830073556352</v>
      </c>
      <c r="S433" s="99">
        <v>2476.3803339673582</v>
      </c>
      <c r="U433" s="121">
        <v>3610.4384541272548</v>
      </c>
      <c r="V433" s="59">
        <v>52495.618309070313</v>
      </c>
      <c r="W433" s="59">
        <v>80202.782234769868</v>
      </c>
      <c r="X433" s="59">
        <v>298379.42817331408</v>
      </c>
      <c r="Y433" s="59">
        <v>1157303.0303179936</v>
      </c>
      <c r="Z433" s="59">
        <v>2748506.7522521485</v>
      </c>
      <c r="AA433" s="59">
        <v>1623145.1625080877</v>
      </c>
      <c r="AB433" s="59">
        <v>5963643.2122495109</v>
      </c>
      <c r="AC433" s="59">
        <v>2761931014.6880789</v>
      </c>
      <c r="AD433" s="68">
        <v>5963643.2122495109</v>
      </c>
    </row>
    <row r="434" spans="1:30" x14ac:dyDescent="0.2">
      <c r="A434" s="95">
        <v>426</v>
      </c>
      <c r="B434" s="95">
        <v>35</v>
      </c>
      <c r="C434" s="95">
        <v>6</v>
      </c>
      <c r="D434" s="95"/>
      <c r="E434" s="95">
        <v>18.773889672285463</v>
      </c>
      <c r="F434" s="95">
        <v>273.82815015445982</v>
      </c>
      <c r="G434" s="95">
        <v>418.76592932997357</v>
      </c>
      <c r="H434" s="95">
        <v>757.58618516891318</v>
      </c>
      <c r="I434" s="95">
        <v>2529.9551965597288</v>
      </c>
      <c r="J434" s="95">
        <v>100.97287937349979</v>
      </c>
      <c r="K434" s="95">
        <v>439.85811317875402</v>
      </c>
      <c r="L434" s="95">
        <v>173.65711598781445</v>
      </c>
      <c r="M434" s="95">
        <v>4375.6821339923417</v>
      </c>
      <c r="N434" s="95">
        <v>910.92040658223175</v>
      </c>
      <c r="O434" s="95">
        <v>10000.000000000002</v>
      </c>
      <c r="Q434" s="98">
        <v>4375.6821339923417</v>
      </c>
      <c r="R434" s="95">
        <v>3818.0274656819406</v>
      </c>
      <c r="S434" s="99">
        <v>2482.4108676885953</v>
      </c>
      <c r="U434" s="121">
        <v>3568.3166721624366</v>
      </c>
      <c r="V434" s="59">
        <v>52058.359519216421</v>
      </c>
      <c r="W434" s="59">
        <v>79618.876376161439</v>
      </c>
      <c r="X434" s="59">
        <v>296574.43354886549</v>
      </c>
      <c r="Y434" s="59">
        <v>1153331.6338806825</v>
      </c>
      <c r="Z434" s="59">
        <v>2740822.6096778857</v>
      </c>
      <c r="AA434" s="59">
        <v>1618523.227008963</v>
      </c>
      <c r="AB434" s="59">
        <v>5944497.4566839365</v>
      </c>
      <c r="AC434" s="59">
        <v>2767875512.144763</v>
      </c>
      <c r="AD434" s="68">
        <v>5944497.4566839365</v>
      </c>
    </row>
    <row r="435" spans="1:30" x14ac:dyDescent="0.2">
      <c r="A435" s="95">
        <v>427</v>
      </c>
      <c r="B435" s="95">
        <v>35</v>
      </c>
      <c r="C435" s="95">
        <v>7</v>
      </c>
      <c r="D435" s="95"/>
      <c r="E435" s="95">
        <v>18.568941376696348</v>
      </c>
      <c r="F435" s="95">
        <v>271.75211333999033</v>
      </c>
      <c r="G435" s="95">
        <v>416.02932584938299</v>
      </c>
      <c r="H435" s="95">
        <v>753.5666607895497</v>
      </c>
      <c r="I435" s="95">
        <v>2523.1529465022363</v>
      </c>
      <c r="J435" s="95">
        <v>100.70053741319882</v>
      </c>
      <c r="K435" s="95">
        <v>439.02036668526728</v>
      </c>
      <c r="L435" s="95">
        <v>173.29154032904472</v>
      </c>
      <c r="M435" s="95">
        <v>4387.4981974297416</v>
      </c>
      <c r="N435" s="95">
        <v>916.41937028489474</v>
      </c>
      <c r="O435" s="95">
        <v>10000.000000000004</v>
      </c>
      <c r="Q435" s="98">
        <v>4387.4981974297416</v>
      </c>
      <c r="R435" s="95">
        <v>3826.2498200707596</v>
      </c>
      <c r="S435" s="99">
        <v>2488.4271910423777</v>
      </c>
      <c r="U435" s="121">
        <v>3526.6863109872083</v>
      </c>
      <c r="V435" s="59">
        <v>51624.625371097056</v>
      </c>
      <c r="W435" s="59">
        <v>79038.831479273314</v>
      </c>
      <c r="X435" s="59">
        <v>294778.32518761017</v>
      </c>
      <c r="Y435" s="59">
        <v>1149365.0748360702</v>
      </c>
      <c r="Z435" s="59">
        <v>2733135.4506701971</v>
      </c>
      <c r="AA435" s="59">
        <v>1613899.8113147409</v>
      </c>
      <c r="AB435" s="59">
        <v>5925368.8051699763</v>
      </c>
      <c r="AC435" s="59">
        <v>2773800880.9499331</v>
      </c>
      <c r="AD435" s="68">
        <v>5925368.8051699763</v>
      </c>
    </row>
    <row r="436" spans="1:30" x14ac:dyDescent="0.2">
      <c r="A436" s="95">
        <v>428</v>
      </c>
      <c r="B436" s="95">
        <v>35</v>
      </c>
      <c r="C436" s="95">
        <v>8</v>
      </c>
      <c r="D436" s="95"/>
      <c r="E436" s="95">
        <v>18.366230433334078</v>
      </c>
      <c r="F436" s="95">
        <v>269.69120558335823</v>
      </c>
      <c r="G436" s="95">
        <v>413.30857584688982</v>
      </c>
      <c r="H436" s="95">
        <v>749.56331522282346</v>
      </c>
      <c r="I436" s="95">
        <v>2516.3498202718979</v>
      </c>
      <c r="J436" s="95">
        <v>100.42575002446434</v>
      </c>
      <c r="K436" s="95">
        <v>438.18249339896516</v>
      </c>
      <c r="L436" s="95">
        <v>172.92517311609623</v>
      </c>
      <c r="M436" s="95">
        <v>4399.2893029796123</v>
      </c>
      <c r="N436" s="95">
        <v>921.89813312256103</v>
      </c>
      <c r="O436" s="95">
        <v>10000.000000000002</v>
      </c>
      <c r="Q436" s="98">
        <v>4399.2893029796123</v>
      </c>
      <c r="R436" s="95">
        <v>3834.4500671468918</v>
      </c>
      <c r="S436" s="99">
        <v>2494.4292879365216</v>
      </c>
      <c r="U436" s="121">
        <v>3485.5416373590238</v>
      </c>
      <c r="V436" s="59">
        <v>51194.388934289302</v>
      </c>
      <c r="W436" s="59">
        <v>78462.626500523897</v>
      </c>
      <c r="X436" s="59">
        <v>292991.07964738773</v>
      </c>
      <c r="Y436" s="59">
        <v>1145403.4225601128</v>
      </c>
      <c r="Z436" s="59">
        <v>2725445.6177988844</v>
      </c>
      <c r="AA436" s="59">
        <v>1609275.0548889742</v>
      </c>
      <c r="AB436" s="59">
        <v>5906257.7319675311</v>
      </c>
      <c r="AC436" s="59">
        <v>2779707138.6819005</v>
      </c>
      <c r="AD436" s="68">
        <v>5906257.7319675311</v>
      </c>
    </row>
    <row r="437" spans="1:30" x14ac:dyDescent="0.2">
      <c r="A437" s="95">
        <v>429</v>
      </c>
      <c r="B437" s="95">
        <v>35</v>
      </c>
      <c r="C437" s="95">
        <v>9</v>
      </c>
      <c r="D437" s="95"/>
      <c r="E437" s="95">
        <v>18.16573241777018</v>
      </c>
      <c r="F437" s="95">
        <v>267.64532388402051</v>
      </c>
      <c r="G437" s="95">
        <v>410.60360945614832</v>
      </c>
      <c r="H437" s="95">
        <v>745.57613173304514</v>
      </c>
      <c r="I437" s="95">
        <v>2509.5459791558669</v>
      </c>
      <c r="J437" s="95">
        <v>100.14858759304549</v>
      </c>
      <c r="K437" s="95">
        <v>437.34447593577954</v>
      </c>
      <c r="L437" s="95">
        <v>172.55802784046301</v>
      </c>
      <c r="M437" s="95">
        <v>4411.0553842034215</v>
      </c>
      <c r="N437" s="95">
        <v>927.35674778044188</v>
      </c>
      <c r="O437" s="95">
        <v>10000.000000000002</v>
      </c>
      <c r="Q437" s="98">
        <v>4411.0553842034215</v>
      </c>
      <c r="R437" s="95">
        <v>3842.6282040627752</v>
      </c>
      <c r="S437" s="99">
        <v>2500.4171427729048</v>
      </c>
      <c r="U437" s="121">
        <v>3444.8769849231685</v>
      </c>
      <c r="V437" s="59">
        <v>50767.623464844954</v>
      </c>
      <c r="W437" s="59">
        <v>77890.240456343876</v>
      </c>
      <c r="X437" s="59">
        <v>291212.67332432605</v>
      </c>
      <c r="Y437" s="59">
        <v>1141446.7457255493</v>
      </c>
      <c r="Z437" s="59">
        <v>2717753.4464527089</v>
      </c>
      <c r="AA437" s="59">
        <v>1604649.0971898786</v>
      </c>
      <c r="AB437" s="59">
        <v>5887164.7035985747</v>
      </c>
      <c r="AC437" s="59">
        <v>2785594303.385499</v>
      </c>
      <c r="AD437" s="68">
        <v>5887164.7035985747</v>
      </c>
    </row>
    <row r="438" spans="1:30" x14ac:dyDescent="0.2">
      <c r="A438" s="95">
        <v>430</v>
      </c>
      <c r="B438" s="95">
        <v>35</v>
      </c>
      <c r="C438" s="95">
        <v>10</v>
      </c>
      <c r="D438" s="95"/>
      <c r="E438" s="95">
        <v>17.967423172209521</v>
      </c>
      <c r="F438" s="95">
        <v>265.61436585305063</v>
      </c>
      <c r="G438" s="95">
        <v>407.91435686139982</v>
      </c>
      <c r="H438" s="95">
        <v>741.60509306716528</v>
      </c>
      <c r="I438" s="95">
        <v>2502.7415833789996</v>
      </c>
      <c r="J438" s="95">
        <v>99.869119078915091</v>
      </c>
      <c r="K438" s="95">
        <v>436.50629759415773</v>
      </c>
      <c r="L438" s="95">
        <v>172.19011798633784</v>
      </c>
      <c r="M438" s="95">
        <v>4422.7963760479734</v>
      </c>
      <c r="N438" s="95">
        <v>932.79526695979405</v>
      </c>
      <c r="O438" s="95">
        <v>10000.000000000004</v>
      </c>
      <c r="Q438" s="98">
        <v>4422.7963760479734</v>
      </c>
      <c r="R438" s="95">
        <v>3850.7842284950316</v>
      </c>
      <c r="S438" s="99">
        <v>2506.3907404419165</v>
      </c>
      <c r="U438" s="121">
        <v>3404.6867534323978</v>
      </c>
      <c r="V438" s="59">
        <v>50344.302404264352</v>
      </c>
      <c r="W438" s="59">
        <v>77321.652423781779</v>
      </c>
      <c r="X438" s="59">
        <v>289443.08245594992</v>
      </c>
      <c r="Y438" s="59">
        <v>1137495.1123045352</v>
      </c>
      <c r="Z438" s="59">
        <v>2710059.2650218382</v>
      </c>
      <c r="AA438" s="59">
        <v>1600022.077578929</v>
      </c>
      <c r="AB438" s="59">
        <v>5868090.1789427307</v>
      </c>
      <c r="AC438" s="59">
        <v>2791462393.5644417</v>
      </c>
      <c r="AD438" s="68">
        <v>5868090.1789427307</v>
      </c>
    </row>
    <row r="439" spans="1:30" x14ac:dyDescent="0.2">
      <c r="A439" s="95">
        <v>431</v>
      </c>
      <c r="B439" s="95">
        <v>35</v>
      </c>
      <c r="C439" s="95">
        <v>11</v>
      </c>
      <c r="D439" s="95"/>
      <c r="E439" s="95">
        <v>17.771278802579566</v>
      </c>
      <c r="F439" s="95">
        <v>263.59822971069201</v>
      </c>
      <c r="G439" s="95">
        <v>405.24074830123999</v>
      </c>
      <c r="H439" s="95">
        <v>737.65018146088494</v>
      </c>
      <c r="I439" s="95">
        <v>2495.9367921047829</v>
      </c>
      <c r="J439" s="95">
        <v>99.587412046067044</v>
      </c>
      <c r="K439" s="95">
        <v>435.66794234214586</v>
      </c>
      <c r="L439" s="95">
        <v>171.82145702542951</v>
      </c>
      <c r="M439" s="95">
        <v>4434.512214829896</v>
      </c>
      <c r="N439" s="95">
        <v>938.21374337628504</v>
      </c>
      <c r="O439" s="95">
        <v>10000.000000000004</v>
      </c>
      <c r="Q439" s="98">
        <v>4434.512214829896</v>
      </c>
      <c r="R439" s="95">
        <v>3858.9181386410132</v>
      </c>
      <c r="S439" s="99">
        <v>2512.3500663170062</v>
      </c>
      <c r="U439" s="121">
        <v>3364.9654079756865</v>
      </c>
      <c r="V439" s="59">
        <v>49924.399378471935</v>
      </c>
      <c r="W439" s="59">
        <v>76756.841541095244</v>
      </c>
      <c r="X439" s="59">
        <v>287682.28312426596</v>
      </c>
      <c r="Y439" s="59">
        <v>1133548.5895712953</v>
      </c>
      <c r="Z439" s="59">
        <v>2702363.3950754087</v>
      </c>
      <c r="AA439" s="59">
        <v>1595394.1352348495</v>
      </c>
      <c r="AB439" s="59">
        <v>5849034.6093333624</v>
      </c>
      <c r="AC439" s="59">
        <v>2797311428.1737752</v>
      </c>
      <c r="AD439" s="68">
        <v>5849034.6093333624</v>
      </c>
    </row>
    <row r="440" spans="1:30" x14ac:dyDescent="0.2">
      <c r="A440" s="95">
        <v>432</v>
      </c>
      <c r="B440" s="95">
        <v>36</v>
      </c>
      <c r="C440" s="95">
        <v>0</v>
      </c>
      <c r="D440" s="95"/>
      <c r="E440" s="95">
        <v>17.577275675651407</v>
      </c>
      <c r="F440" s="95">
        <v>261.59681428390394</v>
      </c>
      <c r="G440" s="95">
        <v>402.58271407232689</v>
      </c>
      <c r="H440" s="95">
        <v>733.71137864473781</v>
      </c>
      <c r="I440" s="95">
        <v>2489.1317634363195</v>
      </c>
      <c r="J440" s="95">
        <v>99.345400106400419</v>
      </c>
      <c r="K440" s="95">
        <v>434.78752738994154</v>
      </c>
      <c r="L440" s="95">
        <v>171.45205841206709</v>
      </c>
      <c r="M440" s="95">
        <v>4446.2028382202761</v>
      </c>
      <c r="N440" s="95">
        <v>943.61222975837791</v>
      </c>
      <c r="O440" s="95">
        <v>10000.000000000002</v>
      </c>
      <c r="Q440" s="98">
        <v>4446.2028382202761</v>
      </c>
      <c r="R440" s="95">
        <v>3867.0299332153536</v>
      </c>
      <c r="S440" s="99">
        <v>2518.2951062493285</v>
      </c>
      <c r="U440" s="121">
        <v>3325.7074782159702</v>
      </c>
      <c r="V440" s="59">
        <v>49507.88819679345</v>
      </c>
      <c r="W440" s="59">
        <v>76195.787008328029</v>
      </c>
      <c r="X440" s="59">
        <v>285930.2512588246</v>
      </c>
      <c r="Y440" s="59">
        <v>1129607.2441047924</v>
      </c>
      <c r="Z440" s="59">
        <v>2694666.1515343334</v>
      </c>
      <c r="AA440" s="59">
        <v>1590765.4090727393</v>
      </c>
      <c r="AB440" s="59">
        <v>5829998.4386540269</v>
      </c>
      <c r="AC440" s="59">
        <v>2803141426.6124291</v>
      </c>
      <c r="AD440" s="68">
        <v>5829998.4386540269</v>
      </c>
    </row>
    <row r="441" spans="1:30" x14ac:dyDescent="0.2">
      <c r="A441" s="95">
        <v>433</v>
      </c>
      <c r="B441" s="95">
        <v>36</v>
      </c>
      <c r="C441" s="95">
        <v>1</v>
      </c>
      <c r="D441" s="95"/>
      <c r="E441" s="95">
        <v>17.385390416192212</v>
      </c>
      <c r="F441" s="95">
        <v>259.61001900389931</v>
      </c>
      <c r="G441" s="95">
        <v>399.94018453303022</v>
      </c>
      <c r="H441" s="95">
        <v>729.78866585014305</v>
      </c>
      <c r="I441" s="95">
        <v>2482.3266544173657</v>
      </c>
      <c r="J441" s="95">
        <v>99.100266749551068</v>
      </c>
      <c r="K441" s="95">
        <v>433.90767514948072</v>
      </c>
      <c r="L441" s="95">
        <v>171.08193557857859</v>
      </c>
      <c r="M441" s="95">
        <v>4457.8684294560253</v>
      </c>
      <c r="N441" s="95">
        <v>948.99077884573614</v>
      </c>
      <c r="O441" s="95">
        <v>10000.000000000002</v>
      </c>
      <c r="Q441" s="98">
        <v>4457.8684294560253</v>
      </c>
      <c r="R441" s="95">
        <v>3875.1196114465215</v>
      </c>
      <c r="S441" s="99">
        <v>2524.2258465624836</v>
      </c>
      <c r="U441" s="121">
        <v>3286.9075576367841</v>
      </c>
      <c r="V441" s="59">
        <v>49094.742850934912</v>
      </c>
      <c r="W441" s="59">
        <v>75638.468087872752</v>
      </c>
      <c r="X441" s="59">
        <v>284186.96263975784</v>
      </c>
      <c r="Y441" s="59">
        <v>1125671.1417914154</v>
      </c>
      <c r="Z441" s="59">
        <v>2686965.6035999781</v>
      </c>
      <c r="AA441" s="59">
        <v>1586136.0376680994</v>
      </c>
      <c r="AB441" s="59">
        <v>5810979.8641956951</v>
      </c>
      <c r="AC441" s="59">
        <v>2808952406.476625</v>
      </c>
      <c r="AD441" s="68">
        <v>5810979.8641956951</v>
      </c>
    </row>
    <row r="442" spans="1:30" x14ac:dyDescent="0.2">
      <c r="A442" s="95">
        <v>434</v>
      </c>
      <c r="B442" s="95">
        <v>36</v>
      </c>
      <c r="C442" s="95">
        <v>2</v>
      </c>
      <c r="D442" s="95"/>
      <c r="E442" s="95">
        <v>17.195599904148782</v>
      </c>
      <c r="F442" s="95">
        <v>257.63774390367502</v>
      </c>
      <c r="G442" s="95">
        <v>397.31309010702233</v>
      </c>
      <c r="H442" s="95">
        <v>725.8820238154301</v>
      </c>
      <c r="I442" s="95">
        <v>2475.5216210334202</v>
      </c>
      <c r="J442" s="95">
        <v>98.854659885225146</v>
      </c>
      <c r="K442" s="95">
        <v>433.02579702392302</v>
      </c>
      <c r="L442" s="95">
        <v>170.71110054698062</v>
      </c>
      <c r="M442" s="95">
        <v>4469.5089206774601</v>
      </c>
      <c r="N442" s="95">
        <v>954.34944310271737</v>
      </c>
      <c r="O442" s="95">
        <v>10000.000000000002</v>
      </c>
      <c r="Q442" s="98">
        <v>4469.5089206774601</v>
      </c>
      <c r="R442" s="95">
        <v>3883.1871730733778</v>
      </c>
      <c r="S442" s="99">
        <v>2530.1422726633982</v>
      </c>
      <c r="U442" s="121">
        <v>3248.5603027976881</v>
      </c>
      <c r="V442" s="59">
        <v>48684.937513963458</v>
      </c>
      <c r="W442" s="59">
        <v>75084.864105019718</v>
      </c>
      <c r="X442" s="59">
        <v>282452.3929007937</v>
      </c>
      <c r="Y442" s="59">
        <v>1121740.3478276844</v>
      </c>
      <c r="Z442" s="59">
        <v>2679262.1481212531</v>
      </c>
      <c r="AA442" s="59">
        <v>1581506.1358519078</v>
      </c>
      <c r="AB442" s="59">
        <v>5791979.3866234198</v>
      </c>
      <c r="AC442" s="59">
        <v>2814744385.8632483</v>
      </c>
      <c r="AD442" s="68">
        <v>5791979.3866234198</v>
      </c>
    </row>
    <row r="443" spans="1:30" x14ac:dyDescent="0.2">
      <c r="A443" s="95">
        <v>435</v>
      </c>
      <c r="B443" s="95">
        <v>36</v>
      </c>
      <c r="C443" s="95">
        <v>3</v>
      </c>
      <c r="D443" s="95"/>
      <c r="E443" s="95">
        <v>17.007881271861823</v>
      </c>
      <c r="F443" s="95">
        <v>255.67988961553516</v>
      </c>
      <c r="G443" s="95">
        <v>394.70136128681162</v>
      </c>
      <c r="H443" s="95">
        <v>721.99143279183318</v>
      </c>
      <c r="I443" s="95">
        <v>2468.7168182128662</v>
      </c>
      <c r="J443" s="95">
        <v>98.608594640468965</v>
      </c>
      <c r="K443" s="95">
        <v>432.14192130100946</v>
      </c>
      <c r="L443" s="95">
        <v>170.33956541556992</v>
      </c>
      <c r="M443" s="95">
        <v>4481.1242604524059</v>
      </c>
      <c r="N443" s="95">
        <v>959.68827501164048</v>
      </c>
      <c r="O443" s="95">
        <v>10000.000000000002</v>
      </c>
      <c r="Q443" s="98">
        <v>4481.1242604524059</v>
      </c>
      <c r="R443" s="95">
        <v>3891.2326183417363</v>
      </c>
      <c r="S443" s="99">
        <v>2536.0443704770892</v>
      </c>
      <c r="U443" s="121">
        <v>3210.6604325983817</v>
      </c>
      <c r="V443" s="59">
        <v>48278.446539290067</v>
      </c>
      <c r="W443" s="59">
        <v>74534.95444849215</v>
      </c>
      <c r="X443" s="59">
        <v>280726.51753224712</v>
      </c>
      <c r="Y443" s="59">
        <v>1117814.9267229713</v>
      </c>
      <c r="Z443" s="59">
        <v>2671556.0375929829</v>
      </c>
      <c r="AA443" s="59">
        <v>1576875.8198394389</v>
      </c>
      <c r="AB443" s="59">
        <v>5772997.3631080203</v>
      </c>
      <c r="AC443" s="59">
        <v>2820517383.2263565</v>
      </c>
      <c r="AD443" s="68">
        <v>5772997.3631080203</v>
      </c>
    </row>
    <row r="444" spans="1:30" x14ac:dyDescent="0.2">
      <c r="A444" s="95">
        <v>436</v>
      </c>
      <c r="B444" s="95">
        <v>36</v>
      </c>
      <c r="C444" s="95">
        <v>4</v>
      </c>
      <c r="D444" s="95"/>
      <c r="E444" s="95">
        <v>16.822211901310666</v>
      </c>
      <c r="F444" s="95">
        <v>253.73635736860766</v>
      </c>
      <c r="G444" s="95">
        <v>392.1049286372189</v>
      </c>
      <c r="H444" s="95">
        <v>718.11687254945639</v>
      </c>
      <c r="I444" s="95">
        <v>2461.9123998281652</v>
      </c>
      <c r="J444" s="95">
        <v>98.362085911966759</v>
      </c>
      <c r="K444" s="95">
        <v>431.25607621224685</v>
      </c>
      <c r="L444" s="95">
        <v>169.96734226479779</v>
      </c>
      <c r="M444" s="95">
        <v>4492.7143982726329</v>
      </c>
      <c r="N444" s="95">
        <v>965.00732705359917</v>
      </c>
      <c r="O444" s="95">
        <v>10000.000000000002</v>
      </c>
      <c r="Q444" s="98">
        <v>4492.7143982726329</v>
      </c>
      <c r="R444" s="95">
        <v>3899.2559480009281</v>
      </c>
      <c r="S444" s="99">
        <v>2541.9321263553393</v>
      </c>
      <c r="U444" s="121">
        <v>3173.2027275514006</v>
      </c>
      <c r="V444" s="59">
        <v>47875.244459654292</v>
      </c>
      <c r="W444" s="59">
        <v>73988.718570967598</v>
      </c>
      <c r="X444" s="59">
        <v>279009.31188398716</v>
      </c>
      <c r="Y444" s="59">
        <v>1113894.9423022373</v>
      </c>
      <c r="Z444" s="59">
        <v>2663847.521875889</v>
      </c>
      <c r="AA444" s="59">
        <v>1572245.2056577441</v>
      </c>
      <c r="AB444" s="59">
        <v>5754034.147478031</v>
      </c>
      <c r="AC444" s="59">
        <v>2826271417.3738346</v>
      </c>
      <c r="AD444" s="68">
        <v>5754034.147478031</v>
      </c>
    </row>
    <row r="445" spans="1:30" x14ac:dyDescent="0.2">
      <c r="A445" s="95">
        <v>437</v>
      </c>
      <c r="B445" s="95">
        <v>36</v>
      </c>
      <c r="C445" s="95">
        <v>5</v>
      </c>
      <c r="D445" s="95"/>
      <c r="E445" s="95">
        <v>16.638569421388024</v>
      </c>
      <c r="F445" s="95">
        <v>251.80704898635443</v>
      </c>
      <c r="G445" s="95">
        <v>389.52372279879762</v>
      </c>
      <c r="H445" s="95">
        <v>714.25832238320947</v>
      </c>
      <c r="I445" s="95">
        <v>2455.1085186971027</v>
      </c>
      <c r="J445" s="95">
        <v>98.115148370228468</v>
      </c>
      <c r="K445" s="95">
        <v>430.36828993126539</v>
      </c>
      <c r="L445" s="95">
        <v>169.59444315506988</v>
      </c>
      <c r="M445" s="95">
        <v>4504.2792845492013</v>
      </c>
      <c r="N445" s="95">
        <v>970.30665170738519</v>
      </c>
      <c r="O445" s="95">
        <v>10000.000000000002</v>
      </c>
      <c r="Q445" s="98">
        <v>4504.2792845492013</v>
      </c>
      <c r="R445" s="95">
        <v>3907.2571633003695</v>
      </c>
      <c r="S445" s="99">
        <v>2547.8055270738428</v>
      </c>
      <c r="U445" s="121">
        <v>3136.1820290633013</v>
      </c>
      <c r="V445" s="59">
        <v>47475.305986111031</v>
      </c>
      <c r="W445" s="59">
        <v>73446.13598958611</v>
      </c>
      <c r="X445" s="59">
        <v>277300.75116838032</v>
      </c>
      <c r="Y445" s="59">
        <v>1109980.457708789</v>
      </c>
      <c r="Z445" s="59">
        <v>2656136.8482297813</v>
      </c>
      <c r="AA445" s="59">
        <v>1567614.409108937</v>
      </c>
      <c r="AB445" s="59">
        <v>5735090.0902206479</v>
      </c>
      <c r="AC445" s="59">
        <v>2832006507.4640551</v>
      </c>
      <c r="AD445" s="68">
        <v>5735090.0902206479</v>
      </c>
    </row>
    <row r="446" spans="1:30" x14ac:dyDescent="0.2">
      <c r="A446" s="95">
        <v>438</v>
      </c>
      <c r="B446" s="95">
        <v>36</v>
      </c>
      <c r="C446" s="95">
        <v>6</v>
      </c>
      <c r="D446" s="95"/>
      <c r="E446" s="95">
        <v>16.456931705204539</v>
      </c>
      <c r="F446" s="95">
        <v>249.89186688407554</v>
      </c>
      <c r="G446" s="95">
        <v>386.95767449119774</v>
      </c>
      <c r="H446" s="95">
        <v>710.41576111871268</v>
      </c>
      <c r="I446" s="95">
        <v>2448.3053265840817</v>
      </c>
      <c r="J446" s="95">
        <v>97.867796463688066</v>
      </c>
      <c r="K446" s="95">
        <v>429.47859057220421</v>
      </c>
      <c r="L446" s="95">
        <v>169.2208801246428</v>
      </c>
      <c r="M446" s="95">
        <v>4515.8188706077763</v>
      </c>
      <c r="N446" s="95">
        <v>975.58630144841914</v>
      </c>
      <c r="O446" s="95">
        <v>10000.000000000002</v>
      </c>
      <c r="Q446" s="98">
        <v>4515.8188706077763</v>
      </c>
      <c r="R446" s="95">
        <v>3915.2362659861351</v>
      </c>
      <c r="S446" s="99">
        <v>2553.6645598293644</v>
      </c>
      <c r="U446" s="121">
        <v>3099.5932387242292</v>
      </c>
      <c r="V446" s="59">
        <v>47078.606007019393</v>
      </c>
      <c r="W446" s="59">
        <v>72907.186286445169</v>
      </c>
      <c r="X446" s="59">
        <v>275600.81046321057</v>
      </c>
      <c r="Y446" s="59">
        <v>1106071.5354070449</v>
      </c>
      <c r="Z446" s="59">
        <v>2648424.2613460184</v>
      </c>
      <c r="AA446" s="59">
        <v>1562983.5457352654</v>
      </c>
      <c r="AB446" s="59">
        <v>5716165.5384837277</v>
      </c>
      <c r="AC446" s="59">
        <v>2837722673.0025387</v>
      </c>
      <c r="AD446" s="68">
        <v>5716165.5384837277</v>
      </c>
    </row>
    <row r="447" spans="1:30" x14ac:dyDescent="0.2">
      <c r="A447" s="95">
        <v>439</v>
      </c>
      <c r="B447" s="95">
        <v>36</v>
      </c>
      <c r="C447" s="95">
        <v>7</v>
      </c>
      <c r="D447" s="95"/>
      <c r="E447" s="95">
        <v>16.277276867422724</v>
      </c>
      <c r="F447" s="95">
        <v>247.99071406640766</v>
      </c>
      <c r="G447" s="95">
        <v>384.40671451647489</v>
      </c>
      <c r="H447" s="95">
        <v>706.58916711817199</v>
      </c>
      <c r="I447" s="95">
        <v>2441.5029742014681</v>
      </c>
      <c r="J447" s="95">
        <v>97.620044422714329</v>
      </c>
      <c r="K447" s="95">
        <v>428.58700618812446</v>
      </c>
      <c r="L447" s="95">
        <v>168.84666518761367</v>
      </c>
      <c r="M447" s="95">
        <v>4527.333108683918</v>
      </c>
      <c r="N447" s="95">
        <v>980.84632874768681</v>
      </c>
      <c r="O447" s="95">
        <v>10000.000000000002</v>
      </c>
      <c r="Q447" s="98">
        <v>4527.333108683918</v>
      </c>
      <c r="R447" s="95">
        <v>3923.1932582975332</v>
      </c>
      <c r="S447" s="99">
        <v>2559.509212236916</v>
      </c>
      <c r="U447" s="121">
        <v>3063.4313176057799</v>
      </c>
      <c r="V447" s="59">
        <v>46685.119587033783</v>
      </c>
      <c r="W447" s="59">
        <v>72371.849109081406</v>
      </c>
      <c r="X447" s="59">
        <v>273909.46471457579</v>
      </c>
      <c r="Y447" s="59">
        <v>1102168.2371853231</v>
      </c>
      <c r="Z447" s="59">
        <v>2640710.0033792532</v>
      </c>
      <c r="AA447" s="59">
        <v>1558352.7307858986</v>
      </c>
      <c r="AB447" s="59">
        <v>5697260.8360787714</v>
      </c>
      <c r="AC447" s="59">
        <v>2843419933.8386173</v>
      </c>
      <c r="AD447" s="68">
        <v>5697260.8360787714</v>
      </c>
    </row>
    <row r="448" spans="1:30" x14ac:dyDescent="0.2">
      <c r="A448" s="95">
        <v>440</v>
      </c>
      <c r="B448" s="95">
        <v>36</v>
      </c>
      <c r="C448" s="95">
        <v>8</v>
      </c>
      <c r="D448" s="95"/>
      <c r="E448" s="95">
        <v>16.099583261620026</v>
      </c>
      <c r="F448" s="95">
        <v>246.10349412481716</v>
      </c>
      <c r="G448" s="95">
        <v>381.87077376234464</v>
      </c>
      <c r="H448" s="95">
        <v>702.77851828622317</v>
      </c>
      <c r="I448" s="95">
        <v>2434.7016112109854</v>
      </c>
      <c r="J448" s="95">
        <v>97.371906263536033</v>
      </c>
      <c r="K448" s="95">
        <v>427.69356476944978</v>
      </c>
      <c r="L448" s="95">
        <v>168.47181033199865</v>
      </c>
      <c r="M448" s="95">
        <v>4538.821951918344</v>
      </c>
      <c r="N448" s="95">
        <v>986.08678607068327</v>
      </c>
      <c r="O448" s="95">
        <v>10000.000000000002</v>
      </c>
      <c r="Q448" s="98">
        <v>4538.821951918344</v>
      </c>
      <c r="R448" s="95">
        <v>3931.1281429636879</v>
      </c>
      <c r="S448" s="99">
        <v>2565.3394723269457</v>
      </c>
      <c r="U448" s="121">
        <v>3027.6912855670457</v>
      </c>
      <c r="V448" s="59">
        <v>46294.82196609713</v>
      </c>
      <c r="W448" s="59">
        <v>71840.104170939681</v>
      </c>
      <c r="X448" s="59">
        <v>272226.68873976014</v>
      </c>
      <c r="Y448" s="59">
        <v>1098270.6241586395</v>
      </c>
      <c r="Z448" s="59">
        <v>2632994.3139784862</v>
      </c>
      <c r="AA448" s="59">
        <v>1553722.0791853585</v>
      </c>
      <c r="AB448" s="59">
        <v>5678376.3234848483</v>
      </c>
      <c r="AC448" s="59">
        <v>2849098310.1621022</v>
      </c>
      <c r="AD448" s="68">
        <v>5678376.3234848483</v>
      </c>
    </row>
    <row r="449" spans="1:30" x14ac:dyDescent="0.2">
      <c r="A449" s="95">
        <v>441</v>
      </c>
      <c r="B449" s="95">
        <v>36</v>
      </c>
      <c r="C449" s="95">
        <v>9</v>
      </c>
      <c r="D449" s="95"/>
      <c r="E449" s="95">
        <v>15.923829477680673</v>
      </c>
      <c r="F449" s="95">
        <v>244.2301112350882</v>
      </c>
      <c r="G449" s="95">
        <v>379.34978320538261</v>
      </c>
      <c r="H449" s="95">
        <v>698.9837920757459</v>
      </c>
      <c r="I449" s="95">
        <v>2427.9013862251577</v>
      </c>
      <c r="J449" s="95">
        <v>97.123395792083556</v>
      </c>
      <c r="K449" s="95">
        <v>426.79829424243405</v>
      </c>
      <c r="L449" s="95">
        <v>168.09632751789744</v>
      </c>
      <c r="M449" s="95">
        <v>4550.2853543521696</v>
      </c>
      <c r="N449" s="95">
        <v>991.30772587636284</v>
      </c>
      <c r="O449" s="95">
        <v>10000.000000000002</v>
      </c>
      <c r="Q449" s="98">
        <v>4550.2853543521696</v>
      </c>
      <c r="R449" s="95">
        <v>3939.0409232001234</v>
      </c>
      <c r="S449" s="99">
        <v>2571.1553285425452</v>
      </c>
      <c r="U449" s="121">
        <v>2992.3682205687637</v>
      </c>
      <c r="V449" s="59">
        <v>45907.688558436537</v>
      </c>
      <c r="W449" s="59">
        <v>71311.93125182917</v>
      </c>
      <c r="X449" s="59">
        <v>270552.45723008312</v>
      </c>
      <c r="Y449" s="59">
        <v>1094378.7567715223</v>
      </c>
      <c r="Z449" s="59">
        <v>2625277.4303174452</v>
      </c>
      <c r="AA449" s="59">
        <v>1549091.7055035217</v>
      </c>
      <c r="AB449" s="59">
        <v>5659512.3378534066</v>
      </c>
      <c r="AC449" s="59">
        <v>2854757822.4999557</v>
      </c>
      <c r="AD449" s="68">
        <v>5659512.3378534066</v>
      </c>
    </row>
    <row r="450" spans="1:30" x14ac:dyDescent="0.2">
      <c r="A450" s="95">
        <v>442</v>
      </c>
      <c r="B450" s="95">
        <v>36</v>
      </c>
      <c r="C450" s="95">
        <v>10</v>
      </c>
      <c r="D450" s="95"/>
      <c r="E450" s="95">
        <v>15.749994339215993</v>
      </c>
      <c r="F450" s="95">
        <v>242.3704701548061</v>
      </c>
      <c r="G450" s="95">
        <v>376.84367391417106</v>
      </c>
      <c r="H450" s="95">
        <v>695.20496549364577</v>
      </c>
      <c r="I450" s="95">
        <v>2421.1024468087994</v>
      </c>
      <c r="J450" s="95">
        <v>96.874526607748649</v>
      </c>
      <c r="K450" s="95">
        <v>425.90122246765554</v>
      </c>
      <c r="L450" s="95">
        <v>167.72022867573966</v>
      </c>
      <c r="M450" s="95">
        <v>4561.7232709221244</v>
      </c>
      <c r="N450" s="95">
        <v>996.50920061609622</v>
      </c>
      <c r="O450" s="95">
        <v>10000.000000000004</v>
      </c>
      <c r="Q450" s="98">
        <v>4561.7232709221244</v>
      </c>
      <c r="R450" s="95">
        <v>3946.9316027053551</v>
      </c>
      <c r="S450" s="99">
        <v>2576.9567697366701</v>
      </c>
      <c r="U450" s="121">
        <v>2957.4572579954615</v>
      </c>
      <c r="V450" s="59">
        <v>45523.694951561149</v>
      </c>
      <c r="W450" s="59">
        <v>70787.310198367122</v>
      </c>
      <c r="X450" s="59">
        <v>268886.74475372524</v>
      </c>
      <c r="Y450" s="59">
        <v>1090492.6948008423</v>
      </c>
      <c r="Z450" s="59">
        <v>2617559.5871243002</v>
      </c>
      <c r="AA450" s="59">
        <v>1544461.7239271337</v>
      </c>
      <c r="AB450" s="59">
        <v>5640669.2130139256</v>
      </c>
      <c r="AC450" s="59">
        <v>2860398491.7129698</v>
      </c>
      <c r="AD450" s="68">
        <v>5640669.2130139256</v>
      </c>
    </row>
    <row r="451" spans="1:30" x14ac:dyDescent="0.2">
      <c r="A451" s="95">
        <v>443</v>
      </c>
      <c r="B451" s="95">
        <v>36</v>
      </c>
      <c r="C451" s="95">
        <v>11</v>
      </c>
      <c r="D451" s="95"/>
      <c r="E451" s="95">
        <v>15.578056901012886</v>
      </c>
      <c r="F451" s="95">
        <v>240.52447622083631</v>
      </c>
      <c r="G451" s="95">
        <v>374.35237705239268</v>
      </c>
      <c r="H451" s="95">
        <v>691.44201510660628</v>
      </c>
      <c r="I451" s="95">
        <v>2414.3049394805557</v>
      </c>
      <c r="J451" s="95">
        <v>96.625312107064204</v>
      </c>
      <c r="K451" s="95">
        <v>425.00237723853769</v>
      </c>
      <c r="L451" s="95">
        <v>167.34352570461044</v>
      </c>
      <c r="M451" s="95">
        <v>4573.1356574557522</v>
      </c>
      <c r="N451" s="95">
        <v>1001.691262732635</v>
      </c>
      <c r="O451" s="95">
        <v>10000.000000000004</v>
      </c>
      <c r="Q451" s="98">
        <v>4573.1356574557522</v>
      </c>
      <c r="R451" s="95">
        <v>3954.8001856574838</v>
      </c>
      <c r="S451" s="99">
        <v>2582.7437851693744</v>
      </c>
      <c r="U451" s="121">
        <v>2922.9535899855146</v>
      </c>
      <c r="V451" s="59">
        <v>45142.816905262553</v>
      </c>
      <c r="W451" s="59">
        <v>70266.22092441014</v>
      </c>
      <c r="X451" s="59">
        <v>267229.52575852961</v>
      </c>
      <c r="Y451" s="59">
        <v>1086612.4973586532</v>
      </c>
      <c r="Z451" s="59">
        <v>2609841.01671074</v>
      </c>
      <c r="AA451" s="59">
        <v>1539832.2482327654</v>
      </c>
      <c r="AB451" s="59">
        <v>5621847.2794803465</v>
      </c>
      <c r="AC451" s="59">
        <v>2866020338.9924502</v>
      </c>
      <c r="AD451" s="68">
        <v>5621847.2794803465</v>
      </c>
    </row>
    <row r="452" spans="1:30" x14ac:dyDescent="0.2">
      <c r="A452" s="95">
        <v>444</v>
      </c>
      <c r="B452" s="95">
        <v>37</v>
      </c>
      <c r="C452" s="95">
        <v>0</v>
      </c>
      <c r="D452" s="95"/>
      <c r="E452" s="95">
        <v>15.407996446510161</v>
      </c>
      <c r="F452" s="95">
        <v>238.69203534679929</v>
      </c>
      <c r="G452" s="95">
        <v>371.8758238818719</v>
      </c>
      <c r="H452" s="95">
        <v>687.69491704680865</v>
      </c>
      <c r="I452" s="95">
        <v>2407.5090097144866</v>
      </c>
      <c r="J452" s="95">
        <v>96.375765487305955</v>
      </c>
      <c r="K452" s="95">
        <v>424.10178627989598</v>
      </c>
      <c r="L452" s="95">
        <v>166.96623047065174</v>
      </c>
      <c r="M452" s="95">
        <v>4584.5224706665913</v>
      </c>
      <c r="N452" s="95">
        <v>1006.8539646590818</v>
      </c>
      <c r="O452" s="95">
        <v>10000.000000000004</v>
      </c>
      <c r="Q452" s="98">
        <v>4584.5224706665913</v>
      </c>
      <c r="R452" s="95">
        <v>3962.6466767107954</v>
      </c>
      <c r="S452" s="99">
        <v>2588.5163645050602</v>
      </c>
      <c r="U452" s="121">
        <v>2888.8524647690169</v>
      </c>
      <c r="V452" s="59">
        <v>44765.030350617555</v>
      </c>
      <c r="W452" s="59">
        <v>69748.643411473196</v>
      </c>
      <c r="X452" s="59">
        <v>265580.77457478014</v>
      </c>
      <c r="Y452" s="59">
        <v>1082738.2228950497</v>
      </c>
      <c r="Z452" s="59">
        <v>2602121.9490004275</v>
      </c>
      <c r="AA452" s="59">
        <v>1535203.3917611572</v>
      </c>
      <c r="AB452" s="59">
        <v>5603046.8644582741</v>
      </c>
      <c r="AC452" s="59">
        <v>2871623385.8569083</v>
      </c>
      <c r="AD452" s="68">
        <v>5603046.8644582741</v>
      </c>
    </row>
    <row r="453" spans="1:30" x14ac:dyDescent="0.2">
      <c r="A453" s="95">
        <v>445</v>
      </c>
      <c r="B453" s="95">
        <v>37</v>
      </c>
      <c r="C453" s="95">
        <v>1</v>
      </c>
      <c r="D453" s="95"/>
      <c r="E453" s="95">
        <v>15.239792485302425</v>
      </c>
      <c r="F453" s="95">
        <v>236.87305402054167</v>
      </c>
      <c r="G453" s="95">
        <v>369.41394576556416</v>
      </c>
      <c r="H453" s="95">
        <v>683.96364701762025</v>
      </c>
      <c r="I453" s="95">
        <v>2400.7148019417</v>
      </c>
      <c r="J453" s="95">
        <v>96.125899750017638</v>
      </c>
      <c r="K453" s="95">
        <v>423.19947724651064</v>
      </c>
      <c r="L453" s="95">
        <v>166.58835480553634</v>
      </c>
      <c r="M453" s="95">
        <v>4595.8836681493422</v>
      </c>
      <c r="N453" s="95">
        <v>1011.9973588178685</v>
      </c>
      <c r="O453" s="95">
        <v>10000.000000000004</v>
      </c>
      <c r="Q453" s="98">
        <v>4595.8836681493422</v>
      </c>
      <c r="R453" s="95">
        <v>3970.4710809923677</v>
      </c>
      <c r="S453" s="99">
        <v>2594.2744978097412</v>
      </c>
      <c r="U453" s="121">
        <v>2855.1491860133783</v>
      </c>
      <c r="V453" s="59">
        <v>44390.31138899349</v>
      </c>
      <c r="W453" s="59">
        <v>69234.557709136687</v>
      </c>
      <c r="X453" s="59">
        <v>263940.46541795653</v>
      </c>
      <c r="Y453" s="59">
        <v>1078869.929201036</v>
      </c>
      <c r="Z453" s="59">
        <v>2594402.6115568378</v>
      </c>
      <c r="AA453" s="59">
        <v>1530575.267392888</v>
      </c>
      <c r="AB453" s="59">
        <v>5584268.2918528616</v>
      </c>
      <c r="AC453" s="59">
        <v>2877207654.1487613</v>
      </c>
      <c r="AD453" s="68">
        <v>5584268.2918528616</v>
      </c>
    </row>
    <row r="454" spans="1:30" x14ac:dyDescent="0.2">
      <c r="A454" s="95">
        <v>446</v>
      </c>
      <c r="B454" s="95">
        <v>37</v>
      </c>
      <c r="C454" s="95">
        <v>2</v>
      </c>
      <c r="D454" s="95"/>
      <c r="E454" s="95">
        <v>15.073424750671208</v>
      </c>
      <c r="F454" s="95">
        <v>235.06743930160391</v>
      </c>
      <c r="G454" s="95">
        <v>366.96667417049423</v>
      </c>
      <c r="H454" s="95">
        <v>680.24818029925166</v>
      </c>
      <c r="I454" s="95">
        <v>2393.9224595520291</v>
      </c>
      <c r="J454" s="95">
        <v>95.87572770446144</v>
      </c>
      <c r="K454" s="95">
        <v>422.29547772172504</v>
      </c>
      <c r="L454" s="95">
        <v>166.20991050501186</v>
      </c>
      <c r="M454" s="95">
        <v>4607.2192083750151</v>
      </c>
      <c r="N454" s="95">
        <v>1017.1214976197401</v>
      </c>
      <c r="O454" s="95">
        <v>10000.000000000004</v>
      </c>
      <c r="Q454" s="98">
        <v>4607.2192083750151</v>
      </c>
      <c r="R454" s="95">
        <v>3978.2734040986784</v>
      </c>
      <c r="S454" s="99">
        <v>2600.01817554832</v>
      </c>
      <c r="U454" s="121">
        <v>2821.8391121765558</v>
      </c>
      <c r="V454" s="59">
        <v>44018.63629105618</v>
      </c>
      <c r="W454" s="59">
        <v>68723.943935441508</v>
      </c>
      <c r="X454" s="59">
        <v>262308.57239146507</v>
      </c>
      <c r="Y454" s="59">
        <v>1075007.6734114073</v>
      </c>
      <c r="Z454" s="59">
        <v>2586683.229610512</v>
      </c>
      <c r="AA454" s="59">
        <v>1525947.9875253157</v>
      </c>
      <c r="AB454" s="59">
        <v>5565511.8822773742</v>
      </c>
      <c r="AC454" s="59">
        <v>2882773166.0310388</v>
      </c>
      <c r="AD454" s="68">
        <v>5565511.8822773742</v>
      </c>
    </row>
    <row r="455" spans="1:30" x14ac:dyDescent="0.2">
      <c r="A455" s="95">
        <v>447</v>
      </c>
      <c r="B455" s="95">
        <v>37</v>
      </c>
      <c r="C455" s="95">
        <v>3</v>
      </c>
      <c r="D455" s="95"/>
      <c r="E455" s="95">
        <v>14.908873197143047</v>
      </c>
      <c r="F455" s="95">
        <v>233.27509881868471</v>
      </c>
      <c r="G455" s="95">
        <v>364.5339406706434</v>
      </c>
      <c r="H455" s="95">
        <v>676.54849175438142</v>
      </c>
      <c r="I455" s="95">
        <v>2387.1321248957565</v>
      </c>
      <c r="J455" s="95">
        <v>95.625261970995439</v>
      </c>
      <c r="K455" s="95">
        <v>421.38981521606911</v>
      </c>
      <c r="L455" s="95">
        <v>165.83090932751176</v>
      </c>
      <c r="M455" s="95">
        <v>4618.529050686072</v>
      </c>
      <c r="N455" s="95">
        <v>1022.2264334627463</v>
      </c>
      <c r="O455" s="95">
        <v>10000.000000000004</v>
      </c>
      <c r="Q455" s="98">
        <v>4618.529050686072</v>
      </c>
      <c r="R455" s="95">
        <v>3986.0536520922224</v>
      </c>
      <c r="S455" s="99">
        <v>2605.747388581879</v>
      </c>
      <c r="U455" s="121">
        <v>2788.9176558678296</v>
      </c>
      <c r="V455" s="59">
        <v>43649.981495780397</v>
      </c>
      <c r="W455" s="59">
        <v>68216.782277272476</v>
      </c>
      <c r="X455" s="59">
        <v>260685.06948934658</v>
      </c>
      <c r="Y455" s="59">
        <v>1071151.5120076456</v>
      </c>
      <c r="Z455" s="59">
        <v>2578964.0260857274</v>
      </c>
      <c r="AA455" s="59">
        <v>1521321.6640507355</v>
      </c>
      <c r="AB455" s="59">
        <v>5546777.953062376</v>
      </c>
      <c r="AC455" s="59">
        <v>2888319943.9841013</v>
      </c>
      <c r="AD455" s="68">
        <v>5546777.953062376</v>
      </c>
    </row>
    <row r="456" spans="1:30" x14ac:dyDescent="0.2">
      <c r="A456" s="95">
        <v>448</v>
      </c>
      <c r="B456" s="95">
        <v>37</v>
      </c>
      <c r="C456" s="95">
        <v>4</v>
      </c>
      <c r="D456" s="95"/>
      <c r="E456" s="95">
        <v>14.746117998074235</v>
      </c>
      <c r="F456" s="95">
        <v>231.4959407671027</v>
      </c>
      <c r="G456" s="95">
        <v>362.11567694978692</v>
      </c>
      <c r="H456" s="95">
        <v>672.86455583374868</v>
      </c>
      <c r="I456" s="95">
        <v>2380.3439392853811</v>
      </c>
      <c r="J456" s="95">
        <v>95.374514984379573</v>
      </c>
      <c r="K456" s="95">
        <v>420.48251716590784</v>
      </c>
      <c r="L456" s="95">
        <v>165.45136299283078</v>
      </c>
      <c r="M456" s="95">
        <v>4629.8131552915529</v>
      </c>
      <c r="N456" s="95">
        <v>1027.3122187312392</v>
      </c>
      <c r="O456" s="95">
        <v>10000.000000000004</v>
      </c>
      <c r="Q456" s="98">
        <v>4629.8131552915529</v>
      </c>
      <c r="R456" s="95">
        <v>3993.8118314981334</v>
      </c>
      <c r="S456" s="99">
        <v>2611.4621281649843</v>
      </c>
      <c r="U456" s="121">
        <v>2756.3802832160382</v>
      </c>
      <c r="V456" s="59">
        <v>43284.323609463077</v>
      </c>
      <c r="W456" s="59">
        <v>67713.052990730081</v>
      </c>
      <c r="X456" s="59">
        <v>259069.9305989604</v>
      </c>
      <c r="Y456" s="59">
        <v>1067301.500820826</v>
      </c>
      <c r="Z456" s="59">
        <v>2571245.2216266096</v>
      </c>
      <c r="AA456" s="59">
        <v>1516696.4083357034</v>
      </c>
      <c r="AB456" s="59">
        <v>5528066.8182655089</v>
      </c>
      <c r="AC456" s="59">
        <v>2893848010.8023667</v>
      </c>
      <c r="AD456" s="68">
        <v>5528066.8182655089</v>
      </c>
    </row>
    <row r="457" spans="1:30" x14ac:dyDescent="0.2">
      <c r="A457" s="95">
        <v>449</v>
      </c>
      <c r="B457" s="95">
        <v>37</v>
      </c>
      <c r="C457" s="95">
        <v>5</v>
      </c>
      <c r="D457" s="95"/>
      <c r="E457" s="95">
        <v>14.585139543261924</v>
      </c>
      <c r="F457" s="95">
        <v>229.72987390625534</v>
      </c>
      <c r="G457" s="95">
        <v>359.71181480428129</v>
      </c>
      <c r="H457" s="95">
        <v>669.19634658171424</v>
      </c>
      <c r="I457" s="95">
        <v>2373.5580429974307</v>
      </c>
      <c r="J457" s="95">
        <v>95.123498997011737</v>
      </c>
      <c r="K457" s="95">
        <v>419.5736109321146</v>
      </c>
      <c r="L457" s="95">
        <v>165.07128318086217</v>
      </c>
      <c r="M457" s="95">
        <v>4641.0714832621925</v>
      </c>
      <c r="N457" s="95">
        <v>1032.3789057948793</v>
      </c>
      <c r="O457" s="95">
        <v>10000.000000000004</v>
      </c>
      <c r="Q457" s="98">
        <v>4641.0714832621925</v>
      </c>
      <c r="R457" s="95">
        <v>4001.5479493008111</v>
      </c>
      <c r="S457" s="99">
        <v>2617.1623859430024</v>
      </c>
      <c r="U457" s="121">
        <v>2724.222513245184</v>
      </c>
      <c r="V457" s="59">
        <v>42921.639404739268</v>
      </c>
      <c r="W457" s="59">
        <v>67212.736401490925</v>
      </c>
      <c r="X457" s="59">
        <v>257463.12950364532</v>
      </c>
      <c r="Y457" s="59">
        <v>1063457.6950345354</v>
      </c>
      <c r="Z457" s="59">
        <v>2563527.0346226916</v>
      </c>
      <c r="AA457" s="59">
        <v>1512072.3312014784</v>
      </c>
      <c r="AB457" s="59">
        <v>5509378.7886818256</v>
      </c>
      <c r="AC457" s="59">
        <v>2899357389.5910487</v>
      </c>
      <c r="AD457" s="68">
        <v>5509378.7886818256</v>
      </c>
    </row>
    <row r="458" spans="1:30" x14ac:dyDescent="0.2">
      <c r="A458" s="95">
        <v>450</v>
      </c>
      <c r="B458" s="95">
        <v>37</v>
      </c>
      <c r="C458" s="95">
        <v>6</v>
      </c>
      <c r="D458" s="95"/>
      <c r="E458" s="95">
        <v>14.425918436581314</v>
      </c>
      <c r="F458" s="95">
        <v>227.97680755707555</v>
      </c>
      <c r="G458" s="95">
        <v>357.32228614580276</v>
      </c>
      <c r="H458" s="95">
        <v>665.54383764178851</v>
      </c>
      <c r="I458" s="95">
        <v>2366.7745752743181</v>
      </c>
      <c r="J458" s="95">
        <v>94.872226082095665</v>
      </c>
      <c r="K458" s="95">
        <v>418.66312379876888</v>
      </c>
      <c r="L458" s="95">
        <v>164.69068153039422</v>
      </c>
      <c r="M458" s="95">
        <v>4652.303996525533</v>
      </c>
      <c r="N458" s="95">
        <v>1037.4265470076461</v>
      </c>
      <c r="O458" s="95">
        <v>10000.000000000004</v>
      </c>
      <c r="Q458" s="98">
        <v>4652.303996525533</v>
      </c>
      <c r="R458" s="95">
        <v>4009.2620129405527</v>
      </c>
      <c r="S458" s="99">
        <v>2622.848153949431</v>
      </c>
      <c r="U458" s="121">
        <v>2692.4399172573239</v>
      </c>
      <c r="V458" s="59">
        <v>42561.905819600754</v>
      </c>
      <c r="W458" s="59">
        <v>66715.812905156723</v>
      </c>
      <c r="X458" s="59">
        <v>255864.63988535682</v>
      </c>
      <c r="Y458" s="59">
        <v>1059620.1491878016</v>
      </c>
      <c r="Z458" s="59">
        <v>2555809.6812339472</v>
      </c>
      <c r="AA458" s="59">
        <v>1507449.5429055307</v>
      </c>
      <c r="AB458" s="59">
        <v>5490714.1718546515</v>
      </c>
      <c r="AC458" s="59">
        <v>2904848103.7629032</v>
      </c>
      <c r="AD458" s="68">
        <v>5490714.1718546515</v>
      </c>
    </row>
    <row r="459" spans="1:30" x14ac:dyDescent="0.2">
      <c r="A459" s="95">
        <v>451</v>
      </c>
      <c r="B459" s="95">
        <v>37</v>
      </c>
      <c r="C459" s="95">
        <v>7</v>
      </c>
      <c r="D459" s="95"/>
      <c r="E459" s="95">
        <v>14.268435493648635</v>
      </c>
      <c r="F459" s="95">
        <v>226.23665159948635</v>
      </c>
      <c r="G459" s="95">
        <v>354.94702300403725</v>
      </c>
      <c r="H459" s="95">
        <v>661.90700226212721</v>
      </c>
      <c r="I459" s="95">
        <v>2359.9936743262406</v>
      </c>
      <c r="J459" s="95">
        <v>94.620708136741968</v>
      </c>
      <c r="K459" s="95">
        <v>417.75108297187791</v>
      </c>
      <c r="L459" s="95">
        <v>164.30956963796382</v>
      </c>
      <c r="M459" s="95">
        <v>4663.510657861023</v>
      </c>
      <c r="N459" s="95">
        <v>1042.4551947068576</v>
      </c>
      <c r="O459" s="95">
        <v>10000.000000000004</v>
      </c>
      <c r="Q459" s="98">
        <v>4663.510657861023</v>
      </c>
      <c r="R459" s="95">
        <v>4016.9540303101944</v>
      </c>
      <c r="S459" s="99">
        <v>2628.5194246032424</v>
      </c>
      <c r="U459" s="121">
        <v>2661.0281182226549</v>
      </c>
      <c r="V459" s="59">
        <v>42205.099956417609</v>
      </c>
      <c r="W459" s="59">
        <v>66222.262967592455</v>
      </c>
      <c r="X459" s="59">
        <v>254274.43532728113</v>
      </c>
      <c r="Y459" s="59">
        <v>1055788.9171780362</v>
      </c>
      <c r="Z459" s="59">
        <v>2548093.3754152958</v>
      </c>
      <c r="AA459" s="59">
        <v>1502828.1531240775</v>
      </c>
      <c r="AB459" s="59">
        <v>5472073.272086923</v>
      </c>
      <c r="AC459" s="59">
        <v>2910320177.0349903</v>
      </c>
      <c r="AD459" s="68">
        <v>5472073.272086923</v>
      </c>
    </row>
    <row r="460" spans="1:30" x14ac:dyDescent="0.2">
      <c r="A460" s="95">
        <v>452</v>
      </c>
      <c r="B460" s="95">
        <v>37</v>
      </c>
      <c r="C460" s="95">
        <v>8</v>
      </c>
      <c r="D460" s="95"/>
      <c r="E460" s="95">
        <v>14.112671739509638</v>
      </c>
      <c r="F460" s="95">
        <v>224.50931646985367</v>
      </c>
      <c r="G460" s="95">
        <v>352.58595752932189</v>
      </c>
      <c r="H460" s="95">
        <v>658.2858133009945</v>
      </c>
      <c r="I460" s="95">
        <v>2353.2154773331195</v>
      </c>
      <c r="J460" s="95">
        <v>94.36895688500401</v>
      </c>
      <c r="K460" s="95">
        <v>416.83751557812246</v>
      </c>
      <c r="L460" s="95">
        <v>163.92795905676476</v>
      </c>
      <c r="M460" s="95">
        <v>4674.6914308951191</v>
      </c>
      <c r="N460" s="95">
        <v>1047.4649012121952</v>
      </c>
      <c r="O460" s="95">
        <v>10000.000000000005</v>
      </c>
      <c r="Q460" s="98">
        <v>4674.6914308951191</v>
      </c>
      <c r="R460" s="95">
        <v>4024.6240097517548</v>
      </c>
      <c r="S460" s="99">
        <v>2634.1761907062387</v>
      </c>
      <c r="U460" s="121">
        <v>2629.9827901767239</v>
      </c>
      <c r="V460" s="59">
        <v>41851.19908096252</v>
      </c>
      <c r="W460" s="59">
        <v>65732.067125253263</v>
      </c>
      <c r="X460" s="59">
        <v>252692.48931642587</v>
      </c>
      <c r="Y460" s="59">
        <v>1051964.0522639849</v>
      </c>
      <c r="Z460" s="59">
        <v>2540378.3289406095</v>
      </c>
      <c r="AA460" s="59">
        <v>1498208.2709355981</v>
      </c>
      <c r="AB460" s="59">
        <v>5453456.3904530108</v>
      </c>
      <c r="AC460" s="59">
        <v>2915773633.4254432</v>
      </c>
      <c r="AD460" s="68">
        <v>5453456.3904530108</v>
      </c>
    </row>
    <row r="461" spans="1:30" x14ac:dyDescent="0.2">
      <c r="A461" s="95">
        <v>453</v>
      </c>
      <c r="B461" s="95">
        <v>37</v>
      </c>
      <c r="C461" s="95">
        <v>9</v>
      </c>
      <c r="D461" s="95"/>
      <c r="E461" s="95">
        <v>13.958608406353324</v>
      </c>
      <c r="F461" s="95">
        <v>222.79471315843759</v>
      </c>
      <c r="G461" s="95">
        <v>350.23902199523928</v>
      </c>
      <c r="H461" s="95">
        <v>654.68024323219356</v>
      </c>
      <c r="I461" s="95">
        <v>2346.4401204465858</v>
      </c>
      <c r="J461" s="95">
        <v>94.116983880849887</v>
      </c>
      <c r="K461" s="95">
        <v>415.92244866362614</v>
      </c>
      <c r="L461" s="95">
        <v>163.54586129560835</v>
      </c>
      <c r="M461" s="95">
        <v>4685.8462800963744</v>
      </c>
      <c r="N461" s="95">
        <v>1052.4557188247368</v>
      </c>
      <c r="O461" s="95">
        <v>10000.000000000005</v>
      </c>
      <c r="Q461" s="98">
        <v>4685.8462800963744</v>
      </c>
      <c r="R461" s="95">
        <v>4032.2719600530872</v>
      </c>
      <c r="S461" s="99">
        <v>2639.8184454404186</v>
      </c>
      <c r="U461" s="121">
        <v>2599.2996576246624</v>
      </c>
      <c r="V461" s="59">
        <v>41500.180621438085</v>
      </c>
      <c r="W461" s="59">
        <v>65245.205985500812</v>
      </c>
      <c r="X461" s="59">
        <v>251118.7752461874</v>
      </c>
      <c r="Y461" s="59">
        <v>1048145.6070686911</v>
      </c>
      <c r="Z461" s="59">
        <v>2532664.7514262218</v>
      </c>
      <c r="AA461" s="59">
        <v>1493590.0048052859</v>
      </c>
      <c r="AB461" s="59">
        <v>5434863.8248109501</v>
      </c>
      <c r="AC461" s="59">
        <v>2921208497.2502542</v>
      </c>
      <c r="AD461" s="68">
        <v>5434863.8248109501</v>
      </c>
    </row>
    <row r="462" spans="1:30" x14ac:dyDescent="0.2">
      <c r="A462" s="95">
        <v>454</v>
      </c>
      <c r="B462" s="95">
        <v>37</v>
      </c>
      <c r="C462" s="95">
        <v>10</v>
      </c>
      <c r="D462" s="95"/>
      <c r="E462" s="95">
        <v>13.806226931250634</v>
      </c>
      <c r="F462" s="95">
        <v>221.09275320684242</v>
      </c>
      <c r="G462" s="95">
        <v>347.9061488011647</v>
      </c>
      <c r="H462" s="95">
        <v>651.0902641504639</v>
      </c>
      <c r="I462" s="95">
        <v>2339.6677387920035</v>
      </c>
      <c r="J462" s="95">
        <v>93.864800511072019</v>
      </c>
      <c r="K462" s="95">
        <v>415.00590919274811</v>
      </c>
      <c r="L462" s="95">
        <v>163.16328781793445</v>
      </c>
      <c r="M462" s="95">
        <v>4696.97517077053</v>
      </c>
      <c r="N462" s="95">
        <v>1057.4276998259957</v>
      </c>
      <c r="O462" s="95">
        <v>10000.000000000005</v>
      </c>
      <c r="Q462" s="98">
        <v>4696.97517077053</v>
      </c>
      <c r="R462" s="95">
        <v>4039.8978904445385</v>
      </c>
      <c r="S462" s="99">
        <v>2645.4461823653583</v>
      </c>
      <c r="U462" s="121">
        <v>2568.9744949523747</v>
      </c>
      <c r="V462" s="59">
        <v>41152.022167506984</v>
      </c>
      <c r="W462" s="59">
        <v>64761.660226908782</v>
      </c>
      <c r="X462" s="59">
        <v>249553.26641889504</v>
      </c>
      <c r="Y462" s="59">
        <v>1044333.6335824674</v>
      </c>
      <c r="Z462" s="59">
        <v>2524952.8503539581</v>
      </c>
      <c r="AA462" s="59">
        <v>1488973.4625704023</v>
      </c>
      <c r="AB462" s="59">
        <v>5416295.8698150907</v>
      </c>
      <c r="AC462" s="59">
        <v>2926624793.120069</v>
      </c>
      <c r="AD462" s="68">
        <v>5416295.8698150907</v>
      </c>
    </row>
    <row r="463" spans="1:30" x14ac:dyDescent="0.2">
      <c r="A463" s="95">
        <v>455</v>
      </c>
      <c r="B463" s="95">
        <v>37</v>
      </c>
      <c r="C463" s="95">
        <v>11</v>
      </c>
      <c r="D463" s="95"/>
      <c r="E463" s="95">
        <v>13.655508953917815</v>
      </c>
      <c r="F463" s="95">
        <v>219.40334870546567</v>
      </c>
      <c r="G463" s="95">
        <v>345.58727047476685</v>
      </c>
      <c r="H463" s="95">
        <v>647.51584777684548</v>
      </c>
      <c r="I463" s="95">
        <v>2332.8984664705358</v>
      </c>
      <c r="J463" s="95">
        <v>93.612417998135797</v>
      </c>
      <c r="K463" s="95">
        <v>414.08792404689865</v>
      </c>
      <c r="L463" s="95">
        <v>162.78025004087101</v>
      </c>
      <c r="M463" s="95">
        <v>4708.0780690556021</v>
      </c>
      <c r="N463" s="95">
        <v>1062.3808964769662</v>
      </c>
      <c r="O463" s="95">
        <v>10000.000000000005</v>
      </c>
      <c r="Q463" s="98">
        <v>4708.0780690556021</v>
      </c>
      <c r="R463" s="95">
        <v>4047.5018105956124</v>
      </c>
      <c r="S463" s="99">
        <v>2651.0593954156038</v>
      </c>
      <c r="U463" s="121">
        <v>2539.003125844597</v>
      </c>
      <c r="V463" s="59">
        <v>40806.701469325206</v>
      </c>
      <c r="W463" s="59">
        <v>64281.410599557967</v>
      </c>
      <c r="X463" s="59">
        <v>247995.93604833211</v>
      </c>
      <c r="Y463" s="59">
        <v>1040528.1831658788</v>
      </c>
      <c r="Z463" s="59">
        <v>2517242.8310937034</v>
      </c>
      <c r="AA463" s="59">
        <v>1484358.7514264879</v>
      </c>
      <c r="AB463" s="59">
        <v>5397752.8169291299</v>
      </c>
      <c r="AC463" s="59">
        <v>2932022545.9369984</v>
      </c>
      <c r="AD463" s="68">
        <v>5397752.8169291299</v>
      </c>
    </row>
    <row r="464" spans="1:30" x14ac:dyDescent="0.2">
      <c r="A464" s="95">
        <v>456</v>
      </c>
      <c r="B464" s="95">
        <v>38</v>
      </c>
      <c r="C464" s="95">
        <v>0</v>
      </c>
      <c r="D464" s="95"/>
      <c r="E464" s="95">
        <v>13.506436314504212</v>
      </c>
      <c r="F464" s="95">
        <v>217.72641229094629</v>
      </c>
      <c r="G464" s="95">
        <v>343.28231967446231</v>
      </c>
      <c r="H464" s="95">
        <v>643.95696546401064</v>
      </c>
      <c r="I464" s="95">
        <v>2326.1324365612513</v>
      </c>
      <c r="J464" s="95">
        <v>93.359847402968569</v>
      </c>
      <c r="K464" s="95">
        <v>413.16852002337794</v>
      </c>
      <c r="L464" s="95">
        <v>162.39675933433983</v>
      </c>
      <c r="M464" s="95">
        <v>4719.154941916966</v>
      </c>
      <c r="N464" s="95">
        <v>1067.3153610171782</v>
      </c>
      <c r="O464" s="95">
        <v>10000.000000000005</v>
      </c>
      <c r="Q464" s="98">
        <v>4719.154941916966</v>
      </c>
      <c r="R464" s="95">
        <v>4055.0837306116414</v>
      </c>
      <c r="S464" s="99">
        <v>2656.6580788980746</v>
      </c>
      <c r="U464" s="121">
        <v>2509.3814227097432</v>
      </c>
      <c r="V464" s="59">
        <v>40464.196436578262</v>
      </c>
      <c r="W464" s="59">
        <v>63804.437925320948</v>
      </c>
      <c r="X464" s="59">
        <v>246446.75726223376</v>
      </c>
      <c r="Y464" s="59">
        <v>1036729.3065527341</v>
      </c>
      <c r="Z464" s="59">
        <v>2509534.8969255057</v>
      </c>
      <c r="AA464" s="59">
        <v>1479745.9779143992</v>
      </c>
      <c r="AB464" s="59">
        <v>5379234.9544394817</v>
      </c>
      <c r="AC464" s="59">
        <v>2937401780.891438</v>
      </c>
      <c r="AD464" s="68">
        <v>5379234.9544394817</v>
      </c>
    </row>
    <row r="465" spans="1:30" x14ac:dyDescent="0.2">
      <c r="A465" s="95">
        <v>457</v>
      </c>
      <c r="B465" s="95">
        <v>38</v>
      </c>
      <c r="C465" s="95">
        <v>1</v>
      </c>
      <c r="D465" s="95"/>
      <c r="E465" s="95">
        <v>13.358991051404207</v>
      </c>
      <c r="F465" s="95">
        <v>216.0618571436124</v>
      </c>
      <c r="G465" s="95">
        <v>340.99122919182503</v>
      </c>
      <c r="H465" s="95">
        <v>640.41358820156177</v>
      </c>
      <c r="I465" s="95">
        <v>2319.3697811232696</v>
      </c>
      <c r="J465" s="95">
        <v>93.107099627690275</v>
      </c>
      <c r="K465" s="95">
        <v>412.24772383423704</v>
      </c>
      <c r="L465" s="95">
        <v>162.01282702020694</v>
      </c>
      <c r="M465" s="95">
        <v>4730.205757142443</v>
      </c>
      <c r="N465" s="95">
        <v>1072.2311456637551</v>
      </c>
      <c r="O465" s="95">
        <v>10000.000000000005</v>
      </c>
      <c r="Q465" s="98">
        <v>4730.205757142443</v>
      </c>
      <c r="R465" s="95">
        <v>4062.6436610304654</v>
      </c>
      <c r="S465" s="99">
        <v>2662.2422274894789</v>
      </c>
      <c r="U465" s="121">
        <v>2480.1053061114631</v>
      </c>
      <c r="V465" s="59">
        <v>40124.485137520482</v>
      </c>
      <c r="W465" s="59">
        <v>63330.723098136637</v>
      </c>
      <c r="X465" s="59">
        <v>244905.70310476163</v>
      </c>
      <c r="Y465" s="59">
        <v>1032937.0538530872</v>
      </c>
      <c r="Z465" s="59">
        <v>2501829.2490612464</v>
      </c>
      <c r="AA465" s="59">
        <v>1475135.2479081317</v>
      </c>
      <c r="AB465" s="59">
        <v>5360742.5674689952</v>
      </c>
      <c r="AC465" s="59">
        <v>2942762523.4589071</v>
      </c>
      <c r="AD465" s="68">
        <v>5360742.5674689952</v>
      </c>
    </row>
    <row r="466" spans="1:30" x14ac:dyDescent="0.2">
      <c r="A466" s="95">
        <v>458</v>
      </c>
      <c r="B466" s="95">
        <v>38</v>
      </c>
      <c r="C466" s="95">
        <v>2</v>
      </c>
      <c r="D466" s="95"/>
      <c r="E466" s="95">
        <v>13.213155399093043</v>
      </c>
      <c r="F466" s="95">
        <v>214.40959698492878</v>
      </c>
      <c r="G466" s="95">
        <v>338.71393195395024</v>
      </c>
      <c r="H466" s="95">
        <v>636.88568662129649</v>
      </c>
      <c r="I466" s="95">
        <v>2312.6106311979465</v>
      </c>
      <c r="J466" s="95">
        <v>92.854185418287173</v>
      </c>
      <c r="K466" s="95">
        <v>411.3255621051614</v>
      </c>
      <c r="L466" s="95">
        <v>161.62846437147573</v>
      </c>
      <c r="M466" s="95">
        <v>4741.2304833373846</v>
      </c>
      <c r="N466" s="95">
        <v>1077.1283026104811</v>
      </c>
      <c r="O466" s="95">
        <v>10000.000000000005</v>
      </c>
      <c r="Q466" s="98">
        <v>4741.2304833373846</v>
      </c>
      <c r="R466" s="95">
        <v>4070.1816128191163</v>
      </c>
      <c r="S466" s="99">
        <v>2667.8118362337405</v>
      </c>
      <c r="U466" s="121">
        <v>2451.1707442068296</v>
      </c>
      <c r="V466" s="59">
        <v>39787.545798017381</v>
      </c>
      <c r="W466" s="59">
        <v>62860.247084274612</v>
      </c>
      <c r="X466" s="59">
        <v>243372.74653895586</v>
      </c>
      <c r="Y466" s="59">
        <v>1029151.4745562469</v>
      </c>
      <c r="Z466" s="59">
        <v>2494126.0866658743</v>
      </c>
      <c r="AA466" s="59">
        <v>1470526.6666033973</v>
      </c>
      <c r="AB466" s="59">
        <v>5342275.9379909737</v>
      </c>
      <c r="AC466" s="59">
        <v>2948104799.3968983</v>
      </c>
      <c r="AD466" s="68">
        <v>5342275.9379909737</v>
      </c>
    </row>
    <row r="467" spans="1:30" x14ac:dyDescent="0.2">
      <c r="A467" s="95">
        <v>459</v>
      </c>
      <c r="B467" s="95">
        <v>38</v>
      </c>
      <c r="C467" s="95">
        <v>3</v>
      </c>
      <c r="D467" s="95"/>
      <c r="E467" s="95">
        <v>13.068911785986277</v>
      </c>
      <c r="F467" s="95">
        <v>212.76954607494429</v>
      </c>
      <c r="G467" s="95">
        <v>336.45036102577438</v>
      </c>
      <c r="H467" s="95">
        <v>633.37323100243862</v>
      </c>
      <c r="I467" s="95">
        <v>2305.8551168110971</v>
      </c>
      <c r="J467" s="95">
        <v>92.601115367229724</v>
      </c>
      <c r="K467" s="95">
        <v>410.40206137437639</v>
      </c>
      <c r="L467" s="95">
        <v>161.24368261152114</v>
      </c>
      <c r="M467" s="95">
        <v>4752.2290899197615</v>
      </c>
      <c r="N467" s="95">
        <v>1082.0068840268752</v>
      </c>
      <c r="O467" s="95">
        <v>10000.000000000005</v>
      </c>
      <c r="Q467" s="98">
        <v>4752.2290899197615</v>
      </c>
      <c r="R467" s="95">
        <v>4077.6975973705094</v>
      </c>
      <c r="S467" s="99">
        <v>2673.3669005394377</v>
      </c>
      <c r="U467" s="121">
        <v>2422.5737521910833</v>
      </c>
      <c r="V467" s="59">
        <v>39453.356800591246</v>
      </c>
      <c r="W467" s="59">
        <v>62392.990922589626</v>
      </c>
      <c r="X467" s="59">
        <v>241847.86044916368</v>
      </c>
      <c r="Y467" s="59">
        <v>1025372.6175337945</v>
      </c>
      <c r="Z467" s="59">
        <v>2486425.6068782182</v>
      </c>
      <c r="AA467" s="59">
        <v>1465920.3385069231</v>
      </c>
      <c r="AB467" s="59">
        <v>5323835.3448434714</v>
      </c>
      <c r="AC467" s="59">
        <v>2953428634.7417417</v>
      </c>
      <c r="AD467" s="68">
        <v>5323835.3448434714</v>
      </c>
    </row>
    <row r="468" spans="1:30" x14ac:dyDescent="0.2">
      <c r="A468" s="95">
        <v>460</v>
      </c>
      <c r="B468" s="95">
        <v>38</v>
      </c>
      <c r="C468" s="95">
        <v>4</v>
      </c>
      <c r="D468" s="95"/>
      <c r="E468" s="95">
        <v>12.926242832322593</v>
      </c>
      <c r="F468" s="95">
        <v>211.14161920973936</v>
      </c>
      <c r="G468" s="95">
        <v>334.20044961235078</v>
      </c>
      <c r="H468" s="95">
        <v>629.87619127683661</v>
      </c>
      <c r="I468" s="95">
        <v>2299.1033669752587</v>
      </c>
      <c r="J468" s="95">
        <v>92.347899916036084</v>
      </c>
      <c r="K468" s="95">
        <v>409.47724809157461</v>
      </c>
      <c r="L468" s="95">
        <v>160.85849291336311</v>
      </c>
      <c r="M468" s="95">
        <v>4763.2015471152517</v>
      </c>
      <c r="N468" s="95">
        <v>1086.8669420572708</v>
      </c>
      <c r="O468" s="95">
        <v>10000.000000000004</v>
      </c>
      <c r="Q468" s="98">
        <v>4763.2015471152517</v>
      </c>
      <c r="R468" s="95">
        <v>4085.1916265001455</v>
      </c>
      <c r="S468" s="99">
        <v>2678.9074161772533</v>
      </c>
      <c r="U468" s="121">
        <v>2394.3103917488543</v>
      </c>
      <c r="V468" s="59">
        <v>39121.896683469786</v>
      </c>
      <c r="W468" s="59">
        <v>61928.935724766292</v>
      </c>
      <c r="X468" s="59">
        <v>240331.01764344555</v>
      </c>
      <c r="Y468" s="59">
        <v>1021600.5310426119</v>
      </c>
      <c r="Z468" s="59">
        <v>2478728.0048313956</v>
      </c>
      <c r="AA468" s="59">
        <v>1461316.3674264417</v>
      </c>
      <c r="AB468" s="59">
        <v>5305421.06374388</v>
      </c>
      <c r="AC468" s="59">
        <v>2958734055.8054857</v>
      </c>
      <c r="AD468" s="68">
        <v>5305421.06374388</v>
      </c>
    </row>
    <row r="469" spans="1:30" x14ac:dyDescent="0.2">
      <c r="A469" s="95">
        <v>461</v>
      </c>
      <c r="B469" s="95">
        <v>38</v>
      </c>
      <c r="C469" s="95">
        <v>5</v>
      </c>
      <c r="D469" s="95"/>
      <c r="E469" s="95">
        <v>12.785131348069738</v>
      </c>
      <c r="F469" s="95">
        <v>209.52573171887417</v>
      </c>
      <c r="G469" s="95">
        <v>331.96413106108184</v>
      </c>
      <c r="H469" s="95">
        <v>626.39453703412767</v>
      </c>
      <c r="I469" s="95">
        <v>2292.3555096919895</v>
      </c>
      <c r="J469" s="95">
        <v>92.094549357782242</v>
      </c>
      <c r="K469" s="95">
        <v>408.55114861686479</v>
      </c>
      <c r="L469" s="95">
        <v>160.47290639897795</v>
      </c>
      <c r="M469" s="95">
        <v>4774.1478259523337</v>
      </c>
      <c r="N469" s="95">
        <v>1091.7085288199028</v>
      </c>
      <c r="O469" s="95">
        <v>10000.000000000004</v>
      </c>
      <c r="Q469" s="98">
        <v>4774.1478259523337</v>
      </c>
      <c r="R469" s="95">
        <v>4092.6637124428153</v>
      </c>
      <c r="S469" s="99">
        <v>2684.4333792774341</v>
      </c>
      <c r="U469" s="121">
        <v>2366.3767705117843</v>
      </c>
      <c r="V469" s="59">
        <v>38793.144139638112</v>
      </c>
      <c r="W469" s="59">
        <v>61468.062675554065</v>
      </c>
      <c r="X469" s="59">
        <v>238822.19085595809</v>
      </c>
      <c r="Y469" s="59">
        <v>1017835.2627279147</v>
      </c>
      <c r="Z469" s="59">
        <v>2471033.4736728193</v>
      </c>
      <c r="AA469" s="59">
        <v>1456714.8564613401</v>
      </c>
      <c r="AB469" s="59">
        <v>5287033.3673037365</v>
      </c>
      <c r="AC469" s="59">
        <v>2964021089.1727896</v>
      </c>
      <c r="AD469" s="68">
        <v>5287033.3673037365</v>
      </c>
    </row>
    <row r="470" spans="1:30" x14ac:dyDescent="0.2">
      <c r="A470" s="95">
        <v>462</v>
      </c>
      <c r="B470" s="95">
        <v>38</v>
      </c>
      <c r="C470" s="95">
        <v>6</v>
      </c>
      <c r="D470" s="95"/>
      <c r="E470" s="95">
        <v>12.645560330853311</v>
      </c>
      <c r="F470" s="95">
        <v>207.92179946283713</v>
      </c>
      <c r="G470" s="95">
        <v>329.74133886390848</v>
      </c>
      <c r="H470" s="95">
        <v>622.92823752686877</v>
      </c>
      <c r="I470" s="95">
        <v>2285.6116719542056</v>
      </c>
      <c r="J470" s="95">
        <v>91.841073839560138</v>
      </c>
      <c r="K470" s="95">
        <v>407.62378921974198</v>
      </c>
      <c r="L470" s="95">
        <v>160.08693413864583</v>
      </c>
      <c r="M470" s="95">
        <v>4785.0678982573809</v>
      </c>
      <c r="N470" s="95">
        <v>1096.5316964060019</v>
      </c>
      <c r="O470" s="95">
        <v>10000.000000000004</v>
      </c>
      <c r="Q470" s="98">
        <v>4785.0678982573809</v>
      </c>
      <c r="R470" s="95">
        <v>4100.1138678493144</v>
      </c>
      <c r="S470" s="99">
        <v>2689.9447863272644</v>
      </c>
      <c r="U470" s="121">
        <v>2338.7690415224797</v>
      </c>
      <c r="V470" s="59">
        <v>38467.078015893858</v>
      </c>
      <c r="W470" s="59">
        <v>61010.353032992818</v>
      </c>
      <c r="X470" s="59">
        <v>237321.35274931448</v>
      </c>
      <c r="Y470" s="59">
        <v>1014076.8596262954</v>
      </c>
      <c r="Z470" s="59">
        <v>2463342.2045838186</v>
      </c>
      <c r="AA470" s="59">
        <v>1452115.9079939392</v>
      </c>
      <c r="AB470" s="59">
        <v>5268672.5250437772</v>
      </c>
      <c r="AC470" s="59">
        <v>2969289761.6978335</v>
      </c>
      <c r="AD470" s="68">
        <v>5268672.5250437772</v>
      </c>
    </row>
    <row r="471" spans="1:30" x14ac:dyDescent="0.2">
      <c r="A471" s="95">
        <v>463</v>
      </c>
      <c r="B471" s="95">
        <v>38</v>
      </c>
      <c r="C471" s="95">
        <v>7</v>
      </c>
      <c r="D471" s="95"/>
      <c r="E471" s="95">
        <v>12.507512963908162</v>
      </c>
      <c r="F471" s="95">
        <v>206.32973883049453</v>
      </c>
      <c r="G471" s="95">
        <v>327.53200665945661</v>
      </c>
      <c r="H471" s="95">
        <v>619.47726167563349</v>
      </c>
      <c r="I471" s="95">
        <v>2278.8719797485542</v>
      </c>
      <c r="J471" s="95">
        <v>91.587483364884818</v>
      </c>
      <c r="K471" s="95">
        <v>406.69519607807899</v>
      </c>
      <c r="L471" s="95">
        <v>159.70058715033321</v>
      </c>
      <c r="M471" s="95">
        <v>4795.961736649765</v>
      </c>
      <c r="N471" s="95">
        <v>1101.3364968788946</v>
      </c>
      <c r="O471" s="95">
        <v>10000.000000000004</v>
      </c>
      <c r="Q471" s="98">
        <v>4795.961736649765</v>
      </c>
      <c r="R471" s="95">
        <v>4107.5421057831654</v>
      </c>
      <c r="S471" s="99">
        <v>2695.4416341685469</v>
      </c>
      <c r="U471" s="121">
        <v>2311.4834027047177</v>
      </c>
      <c r="V471" s="59">
        <v>38143.67731190566</v>
      </c>
      <c r="W471" s="59">
        <v>60555.788128628905</v>
      </c>
      <c r="X471" s="59">
        <v>235828.47591692203</v>
      </c>
      <c r="Y471" s="59">
        <v>1010325.3681687717</v>
      </c>
      <c r="Z471" s="59">
        <v>2455654.3867988819</v>
      </c>
      <c r="AA471" s="59">
        <v>1447519.6236813818</v>
      </c>
      <c r="AB471" s="59">
        <v>5250338.8034091964</v>
      </c>
      <c r="AC471" s="59">
        <v>2974540100.5012426</v>
      </c>
      <c r="AD471" s="68">
        <v>5250338.8034091964</v>
      </c>
    </row>
    <row r="472" spans="1:30" x14ac:dyDescent="0.2">
      <c r="A472" s="95">
        <v>464</v>
      </c>
      <c r="B472" s="95">
        <v>38</v>
      </c>
      <c r="C472" s="95">
        <v>8</v>
      </c>
      <c r="D472" s="95"/>
      <c r="E472" s="95">
        <v>12.370972614052166</v>
      </c>
      <c r="F472" s="95">
        <v>204.74946673654105</v>
      </c>
      <c r="G472" s="95">
        <v>325.33606823514202</v>
      </c>
      <c r="H472" s="95">
        <v>616.04157807407535</v>
      </c>
      <c r="I472" s="95">
        <v>2272.1365580578226</v>
      </c>
      <c r="J472" s="95">
        <v>91.33378779605178</v>
      </c>
      <c r="K472" s="95">
        <v>405.7653952771384</v>
      </c>
      <c r="L472" s="95">
        <v>159.31387639910858</v>
      </c>
      <c r="M472" s="95">
        <v>4806.8293145369607</v>
      </c>
      <c r="N472" s="95">
        <v>1106.1229822731111</v>
      </c>
      <c r="O472" s="95">
        <v>10000.000000000004</v>
      </c>
      <c r="Q472" s="98">
        <v>4806.8293145369607</v>
      </c>
      <c r="R472" s="95">
        <v>4114.9484397173483</v>
      </c>
      <c r="S472" s="99">
        <v>2700.9239199950971</v>
      </c>
      <c r="U472" s="121">
        <v>2284.5160963398293</v>
      </c>
      <c r="V472" s="59">
        <v>37822.921179274876</v>
      </c>
      <c r="W472" s="59">
        <v>60104.349367722083</v>
      </c>
      <c r="X472" s="59">
        <v>234343.53288529732</v>
      </c>
      <c r="Y472" s="59">
        <v>1006580.834183844</v>
      </c>
      <c r="Z472" s="59">
        <v>2447970.2076245337</v>
      </c>
      <c r="AA472" s="59">
        <v>1442926.1044480917</v>
      </c>
      <c r="AB472" s="59">
        <v>5232032.4657851039</v>
      </c>
      <c r="AC472" s="59">
        <v>2979772132.9670277</v>
      </c>
      <c r="AD472" s="68">
        <v>5232032.4657851039</v>
      </c>
    </row>
    <row r="473" spans="1:30" x14ac:dyDescent="0.2">
      <c r="A473" s="95">
        <v>465</v>
      </c>
      <c r="B473" s="95">
        <v>38</v>
      </c>
      <c r="C473" s="95">
        <v>9</v>
      </c>
      <c r="D473" s="95"/>
      <c r="E473" s="95">
        <v>12.235922829682096</v>
      </c>
      <c r="F473" s="95">
        <v>203.1809006189516</v>
      </c>
      <c r="G473" s="95">
        <v>323.15345752923344</v>
      </c>
      <c r="H473" s="95">
        <v>612.62115499395759</v>
      </c>
      <c r="I473" s="95">
        <v>2265.4055308633824</v>
      </c>
      <c r="J473" s="95">
        <v>91.079996856445746</v>
      </c>
      <c r="K473" s="95">
        <v>404.83441280860546</v>
      </c>
      <c r="L473" s="95">
        <v>158.92681279659021</v>
      </c>
      <c r="M473" s="95">
        <v>4817.6706061096556</v>
      </c>
      <c r="N473" s="95">
        <v>1110.8912045934992</v>
      </c>
      <c r="O473" s="95">
        <v>10000.000000000004</v>
      </c>
      <c r="Q473" s="98">
        <v>4817.6706061096556</v>
      </c>
      <c r="R473" s="95">
        <v>4122.3328835310358</v>
      </c>
      <c r="S473" s="99">
        <v>2706.3916413502461</v>
      </c>
      <c r="U473" s="121">
        <v>2257.8634085491981</v>
      </c>
      <c r="V473" s="59">
        <v>37504.788920600717</v>
      </c>
      <c r="W473" s="59">
        <v>59656.01822944326</v>
      </c>
      <c r="X473" s="59">
        <v>232866.49611635847</v>
      </c>
      <c r="Y473" s="59">
        <v>1002843.3029005579</v>
      </c>
      <c r="Z473" s="59">
        <v>2440289.8524578507</v>
      </c>
      <c r="AA473" s="59">
        <v>1438335.450478791</v>
      </c>
      <c r="AB473" s="59">
        <v>5213753.7725121509</v>
      </c>
      <c r="AC473" s="59">
        <v>2984985886.7395396</v>
      </c>
      <c r="AD473" s="68">
        <v>5213753.7725121509</v>
      </c>
    </row>
    <row r="474" spans="1:30" x14ac:dyDescent="0.2">
      <c r="A474" s="95">
        <v>466</v>
      </c>
      <c r="B474" s="95">
        <v>38</v>
      </c>
      <c r="C474" s="95">
        <v>10</v>
      </c>
      <c r="D474" s="95"/>
      <c r="E474" s="95">
        <v>12.1023473387914</v>
      </c>
      <c r="F474" s="95">
        <v>201.62395843643463</v>
      </c>
      <c r="G474" s="95">
        <v>320.98410863287455</v>
      </c>
      <c r="H474" s="95">
        <v>609.21596039014867</v>
      </c>
      <c r="I474" s="95">
        <v>2258.67902114767</v>
      </c>
      <c r="J474" s="95">
        <v>90.826120132801691</v>
      </c>
      <c r="K474" s="95">
        <v>403.90227456964124</v>
      </c>
      <c r="L474" s="95">
        <v>158.53940720042476</v>
      </c>
      <c r="M474" s="95">
        <v>4828.4855863368712</v>
      </c>
      <c r="N474" s="95">
        <v>1115.6412158143455</v>
      </c>
      <c r="O474" s="95">
        <v>10000.000000000004</v>
      </c>
      <c r="Q474" s="98">
        <v>4828.4855863368712</v>
      </c>
      <c r="R474" s="95">
        <v>4129.6954515063417</v>
      </c>
      <c r="S474" s="99">
        <v>2711.8447961243555</v>
      </c>
      <c r="U474" s="121">
        <v>2231.5216687827906</v>
      </c>
      <c r="V474" s="59">
        <v>37189.259988548663</v>
      </c>
      <c r="W474" s="59">
        <v>59210.776267063316</v>
      </c>
      <c r="X474" s="59">
        <v>231397.33800969529</v>
      </c>
      <c r="Y474" s="59">
        <v>999112.81895157346</v>
      </c>
      <c r="Z474" s="59">
        <v>2432613.5048046354</v>
      </c>
      <c r="AA474" s="59">
        <v>1433747.7612120414</v>
      </c>
      <c r="AB474" s="59">
        <v>5195502.9809023403</v>
      </c>
      <c r="AC474" s="59">
        <v>2990181389.7204418</v>
      </c>
      <c r="AD474" s="68">
        <v>5195502.9809023403</v>
      </c>
    </row>
    <row r="475" spans="1:30" x14ac:dyDescent="0.2">
      <c r="A475" s="95">
        <v>467</v>
      </c>
      <c r="B475" s="95">
        <v>38</v>
      </c>
      <c r="C475" s="95">
        <v>11</v>
      </c>
      <c r="D475" s="95"/>
      <c r="E475" s="95">
        <v>11.970230047009593</v>
      </c>
      <c r="F475" s="95">
        <v>200.07855866588727</v>
      </c>
      <c r="G475" s="95">
        <v>318.82795579206555</v>
      </c>
      <c r="H475" s="95">
        <v>605.82596190558411</v>
      </c>
      <c r="I475" s="95">
        <v>2251.9571508967001</v>
      </c>
      <c r="J475" s="95">
        <v>90.572167077419508</v>
      </c>
      <c r="K475" s="95">
        <v>402.96900636195585</v>
      </c>
      <c r="L475" s="95">
        <v>158.15167041379527</v>
      </c>
      <c r="M475" s="95">
        <v>4839.274230961084</v>
      </c>
      <c r="N475" s="95">
        <v>1120.3730678785025</v>
      </c>
      <c r="O475" s="95">
        <v>10000.000000000004</v>
      </c>
      <c r="Q475" s="98">
        <v>4839.274230961084</v>
      </c>
      <c r="R475" s="95">
        <v>4137.0361583250715</v>
      </c>
      <c r="S475" s="99">
        <v>2717.2833825523417</v>
      </c>
      <c r="U475" s="121">
        <v>2205.4872493136581</v>
      </c>
      <c r="V475" s="59">
        <v>36876.313984922359</v>
      </c>
      <c r="W475" s="59">
        <v>58768.60510813303</v>
      </c>
      <c r="X475" s="59">
        <v>229936.03090481661</v>
      </c>
      <c r="Y475" s="59">
        <v>995389.42637624161</v>
      </c>
      <c r="Z475" s="59">
        <v>2424941.3462972441</v>
      </c>
      <c r="AA475" s="59">
        <v>1429163.135334292</v>
      </c>
      <c r="AB475" s="59">
        <v>5177280.3452549633</v>
      </c>
      <c r="AC475" s="59">
        <v>2995358670.0656967</v>
      </c>
      <c r="AD475" s="68">
        <v>5177280.3452549633</v>
      </c>
    </row>
    <row r="476" spans="1:30" x14ac:dyDescent="0.2">
      <c r="A476" s="95">
        <v>468</v>
      </c>
      <c r="B476" s="95">
        <v>39</v>
      </c>
      <c r="C476" s="95">
        <v>0</v>
      </c>
      <c r="D476" s="95"/>
      <c r="E476" s="95">
        <v>11.839555035663071</v>
      </c>
      <c r="F476" s="95">
        <v>198.54462029985206</v>
      </c>
      <c r="G476" s="95">
        <v>316.68493340960418</v>
      </c>
      <c r="H476" s="95">
        <v>602.45112687619428</v>
      </c>
      <c r="I476" s="95">
        <v>2245.2400411026142</v>
      </c>
      <c r="J476" s="95">
        <v>90.318147010333035</v>
      </c>
      <c r="K476" s="95">
        <v>402.03463389090177</v>
      </c>
      <c r="L476" s="95">
        <v>157.76361318495756</v>
      </c>
      <c r="M476" s="95">
        <v>4850.036516493361</v>
      </c>
      <c r="N476" s="95">
        <v>1125.0868126965231</v>
      </c>
      <c r="O476" s="95">
        <v>10000.000000000004</v>
      </c>
      <c r="Q476" s="98">
        <v>4850.036516493361</v>
      </c>
      <c r="R476" s="95">
        <v>4144.355019065486</v>
      </c>
      <c r="S476" s="99">
        <v>2722.7073992112109</v>
      </c>
      <c r="U476" s="121">
        <v>2179.7565647383321</v>
      </c>
      <c r="V476" s="59">
        <v>36565.930659738864</v>
      </c>
      <c r="W476" s="59">
        <v>58329.48645465431</v>
      </c>
      <c r="X476" s="59">
        <v>228482.5470833758</v>
      </c>
      <c r="Y476" s="59">
        <v>991673.16862368514</v>
      </c>
      <c r="Z476" s="59">
        <v>2417273.5567120914</v>
      </c>
      <c r="AA476" s="59">
        <v>1424581.6707744098</v>
      </c>
      <c r="AB476" s="59">
        <v>5159086.1168726934</v>
      </c>
      <c r="AC476" s="59">
        <v>3000517756.1825695</v>
      </c>
      <c r="AD476" s="68">
        <v>5159086.1168726934</v>
      </c>
    </row>
    <row r="477" spans="1:30" x14ac:dyDescent="0.2">
      <c r="A477" s="95">
        <v>469</v>
      </c>
      <c r="B477" s="95">
        <v>39</v>
      </c>
      <c r="C477" s="95">
        <v>1</v>
      </c>
      <c r="D477" s="95"/>
      <c r="E477" s="95">
        <v>11.710306559857083</v>
      </c>
      <c r="F477" s="95">
        <v>197.02206284397599</v>
      </c>
      <c r="G477" s="95">
        <v>314.55497604698758</v>
      </c>
      <c r="H477" s="95">
        <v>599.09142233579826</v>
      </c>
      <c r="I477" s="95">
        <v>2238.527811766261</v>
      </c>
      <c r="J477" s="95">
        <v>90.064069121434684</v>
      </c>
      <c r="K477" s="95">
        <v>401.09918276458671</v>
      </c>
      <c r="L477" s="95">
        <v>157.37524620680375</v>
      </c>
      <c r="M477" s="95">
        <v>4860.7724202084974</v>
      </c>
      <c r="N477" s="95">
        <v>1129.7825021458016</v>
      </c>
      <c r="O477" s="95">
        <v>10000.000000000004</v>
      </c>
      <c r="Q477" s="98">
        <v>4860.7724202084974</v>
      </c>
      <c r="R477" s="95">
        <v>4151.6520491990696</v>
      </c>
      <c r="S477" s="99">
        <v>2728.1168450176042</v>
      </c>
      <c r="U477" s="121">
        <v>2154.3260714830512</v>
      </c>
      <c r="V477" s="59">
        <v>36258.089910307412</v>
      </c>
      <c r="W477" s="59">
        <v>57893.402083242821</v>
      </c>
      <c r="X477" s="59">
        <v>227036.85877137349</v>
      </c>
      <c r="Y477" s="59">
        <v>987964.08855588548</v>
      </c>
      <c r="Z477" s="59">
        <v>2409610.313986829</v>
      </c>
      <c r="AA477" s="59">
        <v>1420003.4646986695</v>
      </c>
      <c r="AB477" s="59">
        <v>5140920.5440777903</v>
      </c>
      <c r="AC477" s="59">
        <v>3005658676.7266474</v>
      </c>
      <c r="AD477" s="68">
        <v>5140920.5440777903</v>
      </c>
    </row>
    <row r="478" spans="1:30" x14ac:dyDescent="0.2">
      <c r="A478" s="95">
        <v>470</v>
      </c>
      <c r="B478" s="95">
        <v>39</v>
      </c>
      <c r="C478" s="95">
        <v>2</v>
      </c>
      <c r="D478" s="95"/>
      <c r="E478" s="95">
        <v>11.582469046578643</v>
      </c>
      <c r="F478" s="95">
        <v>195.51080631447178</v>
      </c>
      <c r="G478" s="95">
        <v>312.43801842627437</v>
      </c>
      <c r="H478" s="95">
        <v>595.7468150209636</v>
      </c>
      <c r="I478" s="95">
        <v>2231.8205818998122</v>
      </c>
      <c r="J478" s="95">
        <v>89.8099424725566</v>
      </c>
      <c r="K478" s="95">
        <v>400.16267849300607</v>
      </c>
      <c r="L478" s="95">
        <v>156.98658011645182</v>
      </c>
      <c r="M478" s="95">
        <v>4871.4819201401669</v>
      </c>
      <c r="N478" s="95">
        <v>1134.4601880697214</v>
      </c>
      <c r="O478" s="95">
        <v>10000.000000000004</v>
      </c>
      <c r="Q478" s="98">
        <v>4871.4819201401669</v>
      </c>
      <c r="R478" s="95">
        <v>4158.9272645873098</v>
      </c>
      <c r="S478" s="99">
        <v>2733.5117192253524</v>
      </c>
      <c r="U478" s="121">
        <v>2129.1922673157492</v>
      </c>
      <c r="V478" s="59">
        <v>35952.77178031161</v>
      </c>
      <c r="W478" s="59">
        <v>57460.333845282192</v>
      </c>
      <c r="X478" s="59">
        <v>225598.93814133853</v>
      </c>
      <c r="Y478" s="59">
        <v>984262.22845077503</v>
      </c>
      <c r="Z478" s="59">
        <v>2401951.7942372141</v>
      </c>
      <c r="AA478" s="59">
        <v>1415428.6135061856</v>
      </c>
      <c r="AB478" s="59">
        <v>5122783.8722284231</v>
      </c>
      <c r="AC478" s="59">
        <v>3010781460.598876</v>
      </c>
      <c r="AD478" s="68">
        <v>5122783.8722284231</v>
      </c>
    </row>
    <row r="479" spans="1:30" x14ac:dyDescent="0.2">
      <c r="A479" s="95">
        <v>471</v>
      </c>
      <c r="B479" s="95">
        <v>39</v>
      </c>
      <c r="C479" s="95">
        <v>3</v>
      </c>
      <c r="D479" s="95"/>
      <c r="E479" s="95">
        <v>11.456027092820159</v>
      </c>
      <c r="F479" s="95">
        <v>194.01077123558153</v>
      </c>
      <c r="G479" s="95">
        <v>310.33399543190848</v>
      </c>
      <c r="H479" s="95">
        <v>592.41727137583257</v>
      </c>
      <c r="I479" s="95">
        <v>2225.1184695294073</v>
      </c>
      <c r="J479" s="95">
        <v>89.555775999509251</v>
      </c>
      <c r="K479" s="95">
        <v>399.22514648719465</v>
      </c>
      <c r="L479" s="95">
        <v>156.59762549486018</v>
      </c>
      <c r="M479" s="95">
        <v>4882.1649950760793</v>
      </c>
      <c r="N479" s="95">
        <v>1139.11992227681</v>
      </c>
      <c r="O479" s="95">
        <v>10000.000000000004</v>
      </c>
      <c r="Q479" s="98">
        <v>4882.1649950760793</v>
      </c>
      <c r="R479" s="95">
        <v>4166.1806814784841</v>
      </c>
      <c r="S479" s="99">
        <v>2738.8920214230402</v>
      </c>
      <c r="U479" s="121">
        <v>2104.3516908637316</v>
      </c>
      <c r="V479" s="59">
        <v>35649.956458895133</v>
      </c>
      <c r="W479" s="59">
        <v>57030.26366706979</v>
      </c>
      <c r="X479" s="59">
        <v>224168.75731448655</v>
      </c>
      <c r="Y479" s="59">
        <v>980567.63000533462</v>
      </c>
      <c r="Z479" s="59">
        <v>2394298.1717736735</v>
      </c>
      <c r="AA479" s="59">
        <v>1410857.2128247642</v>
      </c>
      <c r="AB479" s="59">
        <v>5104676.3437350877</v>
      </c>
      <c r="AC479" s="59">
        <v>3015886136.9426112</v>
      </c>
      <c r="AD479" s="68">
        <v>5104676.3437350877</v>
      </c>
    </row>
    <row r="480" spans="1:30" x14ac:dyDescent="0.2">
      <c r="A480" s="95">
        <v>472</v>
      </c>
      <c r="B480" s="95">
        <v>39</v>
      </c>
      <c r="C480" s="95">
        <v>4</v>
      </c>
      <c r="D480" s="95"/>
      <c r="E480" s="95">
        <v>11.330965463723539</v>
      </c>
      <c r="F480" s="95">
        <v>192.52187863704299</v>
      </c>
      <c r="G480" s="95">
        <v>308.24284211250421</v>
      </c>
      <c r="H480" s="95">
        <v>589.1027575569135</v>
      </c>
      <c r="I480" s="95">
        <v>2218.4215916978346</v>
      </c>
      <c r="J480" s="95">
        <v>89.301578514078486</v>
      </c>
      <c r="K480" s="95">
        <v>398.28661205839717</v>
      </c>
      <c r="L480" s="95">
        <v>156.20839286646637</v>
      </c>
      <c r="M480" s="95">
        <v>4892.8216245531448</v>
      </c>
      <c r="N480" s="95">
        <v>1143.7617565398982</v>
      </c>
      <c r="O480" s="95">
        <v>10000.000000000004</v>
      </c>
      <c r="Q480" s="98">
        <v>4892.8216245531448</v>
      </c>
      <c r="R480" s="95">
        <v>4173.4123165044548</v>
      </c>
      <c r="S480" s="99">
        <v>2744.2577515315825</v>
      </c>
      <c r="U480" s="121">
        <v>2079.8009211369881</v>
      </c>
      <c r="V480" s="59">
        <v>35349.624279750999</v>
      </c>
      <c r="W480" s="59">
        <v>56603.173549954379</v>
      </c>
      <c r="X480" s="59">
        <v>222746.28836285695</v>
      </c>
      <c r="Y480" s="59">
        <v>976880.33433869504</v>
      </c>
      <c r="Z480" s="59">
        <v>2386649.619117571</v>
      </c>
      <c r="AA480" s="59">
        <v>1406289.3575071574</v>
      </c>
      <c r="AB480" s="59">
        <v>5086598.1980771227</v>
      </c>
      <c r="AC480" s="59">
        <v>3020972735.1406884</v>
      </c>
      <c r="AD480" s="68">
        <v>5086598.1980771227</v>
      </c>
    </row>
    <row r="481" spans="1:30" x14ac:dyDescent="0.2">
      <c r="A481" s="95">
        <v>473</v>
      </c>
      <c r="B481" s="95">
        <v>39</v>
      </c>
      <c r="C481" s="95">
        <v>5</v>
      </c>
      <c r="D481" s="95"/>
      <c r="E481" s="95">
        <v>11.207269090744557</v>
      </c>
      <c r="F481" s="95">
        <v>191.04405005155868</v>
      </c>
      <c r="G481" s="95">
        <v>306.16449368259362</v>
      </c>
      <c r="H481" s="95">
        <v>585.80323943783867</v>
      </c>
      <c r="I481" s="95">
        <v>2211.7300644672387</v>
      </c>
      <c r="J481" s="95">
        <v>89.047358705981907</v>
      </c>
      <c r="K481" s="95">
        <v>397.34710041725788</v>
      </c>
      <c r="L481" s="95">
        <v>155.81889269884857</v>
      </c>
      <c r="M481" s="95">
        <v>4903.4517888526516</v>
      </c>
      <c r="N481" s="95">
        <v>1148.3857425952897</v>
      </c>
      <c r="O481" s="95">
        <v>10000.000000000004</v>
      </c>
      <c r="Q481" s="98">
        <v>4903.4517888526516</v>
      </c>
      <c r="R481" s="95">
        <v>4180.6221866774731</v>
      </c>
      <c r="S481" s="99">
        <v>2749.6089098018074</v>
      </c>
      <c r="U481" s="121">
        <v>2055.5365770570565</v>
      </c>
      <c r="V481" s="59">
        <v>35051.755720214322</v>
      </c>
      <c r="W481" s="59">
        <v>56179.045570465663</v>
      </c>
      <c r="X481" s="59">
        <v>221331.5033114274</v>
      </c>
      <c r="Y481" s="59">
        <v>973200.38199524349</v>
      </c>
      <c r="Z481" s="59">
        <v>2379006.3070171876</v>
      </c>
      <c r="AA481" s="59">
        <v>1401725.141627701</v>
      </c>
      <c r="AB481" s="59">
        <v>5068549.6718192967</v>
      </c>
      <c r="AC481" s="59">
        <v>3026041284.8125076</v>
      </c>
      <c r="AD481" s="68">
        <v>5068549.6718192967</v>
      </c>
    </row>
    <row r="482" spans="1:30" x14ac:dyDescent="0.2">
      <c r="A482" s="95">
        <v>474</v>
      </c>
      <c r="B482" s="95">
        <v>39</v>
      </c>
      <c r="C482" s="95">
        <v>6</v>
      </c>
      <c r="D482" s="95"/>
      <c r="E482" s="95">
        <v>11.084923069837263</v>
      </c>
      <c r="F482" s="95">
        <v>189.57720751226807</v>
      </c>
      <c r="G482" s="95">
        <v>304.09888552433654</v>
      </c>
      <c r="H482" s="95">
        <v>582.51868261408799</v>
      </c>
      <c r="I482" s="95">
        <v>2205.0440029218626</v>
      </c>
      <c r="J482" s="95">
        <v>88.793125144785591</v>
      </c>
      <c r="K482" s="95">
        <v>396.4066366730288</v>
      </c>
      <c r="L482" s="95">
        <v>155.42913540240934</v>
      </c>
      <c r="M482" s="95">
        <v>4914.0554689954542</v>
      </c>
      <c r="N482" s="95">
        <v>1152.9919321419338</v>
      </c>
      <c r="O482" s="95">
        <v>10000.000000000004</v>
      </c>
      <c r="Q482" s="98">
        <v>4914.0554689954542</v>
      </c>
      <c r="R482" s="95">
        <v>4187.8103093869913</v>
      </c>
      <c r="S482" s="99">
        <v>2754.9454968120508</v>
      </c>
      <c r="U482" s="121">
        <v>2031.5553169913912</v>
      </c>
      <c r="V482" s="59">
        <v>34756.3314003587</v>
      </c>
      <c r="W482" s="59">
        <v>55757.861880435798</v>
      </c>
      <c r="X482" s="59">
        <v>219924.37414020707</v>
      </c>
      <c r="Y482" s="59">
        <v>969527.81294773333</v>
      </c>
      <c r="Z482" s="59">
        <v>2371368.4044634192</v>
      </c>
      <c r="AA482" s="59">
        <v>1397164.6584793204</v>
      </c>
      <c r="AB482" s="59">
        <v>5050530.9986284655</v>
      </c>
      <c r="AC482" s="59">
        <v>3031091815.8111362</v>
      </c>
      <c r="AD482" s="68">
        <v>5050530.9986284655</v>
      </c>
    </row>
    <row r="483" spans="1:30" x14ac:dyDescent="0.2">
      <c r="A483" s="95">
        <v>475</v>
      </c>
      <c r="B483" s="95">
        <v>39</v>
      </c>
      <c r="C483" s="95">
        <v>7</v>
      </c>
      <c r="D483" s="95"/>
      <c r="E483" s="95">
        <v>10.963912659658206</v>
      </c>
      <c r="F483" s="95">
        <v>188.12127355022278</v>
      </c>
      <c r="G483" s="95">
        <v>302.04595318919337</v>
      </c>
      <c r="H483" s="95">
        <v>579.24905240767873</v>
      </c>
      <c r="I483" s="95">
        <v>2198.3635211708183</v>
      </c>
      <c r="J483" s="95">
        <v>88.538886281781899</v>
      </c>
      <c r="K483" s="95">
        <v>395.46524583279597</v>
      </c>
      <c r="L483" s="95">
        <v>155.03913133008058</v>
      </c>
      <c r="M483" s="95">
        <v>4924.6326467371673</v>
      </c>
      <c r="N483" s="95">
        <v>1157.580376840607</v>
      </c>
      <c r="O483" s="95">
        <v>10000.000000000004</v>
      </c>
      <c r="Q483" s="98">
        <v>4924.6326467371673</v>
      </c>
      <c r="R483" s="95">
        <v>4194.9767023964878</v>
      </c>
      <c r="S483" s="99">
        <v>2760.2675134657607</v>
      </c>
      <c r="U483" s="121">
        <v>2007.8538382931583</v>
      </c>
      <c r="V483" s="59">
        <v>34463.332082096138</v>
      </c>
      <c r="W483" s="59">
        <v>55339.604707113147</v>
      </c>
      <c r="X483" s="59">
        <v>218524.87278630768</v>
      </c>
      <c r="Y483" s="59">
        <v>965862.66660039953</v>
      </c>
      <c r="Z483" s="59">
        <v>2363736.0787052037</v>
      </c>
      <c r="AA483" s="59">
        <v>1392608.0005708847</v>
      </c>
      <c r="AB483" s="59">
        <v>5032542.4092902979</v>
      </c>
      <c r="AC483" s="59">
        <v>3036124358.2204266</v>
      </c>
      <c r="AD483" s="68">
        <v>5032542.4092902979</v>
      </c>
    </row>
    <row r="484" spans="1:30" x14ac:dyDescent="0.2">
      <c r="A484" s="95">
        <v>476</v>
      </c>
      <c r="B484" s="95">
        <v>39</v>
      </c>
      <c r="C484" s="95">
        <v>8</v>
      </c>
      <c r="D484" s="95"/>
      <c r="E484" s="95">
        <v>10.84422327979027</v>
      </c>
      <c r="F484" s="95">
        <v>186.67617119186511</v>
      </c>
      <c r="G484" s="95">
        <v>300.00563239956148</v>
      </c>
      <c r="H484" s="95">
        <v>575.99431387182085</v>
      </c>
      <c r="I484" s="95">
        <v>2191.688732350889</v>
      </c>
      <c r="J484" s="95">
        <v>88.284650451829307</v>
      </c>
      <c r="K484" s="95">
        <v>394.52295280072428</v>
      </c>
      <c r="L484" s="95">
        <v>154.64889077704868</v>
      </c>
      <c r="M484" s="95">
        <v>4935.1833045633757</v>
      </c>
      <c r="N484" s="95">
        <v>1162.1511283130994</v>
      </c>
      <c r="O484" s="95">
        <v>10000.000000000004</v>
      </c>
      <c r="Q484" s="98">
        <v>4935.1833045633757</v>
      </c>
      <c r="R484" s="95">
        <v>4202.1213838402928</v>
      </c>
      <c r="S484" s="99">
        <v>2765.5749609891091</v>
      </c>
      <c r="U484" s="121">
        <v>1984.4288768464048</v>
      </c>
      <c r="V484" s="59">
        <v>34172.738668280625</v>
      </c>
      <c r="W484" s="59">
        <v>54924.256353268225</v>
      </c>
      <c r="X484" s="59">
        <v>217132.9711459931</v>
      </c>
      <c r="Y484" s="59">
        <v>962204.98179207533</v>
      </c>
      <c r="Z484" s="59">
        <v>2356109.4952646815</v>
      </c>
      <c r="AA484" s="59">
        <v>1388055.2596248961</v>
      </c>
      <c r="AB484" s="59">
        <v>5014584.1317260414</v>
      </c>
      <c r="AC484" s="59">
        <v>3041138942.3521528</v>
      </c>
      <c r="AD484" s="68">
        <v>5014584.1317260414</v>
      </c>
    </row>
    <row r="485" spans="1:30" x14ac:dyDescent="0.2">
      <c r="A485" s="95">
        <v>477</v>
      </c>
      <c r="B485" s="95">
        <v>39</v>
      </c>
      <c r="C485" s="95">
        <v>9</v>
      </c>
      <c r="D485" s="95"/>
      <c r="E485" s="95">
        <v>10.725840508985893</v>
      </c>
      <c r="F485" s="95">
        <v>185.24182395651019</v>
      </c>
      <c r="G485" s="95">
        <v>297.9778590503754</v>
      </c>
      <c r="H485" s="95">
        <v>572.75443179553838</v>
      </c>
      <c r="I485" s="95">
        <v>2185.0197486293573</v>
      </c>
      <c r="J485" s="95">
        <v>88.030425875155132</v>
      </c>
      <c r="K485" s="95">
        <v>393.57978237732021</v>
      </c>
      <c r="L485" s="95">
        <v>154.25842398049932</v>
      </c>
      <c r="M485" s="95">
        <v>4945.7074256848518</v>
      </c>
      <c r="N485" s="95">
        <v>1166.7042381414103</v>
      </c>
      <c r="O485" s="95">
        <v>10000.000000000004</v>
      </c>
      <c r="Q485" s="98">
        <v>4945.7074256848518</v>
      </c>
      <c r="R485" s="95">
        <v>4209.2443722204334</v>
      </c>
      <c r="S485" s="99">
        <v>2770.8678409286163</v>
      </c>
      <c r="U485" s="121">
        <v>1961.2772066165301</v>
      </c>
      <c r="V485" s="59">
        <v>33884.53220181536</v>
      </c>
      <c r="W485" s="59">
        <v>54511.799197292108</v>
      </c>
      <c r="X485" s="59">
        <v>215748.64107670754</v>
      </c>
      <c r="Y485" s="59">
        <v>958554.79679931386</v>
      </c>
      <c r="Z485" s="59">
        <v>2348488.8179520955</v>
      </c>
      <c r="AA485" s="59">
        <v>1383506.5265754983</v>
      </c>
      <c r="AB485" s="59">
        <v>4996656.3910093391</v>
      </c>
      <c r="AC485" s="59">
        <v>3046135598.7431622</v>
      </c>
      <c r="AD485" s="68">
        <v>4996656.3910093391</v>
      </c>
    </row>
    <row r="486" spans="1:30" x14ac:dyDescent="0.2">
      <c r="A486" s="95">
        <v>478</v>
      </c>
      <c r="B486" s="95">
        <v>39</v>
      </c>
      <c r="C486" s="95">
        <v>10</v>
      </c>
      <c r="D486" s="95"/>
      <c r="E486" s="95">
        <v>10.608750083429465</v>
      </c>
      <c r="F486" s="95">
        <v>183.8181558538316</v>
      </c>
      <c r="G486" s="95">
        <v>295.96256921067146</v>
      </c>
      <c r="H486" s="95">
        <v>569.52937070825715</v>
      </c>
      <c r="I486" s="95">
        <v>2178.3566812068671</v>
      </c>
      <c r="J486" s="95">
        <v>87.776220659121918</v>
      </c>
      <c r="K486" s="95">
        <v>392.63575925871208</v>
      </c>
      <c r="L486" s="95">
        <v>153.86774111938092</v>
      </c>
      <c r="M486" s="95">
        <v>4956.2049940327861</v>
      </c>
      <c r="N486" s="95">
        <v>1171.2397578669463</v>
      </c>
      <c r="O486" s="95">
        <v>10000.000000000004</v>
      </c>
      <c r="Q486" s="98">
        <v>4956.2049940327861</v>
      </c>
      <c r="R486" s="95">
        <v>4216.3456864034788</v>
      </c>
      <c r="S486" s="99">
        <v>2776.1461551487814</v>
      </c>
      <c r="U486" s="121">
        <v>1938.3956392060038</v>
      </c>
      <c r="V486" s="59">
        <v>33598.693864763532</v>
      </c>
      <c r="W486" s="59">
        <v>54102.215693287239</v>
      </c>
      <c r="X486" s="59">
        <v>214371.85439908187</v>
      </c>
      <c r="Y486" s="59">
        <v>954912.14933951257</v>
      </c>
      <c r="Z486" s="59">
        <v>2340874.2088804427</v>
      </c>
      <c r="AA486" s="59">
        <v>1378961.891566789</v>
      </c>
      <c r="AB486" s="59">
        <v>4978759.4093830828</v>
      </c>
      <c r="AC486" s="59">
        <v>3051114358.1525455</v>
      </c>
      <c r="AD486" s="68">
        <v>4978759.4093830828</v>
      </c>
    </row>
    <row r="487" spans="1:30" x14ac:dyDescent="0.2">
      <c r="A487" s="95">
        <v>479</v>
      </c>
      <c r="B487" s="95">
        <v>39</v>
      </c>
      <c r="C487" s="95">
        <v>11</v>
      </c>
      <c r="D487" s="95"/>
      <c r="E487" s="95">
        <v>10.492937895018693</v>
      </c>
      <c r="F487" s="95">
        <v>182.40509138135093</v>
      </c>
      <c r="G487" s="95">
        <v>293.95969912511691</v>
      </c>
      <c r="H487" s="95">
        <v>566.3190948843577</v>
      </c>
      <c r="I487" s="95">
        <v>2171.6996403203084</v>
      </c>
      <c r="J487" s="95">
        <v>87.522042799958328</v>
      </c>
      <c r="K487" s="95">
        <v>391.69090803594815</v>
      </c>
      <c r="L487" s="95">
        <v>153.47685231418609</v>
      </c>
      <c r="M487" s="95">
        <v>4966.6759942540284</v>
      </c>
      <c r="N487" s="95">
        <v>1175.7577389897301</v>
      </c>
      <c r="O487" s="95">
        <v>10000.000000000004</v>
      </c>
      <c r="Q487" s="98">
        <v>4966.6759942540284</v>
      </c>
      <c r="R487" s="95">
        <v>4223.425345617401</v>
      </c>
      <c r="S487" s="99">
        <v>2781.4099058297238</v>
      </c>
      <c r="U487" s="121">
        <v>1915.7810234152671</v>
      </c>
      <c r="V487" s="59">
        <v>33315.204977462919</v>
      </c>
      <c r="W487" s="59">
        <v>53695.488371150976</v>
      </c>
      <c r="X487" s="59">
        <v>213002.58289891903</v>
      </c>
      <c r="Y487" s="59">
        <v>951277.07657403953</v>
      </c>
      <c r="Z487" s="59">
        <v>2333265.8284798781</v>
      </c>
      <c r="AA487" s="59">
        <v>1374421.4439514223</v>
      </c>
      <c r="AB487" s="59">
        <v>4960893.4062762884</v>
      </c>
      <c r="AC487" s="59">
        <v>3056075251.5588217</v>
      </c>
      <c r="AD487" s="68">
        <v>4960893.4062762884</v>
      </c>
    </row>
    <row r="488" spans="1:30" x14ac:dyDescent="0.2">
      <c r="A488" s="95">
        <v>480</v>
      </c>
      <c r="B488" s="95">
        <v>40</v>
      </c>
      <c r="C488" s="95">
        <v>0</v>
      </c>
      <c r="D488" s="95"/>
      <c r="E488" s="95">
        <v>10.37838998966474</v>
      </c>
      <c r="F488" s="95">
        <v>181.00255552193121</v>
      </c>
      <c r="G488" s="95">
        <v>291.96918521550435</v>
      </c>
      <c r="H488" s="95">
        <v>563.12356834769503</v>
      </c>
      <c r="I488" s="95">
        <v>2165.0487352457353</v>
      </c>
      <c r="J488" s="95">
        <v>87.267900184455343</v>
      </c>
      <c r="K488" s="95">
        <v>390.74525319431189</v>
      </c>
      <c r="L488" s="95">
        <v>153.08576762675025</v>
      </c>
      <c r="M488" s="95">
        <v>4977.1204117063435</v>
      </c>
      <c r="N488" s="95">
        <v>1180.2582329676125</v>
      </c>
      <c r="O488" s="95">
        <v>10000.000000000004</v>
      </c>
      <c r="Q488" s="98">
        <v>4977.1204117063435</v>
      </c>
      <c r="R488" s="95">
        <v>4230.4833694484423</v>
      </c>
      <c r="S488" s="99">
        <v>2786.6590954648345</v>
      </c>
      <c r="U488" s="121">
        <v>1893.4302448087556</v>
      </c>
      <c r="V488" s="59">
        <v>33034.046997644051</v>
      </c>
      <c r="W488" s="59">
        <v>53291.599836651782</v>
      </c>
      <c r="X488" s="59">
        <v>211640.7983291577</v>
      </c>
      <c r="Y488" s="59">
        <v>947649.61511136394</v>
      </c>
      <c r="Z488" s="59">
        <v>2325663.8355118809</v>
      </c>
      <c r="AA488" s="59">
        <v>1369885.2722894903</v>
      </c>
      <c r="AB488" s="59">
        <v>4943058.5983209973</v>
      </c>
      <c r="AC488" s="59">
        <v>3061018310.1571426</v>
      </c>
      <c r="AD488" s="68">
        <v>4943058.5983209973</v>
      </c>
    </row>
    <row r="489" spans="1:30" x14ac:dyDescent="0.2">
      <c r="A489" s="95">
        <v>481</v>
      </c>
      <c r="B489" s="95">
        <v>40</v>
      </c>
      <c r="C489" s="95">
        <v>1</v>
      </c>
      <c r="D489" s="95"/>
      <c r="E489" s="95">
        <v>10.257308773118652</v>
      </c>
      <c r="F489" s="95">
        <v>179.47472182463306</v>
      </c>
      <c r="G489" s="95">
        <v>289.77198719329994</v>
      </c>
      <c r="H489" s="95">
        <v>559.52041219982266</v>
      </c>
      <c r="I489" s="95">
        <v>2156.7802877498734</v>
      </c>
      <c r="J489" s="95">
        <v>86.948349666490174</v>
      </c>
      <c r="K489" s="95">
        <v>389.50576017275887</v>
      </c>
      <c r="L489" s="95">
        <v>152.57968273434682</v>
      </c>
      <c r="M489" s="95">
        <v>4987.5382324536731</v>
      </c>
      <c r="N489" s="95">
        <v>1187.6232572319875</v>
      </c>
      <c r="O489" s="95">
        <v>10000.000000000004</v>
      </c>
      <c r="Q489" s="98">
        <v>4987.5382324536731</v>
      </c>
      <c r="R489" s="95">
        <v>4237.5197778379907</v>
      </c>
      <c r="S489" s="99">
        <v>2791.8937268584341</v>
      </c>
      <c r="U489" s="121">
        <v>1869.1312233337098</v>
      </c>
      <c r="V489" s="59">
        <v>32716.661798054891</v>
      </c>
      <c r="W489" s="59">
        <v>52828.359238355566</v>
      </c>
      <c r="X489" s="59">
        <v>210039.55814709788</v>
      </c>
      <c r="Y489" s="59">
        <v>942924.20979255706</v>
      </c>
      <c r="Z489" s="59">
        <v>2315355.1126084272</v>
      </c>
      <c r="AA489" s="59">
        <v>1363755.2648633283</v>
      </c>
      <c r="AB489" s="59">
        <v>4919488.2976711541</v>
      </c>
      <c r="AC489" s="59">
        <v>3065937798.454814</v>
      </c>
      <c r="AD489" s="68">
        <v>4919488.2976711541</v>
      </c>
    </row>
    <row r="490" spans="1:30" x14ac:dyDescent="0.2">
      <c r="A490" s="95">
        <v>482</v>
      </c>
      <c r="B490" s="95">
        <v>40</v>
      </c>
      <c r="C490" s="95">
        <v>2</v>
      </c>
      <c r="D490" s="95"/>
      <c r="E490" s="95">
        <v>10.1376401707656</v>
      </c>
      <c r="F490" s="95">
        <v>177.95945808874927</v>
      </c>
      <c r="G490" s="95">
        <v>287.5901502921709</v>
      </c>
      <c r="H490" s="95">
        <v>555.937020630441</v>
      </c>
      <c r="I490" s="95">
        <v>2148.5293765787223</v>
      </c>
      <c r="J490" s="95">
        <v>86.625252121019713</v>
      </c>
      <c r="K490" s="95">
        <v>388.27117958891461</v>
      </c>
      <c r="L490" s="95">
        <v>152.07409492327275</v>
      </c>
      <c r="M490" s="95">
        <v>4997.9216298958581</v>
      </c>
      <c r="N490" s="95">
        <v>1194.9541977100898</v>
      </c>
      <c r="O490" s="95">
        <v>10000.000000000004</v>
      </c>
      <c r="Q490" s="98">
        <v>4997.9216298958581</v>
      </c>
      <c r="R490" s="95">
        <v>4244.5293137731778</v>
      </c>
      <c r="S490" s="99">
        <v>2797.1098771498982</v>
      </c>
      <c r="U490" s="121">
        <v>1845.144039300927</v>
      </c>
      <c r="V490" s="59">
        <v>32402.2664325355</v>
      </c>
      <c r="W490" s="59">
        <v>52368.931226056637</v>
      </c>
      <c r="X490" s="59">
        <v>208449.19647092384</v>
      </c>
      <c r="Y490" s="59">
        <v>938216.22343663988</v>
      </c>
      <c r="Z490" s="59">
        <v>2305073.977909876</v>
      </c>
      <c r="AA490" s="59">
        <v>1357642.1469145215</v>
      </c>
      <c r="AB490" s="59">
        <v>4895997.8864298547</v>
      </c>
      <c r="AC490" s="59">
        <v>3070833796.3412437</v>
      </c>
      <c r="AD490" s="68">
        <v>4895997.8864298547</v>
      </c>
    </row>
    <row r="491" spans="1:30" x14ac:dyDescent="0.2">
      <c r="A491" s="95">
        <v>483</v>
      </c>
      <c r="B491" s="95">
        <v>40</v>
      </c>
      <c r="C491" s="95">
        <v>3</v>
      </c>
      <c r="D491" s="95"/>
      <c r="E491" s="95">
        <v>10.019367702106669</v>
      </c>
      <c r="F491" s="95">
        <v>176.45666495761549</v>
      </c>
      <c r="G491" s="95">
        <v>285.42358049598448</v>
      </c>
      <c r="H491" s="95">
        <v>552.37331831106007</v>
      </c>
      <c r="I491" s="95">
        <v>2140.2960817264848</v>
      </c>
      <c r="J491" s="95">
        <v>86.298733277243016</v>
      </c>
      <c r="K491" s="95">
        <v>387.04144029943984</v>
      </c>
      <c r="L491" s="95">
        <v>151.56901374934816</v>
      </c>
      <c r="M491" s="95">
        <v>5008.2706137735431</v>
      </c>
      <c r="N491" s="95">
        <v>1202.2511857071784</v>
      </c>
      <c r="O491" s="95">
        <v>10000.000000000004</v>
      </c>
      <c r="Q491" s="98">
        <v>5008.2706137735431</v>
      </c>
      <c r="R491" s="95">
        <v>4251.5120342470591</v>
      </c>
      <c r="S491" s="99">
        <v>2802.3075745355964</v>
      </c>
      <c r="U491" s="121">
        <v>1821.464690796565</v>
      </c>
      <c r="V491" s="59">
        <v>32090.833544854573</v>
      </c>
      <c r="W491" s="59">
        <v>51913.287096412852</v>
      </c>
      <c r="X491" s="59">
        <v>206869.65309410307</v>
      </c>
      <c r="Y491" s="59">
        <v>933525.64783638436</v>
      </c>
      <c r="Z491" s="59">
        <v>2294820.7043931521</v>
      </c>
      <c r="AA491" s="59">
        <v>1351545.9683637011</v>
      </c>
      <c r="AB491" s="59">
        <v>4872587.5590194045</v>
      </c>
      <c r="AC491" s="59">
        <v>3075706383.9002633</v>
      </c>
      <c r="AD491" s="68">
        <v>4872587.5590194045</v>
      </c>
    </row>
    <row r="492" spans="1:30" x14ac:dyDescent="0.2">
      <c r="A492" s="95">
        <v>484</v>
      </c>
      <c r="B492" s="95">
        <v>40</v>
      </c>
      <c r="C492" s="95">
        <v>4</v>
      </c>
      <c r="D492" s="95"/>
      <c r="E492" s="95">
        <v>9.9024750789154243</v>
      </c>
      <c r="F492" s="95">
        <v>174.96624380809249</v>
      </c>
      <c r="G492" s="95">
        <v>283.27218420519046</v>
      </c>
      <c r="H492" s="95">
        <v>548.82922984558343</v>
      </c>
      <c r="I492" s="95">
        <v>2132.0804819525574</v>
      </c>
      <c r="J492" s="95">
        <v>85.968915981682471</v>
      </c>
      <c r="K492" s="95">
        <v>385.81647264682198</v>
      </c>
      <c r="L492" s="95">
        <v>151.06444881269638</v>
      </c>
      <c r="M492" s="95">
        <v>5018.58519541029</v>
      </c>
      <c r="N492" s="95">
        <v>1209.5143522581736</v>
      </c>
      <c r="O492" s="95">
        <v>10000.000000000004</v>
      </c>
      <c r="Q492" s="98">
        <v>5018.58519541029</v>
      </c>
      <c r="R492" s="95">
        <v>4258.4679965126697</v>
      </c>
      <c r="S492" s="99">
        <v>2807.4868476145452</v>
      </c>
      <c r="U492" s="121">
        <v>1798.0892272646759</v>
      </c>
      <c r="V492" s="59">
        <v>31782.336017883819</v>
      </c>
      <c r="W492" s="59">
        <v>51461.398327844174</v>
      </c>
      <c r="X492" s="59">
        <v>205300.86798678528</v>
      </c>
      <c r="Y492" s="59">
        <v>928852.47416850622</v>
      </c>
      <c r="Z492" s="59">
        <v>2284595.5538307102</v>
      </c>
      <c r="AA492" s="59">
        <v>1345466.7798499737</v>
      </c>
      <c r="AB492" s="59">
        <v>4849257.4994089678</v>
      </c>
      <c r="AC492" s="59">
        <v>3080555641.3996725</v>
      </c>
      <c r="AD492" s="68">
        <v>4849257.4994089678</v>
      </c>
    </row>
    <row r="493" spans="1:30" x14ac:dyDescent="0.2">
      <c r="A493" s="95">
        <v>485</v>
      </c>
      <c r="B493" s="95">
        <v>40</v>
      </c>
      <c r="C493" s="95">
        <v>5</v>
      </c>
      <c r="D493" s="95"/>
      <c r="E493" s="95">
        <v>9.7869462029947449</v>
      </c>
      <c r="F493" s="95">
        <v>173.48809674583907</v>
      </c>
      <c r="G493" s="95">
        <v>281.13586823705259</v>
      </c>
      <c r="H493" s="95">
        <v>545.30467977525734</v>
      </c>
      <c r="I493" s="95">
        <v>2123.8826547886983</v>
      </c>
      <c r="J493" s="95">
        <v>85.635920262103781</v>
      </c>
      <c r="K493" s="95">
        <v>384.59620843188782</v>
      </c>
      <c r="L493" s="95">
        <v>150.56040974672644</v>
      </c>
      <c r="M493" s="95">
        <v>5028.8653876843009</v>
      </c>
      <c r="N493" s="95">
        <v>1216.7438281251423</v>
      </c>
      <c r="O493" s="95">
        <v>10000.000000000004</v>
      </c>
      <c r="Q493" s="98">
        <v>5028.8653876843009</v>
      </c>
      <c r="R493" s="95">
        <v>4265.397258079016</v>
      </c>
      <c r="S493" s="99">
        <v>2812.6477253790513</v>
      </c>
      <c r="U493" s="121">
        <v>1775.0137488481125</v>
      </c>
      <c r="V493" s="59">
        <v>31476.746971667828</v>
      </c>
      <c r="W493" s="59">
        <v>51013.236579848221</v>
      </c>
      <c r="X493" s="59">
        <v>203742.78129729175</v>
      </c>
      <c r="Y493" s="59">
        <v>924196.69300027459</v>
      </c>
      <c r="Z493" s="59">
        <v>2274398.7771218289</v>
      </c>
      <c r="AA493" s="59">
        <v>1339404.6325716893</v>
      </c>
      <c r="AB493" s="59">
        <v>4826007.8812914491</v>
      </c>
      <c r="AC493" s="59">
        <v>3085381649.2809639</v>
      </c>
      <c r="AD493" s="68">
        <v>4826007.8812914491</v>
      </c>
    </row>
    <row r="494" spans="1:30" x14ac:dyDescent="0.2">
      <c r="A494" s="95">
        <v>486</v>
      </c>
      <c r="B494" s="95">
        <v>40</v>
      </c>
      <c r="C494" s="95">
        <v>6</v>
      </c>
      <c r="D494" s="95"/>
      <c r="E494" s="95">
        <v>9.6727651639598058</v>
      </c>
      <c r="F494" s="95">
        <v>172.02212660060573</v>
      </c>
      <c r="G494" s="95">
        <v>279.01453982584405</v>
      </c>
      <c r="H494" s="95">
        <v>541.7995925835645</v>
      </c>
      <c r="I494" s="95">
        <v>2115.7026765461974</v>
      </c>
      <c r="J494" s="95">
        <v>85.299863389998549</v>
      </c>
      <c r="K494" s="95">
        <v>383.38058088678736</v>
      </c>
      <c r="L494" s="95">
        <v>150.05690620774362</v>
      </c>
      <c r="M494" s="95">
        <v>5039.1112050004613</v>
      </c>
      <c r="N494" s="95">
        <v>1223.9397437948408</v>
      </c>
      <c r="O494" s="95">
        <v>10000.000000000004</v>
      </c>
      <c r="Q494" s="98">
        <v>5039.1112050004613</v>
      </c>
      <c r="R494" s="95">
        <v>4272.2998767070794</v>
      </c>
      <c r="S494" s="99">
        <v>2817.7902372055705</v>
      </c>
      <c r="U494" s="121">
        <v>1752.234405737895</v>
      </c>
      <c r="V494" s="59">
        <v>31174.039761507138</v>
      </c>
      <c r="W494" s="59">
        <v>50568.773692311188</v>
      </c>
      <c r="X494" s="59">
        <v>202195.33335357168</v>
      </c>
      <c r="Y494" s="59">
        <v>919558.29429608758</v>
      </c>
      <c r="Z494" s="59">
        <v>2264230.6146145798</v>
      </c>
      <c r="AA494" s="59">
        <v>1333359.5781369789</v>
      </c>
      <c r="AB494" s="59">
        <v>4802838.8682607738</v>
      </c>
      <c r="AC494" s="59">
        <v>3090184488.1492248</v>
      </c>
      <c r="AD494" s="68">
        <v>4802838.8682607738</v>
      </c>
    </row>
    <row r="495" spans="1:30" x14ac:dyDescent="0.2">
      <c r="A495" s="95">
        <v>487</v>
      </c>
      <c r="B495" s="95">
        <v>40</v>
      </c>
      <c r="C495" s="95">
        <v>7</v>
      </c>
      <c r="D495" s="95"/>
      <c r="E495" s="95">
        <v>9.5599162370469415</v>
      </c>
      <c r="F495" s="95">
        <v>170.56823692154887</v>
      </c>
      <c r="G495" s="95">
        <v>276.90810662300703</v>
      </c>
      <c r="H495" s="95">
        <v>538.31389270106331</v>
      </c>
      <c r="I495" s="95">
        <v>2107.5406223230461</v>
      </c>
      <c r="J495" s="95">
        <v>84.960859941662122</v>
      </c>
      <c r="K495" s="95">
        <v>382.16952464844161</v>
      </c>
      <c r="L495" s="95">
        <v>149.55394786515893</v>
      </c>
      <c r="M495" s="95">
        <v>5049.322663262712</v>
      </c>
      <c r="N495" s="95">
        <v>1231.1022294763163</v>
      </c>
      <c r="O495" s="95">
        <v>10000.000000000004</v>
      </c>
      <c r="Q495" s="98">
        <v>5049.322663262712</v>
      </c>
      <c r="R495" s="95">
        <v>4279.1759104058547</v>
      </c>
      <c r="S495" s="99">
        <v>2822.914412845776</v>
      </c>
      <c r="U495" s="121">
        <v>1729.7473975309256</v>
      </c>
      <c r="V495" s="59">
        <v>30874.187976054429</v>
      </c>
      <c r="W495" s="59">
        <v>50127.981684814127</v>
      </c>
      <c r="X495" s="59">
        <v>200658.46466462591</v>
      </c>
      <c r="Y495" s="59">
        <v>914937.26742401533</v>
      </c>
      <c r="Z495" s="59">
        <v>2254091.296418733</v>
      </c>
      <c r="AA495" s="59">
        <v>1327331.6684235819</v>
      </c>
      <c r="AB495" s="59">
        <v>4779750.613989356</v>
      </c>
      <c r="AC495" s="59">
        <v>3094964238.7632141</v>
      </c>
      <c r="AD495" s="68">
        <v>4779750.613989356</v>
      </c>
    </row>
    <row r="496" spans="1:30" x14ac:dyDescent="0.2">
      <c r="A496" s="95">
        <v>488</v>
      </c>
      <c r="B496" s="95">
        <v>40</v>
      </c>
      <c r="C496" s="95">
        <v>8</v>
      </c>
      <c r="D496" s="95"/>
      <c r="E496" s="95">
        <v>9.4483838809480609</v>
      </c>
      <c r="F496" s="95">
        <v>169.12633197256613</v>
      </c>
      <c r="G496" s="95">
        <v>274.81647669727715</v>
      </c>
      <c r="H496" s="95">
        <v>534.84750451017271</v>
      </c>
      <c r="I496" s="95">
        <v>2099.3965660111103</v>
      </c>
      <c r="J496" s="95">
        <v>84.619021857898602</v>
      </c>
      <c r="K496" s="95">
        <v>380.96297573244607</v>
      </c>
      <c r="L496" s="95">
        <v>149.05154439226962</v>
      </c>
      <c r="M496" s="95">
        <v>5059.4997798467475</v>
      </c>
      <c r="N496" s="95">
        <v>1238.2314150985665</v>
      </c>
      <c r="O496" s="95">
        <v>10000.000000000002</v>
      </c>
      <c r="Q496" s="98">
        <v>5059.4997798467475</v>
      </c>
      <c r="R496" s="95">
        <v>4286.0254174284046</v>
      </c>
      <c r="S496" s="99">
        <v>2828.02028241783</v>
      </c>
      <c r="U496" s="121">
        <v>1707.5489725959453</v>
      </c>
      <c r="V496" s="59">
        <v>30577.165435423802</v>
      </c>
      <c r="W496" s="59">
        <v>49690.832755934862</v>
      </c>
      <c r="X496" s="59">
        <v>199132.11592189813</v>
      </c>
      <c r="Y496" s="59">
        <v>910333.60116231069</v>
      </c>
      <c r="Z496" s="59">
        <v>2243981.042709833</v>
      </c>
      <c r="AA496" s="59">
        <v>1321320.9554475092</v>
      </c>
      <c r="AB496" s="59">
        <v>4756743.2624055054</v>
      </c>
      <c r="AC496" s="59">
        <v>3099720982.0256195</v>
      </c>
      <c r="AD496" s="68">
        <v>4756743.2624055054</v>
      </c>
    </row>
    <row r="497" spans="1:30" x14ac:dyDescent="0.2">
      <c r="A497" s="95">
        <v>489</v>
      </c>
      <c r="B497" s="95">
        <v>40</v>
      </c>
      <c r="C497" s="95">
        <v>9</v>
      </c>
      <c r="D497" s="95"/>
      <c r="E497" s="95">
        <v>9.3381527356703327</v>
      </c>
      <c r="F497" s="95">
        <v>167.69631672765229</v>
      </c>
      <c r="G497" s="95">
        <v>272.73955853477361</v>
      </c>
      <c r="H497" s="95">
        <v>531.40035234990262</v>
      </c>
      <c r="I497" s="95">
        <v>2091.270580303305</v>
      </c>
      <c r="J497" s="95">
        <v>84.274458502384192</v>
      </c>
      <c r="K497" s="95">
        <v>379.76087150742217</v>
      </c>
      <c r="L497" s="95">
        <v>148.54970545758442</v>
      </c>
      <c r="M497" s="95">
        <v>5069.6425735730536</v>
      </c>
      <c r="N497" s="95">
        <v>1245.3274303082546</v>
      </c>
      <c r="O497" s="95">
        <v>10000.000000000004</v>
      </c>
      <c r="Q497" s="98">
        <v>5069.6425735730536</v>
      </c>
      <c r="R497" s="95">
        <v>4292.8484562679405</v>
      </c>
      <c r="S497" s="99">
        <v>2833.1078763978549</v>
      </c>
      <c r="U497" s="121">
        <v>1685.6354274476307</v>
      </c>
      <c r="V497" s="59">
        <v>30282.946189313137</v>
      </c>
      <c r="W497" s="59">
        <v>49257.299282545631</v>
      </c>
      <c r="X497" s="59">
        <v>197616.22800063377</v>
      </c>
      <c r="Y497" s="59">
        <v>905747.28370588575</v>
      </c>
      <c r="Z497" s="59">
        <v>2233900.0640246966</v>
      </c>
      <c r="AA497" s="59">
        <v>1315327.4912401112</v>
      </c>
      <c r="AB497" s="59">
        <v>4733816.9478706336</v>
      </c>
      <c r="AC497" s="59">
        <v>3104454798.9734902</v>
      </c>
      <c r="AD497" s="68">
        <v>4733816.9478706336</v>
      </c>
    </row>
    <row r="498" spans="1:30" x14ac:dyDescent="0.2">
      <c r="A498" s="95">
        <v>490</v>
      </c>
      <c r="B498" s="95">
        <v>40</v>
      </c>
      <c r="C498" s="95">
        <v>10</v>
      </c>
      <c r="D498" s="95"/>
      <c r="E498" s="95">
        <v>9.229207620420846</v>
      </c>
      <c r="F498" s="95">
        <v>166.2780968662762</v>
      </c>
      <c r="G498" s="95">
        <v>270.67726103905511</v>
      </c>
      <c r="H498" s="95">
        <v>527.97236052053063</v>
      </c>
      <c r="I498" s="95">
        <v>2083.1627367007663</v>
      </c>
      <c r="J498" s="95">
        <v>83.92727671871927</v>
      </c>
      <c r="K498" s="95">
        <v>378.56315066980972</v>
      </c>
      <c r="L498" s="95">
        <v>148.04844071666776</v>
      </c>
      <c r="M498" s="95">
        <v>5079.7510646802748</v>
      </c>
      <c r="N498" s="95">
        <v>1252.3904044674821</v>
      </c>
      <c r="O498" s="95">
        <v>10000.000000000004</v>
      </c>
      <c r="Q498" s="98">
        <v>5079.7510646802748</v>
      </c>
      <c r="R498" s="95">
        <v>4299.6450856539259</v>
      </c>
      <c r="S498" s="99">
        <v>2838.1772256115978</v>
      </c>
      <c r="U498" s="121">
        <v>1664.0031061287195</v>
      </c>
      <c r="V498" s="59">
        <v>29991.504515139404</v>
      </c>
      <c r="W498" s="59">
        <v>48827.353819106633</v>
      </c>
      <c r="X498" s="59">
        <v>196110.7419612075</v>
      </c>
      <c r="Y498" s="59">
        <v>901178.3026727559</v>
      </c>
      <c r="Z498" s="59">
        <v>2223848.561548552</v>
      </c>
      <c r="AA498" s="59">
        <v>1309351.3277331302</v>
      </c>
      <c r="AB498" s="59">
        <v>4710971.7953560203</v>
      </c>
      <c r="AC498" s="59">
        <v>3109165770.768846</v>
      </c>
      <c r="AD498" s="68">
        <v>4710971.7953560203</v>
      </c>
    </row>
    <row r="499" spans="1:30" x14ac:dyDescent="0.2">
      <c r="A499" s="95">
        <v>491</v>
      </c>
      <c r="B499" s="95">
        <v>40</v>
      </c>
      <c r="C499" s="95">
        <v>11</v>
      </c>
      <c r="D499" s="95"/>
      <c r="E499" s="95">
        <v>9.1215335315159365</v>
      </c>
      <c r="F499" s="95">
        <v>164.87157876877882</v>
      </c>
      <c r="G499" s="95">
        <v>268.62949353114249</v>
      </c>
      <c r="H499" s="95">
        <v>524.56345328822499</v>
      </c>
      <c r="I499" s="95">
        <v>2075.0731055200267</v>
      </c>
      <c r="J499" s="95">
        <v>83.577580886199073</v>
      </c>
      <c r="K499" s="95">
        <v>377.36975321909227</v>
      </c>
      <c r="L499" s="95">
        <v>147.5477598044786</v>
      </c>
      <c r="M499" s="95">
        <v>5089.8252747989281</v>
      </c>
      <c r="N499" s="95">
        <v>1259.4204666516155</v>
      </c>
      <c r="O499" s="95">
        <v>10000.000000000002</v>
      </c>
      <c r="Q499" s="98">
        <v>5089.8252747989281</v>
      </c>
      <c r="R499" s="95">
        <v>4306.4153645482038</v>
      </c>
      <c r="S499" s="99">
        <v>2843.2283612262836</v>
      </c>
      <c r="U499" s="121">
        <v>1642.6483996000675</v>
      </c>
      <c r="V499" s="59">
        <v>29702.814916186908</v>
      </c>
      <c r="W499" s="59">
        <v>48400.96909695556</v>
      </c>
      <c r="X499" s="59">
        <v>194615.599050419</v>
      </c>
      <c r="Y499" s="59">
        <v>896626.64511044987</v>
      </c>
      <c r="Z499" s="59">
        <v>2213826.7273940565</v>
      </c>
      <c r="AA499" s="59">
        <v>1303392.5166513447</v>
      </c>
      <c r="AB499" s="59">
        <v>4688207.9206190128</v>
      </c>
      <c r="AC499" s="59">
        <v>3113853978.689465</v>
      </c>
      <c r="AD499" s="68">
        <v>4688207.9206190128</v>
      </c>
    </row>
    <row r="500" spans="1:30" x14ac:dyDescent="0.2">
      <c r="A500" s="95">
        <v>492</v>
      </c>
      <c r="B500" s="95">
        <v>41</v>
      </c>
      <c r="C500" s="95">
        <v>0</v>
      </c>
      <c r="D500" s="95"/>
      <c r="E500" s="95">
        <v>9.0151156403149173</v>
      </c>
      <c r="F500" s="95">
        <v>163.4766695117921</v>
      </c>
      <c r="G500" s="95">
        <v>266.59616574950854</v>
      </c>
      <c r="H500" s="95">
        <v>521.17355488961448</v>
      </c>
      <c r="I500" s="95">
        <v>2067.0017559001863</v>
      </c>
      <c r="J500" s="95">
        <v>83.288995188811327</v>
      </c>
      <c r="K500" s="95">
        <v>376.11709821896943</v>
      </c>
      <c r="L500" s="95">
        <v>147.04767232818068</v>
      </c>
      <c r="M500" s="95">
        <v>5099.8652269254562</v>
      </c>
      <c r="N500" s="95">
        <v>1266.4177456471687</v>
      </c>
      <c r="O500" s="95">
        <v>10000.000000000002</v>
      </c>
      <c r="Q500" s="98">
        <v>5099.8652269254562</v>
      </c>
      <c r="R500" s="95">
        <v>4313.1593521411442</v>
      </c>
      <c r="S500" s="99">
        <v>2848.2613147426537</v>
      </c>
      <c r="U500" s="121">
        <v>1621.5677451385332</v>
      </c>
      <c r="V500" s="59">
        <v>29416.852119768442</v>
      </c>
      <c r="W500" s="59">
        <v>47978.118023593379</v>
      </c>
      <c r="X500" s="59">
        <v>193130.74070275758</v>
      </c>
      <c r="Y500" s="59">
        <v>892092.2975023865</v>
      </c>
      <c r="Z500" s="59">
        <v>2203834.7448724071</v>
      </c>
      <c r="AA500" s="59">
        <v>1297451.1094124245</v>
      </c>
      <c r="AB500" s="59">
        <v>4665525.4303784762</v>
      </c>
      <c r="AC500" s="59">
        <v>3118519504.1198435</v>
      </c>
      <c r="AD500" s="68">
        <v>4665525.4303784762</v>
      </c>
    </row>
    <row r="501" spans="1:30" x14ac:dyDescent="0.2">
      <c r="A501" s="95">
        <v>493</v>
      </c>
      <c r="B501" s="95">
        <v>41</v>
      </c>
      <c r="C501" s="95">
        <v>1</v>
      </c>
      <c r="D501" s="95"/>
      <c r="E501" s="95">
        <v>8.9099392911779098</v>
      </c>
      <c r="F501" s="95">
        <v>162.09327686367905</v>
      </c>
      <c r="G501" s="95">
        <v>264.57718785003544</v>
      </c>
      <c r="H501" s="95">
        <v>517.80258953630482</v>
      </c>
      <c r="I501" s="95">
        <v>2058.9487558100845</v>
      </c>
      <c r="J501" s="95">
        <v>82.996457355739622</v>
      </c>
      <c r="K501" s="95">
        <v>374.86991953996704</v>
      </c>
      <c r="L501" s="95">
        <v>146.54818786040155</v>
      </c>
      <c r="M501" s="95">
        <v>5109.8713159428744</v>
      </c>
      <c r="N501" s="95">
        <v>1273.3823699497377</v>
      </c>
      <c r="O501" s="95">
        <v>10000.000000000002</v>
      </c>
      <c r="Q501" s="98">
        <v>5109.8713159428744</v>
      </c>
      <c r="R501" s="95">
        <v>4319.8771078478194</v>
      </c>
      <c r="S501" s="99">
        <v>2853.2761179871814</v>
      </c>
      <c r="U501" s="121">
        <v>1600.7576257425887</v>
      </c>
      <c r="V501" s="59">
        <v>29133.591075399228</v>
      </c>
      <c r="W501" s="59">
        <v>47558.773681966399</v>
      </c>
      <c r="X501" s="59">
        <v>191656.10854163612</v>
      </c>
      <c r="Y501" s="59">
        <v>887575.24577421846</v>
      </c>
      <c r="Z501" s="59">
        <v>2193869.9814769905</v>
      </c>
      <c r="AA501" s="59">
        <v>1291527.1570336358</v>
      </c>
      <c r="AB501" s="59">
        <v>4642921.6152095888</v>
      </c>
      <c r="AC501" s="59">
        <v>3123162425.7350531</v>
      </c>
      <c r="AD501" s="68">
        <v>4642921.6152095888</v>
      </c>
    </row>
    <row r="502" spans="1:30" x14ac:dyDescent="0.2">
      <c r="A502" s="95">
        <v>494</v>
      </c>
      <c r="B502" s="95">
        <v>41</v>
      </c>
      <c r="C502" s="95">
        <v>2</v>
      </c>
      <c r="D502" s="95"/>
      <c r="E502" s="95">
        <v>8.805989999447501</v>
      </c>
      <c r="F502" s="95">
        <v>160.72130927999493</v>
      </c>
      <c r="G502" s="95">
        <v>262.57247040594024</v>
      </c>
      <c r="H502" s="95">
        <v>514.45048141934296</v>
      </c>
      <c r="I502" s="95">
        <v>2050.9141720554717</v>
      </c>
      <c r="J502" s="95">
        <v>82.703938782398311</v>
      </c>
      <c r="K502" s="95">
        <v>373.62430269263029</v>
      </c>
      <c r="L502" s="95">
        <v>146.04931383315727</v>
      </c>
      <c r="M502" s="95">
        <v>5119.8435544798422</v>
      </c>
      <c r="N502" s="95">
        <v>1280.3144670517768</v>
      </c>
      <c r="O502" s="95">
        <v>10000.000000000002</v>
      </c>
      <c r="Q502" s="98">
        <v>5119.8435544798422</v>
      </c>
      <c r="R502" s="95">
        <v>4326.5686913042018</v>
      </c>
      <c r="S502" s="99">
        <v>2858.2728010047022</v>
      </c>
      <c r="U502" s="121">
        <v>1580.2145695455588</v>
      </c>
      <c r="V502" s="59">
        <v>28853.006952983662</v>
      </c>
      <c r="W502" s="59">
        <v>47142.909329744747</v>
      </c>
      <c r="X502" s="59">
        <v>190191.64438059425</v>
      </c>
      <c r="Y502" s="59">
        <v>883075.47530014114</v>
      </c>
      <c r="Z502" s="59">
        <v>2183932.7323094858</v>
      </c>
      <c r="AA502" s="59">
        <v>1285620.6807922684</v>
      </c>
      <c r="AB502" s="59">
        <v>4620396.6636347631</v>
      </c>
      <c r="AC502" s="59">
        <v>3127782822.3986878</v>
      </c>
      <c r="AD502" s="68">
        <v>4620396.6636347631</v>
      </c>
    </row>
    <row r="503" spans="1:30" x14ac:dyDescent="0.2">
      <c r="A503" s="95">
        <v>495</v>
      </c>
      <c r="B503" s="95">
        <v>41</v>
      </c>
      <c r="C503" s="95">
        <v>3</v>
      </c>
      <c r="D503" s="95"/>
      <c r="E503" s="95">
        <v>8.7032534494539462</v>
      </c>
      <c r="F503" s="95">
        <v>159.36067589896959</v>
      </c>
      <c r="G503" s="95">
        <v>260.58192440766942</v>
      </c>
      <c r="H503" s="95">
        <v>511.11715471362834</v>
      </c>
      <c r="I503" s="95">
        <v>2042.8980702861741</v>
      </c>
      <c r="J503" s="95">
        <v>82.411457449767667</v>
      </c>
      <c r="K503" s="95">
        <v>372.38026268992468</v>
      </c>
      <c r="L503" s="95">
        <v>145.55105780017041</v>
      </c>
      <c r="M503" s="95">
        <v>5129.7819791270695</v>
      </c>
      <c r="N503" s="95">
        <v>1287.2141641771746</v>
      </c>
      <c r="O503" s="95">
        <v>10000.000000000002</v>
      </c>
      <c r="Q503" s="98">
        <v>5129.7819791270695</v>
      </c>
      <c r="R503" s="95">
        <v>4333.234162363382</v>
      </c>
      <c r="S503" s="99">
        <v>2863.2513942404589</v>
      </c>
      <c r="U503" s="121">
        <v>1559.9351492363908</v>
      </c>
      <c r="V503" s="59">
        <v>28575.075141014731</v>
      </c>
      <c r="W503" s="59">
        <v>46730.498398597556</v>
      </c>
      <c r="X503" s="59">
        <v>188737.29022447174</v>
      </c>
      <c r="Y503" s="59">
        <v>878592.97090916883</v>
      </c>
      <c r="Z503" s="59">
        <v>2174023.1140648886</v>
      </c>
      <c r="AA503" s="59">
        <v>1279731.7038690709</v>
      </c>
      <c r="AB503" s="59">
        <v>4597950.5877564484</v>
      </c>
      <c r="AC503" s="59">
        <v>3132380772.9864445</v>
      </c>
      <c r="AD503" s="68">
        <v>4597950.5877564484</v>
      </c>
    </row>
    <row r="504" spans="1:30" x14ac:dyDescent="0.2">
      <c r="A504" s="95">
        <v>496</v>
      </c>
      <c r="B504" s="95">
        <v>41</v>
      </c>
      <c r="C504" s="95">
        <v>4</v>
      </c>
      <c r="D504" s="95"/>
      <c r="E504" s="95">
        <v>8.6017154925436508</v>
      </c>
      <c r="F504" s="95">
        <v>158.01128653701105</v>
      </c>
      <c r="G504" s="95">
        <v>258.60546126276239</v>
      </c>
      <c r="H504" s="95">
        <v>507.80253358227219</v>
      </c>
      <c r="I504" s="95">
        <v>2034.9005150032601</v>
      </c>
      <c r="J504" s="95">
        <v>82.119030954116269</v>
      </c>
      <c r="K504" s="95">
        <v>371.13781447985269</v>
      </c>
      <c r="L504" s="95">
        <v>145.05342729545615</v>
      </c>
      <c r="M504" s="95">
        <v>5139.6866271568861</v>
      </c>
      <c r="N504" s="95">
        <v>1294.0815882358413</v>
      </c>
      <c r="O504" s="95">
        <v>10000.000000000002</v>
      </c>
      <c r="Q504" s="98">
        <v>5139.6866271568861</v>
      </c>
      <c r="R504" s="95">
        <v>4339.8735810918124</v>
      </c>
      <c r="S504" s="99">
        <v>2868.211928403251</v>
      </c>
      <c r="U504" s="121">
        <v>1539.9159814878572</v>
      </c>
      <c r="V504" s="59">
        <v>28299.771244786138</v>
      </c>
      <c r="W504" s="59">
        <v>46321.514493464754</v>
      </c>
      <c r="X504" s="59">
        <v>187292.98827055143</v>
      </c>
      <c r="Y504" s="59">
        <v>874127.71689137642</v>
      </c>
      <c r="Z504" s="59">
        <v>2164141.2399994731</v>
      </c>
      <c r="AA504" s="59">
        <v>1273860.2494025901</v>
      </c>
      <c r="AB504" s="59">
        <v>4575583.3962837299</v>
      </c>
      <c r="AC504" s="59">
        <v>3136956356.3827281</v>
      </c>
      <c r="AD504" s="68">
        <v>4575583.3962837299</v>
      </c>
    </row>
    <row r="505" spans="1:30" x14ac:dyDescent="0.2">
      <c r="A505" s="95">
        <v>497</v>
      </c>
      <c r="B505" s="95">
        <v>41</v>
      </c>
      <c r="C505" s="95">
        <v>5</v>
      </c>
      <c r="D505" s="95"/>
      <c r="E505" s="95">
        <v>8.501362145130642</v>
      </c>
      <c r="F505" s="95">
        <v>156.67305168423024</v>
      </c>
      <c r="G505" s="95">
        <v>256.64299279568496</v>
      </c>
      <c r="H505" s="95">
        <v>504.50654218090517</v>
      </c>
      <c r="I505" s="95">
        <v>2026.9215695662015</v>
      </c>
      <c r="J505" s="95">
        <v>81.826676514937304</v>
      </c>
      <c r="K505" s="95">
        <v>369.89697294363526</v>
      </c>
      <c r="L505" s="95">
        <v>144.55642983017285</v>
      </c>
      <c r="M505" s="95">
        <v>5149.5575365160985</v>
      </c>
      <c r="N505" s="95">
        <v>1300.9168658230051</v>
      </c>
      <c r="O505" s="95">
        <v>10000.000000000002</v>
      </c>
      <c r="Q505" s="98">
        <v>5149.5575365160985</v>
      </c>
      <c r="R505" s="95">
        <v>4346.4870077655733</v>
      </c>
      <c r="S505" s="99">
        <v>2873.1544344615472</v>
      </c>
      <c r="U505" s="121">
        <v>1520.1537263920961</v>
      </c>
      <c r="V505" s="59">
        <v>28027.071084616986</v>
      </c>
      <c r="W505" s="59">
        <v>45915.931391825834</v>
      </c>
      <c r="X505" s="59">
        <v>185858.68090967325</v>
      </c>
      <c r="Y505" s="59">
        <v>869679.69700410753</v>
      </c>
      <c r="Z505" s="59">
        <v>2154287.2199941264</v>
      </c>
      <c r="AA505" s="59">
        <v>1268006.3404421143</v>
      </c>
      <c r="AB505" s="59">
        <v>4553295.0945528559</v>
      </c>
      <c r="AC505" s="59">
        <v>3141509651.4772811</v>
      </c>
      <c r="AD505" s="68">
        <v>4553295.0945528559</v>
      </c>
    </row>
    <row r="506" spans="1:30" x14ac:dyDescent="0.2">
      <c r="A506" s="95">
        <v>498</v>
      </c>
      <c r="B506" s="95">
        <v>41</v>
      </c>
      <c r="C506" s="95">
        <v>6</v>
      </c>
      <c r="D506" s="95"/>
      <c r="E506" s="95">
        <v>8.4021795867707851</v>
      </c>
      <c r="F506" s="95">
        <v>155.3458824999872</v>
      </c>
      <c r="G506" s="95">
        <v>254.69443124763302</v>
      </c>
      <c r="H506" s="95">
        <v>501.22910466193321</v>
      </c>
      <c r="I506" s="95">
        <v>2018.961296200031</v>
      </c>
      <c r="J506" s="95">
        <v>81.534410982710639</v>
      </c>
      <c r="K506" s="95">
        <v>368.65775289394077</v>
      </c>
      <c r="L506" s="95">
        <v>144.06007288963383</v>
      </c>
      <c r="M506" s="95">
        <v>5159.3947458188395</v>
      </c>
      <c r="N506" s="95">
        <v>1307.7201232185218</v>
      </c>
      <c r="O506" s="95">
        <v>10000.000000000002</v>
      </c>
      <c r="Q506" s="98">
        <v>5159.3947458188395</v>
      </c>
      <c r="R506" s="95">
        <v>4353.0745028666634</v>
      </c>
      <c r="S506" s="99">
        <v>2878.0789436396399</v>
      </c>
      <c r="U506" s="121">
        <v>1500.6450869033977</v>
      </c>
      <c r="V506" s="59">
        <v>27756.950694089035</v>
      </c>
      <c r="W506" s="59">
        <v>45513.723042965481</v>
      </c>
      <c r="X506" s="59">
        <v>184434.31072731837</v>
      </c>
      <c r="Y506" s="59">
        <v>865248.8944781482</v>
      </c>
      <c r="Z506" s="59">
        <v>2144461.1606162889</v>
      </c>
      <c r="AA506" s="59">
        <v>1262169.9999032442</v>
      </c>
      <c r="AB506" s="59">
        <v>4531085.6845489573</v>
      </c>
      <c r="AC506" s="59">
        <v>3146040737.1618299</v>
      </c>
      <c r="AD506" s="68">
        <v>4531085.6845489573</v>
      </c>
    </row>
    <row r="507" spans="1:30" x14ac:dyDescent="0.2">
      <c r="A507" s="95">
        <v>499</v>
      </c>
      <c r="B507" s="95">
        <v>41</v>
      </c>
      <c r="C507" s="95">
        <v>7</v>
      </c>
      <c r="D507" s="95"/>
      <c r="E507" s="95">
        <v>8.3041541582584593</v>
      </c>
      <c r="F507" s="95">
        <v>154.02969080845833</v>
      </c>
      <c r="G507" s="95">
        <v>252.75968927630697</v>
      </c>
      <c r="H507" s="95">
        <v>497.97014517874214</v>
      </c>
      <c r="I507" s="95">
        <v>2011.0197560024963</v>
      </c>
      <c r="J507" s="95">
        <v>81.242250846494542</v>
      </c>
      <c r="K507" s="95">
        <v>367.42016907316111</v>
      </c>
      <c r="L507" s="95">
        <v>143.56436393047363</v>
      </c>
      <c r="M507" s="95">
        <v>5169.1982943394105</v>
      </c>
      <c r="N507" s="95">
        <v>1314.4914863862002</v>
      </c>
      <c r="O507" s="95">
        <v>10000.000000000002</v>
      </c>
      <c r="Q507" s="98">
        <v>5169.1982943394105</v>
      </c>
      <c r="R507" s="95">
        <v>4359.6361270793132</v>
      </c>
      <c r="S507" s="99">
        <v>2882.9854874138409</v>
      </c>
      <c r="U507" s="121">
        <v>1481.3868082881374</v>
      </c>
      <c r="V507" s="59">
        <v>27489.386318296441</v>
      </c>
      <c r="W507" s="59">
        <v>45114.863567236476</v>
      </c>
      <c r="X507" s="59">
        <v>183019.82050466497</v>
      </c>
      <c r="Y507" s="59">
        <v>860835.2920238669</v>
      </c>
      <c r="Z507" s="59">
        <v>2134663.1651805388</v>
      </c>
      <c r="AA507" s="59">
        <v>1256351.2505259749</v>
      </c>
      <c r="AB507" s="59">
        <v>4508955.1649288666</v>
      </c>
      <c r="AC507" s="59">
        <v>3150549692.3267589</v>
      </c>
      <c r="AD507" s="68">
        <v>4508955.1649288666</v>
      </c>
    </row>
    <row r="508" spans="1:30" x14ac:dyDescent="0.2">
      <c r="A508" s="95">
        <v>500</v>
      </c>
      <c r="B508" s="95">
        <v>41</v>
      </c>
      <c r="C508" s="95">
        <v>8</v>
      </c>
      <c r="D508" s="95"/>
      <c r="E508" s="95">
        <v>8.2072723597454438</v>
      </c>
      <c r="F508" s="95">
        <v>152.72438909422522</v>
      </c>
      <c r="G508" s="95">
        <v>250.83867995565757</v>
      </c>
      <c r="H508" s="95">
        <v>494.72958788985147</v>
      </c>
      <c r="I508" s="95">
        <v>2003.0970089512082</v>
      </c>
      <c r="J508" s="95">
        <v>80.950212241351124</v>
      </c>
      <c r="K508" s="95">
        <v>366.1842361517339</v>
      </c>
      <c r="L508" s="95">
        <v>143.06931037796184</v>
      </c>
      <c r="M508" s="95">
        <v>5178.9682220051245</v>
      </c>
      <c r="N508" s="95">
        <v>1321.2310809731428</v>
      </c>
      <c r="O508" s="95">
        <v>10000.000000000002</v>
      </c>
      <c r="Q508" s="98">
        <v>5178.9682220051245</v>
      </c>
      <c r="R508" s="95">
        <v>4366.1719412863213</v>
      </c>
      <c r="S508" s="99">
        <v>2887.8740975087221</v>
      </c>
      <c r="U508" s="121">
        <v>1462.3756775817731</v>
      </c>
      <c r="V508" s="59">
        <v>27224.354412107899</v>
      </c>
      <c r="W508" s="59">
        <v>44719.327255319731</v>
      </c>
      <c r="X508" s="59">
        <v>181615.15321961476</v>
      </c>
      <c r="Y508" s="59">
        <v>856438.87183732016</v>
      </c>
      <c r="Z508" s="59">
        <v>2124893.3338078507</v>
      </c>
      <c r="AA508" s="59">
        <v>1250550.1148351771</v>
      </c>
      <c r="AB508" s="59">
        <v>4486903.5310449721</v>
      </c>
      <c r="AC508" s="59">
        <v>3155036595.8578038</v>
      </c>
      <c r="AD508" s="68">
        <v>4486903.5310449721</v>
      </c>
    </row>
    <row r="509" spans="1:30" x14ac:dyDescent="0.2">
      <c r="A509" s="95">
        <v>501</v>
      </c>
      <c r="B509" s="95">
        <v>41</v>
      </c>
      <c r="C509" s="95">
        <v>9</v>
      </c>
      <c r="D509" s="95"/>
      <c r="E509" s="95">
        <v>8.1115208488817476</v>
      </c>
      <c r="F509" s="95">
        <v>151.42989049788471</v>
      </c>
      <c r="G509" s="95">
        <v>248.93131677560342</v>
      </c>
      <c r="H509" s="95">
        <v>491.50735696301729</v>
      </c>
      <c r="I509" s="95">
        <v>1995.1931139107858</v>
      </c>
      <c r="J509" s="95">
        <v>80.658310955609068</v>
      </c>
      <c r="K509" s="95">
        <v>364.94996872650984</v>
      </c>
      <c r="L509" s="95">
        <v>142.57491962345884</v>
      </c>
      <c r="M509" s="95">
        <v>5188.7045693891505</v>
      </c>
      <c r="N509" s="95">
        <v>1327.9390323091011</v>
      </c>
      <c r="O509" s="95">
        <v>10000.000000000002</v>
      </c>
      <c r="Q509" s="98">
        <v>5188.7045693891505</v>
      </c>
      <c r="R509" s="95">
        <v>4372.6820065654128</v>
      </c>
      <c r="S509" s="99">
        <v>2892.7448058933928</v>
      </c>
      <c r="U509" s="121">
        <v>1443.608523052807</v>
      </c>
      <c r="V509" s="59">
        <v>26961.831638441228</v>
      </c>
      <c r="W509" s="59">
        <v>44327.088567481725</v>
      </c>
      <c r="X509" s="59">
        <v>180220.25204779184</v>
      </c>
      <c r="Y509" s="59">
        <v>852059.61560632382</v>
      </c>
      <c r="Z509" s="59">
        <v>2115151.7634835625</v>
      </c>
      <c r="AA509" s="59">
        <v>1244766.6151033673</v>
      </c>
      <c r="AB509" s="59">
        <v>4464930.7749700211</v>
      </c>
      <c r="AC509" s="59">
        <v>3159501526.6327739</v>
      </c>
      <c r="AD509" s="68">
        <v>4464930.7749700211</v>
      </c>
    </row>
    <row r="510" spans="1:30" x14ac:dyDescent="0.2">
      <c r="A510" s="95">
        <v>502</v>
      </c>
      <c r="B510" s="95">
        <v>41</v>
      </c>
      <c r="C510" s="95">
        <v>10</v>
      </c>
      <c r="D510" s="95"/>
      <c r="E510" s="95">
        <v>8.016886438978128</v>
      </c>
      <c r="F510" s="95">
        <v>150.14610881168034</v>
      </c>
      <c r="G510" s="95">
        <v>247.03751364172084</v>
      </c>
      <c r="H510" s="95">
        <v>488.30337657928504</v>
      </c>
      <c r="I510" s="95">
        <v>1987.3081286399934</v>
      </c>
      <c r="J510" s="95">
        <v>80.366562437967389</v>
      </c>
      <c r="K510" s="95">
        <v>363.7173813191647</v>
      </c>
      <c r="L510" s="95">
        <v>142.08119902200707</v>
      </c>
      <c r="M510" s="95">
        <v>5198.4073777033591</v>
      </c>
      <c r="N510" s="95">
        <v>1334.6154654058462</v>
      </c>
      <c r="O510" s="95">
        <v>10000.000000000002</v>
      </c>
      <c r="Q510" s="98">
        <v>5198.4073777033591</v>
      </c>
      <c r="R510" s="95">
        <v>4379.1663841856225</v>
      </c>
      <c r="S510" s="99">
        <v>2897.5976447778207</v>
      </c>
      <c r="U510" s="121">
        <v>1425.0822136736294</v>
      </c>
      <c r="V510" s="59">
        <v>26701.794866550172</v>
      </c>
      <c r="W510" s="59">
        <v>43938.122132829463</v>
      </c>
      <c r="X510" s="59">
        <v>178835.06036351301</v>
      </c>
      <c r="Y510" s="59">
        <v>847697.5045164905</v>
      </c>
      <c r="Z510" s="59">
        <v>2105438.548114086</v>
      </c>
      <c r="AA510" s="59">
        <v>1239000.773315669</v>
      </c>
      <c r="AB510" s="59">
        <v>4443036.8855228117</v>
      </c>
      <c r="AC510" s="59">
        <v>3163944563.5182967</v>
      </c>
      <c r="AD510" s="68">
        <v>4443036.8855228117</v>
      </c>
    </row>
    <row r="511" spans="1:30" x14ac:dyDescent="0.2">
      <c r="A511" s="95">
        <v>503</v>
      </c>
      <c r="B511" s="95">
        <v>41</v>
      </c>
      <c r="C511" s="95">
        <v>11</v>
      </c>
      <c r="D511" s="95"/>
      <c r="E511" s="95">
        <v>7.9233560971900499</v>
      </c>
      <c r="F511" s="95">
        <v>148.87295847515526</v>
      </c>
      <c r="G511" s="95">
        <v>245.15718487490639</v>
      </c>
      <c r="H511" s="95">
        <v>485.11757093699219</v>
      </c>
      <c r="I511" s="95">
        <v>1979.4421097988732</v>
      </c>
      <c r="J511" s="95">
        <v>80.07498180444388</v>
      </c>
      <c r="K511" s="95">
        <v>362.48648837465521</v>
      </c>
      <c r="L511" s="95">
        <v>141.58815589005221</v>
      </c>
      <c r="M511" s="95">
        <v>5208.0766887911805</v>
      </c>
      <c r="N511" s="95">
        <v>1341.2605049565534</v>
      </c>
      <c r="O511" s="95">
        <v>10000.000000000002</v>
      </c>
      <c r="Q511" s="98">
        <v>5208.0766887911805</v>
      </c>
      <c r="R511" s="95">
        <v>4385.6251356037028</v>
      </c>
      <c r="S511" s="99">
        <v>2902.4326466091911</v>
      </c>
      <c r="U511" s="121">
        <v>1406.7936585981511</v>
      </c>
      <c r="V511" s="59">
        <v>26444.221170323563</v>
      </c>
      <c r="W511" s="59">
        <v>43552.402748563007</v>
      </c>
      <c r="X511" s="59">
        <v>177459.52174073059</v>
      </c>
      <c r="Y511" s="59">
        <v>843352.51925723185</v>
      </c>
      <c r="Z511" s="59">
        <v>2095753.7785823876</v>
      </c>
      <c r="AA511" s="59">
        <v>1233252.6111368623</v>
      </c>
      <c r="AB511" s="59">
        <v>4421221.8482946968</v>
      </c>
      <c r="AC511" s="59">
        <v>3168365785.3665915</v>
      </c>
      <c r="AD511" s="68">
        <v>4421221.8482946968</v>
      </c>
    </row>
    <row r="512" spans="1:30" x14ac:dyDescent="0.2">
      <c r="A512" s="95">
        <v>504</v>
      </c>
      <c r="B512" s="95">
        <v>42</v>
      </c>
      <c r="C512" s="95">
        <v>0</v>
      </c>
      <c r="D512" s="95"/>
      <c r="E512" s="95">
        <v>7.8309169427228325</v>
      </c>
      <c r="F512" s="95">
        <v>147.61035457082647</v>
      </c>
      <c r="G512" s="95">
        <v>243.29024521101277</v>
      </c>
      <c r="H512" s="95">
        <v>481.94986425572108</v>
      </c>
      <c r="I512" s="95">
        <v>1971.5951129558712</v>
      </c>
      <c r="J512" s="95">
        <v>79.783583845171677</v>
      </c>
      <c r="K512" s="95">
        <v>361.25730425971807</v>
      </c>
      <c r="L512" s="95">
        <v>141.09579750328882</v>
      </c>
      <c r="M512" s="95">
        <v>5217.7125451204656</v>
      </c>
      <c r="N512" s="95">
        <v>1347.8742753352037</v>
      </c>
      <c r="O512" s="95">
        <v>10000.000000000002</v>
      </c>
      <c r="Q512" s="98">
        <v>5217.7125451204656</v>
      </c>
      <c r="R512" s="95">
        <v>4392.0583224605489</v>
      </c>
      <c r="S512" s="99">
        <v>2907.2498440683048</v>
      </c>
      <c r="U512" s="121">
        <v>1388.7398066461415</v>
      </c>
      <c r="V512" s="59">
        <v>26189.087826596606</v>
      </c>
      <c r="W512" s="59">
        <v>43169.905379225769</v>
      </c>
      <c r="X512" s="59">
        <v>176093.57995394786</v>
      </c>
      <c r="Y512" s="59">
        <v>839024.64002772747</v>
      </c>
      <c r="Z512" s="59">
        <v>2086097.5428022726</v>
      </c>
      <c r="AA512" s="59">
        <v>1227522.1498804286</v>
      </c>
      <c r="AB512" s="59">
        <v>4399485.6456768448</v>
      </c>
      <c r="AC512" s="59">
        <v>3172765271.0122681</v>
      </c>
      <c r="AD512" s="68">
        <v>4399485.6456768448</v>
      </c>
    </row>
    <row r="513" spans="1:30" x14ac:dyDescent="0.2">
      <c r="A513" s="95">
        <v>505</v>
      </c>
      <c r="B513" s="95">
        <v>42</v>
      </c>
      <c r="C513" s="95">
        <v>1</v>
      </c>
      <c r="D513" s="95"/>
      <c r="E513" s="95">
        <v>7.7395562450577327</v>
      </c>
      <c r="F513" s="95">
        <v>146.35821281988058</v>
      </c>
      <c r="G513" s="95">
        <v>241.43660980045823</v>
      </c>
      <c r="H513" s="95">
        <v>478.80018078020242</v>
      </c>
      <c r="I513" s="95">
        <v>1963.767192594956</v>
      </c>
      <c r="J513" s="95">
        <v>79.492383031047439</v>
      </c>
      <c r="K513" s="95">
        <v>360.02984326141097</v>
      </c>
      <c r="L513" s="95">
        <v>140.60413109462505</v>
      </c>
      <c r="M513" s="95">
        <v>5227.3149897763669</v>
      </c>
      <c r="N513" s="95">
        <v>1354.456900595997</v>
      </c>
      <c r="O513" s="95">
        <v>10000.000000000002</v>
      </c>
      <c r="Q513" s="98">
        <v>5227.3149897763669</v>
      </c>
      <c r="R513" s="95">
        <v>4398.4660065776552</v>
      </c>
      <c r="S513" s="99">
        <v>2912.0492700660143</v>
      </c>
      <c r="U513" s="121">
        <v>1370.9176457941828</v>
      </c>
      <c r="V513" s="59">
        <v>25936.372313474341</v>
      </c>
      <c r="W513" s="59">
        <v>42790.605155952624</v>
      </c>
      <c r="X513" s="59">
        <v>174737.17897910732</v>
      </c>
      <c r="Y513" s="59">
        <v>834713.84654285829</v>
      </c>
      <c r="Z513" s="59">
        <v>2076469.925771506</v>
      </c>
      <c r="AA513" s="59">
        <v>1221809.4104795011</v>
      </c>
      <c r="AB513" s="59">
        <v>4377828.256888194</v>
      </c>
      <c r="AC513" s="59">
        <v>3177143099.2691565</v>
      </c>
      <c r="AD513" s="68">
        <v>4377828.256888194</v>
      </c>
    </row>
    <row r="514" spans="1:30" x14ac:dyDescent="0.2">
      <c r="A514" s="95">
        <v>506</v>
      </c>
      <c r="B514" s="95">
        <v>42</v>
      </c>
      <c r="C514" s="95">
        <v>2</v>
      </c>
      <c r="D514" s="95"/>
      <c r="E514" s="95">
        <v>7.6492614221987258</v>
      </c>
      <c r="F514" s="95">
        <v>145.11644957789096</v>
      </c>
      <c r="G514" s="95">
        <v>239.59619420781024</v>
      </c>
      <c r="H514" s="95">
        <v>475.66844478416965</v>
      </c>
      <c r="I514" s="95">
        <v>1955.9584021227299</v>
      </c>
      <c r="J514" s="95">
        <v>79.201393520234447</v>
      </c>
      <c r="K514" s="95">
        <v>358.80411958569573</v>
      </c>
      <c r="L514" s="95">
        <v>140.11316385226132</v>
      </c>
      <c r="M514" s="95">
        <v>5236.8840664542276</v>
      </c>
      <c r="N514" s="95">
        <v>1361.0085044727834</v>
      </c>
      <c r="O514" s="95">
        <v>10000.000000000002</v>
      </c>
      <c r="Q514" s="98">
        <v>5236.8840664542276</v>
      </c>
      <c r="R514" s="95">
        <v>4404.8482499535885</v>
      </c>
      <c r="S514" s="99">
        <v>2916.830957739699</v>
      </c>
      <c r="U514" s="121">
        <v>1353.3242026731575</v>
      </c>
      <c r="V514" s="59">
        <v>25686.052308667178</v>
      </c>
      <c r="W514" s="59">
        <v>42414.477375716022</v>
      </c>
      <c r="X514" s="59">
        <v>173390.26299445215</v>
      </c>
      <c r="Y514" s="59">
        <v>830420.11803910648</v>
      </c>
      <c r="Z514" s="59">
        <v>2066871.0096237916</v>
      </c>
      <c r="AA514" s="59">
        <v>1216114.4134596337</v>
      </c>
      <c r="AB514" s="59">
        <v>4356249.6580040399</v>
      </c>
      <c r="AC514" s="59">
        <v>3181499348.9271603</v>
      </c>
      <c r="AD514" s="68">
        <v>4356249.6580040399</v>
      </c>
    </row>
    <row r="515" spans="1:30" x14ac:dyDescent="0.2">
      <c r="A515" s="95">
        <v>507</v>
      </c>
      <c r="B515" s="95">
        <v>42</v>
      </c>
      <c r="C515" s="95">
        <v>3</v>
      </c>
      <c r="D515" s="95"/>
      <c r="E515" s="95">
        <v>7.5600200389397409</v>
      </c>
      <c r="F515" s="95">
        <v>143.88498183055637</v>
      </c>
      <c r="G515" s="95">
        <v>237.7689144113439</v>
      </c>
      <c r="H515" s="95">
        <v>472.55458057416445</v>
      </c>
      <c r="I515" s="95">
        <v>1948.1687938755329</v>
      </c>
      <c r="J515" s="95">
        <v>78.910629164523925</v>
      </c>
      <c r="K515" s="95">
        <v>357.58014735606179</v>
      </c>
      <c r="L515" s="95">
        <v>139.62290291787832</v>
      </c>
      <c r="M515" s="95">
        <v>5246.4198194524943</v>
      </c>
      <c r="N515" s="95">
        <v>1367.5292103785066</v>
      </c>
      <c r="O515" s="95">
        <v>10000.000000000002</v>
      </c>
      <c r="Q515" s="98">
        <v>5246.4198194524943</v>
      </c>
      <c r="R515" s="95">
        <v>4411.205114760487</v>
      </c>
      <c r="S515" s="99">
        <v>2921.594940449776</v>
      </c>
      <c r="U515" s="121">
        <v>1335.9565420721851</v>
      </c>
      <c r="V515" s="59">
        <v>25438.105687838459</v>
      </c>
      <c r="W515" s="59">
        <v>42041.497500570127</v>
      </c>
      <c r="X515" s="59">
        <v>172052.77638136112</v>
      </c>
      <c r="Y515" s="59">
        <v>826143.43328041979</v>
      </c>
      <c r="Z515" s="59">
        <v>2057300.8736796447</v>
      </c>
      <c r="AA515" s="59">
        <v>1210437.1789133046</v>
      </c>
      <c r="AB515" s="59">
        <v>4334749.8219852112</v>
      </c>
      <c r="AC515" s="59">
        <v>3185834098.7491455</v>
      </c>
      <c r="AD515" s="68">
        <v>4334749.8219852112</v>
      </c>
    </row>
    <row r="516" spans="1:30" x14ac:dyDescent="0.2">
      <c r="A516" s="95">
        <v>508</v>
      </c>
      <c r="B516" s="95">
        <v>42</v>
      </c>
      <c r="C516" s="95">
        <v>4</v>
      </c>
      <c r="D516" s="95"/>
      <c r="E516" s="95">
        <v>7.4718198051521103</v>
      </c>
      <c r="F516" s="95">
        <v>142.66372718946101</v>
      </c>
      <c r="G516" s="95">
        <v>235.95468680257517</v>
      </c>
      <c r="H516" s="95">
        <v>469.45851249329382</v>
      </c>
      <c r="I516" s="95">
        <v>1940.3984191265381</v>
      </c>
      <c r="J516" s="95">
        <v>78.62010351555783</v>
      </c>
      <c r="K516" s="95">
        <v>356.35794061219042</v>
      </c>
      <c r="L516" s="95">
        <v>139.13335538492933</v>
      </c>
      <c r="M516" s="95">
        <v>5255.9222936656406</v>
      </c>
      <c r="N516" s="95">
        <v>1374.0191414046637</v>
      </c>
      <c r="O516" s="95">
        <v>10000.000000000002</v>
      </c>
      <c r="Q516" s="98">
        <v>5255.9222936656406</v>
      </c>
      <c r="R516" s="95">
        <v>4417.5366633405829</v>
      </c>
      <c r="S516" s="99">
        <v>2926.3412517762476</v>
      </c>
      <c r="U516" s="121">
        <v>1318.8117664489255</v>
      </c>
      <c r="V516" s="59">
        <v>25192.51052296397</v>
      </c>
      <c r="W516" s="59">
        <v>41671.641156893194</v>
      </c>
      <c r="X516" s="59">
        <v>170724.66372515756</v>
      </c>
      <c r="Y516" s="59">
        <v>821883.77056404215</v>
      </c>
      <c r="Z516" s="59">
        <v>2047759.5944961824</v>
      </c>
      <c r="AA516" s="59">
        <v>1204777.7264760749</v>
      </c>
      <c r="AB516" s="59">
        <v>4313328.7187077627</v>
      </c>
      <c r="AC516" s="59">
        <v>3190147427.4678531</v>
      </c>
      <c r="AD516" s="68">
        <v>4313328.7187077627</v>
      </c>
    </row>
    <row r="517" spans="1:30" x14ac:dyDescent="0.2">
      <c r="A517" s="95">
        <v>509</v>
      </c>
      <c r="B517" s="95">
        <v>42</v>
      </c>
      <c r="C517" s="95">
        <v>5</v>
      </c>
      <c r="D517" s="95"/>
      <c r="E517" s="95">
        <v>7.3846485740920027</v>
      </c>
      <c r="F517" s="95">
        <v>141.4526038878561</v>
      </c>
      <c r="G517" s="95">
        <v>234.15342818576983</v>
      </c>
      <c r="H517" s="95">
        <v>466.38016492493892</v>
      </c>
      <c r="I517" s="95">
        <v>1932.6473280928385</v>
      </c>
      <c r="J517" s="95">
        <v>78.329829830916182</v>
      </c>
      <c r="K517" s="95">
        <v>355.13751330865813</v>
      </c>
      <c r="L517" s="95">
        <v>138.64452829703268</v>
      </c>
      <c r="M517" s="95">
        <v>5265.3915345771211</v>
      </c>
      <c r="N517" s="95">
        <v>1380.4784203207789</v>
      </c>
      <c r="O517" s="95">
        <v>10000.000000000002</v>
      </c>
      <c r="Q517" s="98">
        <v>5265.3915345771211</v>
      </c>
      <c r="R517" s="95">
        <v>4423.8429582027438</v>
      </c>
      <c r="S517" s="99">
        <v>2931.0699255152858</v>
      </c>
      <c r="U517" s="121">
        <v>1301.8870154461642</v>
      </c>
      <c r="V517" s="59">
        <v>24949.245080703382</v>
      </c>
      <c r="W517" s="59">
        <v>41304.88413462817</v>
      </c>
      <c r="X517" s="59">
        <v>169405.86981589196</v>
      </c>
      <c r="Y517" s="59">
        <v>817641.10772630898</v>
      </c>
      <c r="Z517" s="59">
        <v>2038247.245915859</v>
      </c>
      <c r="AA517" s="59">
        <v>1199136.0753043296</v>
      </c>
      <c r="AB517" s="59">
        <v>4291986.3149931673</v>
      </c>
      <c r="AC517" s="59">
        <v>3194439413.7828465</v>
      </c>
      <c r="AD517" s="68">
        <v>4291986.3149931673</v>
      </c>
    </row>
    <row r="518" spans="1:30" x14ac:dyDescent="0.2">
      <c r="A518" s="95">
        <v>510</v>
      </c>
      <c r="B518" s="95">
        <v>42</v>
      </c>
      <c r="C518" s="95">
        <v>6</v>
      </c>
      <c r="D518" s="95"/>
      <c r="E518" s="95">
        <v>7.2984943407275962</v>
      </c>
      <c r="F518" s="95">
        <v>140.2515307764628</v>
      </c>
      <c r="G518" s="95">
        <v>232.36505577742838</v>
      </c>
      <c r="H518" s="95">
        <v>463.31946229641608</v>
      </c>
      <c r="I518" s="95">
        <v>1924.9155699425251</v>
      </c>
      <c r="J518" s="95">
        <v>78.039821080072016</v>
      </c>
      <c r="K518" s="95">
        <v>353.91887931367921</v>
      </c>
      <c r="L518" s="95">
        <v>138.15642864645986</v>
      </c>
      <c r="M518" s="95">
        <v>5274.8275882523403</v>
      </c>
      <c r="N518" s="95">
        <v>1386.9071695738912</v>
      </c>
      <c r="O518" s="95">
        <v>10000.000000000002</v>
      </c>
      <c r="Q518" s="98">
        <v>5274.8275882523403</v>
      </c>
      <c r="R518" s="95">
        <v>4430.1240620190456</v>
      </c>
      <c r="S518" s="99">
        <v>2935.780995675852</v>
      </c>
      <c r="U518" s="121">
        <v>1285.1794654146051</v>
      </c>
      <c r="V518" s="59">
        <v>24708.287820783498</v>
      </c>
      <c r="W518" s="59">
        <v>40941.202386521763</v>
      </c>
      <c r="X518" s="59">
        <v>168096.33964909933</v>
      </c>
      <c r="Y518" s="59">
        <v>813415.4221484086</v>
      </c>
      <c r="Z518" s="59">
        <v>2028763.8991141736</v>
      </c>
      <c r="AA518" s="59">
        <v>1193512.2440545238</v>
      </c>
      <c r="AB518" s="59">
        <v>4270722.5746389255</v>
      </c>
      <c r="AC518" s="59">
        <v>3198710136.3574853</v>
      </c>
      <c r="AD518" s="68">
        <v>4270722.5746389255</v>
      </c>
    </row>
    <row r="519" spans="1:30" x14ac:dyDescent="0.2">
      <c r="A519" s="95">
        <v>511</v>
      </c>
      <c r="B519" s="95">
        <v>42</v>
      </c>
      <c r="C519" s="95">
        <v>7</v>
      </c>
      <c r="D519" s="95"/>
      <c r="E519" s="95">
        <v>7.2133452400857738</v>
      </c>
      <c r="F519" s="95">
        <v>139.06042731929674</v>
      </c>
      <c r="G519" s="95">
        <v>230.5894872057473</v>
      </c>
      <c r="H519" s="95">
        <v>460.27632908259022</v>
      </c>
      <c r="I519" s="95">
        <v>1917.2031928017543</v>
      </c>
      <c r="J519" s="95">
        <v>77.75008995021696</v>
      </c>
      <c r="K519" s="95">
        <v>352.70205240788607</v>
      </c>
      <c r="L519" s="95">
        <v>137.66906337271516</v>
      </c>
      <c r="M519" s="95">
        <v>5284.2305013316527</v>
      </c>
      <c r="N519" s="95">
        <v>1393.3055112880577</v>
      </c>
      <c r="O519" s="95">
        <v>10000.000000000004</v>
      </c>
      <c r="Q519" s="98">
        <v>5284.2305013316527</v>
      </c>
      <c r="R519" s="95">
        <v>4436.3800376213585</v>
      </c>
      <c r="S519" s="99">
        <v>2940.4744964763495</v>
      </c>
      <c r="U519" s="121">
        <v>1268.6863289417843</v>
      </c>
      <c r="V519" s="59">
        <v>24469.617394393325</v>
      </c>
      <c r="W519" s="59">
        <v>40580.572027361988</v>
      </c>
      <c r="X519" s="59">
        <v>166796.01842653111</v>
      </c>
      <c r="Y519" s="59">
        <v>809206.69076210808</v>
      </c>
      <c r="Z519" s="59">
        <v>2019309.6226463751</v>
      </c>
      <c r="AA519" s="59">
        <v>1187906.2508638641</v>
      </c>
      <c r="AB519" s="59">
        <v>4249537.4584495751</v>
      </c>
      <c r="AC519" s="59">
        <v>3202959673.8159347</v>
      </c>
      <c r="AD519" s="68">
        <v>4249537.4584495751</v>
      </c>
    </row>
    <row r="520" spans="1:30" x14ac:dyDescent="0.2">
      <c r="A520" s="95">
        <v>512</v>
      </c>
      <c r="B520" s="95">
        <v>42</v>
      </c>
      <c r="C520" s="95">
        <v>8</v>
      </c>
      <c r="D520" s="95"/>
      <c r="E520" s="95">
        <v>7.1291895456181065</v>
      </c>
      <c r="F520" s="95">
        <v>137.87921358951391</v>
      </c>
      <c r="G520" s="95">
        <v>228.82664051005716</v>
      </c>
      <c r="H520" s="95">
        <v>457.25068980944104</v>
      </c>
      <c r="I520" s="95">
        <v>1909.5102437618082</v>
      </c>
      <c r="J520" s="95">
        <v>77.460648851960329</v>
      </c>
      <c r="K520" s="95">
        <v>351.48704628314755</v>
      </c>
      <c r="L520" s="95">
        <v>137.18243936120297</v>
      </c>
      <c r="M520" s="95">
        <v>5293.6003210233839</v>
      </c>
      <c r="N520" s="95">
        <v>1399.6735672638699</v>
      </c>
      <c r="O520" s="95">
        <v>10000.000000000004</v>
      </c>
      <c r="Q520" s="98">
        <v>5293.6003210233839</v>
      </c>
      <c r="R520" s="95">
        <v>4442.6109479979641</v>
      </c>
      <c r="S520" s="99">
        <v>2945.1504623413143</v>
      </c>
      <c r="U520" s="121">
        <v>1252.4048543870313</v>
      </c>
      <c r="V520" s="59">
        <v>24233.212642590843</v>
      </c>
      <c r="W520" s="59">
        <v>40222.969333214285</v>
      </c>
      <c r="X520" s="59">
        <v>165504.85155686206</v>
      </c>
      <c r="Y520" s="59">
        <v>805014.89005544514</v>
      </c>
      <c r="Z520" s="59">
        <v>2009884.4824931889</v>
      </c>
      <c r="AA520" s="59">
        <v>1182318.113332364</v>
      </c>
      <c r="AB520" s="59">
        <v>4228430.924268052</v>
      </c>
      <c r="AC520" s="59">
        <v>3207188104.7402029</v>
      </c>
      <c r="AD520" s="68">
        <v>4228430.924268052</v>
      </c>
    </row>
    <row r="521" spans="1:30" x14ac:dyDescent="0.2">
      <c r="A521" s="95">
        <v>513</v>
      </c>
      <c r="B521" s="95">
        <v>42</v>
      </c>
      <c r="C521" s="95">
        <v>9</v>
      </c>
      <c r="D521" s="95"/>
      <c r="E521" s="95">
        <v>7.0460156675858956</v>
      </c>
      <c r="F521" s="95">
        <v>136.70781026527806</v>
      </c>
      <c r="G521" s="95">
        <v>227.07643414023804</v>
      </c>
      <c r="H521" s="95">
        <v>454.24246905758224</v>
      </c>
      <c r="I521" s="95">
        <v>1901.8367688861413</v>
      </c>
      <c r="J521" s="95">
        <v>77.17150992490464</v>
      </c>
      <c r="K521" s="95">
        <v>350.27387454142377</v>
      </c>
      <c r="L521" s="95">
        <v>136.69656344197892</v>
      </c>
      <c r="M521" s="95">
        <v>5302.9370950968841</v>
      </c>
      <c r="N521" s="95">
        <v>1406.0114589779862</v>
      </c>
      <c r="O521" s="95">
        <v>10000.000000000004</v>
      </c>
      <c r="Q521" s="98">
        <v>5302.9370950968841</v>
      </c>
      <c r="R521" s="95">
        <v>4448.8168562901901</v>
      </c>
      <c r="S521" s="99">
        <v>2949.8089278981352</v>
      </c>
      <c r="U521" s="121">
        <v>1236.3323254223976</v>
      </c>
      <c r="V521" s="59">
        <v>23999.052594721445</v>
      </c>
      <c r="W521" s="59">
        <v>39868.370740656421</v>
      </c>
      <c r="X521" s="59">
        <v>164222.78465637236</v>
      </c>
      <c r="Y521" s="59">
        <v>800839.99607838481</v>
      </c>
      <c r="Z521" s="59">
        <v>2000488.5421055914</v>
      </c>
      <c r="AA521" s="59">
        <v>1176747.8485062029</v>
      </c>
      <c r="AB521" s="59">
        <v>4207402.927007352</v>
      </c>
      <c r="AC521" s="59">
        <v>3211395507.6672101</v>
      </c>
      <c r="AD521" s="68">
        <v>4207402.927007352</v>
      </c>
    </row>
    <row r="522" spans="1:30" x14ac:dyDescent="0.2">
      <c r="A522" s="95">
        <v>514</v>
      </c>
      <c r="B522" s="95">
        <v>42</v>
      </c>
      <c r="C522" s="95">
        <v>10</v>
      </c>
      <c r="D522" s="95"/>
      <c r="E522" s="95">
        <v>6.9638121514640599</v>
      </c>
      <c r="F522" s="95">
        <v>135.54613862564952</v>
      </c>
      <c r="G522" s="95">
        <v>225.33878695611259</v>
      </c>
      <c r="H522" s="95">
        <v>451.25159146573429</v>
      </c>
      <c r="I522" s="95">
        <v>1894.1828132174189</v>
      </c>
      <c r="J522" s="95">
        <v>76.882685043100309</v>
      </c>
      <c r="K522" s="95">
        <v>349.06255069365739</v>
      </c>
      <c r="L522" s="95">
        <v>136.21144238858108</v>
      </c>
      <c r="M522" s="95">
        <v>5312.2408718756087</v>
      </c>
      <c r="N522" s="95">
        <v>1412.3193075826762</v>
      </c>
      <c r="O522" s="95">
        <v>10000.000000000004</v>
      </c>
      <c r="Q522" s="98">
        <v>5312.2408718756087</v>
      </c>
      <c r="R522" s="95">
        <v>4454.9978257890698</v>
      </c>
      <c r="S522" s="99">
        <v>2954.4499279738116</v>
      </c>
      <c r="U522" s="121">
        <v>1220.4660605794768</v>
      </c>
      <c r="V522" s="59">
        <v>23767.116466847976</v>
      </c>
      <c r="W522" s="59">
        <v>39516.75284601211</v>
      </c>
      <c r="X522" s="59">
        <v>162949.76354960538</v>
      </c>
      <c r="Y522" s="59">
        <v>796681.9844484413</v>
      </c>
      <c r="Z522" s="59">
        <v>1991121.8624486513</v>
      </c>
      <c r="AA522" s="59">
        <v>1171195.4728623303</v>
      </c>
      <c r="AB522" s="59">
        <v>4186453.4186824677</v>
      </c>
      <c r="AC522" s="59">
        <v>3215581961.0858927</v>
      </c>
      <c r="AD522" s="68">
        <v>4186453.4186824677</v>
      </c>
    </row>
    <row r="523" spans="1:30" x14ac:dyDescent="0.2">
      <c r="A523" s="95">
        <v>515</v>
      </c>
      <c r="B523" s="95">
        <v>42</v>
      </c>
      <c r="C523" s="95">
        <v>11</v>
      </c>
      <c r="D523" s="95"/>
      <c r="E523" s="95">
        <v>6.8825676763636459</v>
      </c>
      <c r="F523" s="95">
        <v>134.39412054649546</v>
      </c>
      <c r="G523" s="95">
        <v>223.61361822681727</v>
      </c>
      <c r="H523" s="95">
        <v>448.27798173415067</v>
      </c>
      <c r="I523" s="95">
        <v>1886.5484207845441</v>
      </c>
      <c r="J523" s="95">
        <v>76.594185820382251</v>
      </c>
      <c r="K523" s="95">
        <v>347.85308815870047</v>
      </c>
      <c r="L523" s="95">
        <v>135.72708291693789</v>
      </c>
      <c r="M523" s="95">
        <v>5321.5117002302304</v>
      </c>
      <c r="N523" s="95">
        <v>1418.5972339053812</v>
      </c>
      <c r="O523" s="95">
        <v>10000.000000000004</v>
      </c>
      <c r="Q523" s="98">
        <v>5321.5117002302304</v>
      </c>
      <c r="R523" s="95">
        <v>4461.1539199320268</v>
      </c>
      <c r="S523" s="99">
        <v>2959.0734975917403</v>
      </c>
      <c r="U523" s="121">
        <v>1204.8034128020404</v>
      </c>
      <c r="V523" s="59">
        <v>23537.383660192339</v>
      </c>
      <c r="W523" s="59">
        <v>39168.092404583622</v>
      </c>
      <c r="X523" s="59">
        <v>161685.73427000109</v>
      </c>
      <c r="Y523" s="59">
        <v>792540.83035626612</v>
      </c>
      <c r="Z523" s="59">
        <v>1981784.5020444696</v>
      </c>
      <c r="AA523" s="59">
        <v>1165661.0022942571</v>
      </c>
      <c r="AB523" s="59">
        <v>4165582.3484425717</v>
      </c>
      <c r="AC523" s="59">
        <v>3219747543.4343352</v>
      </c>
      <c r="AD523" s="68">
        <v>4165582.3484425717</v>
      </c>
    </row>
    <row r="524" spans="1:30" x14ac:dyDescent="0.2">
      <c r="A524" s="95">
        <v>516</v>
      </c>
      <c r="B524" s="95">
        <v>43</v>
      </c>
      <c r="C524" s="95">
        <v>0</v>
      </c>
      <c r="D524" s="95"/>
      <c r="E524" s="95">
        <v>6.8022710534727366</v>
      </c>
      <c r="F524" s="95">
        <v>133.25167849642153</v>
      </c>
      <c r="G524" s="95">
        <v>221.90084763015204</v>
      </c>
      <c r="H524" s="95">
        <v>445.32156462799827</v>
      </c>
      <c r="I524" s="95">
        <v>1878.933634609672</v>
      </c>
      <c r="J524" s="95">
        <v>76.306023615591045</v>
      </c>
      <c r="K524" s="95">
        <v>346.64550026227641</v>
      </c>
      <c r="L524" s="95">
        <v>135.24349168434949</v>
      </c>
      <c r="M524" s="95">
        <v>5330.749629571782</v>
      </c>
      <c r="N524" s="95">
        <v>1424.8453584482882</v>
      </c>
      <c r="O524" s="95">
        <v>10000.000000000004</v>
      </c>
      <c r="Q524" s="98">
        <v>5330.749629571782</v>
      </c>
      <c r="R524" s="95">
        <v>4467.2852022995767</v>
      </c>
      <c r="S524" s="99">
        <v>2963.6796719685371</v>
      </c>
      <c r="U524" s="121">
        <v>1189.3417690044141</v>
      </c>
      <c r="V524" s="59">
        <v>23309.833759588539</v>
      </c>
      <c r="W524" s="59">
        <v>38822.366329883349</v>
      </c>
      <c r="X524" s="59">
        <v>160430.64306050588</v>
      </c>
      <c r="Y524" s="59">
        <v>788416.50857119949</v>
      </c>
      <c r="Z524" s="59">
        <v>1972476.5170142285</v>
      </c>
      <c r="AA524" s="59">
        <v>1160144.4520989759</v>
      </c>
      <c r="AB524" s="59">
        <v>4144789.6626033862</v>
      </c>
      <c r="AC524" s="59">
        <v>3223892333.0969386</v>
      </c>
      <c r="AD524" s="68">
        <v>4144789.6626033862</v>
      </c>
    </row>
    <row r="525" spans="1:30" x14ac:dyDescent="0.2">
      <c r="A525" s="95">
        <v>517</v>
      </c>
      <c r="B525" s="95">
        <v>43</v>
      </c>
      <c r="C525" s="95">
        <v>1</v>
      </c>
      <c r="D525" s="95"/>
      <c r="E525" s="95">
        <v>6.7229112245155545</v>
      </c>
      <c r="F525" s="95">
        <v>132.11873553272511</v>
      </c>
      <c r="G525" s="95">
        <v>220.20039525190904</v>
      </c>
      <c r="H525" s="95">
        <v>442.38226498069213</v>
      </c>
      <c r="I525" s="95">
        <v>1871.3384967152147</v>
      </c>
      <c r="J525" s="95">
        <v>76.018209537681301</v>
      </c>
      <c r="K525" s="95">
        <v>345.43980023597607</v>
      </c>
      <c r="L525" s="95">
        <v>134.76067528853892</v>
      </c>
      <c r="M525" s="95">
        <v>5339.9547098448347</v>
      </c>
      <c r="N525" s="95">
        <v>1431.0638013879163</v>
      </c>
      <c r="O525" s="95">
        <v>10000.000000000004</v>
      </c>
      <c r="Q525" s="98">
        <v>5339.9547098448347</v>
      </c>
      <c r="R525" s="95">
        <v>4473.3917366120577</v>
      </c>
      <c r="S525" s="99">
        <v>2968.2684865108895</v>
      </c>
      <c r="U525" s="121">
        <v>1174.078549635524</v>
      </c>
      <c r="V525" s="59">
        <v>23084.446531947182</v>
      </c>
      <c r="W525" s="59">
        <v>38479.551692864457</v>
      </c>
      <c r="X525" s="59">
        <v>159184.43637415851</v>
      </c>
      <c r="Y525" s="59">
        <v>784308.99344678945</v>
      </c>
      <c r="Z525" s="59">
        <v>1963197.9611193847</v>
      </c>
      <c r="AA525" s="59">
        <v>1154645.8369649595</v>
      </c>
      <c r="AB525" s="59">
        <v>4124075.3046797393</v>
      </c>
      <c r="AC525" s="59">
        <v>3228016408.4016185</v>
      </c>
      <c r="AD525" s="68">
        <v>4124075.3046797393</v>
      </c>
    </row>
    <row r="526" spans="1:30" x14ac:dyDescent="0.2">
      <c r="A526" s="95">
        <v>518</v>
      </c>
      <c r="B526" s="95">
        <v>43</v>
      </c>
      <c r="C526" s="95">
        <v>2</v>
      </c>
      <c r="D526" s="95"/>
      <c r="E526" s="95">
        <v>6.6444772602295394</v>
      </c>
      <c r="F526" s="95">
        <v>130.99521529736961</v>
      </c>
      <c r="G526" s="95">
        <v>218.5121815851806</v>
      </c>
      <c r="H526" s="95">
        <v>439.46000769718489</v>
      </c>
      <c r="I526" s="95">
        <v>1863.7630481308317</v>
      </c>
      <c r="J526" s="95">
        <v>75.730754450719758</v>
      </c>
      <c r="K526" s="95">
        <v>344.23600121628789</v>
      </c>
      <c r="L526" s="95">
        <v>134.27864026677051</v>
      </c>
      <c r="M526" s="95">
        <v>5349.1269915207095</v>
      </c>
      <c r="N526" s="95">
        <v>1437.2526825747202</v>
      </c>
      <c r="O526" s="95">
        <v>10000.000000000004</v>
      </c>
      <c r="Q526" s="98">
        <v>5349.1269915207095</v>
      </c>
      <c r="R526" s="95">
        <v>4479.4735867263826</v>
      </c>
      <c r="S526" s="99">
        <v>2972.8399768124414</v>
      </c>
      <c r="U526" s="121">
        <v>1159.0112082485348</v>
      </c>
      <c r="V526" s="59">
        <v>22861.201924731333</v>
      </c>
      <c r="W526" s="59">
        <v>38139.625721150776</v>
      </c>
      <c r="X526" s="59">
        <v>157947.06087465285</v>
      </c>
      <c r="Y526" s="59">
        <v>780218.25892627332</v>
      </c>
      <c r="Z526" s="59">
        <v>1953948.8858020157</v>
      </c>
      <c r="AA526" s="59">
        <v>1149165.1709611816</v>
      </c>
      <c r="AB526" s="59">
        <v>4103439.215418254</v>
      </c>
      <c r="AC526" s="59">
        <v>3232119847.6170368</v>
      </c>
      <c r="AD526" s="68">
        <v>4103439.215418254</v>
      </c>
    </row>
    <row r="527" spans="1:30" x14ac:dyDescent="0.2">
      <c r="A527" s="95">
        <v>519</v>
      </c>
      <c r="B527" s="95">
        <v>43</v>
      </c>
      <c r="C527" s="95">
        <v>3</v>
      </c>
      <c r="D527" s="95"/>
      <c r="E527" s="95">
        <v>6.5669583588601945</v>
      </c>
      <c r="F527" s="95">
        <v>129.88104201298052</v>
      </c>
      <c r="G527" s="95">
        <v>216.83612752964689</v>
      </c>
      <c r="H527" s="95">
        <v>436.55471775721099</v>
      </c>
      <c r="I527" s="95">
        <v>1856.2073289004093</v>
      </c>
      <c r="J527" s="95">
        <v>75.443668978775605</v>
      </c>
      <c r="K527" s="95">
        <v>343.03411624366117</v>
      </c>
      <c r="L527" s="95">
        <v>133.79739309503231</v>
      </c>
      <c r="M527" s="95">
        <v>5358.2665255907232</v>
      </c>
      <c r="N527" s="95">
        <v>1443.4121215327041</v>
      </c>
      <c r="O527" s="95">
        <v>10000.000000000004</v>
      </c>
      <c r="Q527" s="98">
        <v>5358.2665255907232</v>
      </c>
      <c r="R527" s="95">
        <v>4485.5308166328077</v>
      </c>
      <c r="S527" s="99">
        <v>2977.3941786507071</v>
      </c>
      <c r="U527" s="121">
        <v>1144.1372310760121</v>
      </c>
      <c r="V527" s="59">
        <v>22640.080064443653</v>
      </c>
      <c r="W527" s="59">
        <v>37802.565798265903</v>
      </c>
      <c r="X527" s="59">
        <v>156718.46343687768</v>
      </c>
      <c r="Y527" s="59">
        <v>776144.27854802739</v>
      </c>
      <c r="Z527" s="59">
        <v>1944729.3402243492</v>
      </c>
      <c r="AA527" s="59">
        <v>1143702.4675271162</v>
      </c>
      <c r="AB527" s="59">
        <v>4082881.3328301562</v>
      </c>
      <c r="AC527" s="59">
        <v>3236202728.9498668</v>
      </c>
      <c r="AD527" s="68">
        <v>4082881.3328301562</v>
      </c>
    </row>
    <row r="528" spans="1:30" x14ac:dyDescent="0.2">
      <c r="A528" s="95">
        <v>520</v>
      </c>
      <c r="B528" s="95">
        <v>43</v>
      </c>
      <c r="C528" s="95">
        <v>4</v>
      </c>
      <c r="D528" s="95"/>
      <c r="E528" s="95">
        <v>6.4903438446734922</v>
      </c>
      <c r="F528" s="95">
        <v>128.77614047886257</v>
      </c>
      <c r="G528" s="95">
        <v>215.17215439084387</v>
      </c>
      <c r="H528" s="95">
        <v>433.66632021848642</v>
      </c>
      <c r="I528" s="95">
        <v>1848.6713780890263</v>
      </c>
      <c r="J528" s="95">
        <v>75.156963510705367</v>
      </c>
      <c r="K528" s="95">
        <v>341.834158261602</v>
      </c>
      <c r="L528" s="95">
        <v>133.31694018727956</v>
      </c>
      <c r="M528" s="95">
        <v>5367.3733635594735</v>
      </c>
      <c r="N528" s="95">
        <v>1449.5422374590507</v>
      </c>
      <c r="O528" s="95">
        <v>10000.000000000004</v>
      </c>
      <c r="Q528" s="98">
        <v>5367.3733635594735</v>
      </c>
      <c r="R528" s="95">
        <v>4491.5634904517337</v>
      </c>
      <c r="S528" s="99">
        <v>2981.9311279840181</v>
      </c>
      <c r="U528" s="121">
        <v>1129.4541366105364</v>
      </c>
      <c r="V528" s="59">
        <v>22421.061255124805</v>
      </c>
      <c r="W528" s="59">
        <v>37468.349462861734</v>
      </c>
      <c r="X528" s="59">
        <v>155498.59114743353</v>
      </c>
      <c r="Y528" s="59">
        <v>772087.02545097936</v>
      </c>
      <c r="Z528" s="59">
        <v>1935539.3713074909</v>
      </c>
      <c r="AA528" s="59">
        <v>1138257.7394636627</v>
      </c>
      <c r="AB528" s="59">
        <v>4062401.5922241635</v>
      </c>
      <c r="AC528" s="59">
        <v>3240265130.5420909</v>
      </c>
      <c r="AD528" s="68">
        <v>4062401.5922241635</v>
      </c>
    </row>
    <row r="529" spans="1:30" x14ac:dyDescent="0.2">
      <c r="A529" s="95">
        <v>521</v>
      </c>
      <c r="B529" s="95">
        <v>43</v>
      </c>
      <c r="C529" s="95">
        <v>5</v>
      </c>
      <c r="D529" s="95"/>
      <c r="E529" s="95">
        <v>6.4146231664856348</v>
      </c>
      <c r="F529" s="95">
        <v>127.68043606703837</v>
      </c>
      <c r="G529" s="95">
        <v>213.5201838794116</v>
      </c>
      <c r="H529" s="95">
        <v>430.79474021986408</v>
      </c>
      <c r="I529" s="95">
        <v>1841.1552337899079</v>
      </c>
      <c r="J529" s="95">
        <v>74.870648204834936</v>
      </c>
      <c r="K529" s="95">
        <v>340.63614011580114</v>
      </c>
      <c r="L529" s="95">
        <v>132.83728789473685</v>
      </c>
      <c r="M529" s="95">
        <v>5376.4475574381586</v>
      </c>
      <c r="N529" s="95">
        <v>1455.6431492237652</v>
      </c>
      <c r="O529" s="95">
        <v>10000.000000000004</v>
      </c>
      <c r="Q529" s="98">
        <v>5376.4475574381586</v>
      </c>
      <c r="R529" s="95">
        <v>4497.571672430523</v>
      </c>
      <c r="S529" s="99">
        <v>2986.4508609484983</v>
      </c>
      <c r="U529" s="121">
        <v>1114.9594751907011</v>
      </c>
      <c r="V529" s="59">
        <v>22204.12597686299</v>
      </c>
      <c r="W529" s="59">
        <v>37136.954407946432</v>
      </c>
      <c r="X529" s="59">
        <v>154287.39130512738</v>
      </c>
      <c r="Y529" s="59">
        <v>768046.47237998736</v>
      </c>
      <c r="Z529" s="59">
        <v>1926379.0237693719</v>
      </c>
      <c r="AA529" s="59">
        <v>1132830.9989249576</v>
      </c>
      <c r="AB529" s="59">
        <v>4041999.9262394444</v>
      </c>
      <c r="AC529" s="59">
        <v>3244307130.4683304</v>
      </c>
      <c r="AD529" s="68">
        <v>4041999.9262394444</v>
      </c>
    </row>
    <row r="530" spans="1:30" x14ac:dyDescent="0.2">
      <c r="A530" s="95">
        <v>522</v>
      </c>
      <c r="B530" s="95">
        <v>43</v>
      </c>
      <c r="C530" s="95">
        <v>6</v>
      </c>
      <c r="D530" s="95"/>
      <c r="E530" s="95">
        <v>6.3397858962099694</v>
      </c>
      <c r="F530" s="95">
        <v>126.59385471830826</v>
      </c>
      <c r="G530" s="95">
        <v>211.88013811032346</v>
      </c>
      <c r="H530" s="95">
        <v>427.93990298444476</v>
      </c>
      <c r="I530" s="95">
        <v>1833.6589331313639</v>
      </c>
      <c r="J530" s="95">
        <v>74.584732993540783</v>
      </c>
      <c r="K530" s="95">
        <v>339.44007455329353</v>
      </c>
      <c r="L530" s="95">
        <v>132.35844250525605</v>
      </c>
      <c r="M530" s="95">
        <v>5385.4891597379337</v>
      </c>
      <c r="N530" s="95">
        <v>1461.71497536933</v>
      </c>
      <c r="O530" s="95">
        <v>10000.000000000004</v>
      </c>
      <c r="Q530" s="98">
        <v>5385.4891597379337</v>
      </c>
      <c r="R530" s="95">
        <v>4503.5554269403401</v>
      </c>
      <c r="S530" s="99">
        <v>2990.9534138550703</v>
      </c>
      <c r="U530" s="121">
        <v>1100.6508285924206</v>
      </c>
      <c r="V530" s="59">
        <v>21989.254884314658</v>
      </c>
      <c r="W530" s="59">
        <v>36808.358480111914</v>
      </c>
      <c r="X530" s="59">
        <v>153084.81142144473</v>
      </c>
      <c r="Y530" s="59">
        <v>764022.59169118339</v>
      </c>
      <c r="Z530" s="59">
        <v>1917248.3401619354</v>
      </c>
      <c r="AA530" s="59">
        <v>1127422.2574110231</v>
      </c>
      <c r="AB530" s="59">
        <v>4021676.2648786055</v>
      </c>
      <c r="AC530" s="59">
        <v>3248328806.7332091</v>
      </c>
      <c r="AD530" s="68">
        <v>4021676.2648786055</v>
      </c>
    </row>
    <row r="531" spans="1:30" x14ac:dyDescent="0.2">
      <c r="A531" s="95">
        <v>523</v>
      </c>
      <c r="B531" s="95">
        <v>43</v>
      </c>
      <c r="C531" s="95">
        <v>7</v>
      </c>
      <c r="D531" s="95"/>
      <c r="E531" s="95">
        <v>6.2658217274208532</v>
      </c>
      <c r="F531" s="95">
        <v>125.51632293833154</v>
      </c>
      <c r="G531" s="95">
        <v>210.2519396020968</v>
      </c>
      <c r="H531" s="95">
        <v>425.10173382264486</v>
      </c>
      <c r="I531" s="95">
        <v>1826.1825122837149</v>
      </c>
      <c r="J531" s="95">
        <v>74.299227587732958</v>
      </c>
      <c r="K531" s="95">
        <v>338.24597422164868</v>
      </c>
      <c r="L531" s="95">
        <v>131.88041024272761</v>
      </c>
      <c r="M531" s="95">
        <v>5394.4982234633117</v>
      </c>
      <c r="N531" s="95">
        <v>1467.7578341103745</v>
      </c>
      <c r="O531" s="95">
        <v>10000.000000000004</v>
      </c>
      <c r="Q531" s="98">
        <v>5394.4982234633117</v>
      </c>
      <c r="R531" s="95">
        <v>4509.5148184730169</v>
      </c>
      <c r="S531" s="99">
        <v>2995.4388231864891</v>
      </c>
      <c r="U531" s="121">
        <v>1086.5258096254845</v>
      </c>
      <c r="V531" s="59">
        <v>21776.428805236232</v>
      </c>
      <c r="W531" s="59">
        <v>36482.539678761008</v>
      </c>
      <c r="X531" s="59">
        <v>151890.79922100008</v>
      </c>
      <c r="Y531" s="59">
        <v>760015.35535728326</v>
      </c>
      <c r="Z531" s="59">
        <v>1908147.3609075798</v>
      </c>
      <c r="AA531" s="59">
        <v>1122031.5257612187</v>
      </c>
      <c r="AB531" s="59">
        <v>4001430.5355407046</v>
      </c>
      <c r="AC531" s="59">
        <v>3252330237.2687497</v>
      </c>
      <c r="AD531" s="68">
        <v>4001430.5355407046</v>
      </c>
    </row>
    <row r="532" spans="1:30" x14ac:dyDescent="0.2">
      <c r="A532" s="95">
        <v>524</v>
      </c>
      <c r="B532" s="95">
        <v>43</v>
      </c>
      <c r="C532" s="95">
        <v>8</v>
      </c>
      <c r="D532" s="95"/>
      <c r="E532" s="95">
        <v>6.1927204739342763</v>
      </c>
      <c r="F532" s="95">
        <v>124.44776779372891</v>
      </c>
      <c r="G532" s="95">
        <v>208.63551127598498</v>
      </c>
      <c r="H532" s="95">
        <v>422.28015813522018</v>
      </c>
      <c r="I532" s="95">
        <v>1818.7260064662037</v>
      </c>
      <c r="J532" s="95">
        <v>74.014141481241751</v>
      </c>
      <c r="K532" s="95">
        <v>337.05385166819144</v>
      </c>
      <c r="L532" s="95">
        <v>131.4031972665428</v>
      </c>
      <c r="M532" s="95">
        <v>5403.4748021055984</v>
      </c>
      <c r="N532" s="95">
        <v>1473.7718433333582</v>
      </c>
      <c r="O532" s="95">
        <v>10000.000000000005</v>
      </c>
      <c r="Q532" s="98">
        <v>5403.4748021055984</v>
      </c>
      <c r="R532" s="95">
        <v>4515.4499116379393</v>
      </c>
      <c r="S532" s="99">
        <v>2999.9071255944068</v>
      </c>
      <c r="U532" s="121">
        <v>1072.5820617352906</v>
      </c>
      <c r="V532" s="59">
        <v>21565.628739026848</v>
      </c>
      <c r="W532" s="59">
        <v>36159.476155334305</v>
      </c>
      <c r="X532" s="59">
        <v>150705.30264196562</v>
      </c>
      <c r="Y532" s="59">
        <v>756024.73497285997</v>
      </c>
      <c r="Z532" s="59">
        <v>1899076.1243348781</v>
      </c>
      <c r="AA532" s="59">
        <v>1116658.8141484491</v>
      </c>
      <c r="AB532" s="59">
        <v>3981262.6630542492</v>
      </c>
      <c r="AC532" s="59">
        <v>3256311499.9318042</v>
      </c>
      <c r="AD532" s="68">
        <v>3981262.6630542492</v>
      </c>
    </row>
    <row r="533" spans="1:30" x14ac:dyDescent="0.2">
      <c r="A533" s="95">
        <v>525</v>
      </c>
      <c r="B533" s="95">
        <v>43</v>
      </c>
      <c r="C533" s="95">
        <v>9</v>
      </c>
      <c r="D533" s="95"/>
      <c r="E533" s="95">
        <v>6.1204720684050429</v>
      </c>
      <c r="F533" s="95">
        <v>123.38811690820621</v>
      </c>
      <c r="G533" s="95">
        <v>207.03077645515174</v>
      </c>
      <c r="H533" s="95">
        <v>419.47510141624707</v>
      </c>
      <c r="I533" s="95">
        <v>1811.2894499538916</v>
      </c>
      <c r="J533" s="95">
        <v>73.729483955110453</v>
      </c>
      <c r="K533" s="95">
        <v>335.86371933925273</v>
      </c>
      <c r="L533" s="95">
        <v>130.92680967110482</v>
      </c>
      <c r="M533" s="95">
        <v>5412.4189496363679</v>
      </c>
      <c r="N533" s="95">
        <v>1479.757120596267</v>
      </c>
      <c r="O533" s="95">
        <v>10000.000000000004</v>
      </c>
      <c r="Q533" s="98">
        <v>5412.4189496363679</v>
      </c>
      <c r="R533" s="95">
        <v>4521.3607711589548</v>
      </c>
      <c r="S533" s="99">
        <v>3004.358357896464</v>
      </c>
      <c r="U533" s="121">
        <v>1058.8172586096878</v>
      </c>
      <c r="V533" s="59">
        <v>21356.835855281992</v>
      </c>
      <c r="W533" s="59">
        <v>35839.146212536791</v>
      </c>
      <c r="X533" s="59">
        <v>149528.26983647863</v>
      </c>
      <c r="Y533" s="59">
        <v>752050.70175958402</v>
      </c>
      <c r="Z533" s="59">
        <v>1890034.6667135903</v>
      </c>
      <c r="AA533" s="59">
        <v>1111304.1320740955</v>
      </c>
      <c r="AB533" s="59">
        <v>3961172.5697101769</v>
      </c>
      <c r="AC533" s="59">
        <v>3260272672.5015144</v>
      </c>
      <c r="AD533" s="68">
        <v>3961172.5697101769</v>
      </c>
    </row>
    <row r="534" spans="1:30" x14ac:dyDescent="0.2">
      <c r="A534" s="95">
        <v>526</v>
      </c>
      <c r="B534" s="95">
        <v>43</v>
      </c>
      <c r="C534" s="95">
        <v>10</v>
      </c>
      <c r="D534" s="95"/>
      <c r="E534" s="95">
        <v>6.0490665609403171</v>
      </c>
      <c r="F534" s="95">
        <v>122.33729845869931</v>
      </c>
      <c r="G534" s="95">
        <v>205.43765886382764</v>
      </c>
      <c r="H534" s="95">
        <v>416.68648925606038</v>
      </c>
      <c r="I534" s="95">
        <v>1803.8728760845406</v>
      </c>
      <c r="J534" s="95">
        <v>73.445264081796111</v>
      </c>
      <c r="K534" s="95">
        <v>334.67558957944942</v>
      </c>
      <c r="L534" s="95">
        <v>130.45125348538599</v>
      </c>
      <c r="M534" s="95">
        <v>5421.3307205009833</v>
      </c>
      <c r="N534" s="95">
        <v>1485.713783128321</v>
      </c>
      <c r="O534" s="95">
        <v>10000.000000000004</v>
      </c>
      <c r="Q534" s="98">
        <v>5421.3307205009833</v>
      </c>
      <c r="R534" s="95">
        <v>4527.2474618713049</v>
      </c>
      <c r="S534" s="99">
        <v>3008.7925570734114</v>
      </c>
      <c r="U534" s="121">
        <v>1045.2291037908635</v>
      </c>
      <c r="V534" s="59">
        <v>21150.03149235807</v>
      </c>
      <c r="W534" s="59">
        <v>35521.528303564352</v>
      </c>
      <c r="X534" s="59">
        <v>148359.6491710275</v>
      </c>
      <c r="Y534" s="59">
        <v>748093.22657142766</v>
      </c>
      <c r="Z534" s="59">
        <v>1881023.0222889869</v>
      </c>
      <c r="AA534" s="59">
        <v>1105967.4883636336</v>
      </c>
      <c r="AB534" s="59">
        <v>3941160.175294789</v>
      </c>
      <c r="AC534" s="59">
        <v>3264213832.6768093</v>
      </c>
      <c r="AD534" s="68">
        <v>3941160.175294789</v>
      </c>
    </row>
    <row r="535" spans="1:30" x14ac:dyDescent="0.2">
      <c r="A535" s="95">
        <v>527</v>
      </c>
      <c r="B535" s="95">
        <v>43</v>
      </c>
      <c r="C535" s="95">
        <v>11</v>
      </c>
      <c r="D535" s="95"/>
      <c r="E535" s="95">
        <v>5.9784941177293467</v>
      </c>
      <c r="F535" s="95">
        <v>121.29524117154018</v>
      </c>
      <c r="G535" s="95">
        <v>203.85608262644948</v>
      </c>
      <c r="H535" s="95">
        <v>413.91424734414932</v>
      </c>
      <c r="I535" s="95">
        <v>1796.4763172654805</v>
      </c>
      <c r="J535" s="95">
        <v>73.161490729280544</v>
      </c>
      <c r="K535" s="95">
        <v>333.48947463099319</v>
      </c>
      <c r="L535" s="95">
        <v>129.97653467252971</v>
      </c>
      <c r="M535" s="95">
        <v>5430.2101696121535</v>
      </c>
      <c r="N535" s="95">
        <v>1491.6419478296982</v>
      </c>
      <c r="O535" s="95">
        <v>10000.000000000004</v>
      </c>
      <c r="Q535" s="98">
        <v>5430.2101696121535</v>
      </c>
      <c r="R535" s="95">
        <v>4533.1100487185795</v>
      </c>
      <c r="S535" s="99">
        <v>3013.209760266257</v>
      </c>
      <c r="U535" s="121">
        <v>1031.8153302922142</v>
      </c>
      <c r="V535" s="59">
        <v>20945.197155947724</v>
      </c>
      <c r="W535" s="59">
        <v>35206.601031330254</v>
      </c>
      <c r="X535" s="59">
        <v>147199.38922681735</v>
      </c>
      <c r="Y535" s="59">
        <v>744152.27989983582</v>
      </c>
      <c r="Z535" s="59">
        <v>1872041.2233154986</v>
      </c>
      <c r="AA535" s="59">
        <v>1100648.891162901</v>
      </c>
      <c r="AB535" s="59">
        <v>3921225.3971226229</v>
      </c>
      <c r="AC535" s="59">
        <v>3268135058.0739322</v>
      </c>
      <c r="AD535" s="68">
        <v>3921225.3971226229</v>
      </c>
    </row>
    <row r="536" spans="1:30" x14ac:dyDescent="0.2">
      <c r="A536" s="95">
        <v>528</v>
      </c>
      <c r="B536" s="95">
        <v>44</v>
      </c>
      <c r="C536" s="95">
        <v>0</v>
      </c>
      <c r="D536" s="95"/>
      <c r="E536" s="95">
        <v>5.9087450196891709</v>
      </c>
      <c r="F536" s="95">
        <v>120.26187431864419</v>
      </c>
      <c r="G536" s="95">
        <v>202.28597226678269</v>
      </c>
      <c r="H536" s="95">
        <v>411.15830147201075</v>
      </c>
      <c r="I536" s="95">
        <v>1789.0998049804591</v>
      </c>
      <c r="J536" s="95">
        <v>72.878172565093536</v>
      </c>
      <c r="K536" s="95">
        <v>332.30538663302758</v>
      </c>
      <c r="L536" s="95">
        <v>129.50265912949445</v>
      </c>
      <c r="M536" s="95">
        <v>5439.0573523435341</v>
      </c>
      <c r="N536" s="95">
        <v>1497.541731271268</v>
      </c>
      <c r="O536" s="95">
        <v>10000.000000000004</v>
      </c>
      <c r="Q536" s="98">
        <v>5439.0573523435341</v>
      </c>
      <c r="R536" s="95">
        <v>4538.9485967496921</v>
      </c>
      <c r="S536" s="99">
        <v>3017.6100047734417</v>
      </c>
      <c r="U536" s="121">
        <v>1018.5737002201306</v>
      </c>
      <c r="V536" s="59">
        <v>20742.314517665938</v>
      </c>
      <c r="W536" s="59">
        <v>34894.343147691645</v>
      </c>
      <c r="X536" s="59">
        <v>146047.43880011459</v>
      </c>
      <c r="Y536" s="59">
        <v>740227.8318788613</v>
      </c>
      <c r="Z536" s="59">
        <v>1863089.3000897104</v>
      </c>
      <c r="AA536" s="59">
        <v>1095348.3479349841</v>
      </c>
      <c r="AB536" s="59">
        <v>3901368.1500692479</v>
      </c>
      <c r="AC536" s="59">
        <v>3272036426.2240014</v>
      </c>
      <c r="AD536" s="68">
        <v>3901368.1500692479</v>
      </c>
    </row>
    <row r="537" spans="1:30" x14ac:dyDescent="0.2">
      <c r="A537" s="95">
        <v>529</v>
      </c>
      <c r="B537" s="95">
        <v>44</v>
      </c>
      <c r="C537" s="95">
        <v>1</v>
      </c>
      <c r="D537" s="95"/>
      <c r="E537" s="95">
        <v>5.8398096611261305</v>
      </c>
      <c r="F537" s="95">
        <v>119.23712771371837</v>
      </c>
      <c r="G537" s="95">
        <v>200.72725270702728</v>
      </c>
      <c r="H537" s="95">
        <v>408.41857753596111</v>
      </c>
      <c r="I537" s="95">
        <v>1781.7433697964789</v>
      </c>
      <c r="J537" s="95">
        <v>72.59531806025015</v>
      </c>
      <c r="K537" s="95">
        <v>331.12333762099286</v>
      </c>
      <c r="L537" s="95">
        <v>129.0296326867383</v>
      </c>
      <c r="M537" s="95">
        <v>5447.8723245233705</v>
      </c>
      <c r="N537" s="95">
        <v>1503.4132496943396</v>
      </c>
      <c r="O537" s="95">
        <v>10000.000000000004</v>
      </c>
      <c r="Q537" s="98">
        <v>5447.8723245233705</v>
      </c>
      <c r="R537" s="95">
        <v>4544.7631711158783</v>
      </c>
      <c r="S537" s="99">
        <v>3021.9933280480418</v>
      </c>
      <c r="U537" s="121">
        <v>1005.502004400639</v>
      </c>
      <c r="V537" s="59">
        <v>20541.365413646814</v>
      </c>
      <c r="W537" s="59">
        <v>34584.733552676145</v>
      </c>
      <c r="X537" s="59">
        <v>144903.74690257147</v>
      </c>
      <c r="Y537" s="59">
        <v>736319.85229026549</v>
      </c>
      <c r="Z537" s="59">
        <v>1854167.2809827176</v>
      </c>
      <c r="AA537" s="59">
        <v>1090065.8654576913</v>
      </c>
      <c r="AB537" s="59">
        <v>3881588.3466039696</v>
      </c>
      <c r="AC537" s="59">
        <v>3275918014.5706053</v>
      </c>
      <c r="AD537" s="68">
        <v>3881588.3466039696</v>
      </c>
    </row>
    <row r="538" spans="1:30" x14ac:dyDescent="0.2">
      <c r="A538" s="95">
        <v>530</v>
      </c>
      <c r="B538" s="95">
        <v>44</v>
      </c>
      <c r="C538" s="95">
        <v>2</v>
      </c>
      <c r="D538" s="95"/>
      <c r="E538" s="95">
        <v>5.771678548412992</v>
      </c>
      <c r="F538" s="95">
        <v>118.22093170849088</v>
      </c>
      <c r="G538" s="95">
        <v>199.17984926690738</v>
      </c>
      <c r="H538" s="95">
        <v>405.69500153990651</v>
      </c>
      <c r="I538" s="95">
        <v>1774.4070413706154</v>
      </c>
      <c r="J538" s="95">
        <v>72.312935493104135</v>
      </c>
      <c r="K538" s="95">
        <v>329.94333952601829</v>
      </c>
      <c r="L538" s="95">
        <v>128.55746110794189</v>
      </c>
      <c r="M538" s="95">
        <v>5456.6551424281834</v>
      </c>
      <c r="N538" s="95">
        <v>1509.2566190104221</v>
      </c>
      <c r="O538" s="95">
        <v>10000.000000000004</v>
      </c>
      <c r="Q538" s="98">
        <v>5456.6551424281834</v>
      </c>
      <c r="R538" s="95">
        <v>4550.5538370677168</v>
      </c>
      <c r="S538" s="99">
        <v>3026.359767694998</v>
      </c>
      <c r="U538" s="121">
        <v>992.59806201083086</v>
      </c>
      <c r="V538" s="59">
        <v>20342.331843150976</v>
      </c>
      <c r="W538" s="59">
        <v>34277.751293708629</v>
      </c>
      <c r="X538" s="59">
        <v>143768.26276153055</v>
      </c>
      <c r="Y538" s="59">
        <v>732428.31056858483</v>
      </c>
      <c r="Z538" s="59">
        <v>1845275.1924718532</v>
      </c>
      <c r="AA538" s="59">
        <v>1084801.449821583</v>
      </c>
      <c r="AB538" s="59">
        <v>3861885.8968224218</v>
      </c>
      <c r="AC538" s="59">
        <v>3279779900.4674277</v>
      </c>
      <c r="AD538" s="68">
        <v>3861885.8968224218</v>
      </c>
    </row>
    <row r="539" spans="1:30" x14ac:dyDescent="0.2">
      <c r="A539" s="95">
        <v>531</v>
      </c>
      <c r="B539" s="95">
        <v>44</v>
      </c>
      <c r="C539" s="95">
        <v>3</v>
      </c>
      <c r="D539" s="95"/>
      <c r="E539" s="95">
        <v>5.7043422986815067</v>
      </c>
      <c r="F539" s="95">
        <v>117.21321718896149</v>
      </c>
      <c r="G539" s="95">
        <v>197.64368766274521</v>
      </c>
      <c r="H539" s="95">
        <v>402.98749959807168</v>
      </c>
      <c r="I539" s="95">
        <v>1767.0908484568206</v>
      </c>
      <c r="J539" s="95">
        <v>72.031032953119393</v>
      </c>
      <c r="K539" s="95">
        <v>328.76540417434092</v>
      </c>
      <c r="L539" s="95">
        <v>128.08615008976815</v>
      </c>
      <c r="M539" s="95">
        <v>5465.4058627764962</v>
      </c>
      <c r="N539" s="95">
        <v>1515.0719548009981</v>
      </c>
      <c r="O539" s="95">
        <v>10000.000000000004</v>
      </c>
      <c r="Q539" s="98">
        <v>5465.4058627764962</v>
      </c>
      <c r="R539" s="95">
        <v>4556.3206599521709</v>
      </c>
      <c r="S539" s="99">
        <v>3030.7093614683722</v>
      </c>
      <c r="U539" s="121">
        <v>979.85972021502516</v>
      </c>
      <c r="V539" s="59">
        <v>20145.195967183547</v>
      </c>
      <c r="W539" s="59">
        <v>33973.375564838265</v>
      </c>
      <c r="X539" s="59">
        <v>142640.93582030918</v>
      </c>
      <c r="Y539" s="59">
        <v>728553.17580616265</v>
      </c>
      <c r="Z539" s="59">
        <v>1836413.0591718084</v>
      </c>
      <c r="AA539" s="59">
        <v>1079555.1064285291</v>
      </c>
      <c r="AB539" s="59">
        <v>3842260.7084790464</v>
      </c>
      <c r="AC539" s="59">
        <v>3283622161.1759067</v>
      </c>
      <c r="AD539" s="68">
        <v>3842260.7084790464</v>
      </c>
    </row>
    <row r="540" spans="1:30" x14ac:dyDescent="0.2">
      <c r="A540" s="95">
        <v>532</v>
      </c>
      <c r="B540" s="95">
        <v>44</v>
      </c>
      <c r="C540" s="95">
        <v>4</v>
      </c>
      <c r="D540" s="95"/>
      <c r="E540" s="95">
        <v>5.6377916385302225</v>
      </c>
      <c r="F540" s="95">
        <v>116.21391557167298</v>
      </c>
      <c r="G540" s="95">
        <v>196.11869400651929</v>
      </c>
      <c r="H540" s="95">
        <v>400.29599793768813</v>
      </c>
      <c r="I540" s="95">
        <v>1759.7948189127087</v>
      </c>
      <c r="J540" s="95">
        <v>71.749618344561156</v>
      </c>
      <c r="K540" s="95">
        <v>327.58954328675111</v>
      </c>
      <c r="L540" s="95">
        <v>127.61570526165708</v>
      </c>
      <c r="M540" s="95">
        <v>5474.1245427226067</v>
      </c>
      <c r="N540" s="95">
        <v>1520.8593723173078</v>
      </c>
      <c r="O540" s="95">
        <v>10000.000000000004</v>
      </c>
      <c r="Q540" s="98">
        <v>5474.1245427226067</v>
      </c>
      <c r="R540" s="95">
        <v>4562.0637052096554</v>
      </c>
      <c r="S540" s="99">
        <v>3035.0421472686276</v>
      </c>
      <c r="U540" s="121">
        <v>967.28485380559891</v>
      </c>
      <c r="V540" s="59">
        <v>19949.940107122609</v>
      </c>
      <c r="W540" s="59">
        <v>33671.585705965845</v>
      </c>
      <c r="X540" s="59">
        <v>141521.71573846453</v>
      </c>
      <c r="Y540" s="59">
        <v>724694.41675814649</v>
      </c>
      <c r="Z540" s="59">
        <v>1827580.9038651583</v>
      </c>
      <c r="AA540" s="59">
        <v>1074326.8399907665</v>
      </c>
      <c r="AB540" s="59">
        <v>3822712.6870194301</v>
      </c>
      <c r="AC540" s="59">
        <v>3287444873.862926</v>
      </c>
      <c r="AD540" s="68">
        <v>3822712.6870194301</v>
      </c>
    </row>
    <row r="541" spans="1:30" x14ac:dyDescent="0.2">
      <c r="A541" s="95">
        <v>533</v>
      </c>
      <c r="B541" s="95">
        <v>44</v>
      </c>
      <c r="C541" s="95">
        <v>5</v>
      </c>
      <c r="D541" s="95"/>
      <c r="E541" s="95">
        <v>5.5720174027473695</v>
      </c>
      <c r="F541" s="95">
        <v>115.2229588000036</v>
      </c>
      <c r="G541" s="95">
        <v>194.60479480490761</v>
      </c>
      <c r="H541" s="95">
        <v>397.62042290164175</v>
      </c>
      <c r="I541" s="95">
        <v>1752.5189797063258</v>
      </c>
      <c r="J541" s="95">
        <v>71.468699390108853</v>
      </c>
      <c r="K541" s="95">
        <v>326.4157684780634</v>
      </c>
      <c r="L541" s="95">
        <v>127.14613218565387</v>
      </c>
      <c r="M541" s="95">
        <v>5482.8112398504027</v>
      </c>
      <c r="N541" s="95">
        <v>1526.6189864801481</v>
      </c>
      <c r="O541" s="95">
        <v>10000.000000000004</v>
      </c>
      <c r="Q541" s="98">
        <v>5482.8112398504027</v>
      </c>
      <c r="R541" s="95">
        <v>4567.7830383711216</v>
      </c>
      <c r="S541" s="99">
        <v>3039.3581631399366</v>
      </c>
      <c r="U541" s="121">
        <v>954.87136484842699</v>
      </c>
      <c r="V541" s="59">
        <v>19756.546743358136</v>
      </c>
      <c r="W541" s="59">
        <v>33372.361202071574</v>
      </c>
      <c r="X541" s="59">
        <v>140410.55239203959</v>
      </c>
      <c r="Y541" s="59">
        <v>720852.00184745016</v>
      </c>
      <c r="Z541" s="59">
        <v>1818778.7475323062</v>
      </c>
      <c r="AA541" s="59">
        <v>1069116.6545304295</v>
      </c>
      <c r="AB541" s="59">
        <v>3803241.7356125037</v>
      </c>
      <c r="AC541" s="59">
        <v>3291248115.5985384</v>
      </c>
      <c r="AD541" s="68">
        <v>3803241.7356125037</v>
      </c>
    </row>
    <row r="542" spans="1:30" x14ac:dyDescent="0.2">
      <c r="A542" s="95">
        <v>534</v>
      </c>
      <c r="B542" s="95">
        <v>44</v>
      </c>
      <c r="C542" s="95">
        <v>6</v>
      </c>
      <c r="D542" s="95"/>
      <c r="E542" s="95">
        <v>5.5070105330486498</v>
      </c>
      <c r="F542" s="95">
        <v>114.24027934048036</v>
      </c>
      <c r="G542" s="95">
        <v>193.10191695831583</v>
      </c>
      <c r="H542" s="95">
        <v>394.96070095108013</v>
      </c>
      <c r="I542" s="95">
        <v>1745.2633569229017</v>
      </c>
      <c r="J542" s="95">
        <v>71.188283634392334</v>
      </c>
      <c r="K542" s="95">
        <v>325.24409125661327</v>
      </c>
      <c r="L542" s="95">
        <v>126.67743635626887</v>
      </c>
      <c r="M542" s="95">
        <v>5491.4660121672205</v>
      </c>
      <c r="N542" s="95">
        <v>1532.3509118796812</v>
      </c>
      <c r="O542" s="95">
        <v>10000.000000000004</v>
      </c>
      <c r="Q542" s="98">
        <v>5491.4660121672205</v>
      </c>
      <c r="R542" s="95">
        <v>4573.4787250551672</v>
      </c>
      <c r="S542" s="99">
        <v>3043.6574472675134</v>
      </c>
      <c r="U542" s="121">
        <v>942.61718233287229</v>
      </c>
      <c r="V542" s="59">
        <v>19564.998513941267</v>
      </c>
      <c r="W542" s="59">
        <v>33075.681682443261</v>
      </c>
      <c r="X542" s="59">
        <v>139307.39587378962</v>
      </c>
      <c r="Y542" s="59">
        <v>717025.89916968276</v>
      </c>
      <c r="Z542" s="59">
        <v>1810006.6093808627</v>
      </c>
      <c r="AA542" s="59">
        <v>1063924.553379531</v>
      </c>
      <c r="AB542" s="59">
        <v>3783847.7551825834</v>
      </c>
      <c r="AC542" s="59">
        <v>3295031963.3537211</v>
      </c>
      <c r="AD542" s="68">
        <v>3783847.7551825834</v>
      </c>
    </row>
    <row r="543" spans="1:30" x14ac:dyDescent="0.2">
      <c r="A543" s="95">
        <v>535</v>
      </c>
      <c r="B543" s="95">
        <v>44</v>
      </c>
      <c r="C543" s="95">
        <v>7</v>
      </c>
      <c r="D543" s="95"/>
      <c r="E543" s="95">
        <v>5.4427620768297489</v>
      </c>
      <c r="F543" s="95">
        <v>113.26581017911326</v>
      </c>
      <c r="G543" s="95">
        <v>191.60998775989097</v>
      </c>
      <c r="H543" s="95">
        <v>392.31675866797997</v>
      </c>
      <c r="I543" s="95">
        <v>1738.0279757715839</v>
      </c>
      <c r="J543" s="95">
        <v>70.908378447453202</v>
      </c>
      <c r="K543" s="95">
        <v>324.07452302377834</v>
      </c>
      <c r="L543" s="95">
        <v>126.20962320036787</v>
      </c>
      <c r="M543" s="95">
        <v>5500.0889180977474</v>
      </c>
      <c r="N543" s="95">
        <v>1538.0552627752579</v>
      </c>
      <c r="O543" s="95">
        <v>10000.000000000002</v>
      </c>
      <c r="Q543" s="98">
        <v>5500.0889180977474</v>
      </c>
      <c r="R543" s="95">
        <v>4579.1508309651663</v>
      </c>
      <c r="S543" s="99">
        <v>3047.9400379749723</v>
      </c>
      <c r="U543" s="121">
        <v>930.52026182626696</v>
      </c>
      <c r="V543" s="59">
        <v>19375.278213243942</v>
      </c>
      <c r="W543" s="59">
        <v>32781.526919905045</v>
      </c>
      <c r="X543" s="59">
        <v>138212.19649339028</v>
      </c>
      <c r="Y543" s="59">
        <v>713216.07649804209</v>
      </c>
      <c r="Z543" s="59">
        <v>1801264.5068744705</v>
      </c>
      <c r="AA543" s="59">
        <v>1058750.5391803663</v>
      </c>
      <c r="AB543" s="59">
        <v>3764530.6444412447</v>
      </c>
      <c r="AC543" s="59">
        <v>3298796493.9981623</v>
      </c>
      <c r="AD543" s="68">
        <v>3764530.6444412447</v>
      </c>
    </row>
    <row r="544" spans="1:30" x14ac:dyDescent="0.2">
      <c r="A544" s="95">
        <v>536</v>
      </c>
      <c r="B544" s="95">
        <v>44</v>
      </c>
      <c r="C544" s="95">
        <v>8</v>
      </c>
      <c r="D544" s="95"/>
      <c r="E544" s="95">
        <v>5.3792631859334019</v>
      </c>
      <c r="F544" s="95">
        <v>112.29948481775033</v>
      </c>
      <c r="G544" s="95">
        <v>190.128934894521</v>
      </c>
      <c r="H544" s="95">
        <v>389.68852275767478</v>
      </c>
      <c r="I544" s="95">
        <v>1730.8128605921543</v>
      </c>
      <c r="J544" s="95">
        <v>70.62899102813293</v>
      </c>
      <c r="K544" s="95">
        <v>322.90707507352442</v>
      </c>
      <c r="L544" s="95">
        <v>125.74269807709123</v>
      </c>
      <c r="M544" s="95">
        <v>5508.6800164779688</v>
      </c>
      <c r="N544" s="95">
        <v>1543.7321530952513</v>
      </c>
      <c r="O544" s="95">
        <v>10000.000000000002</v>
      </c>
      <c r="Q544" s="98">
        <v>5508.6800164779688</v>
      </c>
      <c r="R544" s="95">
        <v>4584.7994218864242</v>
      </c>
      <c r="S544" s="99">
        <v>3052.2059737217096</v>
      </c>
      <c r="U544" s="121">
        <v>918.57858513282986</v>
      </c>
      <c r="V544" s="59">
        <v>19187.368790628767</v>
      </c>
      <c r="W544" s="59">
        <v>32489.876830046767</v>
      </c>
      <c r="X544" s="59">
        <v>137124.904777627</v>
      </c>
      <c r="Y544" s="59">
        <v>709422.50128817407</v>
      </c>
      <c r="Z544" s="59">
        <v>1792552.455761092</v>
      </c>
      <c r="AA544" s="59">
        <v>1053594.6138863184</v>
      </c>
      <c r="AB544" s="59">
        <v>3745290.2999190199</v>
      </c>
      <c r="AC544" s="59">
        <v>3302541784.2980814</v>
      </c>
      <c r="AD544" s="68">
        <v>3745290.2999190199</v>
      </c>
    </row>
    <row r="545" spans="1:30" x14ac:dyDescent="0.2">
      <c r="A545" s="95">
        <v>537</v>
      </c>
      <c r="B545" s="95">
        <v>44</v>
      </c>
      <c r="C545" s="95">
        <v>9</v>
      </c>
      <c r="D545" s="95"/>
      <c r="E545" s="95">
        <v>5.3165051154308456</v>
      </c>
      <c r="F545" s="95">
        <v>111.34123727045342</v>
      </c>
      <c r="G545" s="95">
        <v>188.65868643782036</v>
      </c>
      <c r="H545" s="95">
        <v>387.07592005134359</v>
      </c>
      <c r="I545" s="95">
        <v>1723.6180348617281</v>
      </c>
      <c r="J545" s="95">
        <v>70.350128407389391</v>
      </c>
      <c r="K545" s="95">
        <v>321.74175859197533</v>
      </c>
      <c r="L545" s="95">
        <v>125.27666627780054</v>
      </c>
      <c r="M545" s="95">
        <v>5517.2393665491581</v>
      </c>
      <c r="N545" s="95">
        <v>1549.3816964369025</v>
      </c>
      <c r="O545" s="95">
        <v>10000.000000000002</v>
      </c>
      <c r="Q545" s="98">
        <v>5517.2393665491581</v>
      </c>
      <c r="R545" s="95">
        <v>4590.4245636833484</v>
      </c>
      <c r="S545" s="99">
        <v>3056.45529310031</v>
      </c>
      <c r="U545" s="121">
        <v>906.79015995695852</v>
      </c>
      <c r="V545" s="59">
        <v>19001.253349129089</v>
      </c>
      <c r="W545" s="59">
        <v>32200.711470453945</v>
      </c>
      <c r="X545" s="59">
        <v>136045.47147056618</v>
      </c>
      <c r="Y545" s="59">
        <v>705645.14068299811</v>
      </c>
      <c r="Z545" s="59">
        <v>1783870.4701007681</v>
      </c>
      <c r="AA545" s="59">
        <v>1048456.7787630436</v>
      </c>
      <c r="AB545" s="59">
        <v>3726126.6159969158</v>
      </c>
      <c r="AC545" s="59">
        <v>3306267910.9140782</v>
      </c>
      <c r="AD545" s="68">
        <v>3726126.6159969158</v>
      </c>
    </row>
    <row r="546" spans="1:30" x14ac:dyDescent="0.2">
      <c r="A546" s="95">
        <v>538</v>
      </c>
      <c r="B546" s="95">
        <v>44</v>
      </c>
      <c r="C546" s="95">
        <v>10</v>
      </c>
      <c r="D546" s="95"/>
      <c r="E546" s="95">
        <v>5.2544792224174861</v>
      </c>
      <c r="F546" s="95">
        <v>110.39100205989479</v>
      </c>
      <c r="G546" s="95">
        <v>187.19917085510204</v>
      </c>
      <c r="H546" s="95">
        <v>384.47887750846041</v>
      </c>
      <c r="I546" s="95">
        <v>1716.4435212014334</v>
      </c>
      <c r="J546" s="95">
        <v>70.071797451543347</v>
      </c>
      <c r="K546" s="95">
        <v>320.57858465700627</v>
      </c>
      <c r="L546" s="95">
        <v>124.81153302605144</v>
      </c>
      <c r="M546" s="95">
        <v>5525.7670279519134</v>
      </c>
      <c r="N546" s="95">
        <v>1555.0040060661793</v>
      </c>
      <c r="O546" s="95">
        <v>10000.000000000002</v>
      </c>
      <c r="Q546" s="98">
        <v>5525.7670279519134</v>
      </c>
      <c r="R546" s="95">
        <v>4596.0263222966487</v>
      </c>
      <c r="S546" s="99">
        <v>3060.6880348339782</v>
      </c>
      <c r="U546" s="121">
        <v>895.15301957084421</v>
      </c>
      <c r="V546" s="59">
        <v>18816.915144139188</v>
      </c>
      <c r="W546" s="59">
        <v>31914.011039938501</v>
      </c>
      <c r="X546" s="59">
        <v>134973.84753370815</v>
      </c>
      <c r="Y546" s="59">
        <v>701883.96151749778</v>
      </c>
      <c r="Z546" s="59">
        <v>1775218.5622928652</v>
      </c>
      <c r="AA546" s="59">
        <v>1043337.0343900152</v>
      </c>
      <c r="AB546" s="59">
        <v>3707039.4849377349</v>
      </c>
      <c r="AC546" s="59">
        <v>3309974950.3990159</v>
      </c>
      <c r="AD546" s="68">
        <v>3707039.4849377349</v>
      </c>
    </row>
    <row r="547" spans="1:30" x14ac:dyDescent="0.2">
      <c r="A547" s="95">
        <v>539</v>
      </c>
      <c r="B547" s="95">
        <v>44</v>
      </c>
      <c r="C547" s="95">
        <v>11</v>
      </c>
      <c r="D547" s="95"/>
      <c r="E547" s="95">
        <v>5.1931769648226158</v>
      </c>
      <c r="F547" s="95">
        <v>109.44871421377431</v>
      </c>
      <c r="G547" s="95">
        <v>185.75031700033634</v>
      </c>
      <c r="H547" s="95">
        <v>381.89732221920508</v>
      </c>
      <c r="I547" s="95">
        <v>1709.2893413830727</v>
      </c>
      <c r="J547" s="95">
        <v>69.794004865456657</v>
      </c>
      <c r="K547" s="95">
        <v>319.41756423786069</v>
      </c>
      <c r="L547" s="95">
        <v>124.3473034775913</v>
      </c>
      <c r="M547" s="95">
        <v>5534.2630607202373</v>
      </c>
      <c r="N547" s="95">
        <v>1560.5991949176446</v>
      </c>
      <c r="O547" s="95">
        <v>10000.000000000002</v>
      </c>
      <c r="Q547" s="98">
        <v>5534.2630607202373</v>
      </c>
      <c r="R547" s="95">
        <v>4601.6047637405536</v>
      </c>
      <c r="S547" s="99">
        <v>3064.9042377739952</v>
      </c>
      <c r="U547" s="121">
        <v>883.66522248635169</v>
      </c>
      <c r="V547" s="59">
        <v>18634.337582114589</v>
      </c>
      <c r="W547" s="59">
        <v>31629.755877770291</v>
      </c>
      <c r="X547" s="59">
        <v>133909.98414612268</v>
      </c>
      <c r="Y547" s="59">
        <v>698138.93032347818</v>
      </c>
      <c r="Z547" s="59">
        <v>1766596.7431028185</v>
      </c>
      <c r="AA547" s="59">
        <v>1038235.3806624061</v>
      </c>
      <c r="AB547" s="59">
        <v>3688028.7969171968</v>
      </c>
      <c r="AC547" s="59">
        <v>3313662979.1959329</v>
      </c>
      <c r="AD547" s="68">
        <v>3688028.7969171968</v>
      </c>
    </row>
    <row r="548" spans="1:30" x14ac:dyDescent="0.2">
      <c r="A548" s="95">
        <v>540</v>
      </c>
      <c r="B548" s="95">
        <v>45</v>
      </c>
      <c r="C548" s="95">
        <v>0</v>
      </c>
      <c r="D548" s="95"/>
      <c r="E548" s="95">
        <v>5.1325899002330182</v>
      </c>
      <c r="F548" s="95">
        <v>108.51430926125737</v>
      </c>
      <c r="G548" s="95">
        <v>184.31205411509657</v>
      </c>
      <c r="H548" s="95">
        <v>379.33118140683598</v>
      </c>
      <c r="I548" s="95">
        <v>1702.1555163357655</v>
      </c>
      <c r="J548" s="95">
        <v>69.516757195643493</v>
      </c>
      <c r="K548" s="95">
        <v>318.25870819478922</v>
      </c>
      <c r="L548" s="95">
        <v>123.88398272038067</v>
      </c>
      <c r="M548" s="95">
        <v>5542.7275252756608</v>
      </c>
      <c r="N548" s="95">
        <v>1566.1673755943386</v>
      </c>
      <c r="O548" s="95">
        <v>10000.000000000002</v>
      </c>
      <c r="Q548" s="98">
        <v>5542.7275252756608</v>
      </c>
      <c r="R548" s="95">
        <v>4607.1599541000487</v>
      </c>
      <c r="S548" s="99">
        <v>3069.1039408971942</v>
      </c>
      <c r="U548" s="121">
        <v>872.32485213111022</v>
      </c>
      <c r="V548" s="59">
        <v>18453.504219282331</v>
      </c>
      <c r="W548" s="59">
        <v>31347.926462909443</v>
      </c>
      <c r="X548" s="59">
        <v>132853.83270456665</v>
      </c>
      <c r="Y548" s="59">
        <v>694410.0133342871</v>
      </c>
      <c r="Z548" s="59">
        <v>1758005.0216883882</v>
      </c>
      <c r="AA548" s="59">
        <v>1033151.8167932901</v>
      </c>
      <c r="AB548" s="59">
        <v>3669094.4400548548</v>
      </c>
      <c r="AC548" s="59">
        <v>3317332073.6359878</v>
      </c>
      <c r="AD548" s="68">
        <v>3669094.4400548548</v>
      </c>
    </row>
    <row r="549" spans="1:30" x14ac:dyDescent="0.2">
      <c r="A549" s="95">
        <v>541</v>
      </c>
      <c r="B549" s="95">
        <v>45</v>
      </c>
      <c r="C549" s="95">
        <v>1</v>
      </c>
      <c r="D549" s="95"/>
      <c r="E549" s="95">
        <v>5.0667216631800276</v>
      </c>
      <c r="F549" s="95">
        <v>107.46112320196185</v>
      </c>
      <c r="G549" s="95">
        <v>182.66928109769131</v>
      </c>
      <c r="H549" s="95">
        <v>376.33782938504982</v>
      </c>
      <c r="I549" s="95">
        <v>1693.05621805018</v>
      </c>
      <c r="J549" s="95">
        <v>69.158957949921344</v>
      </c>
      <c r="K549" s="95">
        <v>316.73072545248436</v>
      </c>
      <c r="L549" s="95">
        <v>123.27704446146346</v>
      </c>
      <c r="M549" s="95">
        <v>5551.1604824214128</v>
      </c>
      <c r="N549" s="95">
        <v>1575.0816163166562</v>
      </c>
      <c r="O549" s="95">
        <v>10000.000000000002</v>
      </c>
      <c r="Q549" s="98">
        <v>5551.1604824214128</v>
      </c>
      <c r="R549" s="95">
        <v>4612.6919595281397</v>
      </c>
      <c r="S549" s="99">
        <v>3073.2871833034651</v>
      </c>
      <c r="U549" s="121">
        <v>859.09459187378843</v>
      </c>
      <c r="V549" s="59">
        <v>18231.340583849578</v>
      </c>
      <c r="W549" s="59">
        <v>30995.358251492838</v>
      </c>
      <c r="X549" s="59">
        <v>131495.35254727385</v>
      </c>
      <c r="Y549" s="59">
        <v>689076.88645839156</v>
      </c>
      <c r="Z549" s="59">
        <v>1745341.3939081617</v>
      </c>
      <c r="AA549" s="59">
        <v>1025675.653743627</v>
      </c>
      <c r="AB549" s="59">
        <v>3641675.0800846703</v>
      </c>
      <c r="AC549" s="59">
        <v>3320973748.7160726</v>
      </c>
      <c r="AD549" s="68">
        <v>3641675.0800846703</v>
      </c>
    </row>
    <row r="550" spans="1:30" x14ac:dyDescent="0.2">
      <c r="A550" s="95">
        <v>542</v>
      </c>
      <c r="B550" s="95">
        <v>45</v>
      </c>
      <c r="C550" s="95">
        <v>2</v>
      </c>
      <c r="D550" s="95"/>
      <c r="E550" s="95">
        <v>5.0016987351692173</v>
      </c>
      <c r="F550" s="95">
        <v>106.41800231895792</v>
      </c>
      <c r="G550" s="95">
        <v>181.04054095934376</v>
      </c>
      <c r="H550" s="95">
        <v>373.36621487136733</v>
      </c>
      <c r="I550" s="95">
        <v>1683.9962287655258</v>
      </c>
      <c r="J550" s="95">
        <v>68.797524767295513</v>
      </c>
      <c r="K550" s="95">
        <v>315.21299231420522</v>
      </c>
      <c r="L550" s="95">
        <v>122.67227253595905</v>
      </c>
      <c r="M550" s="95">
        <v>5559.55215488663</v>
      </c>
      <c r="N550" s="95">
        <v>1583.9423698455471</v>
      </c>
      <c r="O550" s="95">
        <v>10000</v>
      </c>
      <c r="Q550" s="98">
        <v>5559.55215488663</v>
      </c>
      <c r="R550" s="95">
        <v>4618.1943922368027</v>
      </c>
      <c r="S550" s="99">
        <v>3077.449123763804</v>
      </c>
      <c r="U550" s="121">
        <v>846.06499056370262</v>
      </c>
      <c r="V550" s="59">
        <v>18011.824998822231</v>
      </c>
      <c r="W550" s="59">
        <v>30646.651807584592</v>
      </c>
      <c r="X550" s="59">
        <v>130150.10404172636</v>
      </c>
      <c r="Y550" s="59">
        <v>683780.91262605309</v>
      </c>
      <c r="Z550" s="59">
        <v>1732757.4030676512</v>
      </c>
      <c r="AA550" s="59">
        <v>1018246.8407658319</v>
      </c>
      <c r="AB550" s="59">
        <v>3614439.8022982329</v>
      </c>
      <c r="AC550" s="59">
        <v>3324588188.5183706</v>
      </c>
      <c r="AD550" s="68">
        <v>3614439.8022982329</v>
      </c>
    </row>
    <row r="551" spans="1:30" x14ac:dyDescent="0.2">
      <c r="A551" s="95">
        <v>543</v>
      </c>
      <c r="B551" s="95">
        <v>45</v>
      </c>
      <c r="C551" s="95">
        <v>3</v>
      </c>
      <c r="D551" s="95"/>
      <c r="E551" s="95">
        <v>4.9375102680678786</v>
      </c>
      <c r="F551" s="95">
        <v>105.38485252471641</v>
      </c>
      <c r="G551" s="95">
        <v>179.42572139821829</v>
      </c>
      <c r="H551" s="95">
        <v>370.41620104135086</v>
      </c>
      <c r="I551" s="95">
        <v>1674.9754637935409</v>
      </c>
      <c r="J551" s="95">
        <v>68.432624806433907</v>
      </c>
      <c r="K551" s="95">
        <v>313.70537094018846</v>
      </c>
      <c r="L551" s="95">
        <v>122.06966652825692</v>
      </c>
      <c r="M551" s="95">
        <v>5567.9026603049379</v>
      </c>
      <c r="N551" s="95">
        <v>1592.7499283942896</v>
      </c>
      <c r="O551" s="95">
        <v>10000.000000000002</v>
      </c>
      <c r="Q551" s="98">
        <v>5567.9026603049379</v>
      </c>
      <c r="R551" s="95">
        <v>4623.6673799802911</v>
      </c>
      <c r="S551" s="99">
        <v>3081.5898456274922</v>
      </c>
      <c r="U551" s="121">
        <v>833.23300487348649</v>
      </c>
      <c r="V551" s="59">
        <v>17794.926319994946</v>
      </c>
      <c r="W551" s="59">
        <v>30301.766352625986</v>
      </c>
      <c r="X551" s="59">
        <v>128817.96711748843</v>
      </c>
      <c r="Y551" s="59">
        <v>678521.87541809981</v>
      </c>
      <c r="Z551" s="59">
        <v>1720252.9402885458</v>
      </c>
      <c r="AA551" s="59">
        <v>1010865.1525781215</v>
      </c>
      <c r="AB551" s="59">
        <v>3587387.8610797501</v>
      </c>
      <c r="AC551" s="59">
        <v>3328175576.3794503</v>
      </c>
      <c r="AD551" s="68">
        <v>3587387.8610797501</v>
      </c>
    </row>
    <row r="552" spans="1:30" x14ac:dyDescent="0.2">
      <c r="A552" s="95">
        <v>544</v>
      </c>
      <c r="B552" s="95">
        <v>45</v>
      </c>
      <c r="C552" s="95">
        <v>4</v>
      </c>
      <c r="D552" s="95"/>
      <c r="E552" s="95">
        <v>4.8741455529610072</v>
      </c>
      <c r="F552" s="95">
        <v>104.36158058249545</v>
      </c>
      <c r="G552" s="95">
        <v>177.82471091530834</v>
      </c>
      <c r="H552" s="95">
        <v>367.48765169205581</v>
      </c>
      <c r="I552" s="95">
        <v>1665.993837758489</v>
      </c>
      <c r="J552" s="95">
        <v>68.064420884951019</v>
      </c>
      <c r="K552" s="95">
        <v>312.20772605121141</v>
      </c>
      <c r="L552" s="95">
        <v>121.46922610615431</v>
      </c>
      <c r="M552" s="95">
        <v>5576.2121175439079</v>
      </c>
      <c r="N552" s="95">
        <v>1601.504582912467</v>
      </c>
      <c r="O552" s="95">
        <v>10000.000000000002</v>
      </c>
      <c r="Q552" s="98">
        <v>5576.2121175439079</v>
      </c>
      <c r="R552" s="95">
        <v>4629.1110502376205</v>
      </c>
      <c r="S552" s="99">
        <v>3085.7094323111487</v>
      </c>
      <c r="U552" s="121">
        <v>820.59563763290532</v>
      </c>
      <c r="V552" s="59">
        <v>17580.613762792527</v>
      </c>
      <c r="W552" s="59">
        <v>29960.661516122967</v>
      </c>
      <c r="X552" s="59">
        <v>127498.82267562821</v>
      </c>
      <c r="Y552" s="59">
        <v>673299.55919211789</v>
      </c>
      <c r="Z552" s="59">
        <v>1707827.8811534471</v>
      </c>
      <c r="AA552" s="59">
        <v>1003530.366838376</v>
      </c>
      <c r="AB552" s="59">
        <v>3560518.5007761177</v>
      </c>
      <c r="AC552" s="59">
        <v>3331736094.8802266</v>
      </c>
      <c r="AD552" s="68">
        <v>3560518.5007761177</v>
      </c>
    </row>
    <row r="553" spans="1:30" x14ac:dyDescent="0.2">
      <c r="A553" s="95">
        <v>545</v>
      </c>
      <c r="B553" s="95">
        <v>45</v>
      </c>
      <c r="C553" s="95">
        <v>5</v>
      </c>
      <c r="D553" s="95"/>
      <c r="E553" s="95">
        <v>4.8115940183646746</v>
      </c>
      <c r="F553" s="95">
        <v>103.34809409904811</v>
      </c>
      <c r="G553" s="95">
        <v>176.23739880995907</v>
      </c>
      <c r="H553" s="95">
        <v>364.58043124213521</v>
      </c>
      <c r="I553" s="95">
        <v>1657.0512646083234</v>
      </c>
      <c r="J553" s="95">
        <v>67.693071583115028</v>
      </c>
      <c r="K553" s="95">
        <v>310.71992488017133</v>
      </c>
      <c r="L553" s="95">
        <v>120.8709510067395</v>
      </c>
      <c r="M553" s="95">
        <v>5584.4806466660848</v>
      </c>
      <c r="N553" s="95">
        <v>1610.2066230860598</v>
      </c>
      <c r="O553" s="95">
        <v>10000.000000000002</v>
      </c>
      <c r="Q553" s="98">
        <v>5584.4806466660848</v>
      </c>
      <c r="R553" s="95">
        <v>4634.525530210336</v>
      </c>
      <c r="S553" s="99">
        <v>3089.8079672878384</v>
      </c>
      <c r="U553" s="121">
        <v>808.1499371288063</v>
      </c>
      <c r="V553" s="59">
        <v>17368.856898224542</v>
      </c>
      <c r="W553" s="59">
        <v>29623.297331902519</v>
      </c>
      <c r="X553" s="59">
        <v>126192.55258246551</v>
      </c>
      <c r="Y553" s="59">
        <v>668113.74908574705</v>
      </c>
      <c r="Z553" s="59">
        <v>1695482.0863531374</v>
      </c>
      <c r="AA553" s="59">
        <v>996242.26388021791</v>
      </c>
      <c r="AB553" s="59">
        <v>3533830.9560688236</v>
      </c>
      <c r="AC553" s="59">
        <v>3335269925.8362956</v>
      </c>
      <c r="AD553" s="68">
        <v>3533830.9560688236</v>
      </c>
    </row>
    <row r="554" spans="1:30" x14ac:dyDescent="0.2">
      <c r="A554" s="95">
        <v>546</v>
      </c>
      <c r="B554" s="95">
        <v>45</v>
      </c>
      <c r="C554" s="95">
        <v>6</v>
      </c>
      <c r="D554" s="95"/>
      <c r="E554" s="95">
        <v>4.7498452284623278</v>
      </c>
      <c r="F554" s="95">
        <v>102.34430151738684</v>
      </c>
      <c r="G554" s="95">
        <v>174.66367517539703</v>
      </c>
      <c r="H554" s="95">
        <v>361.69440473189758</v>
      </c>
      <c r="I554" s="95">
        <v>1648.1476576257683</v>
      </c>
      <c r="J554" s="95">
        <v>67.31873134509479</v>
      </c>
      <c r="K554" s="95">
        <v>309.24183712455601</v>
      </c>
      <c r="L554" s="95">
        <v>120.27484102314725</v>
      </c>
      <c r="M554" s="95">
        <v>5592.7083688906332</v>
      </c>
      <c r="N554" s="95">
        <v>1618.8563373376574</v>
      </c>
      <c r="O554" s="95">
        <v>10000</v>
      </c>
      <c r="Q554" s="98">
        <v>5592.7083688906332</v>
      </c>
      <c r="R554" s="95">
        <v>4639.9109468203133</v>
      </c>
      <c r="S554" s="99">
        <v>3093.8855340765067</v>
      </c>
      <c r="U554" s="121">
        <v>795.89299641568607</v>
      </c>
      <c r="V554" s="59">
        <v>17159.625648883739</v>
      </c>
      <c r="W554" s="59">
        <v>29289.634234398112</v>
      </c>
      <c r="X554" s="59">
        <v>124899.03966333679</v>
      </c>
      <c r="Y554" s="59">
        <v>662964.23101987375</v>
      </c>
      <c r="Z554" s="59">
        <v>1683215.4023126075</v>
      </c>
      <c r="AA554" s="59">
        <v>989000.62646673678</v>
      </c>
      <c r="AB554" s="59">
        <v>3507324.4523422522</v>
      </c>
      <c r="AC554" s="59">
        <v>3338777250.2886376</v>
      </c>
      <c r="AD554" s="68">
        <v>3507324.4523422522</v>
      </c>
    </row>
    <row r="555" spans="1:30" x14ac:dyDescent="0.2">
      <c r="A555" s="95">
        <v>547</v>
      </c>
      <c r="B555" s="95">
        <v>45</v>
      </c>
      <c r="C555" s="95">
        <v>7</v>
      </c>
      <c r="D555" s="95"/>
      <c r="E555" s="95">
        <v>4.6888888813637282</v>
      </c>
      <c r="F555" s="95">
        <v>101.35011210960425</v>
      </c>
      <c r="G555" s="95">
        <v>173.10343089426706</v>
      </c>
      <c r="H555" s="95">
        <v>358.82943782331984</v>
      </c>
      <c r="I555" s="95">
        <v>1639.2829294393166</v>
      </c>
      <c r="J555" s="95">
        <v>66.94155057780543</v>
      </c>
      <c r="K555" s="95">
        <v>307.77333489978986</v>
      </c>
      <c r="L555" s="95">
        <v>119.68089599214363</v>
      </c>
      <c r="M555" s="95">
        <v>5600.8954065556036</v>
      </c>
      <c r="N555" s="95">
        <v>1627.4540128267868</v>
      </c>
      <c r="O555" s="95">
        <v>10000</v>
      </c>
      <c r="Q555" s="98">
        <v>5600.8954065556036</v>
      </c>
      <c r="R555" s="95">
        <v>4645.2674267075972</v>
      </c>
      <c r="S555" s="99">
        <v>3097.9422162317314</v>
      </c>
      <c r="U555" s="121">
        <v>783.82195263671485</v>
      </c>
      <c r="V555" s="59">
        <v>16952.890284987745</v>
      </c>
      <c r="W555" s="59">
        <v>28959.63305496407</v>
      </c>
      <c r="X555" s="59">
        <v>123618.1676963779</v>
      </c>
      <c r="Y555" s="59">
        <v>657850.79170172254</v>
      </c>
      <c r="Z555" s="59">
        <v>1671027.6617964949</v>
      </c>
      <c r="AA555" s="59">
        <v>981805.23956090887</v>
      </c>
      <c r="AB555" s="59">
        <v>3480998.2060480928</v>
      </c>
      <c r="AC555" s="59">
        <v>3342258248.4946856</v>
      </c>
      <c r="AD555" s="68">
        <v>3480998.2060480928</v>
      </c>
    </row>
    <row r="556" spans="1:30" x14ac:dyDescent="0.2">
      <c r="A556" s="95">
        <v>548</v>
      </c>
      <c r="B556" s="95">
        <v>45</v>
      </c>
      <c r="C556" s="95">
        <v>8</v>
      </c>
      <c r="D556" s="95"/>
      <c r="E556" s="95">
        <v>4.6287148073862268</v>
      </c>
      <c r="F556" s="95">
        <v>100.36543596974991</v>
      </c>
      <c r="G556" s="95">
        <v>171.55655763417676</v>
      </c>
      <c r="H556" s="95">
        <v>355.98539680001517</v>
      </c>
      <c r="I556" s="95">
        <v>1630.4569920341471</v>
      </c>
      <c r="J556" s="95">
        <v>66.561675747409723</v>
      </c>
      <c r="K556" s="95">
        <v>306.31429269343965</v>
      </c>
      <c r="L556" s="95">
        <v>119.08911578249966</v>
      </c>
      <c r="M556" s="95">
        <v>5609.0418830808185</v>
      </c>
      <c r="N556" s="95">
        <v>1635.9999354503577</v>
      </c>
      <c r="O556" s="95">
        <v>10000</v>
      </c>
      <c r="Q556" s="98">
        <v>5609.0418830808185</v>
      </c>
      <c r="R556" s="95">
        <v>4650.595096228275</v>
      </c>
      <c r="S556" s="99">
        <v>3101.9780973337838</v>
      </c>
      <c r="U556" s="121">
        <v>771.93398635505798</v>
      </c>
      <c r="V556" s="59">
        <v>16748.621420463605</v>
      </c>
      <c r="W556" s="59">
        <v>28633.255018218701</v>
      </c>
      <c r="X556" s="59">
        <v>122349.82140632444</v>
      </c>
      <c r="Y556" s="59">
        <v>652773.21862784796</v>
      </c>
      <c r="Z556" s="59">
        <v>1658918.684494552</v>
      </c>
      <c r="AA556" s="59">
        <v>974655.89011181414</v>
      </c>
      <c r="AB556" s="59">
        <v>3454851.4250655761</v>
      </c>
      <c r="AC556" s="59">
        <v>3345713099.9197512</v>
      </c>
      <c r="AD556" s="68">
        <v>3454851.4250655761</v>
      </c>
    </row>
    <row r="557" spans="1:30" x14ac:dyDescent="0.2">
      <c r="A557" s="95">
        <v>549</v>
      </c>
      <c r="B557" s="95">
        <v>45</v>
      </c>
      <c r="C557" s="95">
        <v>9</v>
      </c>
      <c r="D557" s="95"/>
      <c r="E557" s="95">
        <v>4.5693129673581039</v>
      </c>
      <c r="F557" s="95">
        <v>99.390184006762809</v>
      </c>
      <c r="G557" s="95">
        <v>170.02294784324866</v>
      </c>
      <c r="H557" s="95">
        <v>353.16214856715675</v>
      </c>
      <c r="I557" s="95">
        <v>1621.6697567629578</v>
      </c>
      <c r="J557" s="95">
        <v>66.179249473531044</v>
      </c>
      <c r="K557" s="95">
        <v>304.86458732026409</v>
      </c>
      <c r="L557" s="95">
        <v>118.49950028411432</v>
      </c>
      <c r="M557" s="95">
        <v>5617.1479229313873</v>
      </c>
      <c r="N557" s="95">
        <v>1644.4943898432198</v>
      </c>
      <c r="O557" s="95">
        <v>10000</v>
      </c>
      <c r="Q557" s="98">
        <v>5617.1479229313873</v>
      </c>
      <c r="R557" s="95">
        <v>4655.8940814523858</v>
      </c>
      <c r="S557" s="99">
        <v>3105.9932609789885</v>
      </c>
      <c r="U557" s="121">
        <v>760.22632089533954</v>
      </c>
      <c r="V557" s="59">
        <v>16546.790009074768</v>
      </c>
      <c r="W557" s="59">
        <v>28310.461738416117</v>
      </c>
      <c r="X557" s="59">
        <v>121093.8864583306</v>
      </c>
      <c r="Y557" s="59">
        <v>647731.30008702574</v>
      </c>
      <c r="Z557" s="59">
        <v>1646888.2775877549</v>
      </c>
      <c r="AA557" s="59">
        <v>967552.36685578933</v>
      </c>
      <c r="AB557" s="59">
        <v>3428883.3090572869</v>
      </c>
      <c r="AC557" s="59">
        <v>3349141983.2288084</v>
      </c>
      <c r="AD557" s="68">
        <v>3428883.3090572869</v>
      </c>
    </row>
    <row r="558" spans="1:30" x14ac:dyDescent="0.2">
      <c r="A558" s="95">
        <v>550</v>
      </c>
      <c r="B558" s="95">
        <v>45</v>
      </c>
      <c r="C558" s="95">
        <v>10</v>
      </c>
      <c r="D558" s="95"/>
      <c r="E558" s="95">
        <v>4.510673450943675</v>
      </c>
      <c r="F558" s="95">
        <v>98.424267937459135</v>
      </c>
      <c r="G558" s="95">
        <v>168.50249474568074</v>
      </c>
      <c r="H558" s="95">
        <v>350.35956065135798</v>
      </c>
      <c r="I558" s="95">
        <v>1612.9211343567181</v>
      </c>
      <c r="J558" s="95">
        <v>65.794410621232487</v>
      </c>
      <c r="K558" s="95">
        <v>303.4240978780922</v>
      </c>
      <c r="L558" s="95">
        <v>117.91204939785018</v>
      </c>
      <c r="M558" s="95">
        <v>5625.2136515818347</v>
      </c>
      <c r="N558" s="95">
        <v>1652.9376593788315</v>
      </c>
      <c r="O558" s="95">
        <v>10000</v>
      </c>
      <c r="Q558" s="98">
        <v>5625.2136515818347</v>
      </c>
      <c r="R558" s="95">
        <v>4661.1645081618653</v>
      </c>
      <c r="S558" s="99">
        <v>3109.9877907703767</v>
      </c>
      <c r="U558" s="121">
        <v>748.69622169509353</v>
      </c>
      <c r="V558" s="59">
        <v>16347.367340590063</v>
      </c>
      <c r="W558" s="59">
        <v>27991.215215846481</v>
      </c>
      <c r="X558" s="59">
        <v>119850.24945180642</v>
      </c>
      <c r="Y558" s="59">
        <v>642724.82516304753</v>
      </c>
      <c r="Z558" s="59">
        <v>1634936.2362956391</v>
      </c>
      <c r="AA558" s="59">
        <v>960494.46013170201</v>
      </c>
      <c r="AB558" s="59">
        <v>3403093.0498203267</v>
      </c>
      <c r="AC558" s="59">
        <v>3352545076.2786288</v>
      </c>
      <c r="AD558" s="68">
        <v>3403093.0498203267</v>
      </c>
    </row>
    <row r="559" spans="1:30" x14ac:dyDescent="0.2">
      <c r="A559" s="95">
        <v>551</v>
      </c>
      <c r="B559" s="95">
        <v>45</v>
      </c>
      <c r="C559" s="95">
        <v>11</v>
      </c>
      <c r="D559" s="95"/>
      <c r="E559" s="95">
        <v>4.4527864749898978</v>
      </c>
      <c r="F559" s="95">
        <v>97.467600279574995</v>
      </c>
      <c r="G559" s="95">
        <v>166.99509233731507</v>
      </c>
      <c r="H559" s="95">
        <v>347.57750120050997</v>
      </c>
      <c r="I559" s="95">
        <v>1604.2110349353391</v>
      </c>
      <c r="J559" s="95">
        <v>65.407294390815323</v>
      </c>
      <c r="K559" s="95">
        <v>301.9927057045154</v>
      </c>
      <c r="L559" s="95">
        <v>117.32676302604565</v>
      </c>
      <c r="M559" s="95">
        <v>5633.2391954808591</v>
      </c>
      <c r="N559" s="95">
        <v>1661.330026170036</v>
      </c>
      <c r="O559" s="95">
        <v>10000</v>
      </c>
      <c r="Q559" s="98">
        <v>5633.2391954808591</v>
      </c>
      <c r="R559" s="95">
        <v>4666.4065018485244</v>
      </c>
      <c r="S559" s="99">
        <v>3113.9617703086224</v>
      </c>
      <c r="U559" s="121">
        <v>737.3409956660513</v>
      </c>
      <c r="V559" s="59">
        <v>16150.325036994216</v>
      </c>
      <c r="W559" s="59">
        <v>27675.477833264693</v>
      </c>
      <c r="X559" s="59">
        <v>118618.7979142738</v>
      </c>
      <c r="Y559" s="59">
        <v>637753.58373741724</v>
      </c>
      <c r="Z559" s="59">
        <v>1623062.3444054362</v>
      </c>
      <c r="AA559" s="59">
        <v>953481.96170956851</v>
      </c>
      <c r="AB559" s="59">
        <v>3377479.8316326207</v>
      </c>
      <c r="AC559" s="59">
        <v>3355922556.1102614</v>
      </c>
      <c r="AD559" s="68">
        <v>3377479.8316326207</v>
      </c>
    </row>
    <row r="560" spans="1:30" x14ac:dyDescent="0.2">
      <c r="A560" s="95">
        <v>552</v>
      </c>
      <c r="B560" s="95">
        <v>46</v>
      </c>
      <c r="C560" s="95">
        <v>0</v>
      </c>
      <c r="D560" s="95"/>
      <c r="E560" s="95">
        <v>4.3956423818941941</v>
      </c>
      <c r="F560" s="95">
        <v>96.520094344863807</v>
      </c>
      <c r="G560" s="95">
        <v>165.50063538121552</v>
      </c>
      <c r="H560" s="95">
        <v>344.81583898357661</v>
      </c>
      <c r="I560" s="95">
        <v>1595.5393680182622</v>
      </c>
      <c r="J560" s="95">
        <v>65.095805070521592</v>
      </c>
      <c r="K560" s="95">
        <v>300.49252166934536</v>
      </c>
      <c r="L560" s="95">
        <v>116.74364106367</v>
      </c>
      <c r="M560" s="95">
        <v>5641.2246820167056</v>
      </c>
      <c r="N560" s="95">
        <v>1669.6717710699459</v>
      </c>
      <c r="O560" s="95">
        <v>10000</v>
      </c>
      <c r="Q560" s="98">
        <v>5641.2246820167056</v>
      </c>
      <c r="R560" s="95">
        <v>4671.6201877120639</v>
      </c>
      <c r="S560" s="99">
        <v>3117.9152831832539</v>
      </c>
      <c r="U560" s="121">
        <v>726.15799056511628</v>
      </c>
      <c r="V560" s="59">
        <v>15955.635048739532</v>
      </c>
      <c r="W560" s="59">
        <v>27363.212352347233</v>
      </c>
      <c r="X560" s="59">
        <v>117399.42029524191</v>
      </c>
      <c r="Y560" s="59">
        <v>632817.36649195361</v>
      </c>
      <c r="Z560" s="59">
        <v>1611266.3747835648</v>
      </c>
      <c r="AA560" s="59">
        <v>946514.66463177674</v>
      </c>
      <c r="AB560" s="59">
        <v>3352042.8315941892</v>
      </c>
      <c r="AC560" s="59">
        <v>3359274598.9418554</v>
      </c>
      <c r="AD560" s="68">
        <v>3352042.8315941892</v>
      </c>
    </row>
    <row r="561" spans="1:30" x14ac:dyDescent="0.2">
      <c r="A561" s="95">
        <v>553</v>
      </c>
      <c r="B561" s="95">
        <v>46</v>
      </c>
      <c r="C561" s="95">
        <v>1</v>
      </c>
      <c r="D561" s="95"/>
      <c r="E561" s="95">
        <v>4.339231637993219</v>
      </c>
      <c r="F561" s="95">
        <v>95.581664232247832</v>
      </c>
      <c r="G561" s="95">
        <v>164.01901940325408</v>
      </c>
      <c r="H561" s="95">
        <v>342.07444339034816</v>
      </c>
      <c r="I561" s="95">
        <v>1586.9060425349664</v>
      </c>
      <c r="J561" s="95">
        <v>64.780113475081919</v>
      </c>
      <c r="K561" s="95">
        <v>299.00293510605377</v>
      </c>
      <c r="L561" s="95">
        <v>116.16268339008865</v>
      </c>
      <c r="M561" s="95">
        <v>5649.1706931570379</v>
      </c>
      <c r="N561" s="95">
        <v>1677.9631736729289</v>
      </c>
      <c r="O561" s="95">
        <v>10000</v>
      </c>
      <c r="Q561" s="98">
        <v>5649.1706931570379</v>
      </c>
      <c r="R561" s="95">
        <v>4676.8056906581232</v>
      </c>
      <c r="S561" s="99">
        <v>3121.8484129641342</v>
      </c>
      <c r="U561" s="121">
        <v>715.14459437487858</v>
      </c>
      <c r="V561" s="59">
        <v>15763.269651038298</v>
      </c>
      <c r="W561" s="59">
        <v>27054.381910177119</v>
      </c>
      <c r="X561" s="59">
        <v>116192.0059601017</v>
      </c>
      <c r="Y561" s="59">
        <v>627915.96491129615</v>
      </c>
      <c r="Z561" s="59">
        <v>1599543.9693643444</v>
      </c>
      <c r="AA561" s="59">
        <v>939592.36306621076</v>
      </c>
      <c r="AB561" s="59">
        <v>3326777.0994575433</v>
      </c>
      <c r="AC561" s="59">
        <v>3362601376.0413132</v>
      </c>
      <c r="AD561" s="68">
        <v>3326777.0994575433</v>
      </c>
    </row>
    <row r="562" spans="1:30" x14ac:dyDescent="0.2">
      <c r="A562" s="95">
        <v>554</v>
      </c>
      <c r="B562" s="95">
        <v>46</v>
      </c>
      <c r="C562" s="95">
        <v>2</v>
      </c>
      <c r="D562" s="95"/>
      <c r="E562" s="95">
        <v>4.2835448319723062</v>
      </c>
      <c r="F562" s="95">
        <v>94.652224821023751</v>
      </c>
      <c r="G562" s="95">
        <v>162.5501406877066</v>
      </c>
      <c r="H562" s="95">
        <v>339.35318443115375</v>
      </c>
      <c r="I562" s="95">
        <v>1578.3109668353943</v>
      </c>
      <c r="J562" s="95">
        <v>64.464999211431405</v>
      </c>
      <c r="K562" s="95">
        <v>297.51919988416273</v>
      </c>
      <c r="L562" s="95">
        <v>115.58388729058912</v>
      </c>
      <c r="M562" s="95">
        <v>5657.0773410896973</v>
      </c>
      <c r="N562" s="95">
        <v>1686.2045109168698</v>
      </c>
      <c r="O562" s="95">
        <v>10000.000000000002</v>
      </c>
      <c r="Q562" s="98">
        <v>5657.0773410896973</v>
      </c>
      <c r="R562" s="95">
        <v>4681.9631352963615</v>
      </c>
      <c r="S562" s="99">
        <v>3125.7612406223848</v>
      </c>
      <c r="U562" s="121">
        <v>704.2982346935263</v>
      </c>
      <c r="V562" s="59">
        <v>15573.201440195473</v>
      </c>
      <c r="W562" s="59">
        <v>26748.950015756742</v>
      </c>
      <c r="X562" s="59">
        <v>114996.44518404048</v>
      </c>
      <c r="Y562" s="59">
        <v>623049.17128531926</v>
      </c>
      <c r="Z562" s="59">
        <v>1587895.0949379553</v>
      </c>
      <c r="AA562" s="59">
        <v>932714.80923358025</v>
      </c>
      <c r="AB562" s="59">
        <v>3301681.9703315408</v>
      </c>
      <c r="AC562" s="59">
        <v>3365903058.0116448</v>
      </c>
      <c r="AD562" s="68">
        <v>3301681.9703315408</v>
      </c>
    </row>
    <row r="563" spans="1:30" x14ac:dyDescent="0.2">
      <c r="A563" s="95">
        <v>555</v>
      </c>
      <c r="B563" s="95">
        <v>46</v>
      </c>
      <c r="C563" s="95">
        <v>3</v>
      </c>
      <c r="D563" s="95"/>
      <c r="E563" s="95">
        <v>4.2285726732953286</v>
      </c>
      <c r="F563" s="95">
        <v>93.731691764121734</v>
      </c>
      <c r="G563" s="95">
        <v>161.09389627285802</v>
      </c>
      <c r="H563" s="95">
        <v>336.65193273653358</v>
      </c>
      <c r="I563" s="95">
        <v>1569.7540487002966</v>
      </c>
      <c r="J563" s="95">
        <v>64.15048169473279</v>
      </c>
      <c r="K563" s="95">
        <v>296.04130128069772</v>
      </c>
      <c r="L563" s="95">
        <v>115.00725023820267</v>
      </c>
      <c r="M563" s="95">
        <v>5664.9447660994128</v>
      </c>
      <c r="N563" s="95">
        <v>1694.3960585398495</v>
      </c>
      <c r="O563" s="95">
        <v>10000</v>
      </c>
      <c r="Q563" s="98">
        <v>5664.9447660994128</v>
      </c>
      <c r="R563" s="95">
        <v>4687.0926459385764</v>
      </c>
      <c r="S563" s="99">
        <v>3129.6538472119009</v>
      </c>
      <c r="U563" s="121">
        <v>693.61637813400785</v>
      </c>
      <c r="V563" s="59">
        <v>15385.403329981289</v>
      </c>
      <c r="W563" s="59">
        <v>26446.880546548542</v>
      </c>
      <c r="X563" s="59">
        <v>113812.62914597619</v>
      </c>
      <c r="Y563" s="59">
        <v>618216.77871145401</v>
      </c>
      <c r="Z563" s="59">
        <v>1576319.466964622</v>
      </c>
      <c r="AA563" s="59">
        <v>925881.76021288696</v>
      </c>
      <c r="AB563" s="59">
        <v>3276756.5352896028</v>
      </c>
      <c r="AC563" s="59">
        <v>3369179814.5469346</v>
      </c>
      <c r="AD563" s="68">
        <v>3276756.5352896028</v>
      </c>
    </row>
    <row r="564" spans="1:30" x14ac:dyDescent="0.2">
      <c r="A564" s="95">
        <v>556</v>
      </c>
      <c r="B564" s="95">
        <v>46</v>
      </c>
      <c r="C564" s="95">
        <v>4</v>
      </c>
      <c r="D564" s="95"/>
      <c r="E564" s="95">
        <v>4.1743059906547053</v>
      </c>
      <c r="F564" s="95">
        <v>92.819981481417798</v>
      </c>
      <c r="G564" s="95">
        <v>159.65018394661732</v>
      </c>
      <c r="H564" s="95">
        <v>333.97055955687136</v>
      </c>
      <c r="I564" s="95">
        <v>1561.2351953514976</v>
      </c>
      <c r="J564" s="95">
        <v>63.83657977233414</v>
      </c>
      <c r="K564" s="95">
        <v>294.56922464268069</v>
      </c>
      <c r="L564" s="95">
        <v>114.43276972266996</v>
      </c>
      <c r="M564" s="95">
        <v>5672.7731085380456</v>
      </c>
      <c r="N564" s="95">
        <v>1702.5380909972116</v>
      </c>
      <c r="O564" s="95">
        <v>10000</v>
      </c>
      <c r="Q564" s="98">
        <v>5672.7731085380456</v>
      </c>
      <c r="R564" s="95">
        <v>4692.1943465968525</v>
      </c>
      <c r="S564" s="99">
        <v>3133.5263137055786</v>
      </c>
      <c r="U564" s="121">
        <v>683.09652973230868</v>
      </c>
      <c r="V564" s="59">
        <v>15199.84854804333</v>
      </c>
      <c r="W564" s="59">
        <v>26148.137745043288</v>
      </c>
      <c r="X564" s="59">
        <v>112640.44992251214</v>
      </c>
      <c r="Y564" s="59">
        <v>613418.58109691762</v>
      </c>
      <c r="Z564" s="59">
        <v>1564816.7981957046</v>
      </c>
      <c r="AA564" s="59">
        <v>919092.97514255694</v>
      </c>
      <c r="AB564" s="59">
        <v>3251999.8871805104</v>
      </c>
      <c r="AC564" s="59">
        <v>3372431814.4341149</v>
      </c>
      <c r="AD564" s="68">
        <v>3251999.8871805104</v>
      </c>
    </row>
    <row r="565" spans="1:30" x14ac:dyDescent="0.2">
      <c r="A565" s="95">
        <v>557</v>
      </c>
      <c r="B565" s="95">
        <v>46</v>
      </c>
      <c r="C565" s="95">
        <v>5</v>
      </c>
      <c r="D565" s="95"/>
      <c r="E565" s="95">
        <v>4.1207357304413037</v>
      </c>
      <c r="F565" s="95">
        <v>91.91701115309894</v>
      </c>
      <c r="G565" s="95">
        <v>158.21890224214246</v>
      </c>
      <c r="H565" s="95">
        <v>331.30893676198741</v>
      </c>
      <c r="I565" s="95">
        <v>1552.7543134620778</v>
      </c>
      <c r="J565" s="95">
        <v>63.523311737125667</v>
      </c>
      <c r="K565" s="95">
        <v>293.10295538427141</v>
      </c>
      <c r="L565" s="95">
        <v>113.86044324632189</v>
      </c>
      <c r="M565" s="95">
        <v>5680.5625088172228</v>
      </c>
      <c r="N565" s="95">
        <v>1710.6308814653112</v>
      </c>
      <c r="O565" s="95">
        <v>10000</v>
      </c>
      <c r="Q565" s="98">
        <v>5680.5625088172228</v>
      </c>
      <c r="R565" s="95">
        <v>4697.268360981745</v>
      </c>
      <c r="S565" s="99">
        <v>3137.3787209918405</v>
      </c>
      <c r="U565" s="121">
        <v>672.736232364702</v>
      </c>
      <c r="V565" s="59">
        <v>15016.510632357677</v>
      </c>
      <c r="W565" s="59">
        <v>25852.686215355843</v>
      </c>
      <c r="X565" s="59">
        <v>111479.8004819122</v>
      </c>
      <c r="Y565" s="59">
        <v>608654.37316085445</v>
      </c>
      <c r="Z565" s="59">
        <v>1553386.7987979748</v>
      </c>
      <c r="AA565" s="59">
        <v>912348.2151270929</v>
      </c>
      <c r="AB565" s="59">
        <v>3227411.1206479124</v>
      </c>
      <c r="AC565" s="59">
        <v>3375659225.5547628</v>
      </c>
      <c r="AD565" s="68">
        <v>3227411.1206479124</v>
      </c>
    </row>
    <row r="566" spans="1:30" x14ac:dyDescent="0.2">
      <c r="A566" s="95">
        <v>558</v>
      </c>
      <c r="B566" s="95">
        <v>46</v>
      </c>
      <c r="C566" s="95">
        <v>6</v>
      </c>
      <c r="D566" s="95"/>
      <c r="E566" s="95">
        <v>4.0678529552339739</v>
      </c>
      <c r="F566" s="95">
        <v>91.022698713080899</v>
      </c>
      <c r="G566" s="95">
        <v>156.79995043347554</v>
      </c>
      <c r="H566" s="95">
        <v>328.6669368406935</v>
      </c>
      <c r="I566" s="95">
        <v>1544.3113091664782</v>
      </c>
      <c r="J566" s="95">
        <v>63.210695340584188</v>
      </c>
      <c r="K566" s="95">
        <v>291.64247898398617</v>
      </c>
      <c r="L566" s="95">
        <v>113.29026832019112</v>
      </c>
      <c r="M566" s="95">
        <v>5688.3131074010043</v>
      </c>
      <c r="N566" s="95">
        <v>1718.6747018452734</v>
      </c>
      <c r="O566" s="95">
        <v>10000.000000000002</v>
      </c>
      <c r="Q566" s="98">
        <v>5688.3131074010043</v>
      </c>
      <c r="R566" s="95">
        <v>4702.3148125004964</v>
      </c>
      <c r="S566" s="99">
        <v>3141.2111498712343</v>
      </c>
      <c r="U566" s="121">
        <v>662.53306617383737</v>
      </c>
      <c r="V566" s="59">
        <v>14835.363427718763</v>
      </c>
      <c r="W566" s="59">
        <v>25560.490919848307</v>
      </c>
      <c r="X566" s="59">
        <v>110330.57467809676</v>
      </c>
      <c r="Y566" s="59">
        <v>603923.95043638698</v>
      </c>
      <c r="Z566" s="59">
        <v>1542029.1764743323</v>
      </c>
      <c r="AA566" s="59">
        <v>905647.24314889987</v>
      </c>
      <c r="AB566" s="59">
        <v>3202989.3321514567</v>
      </c>
      <c r="AC566" s="59">
        <v>3378862214.8869143</v>
      </c>
      <c r="AD566" s="68">
        <v>3202989.3321514567</v>
      </c>
    </row>
    <row r="567" spans="1:30" x14ac:dyDescent="0.2">
      <c r="A567" s="95">
        <v>559</v>
      </c>
      <c r="B567" s="95">
        <v>46</v>
      </c>
      <c r="C567" s="95">
        <v>7</v>
      </c>
      <c r="D567" s="95"/>
      <c r="E567" s="95">
        <v>4.0156488423084715</v>
      </c>
      <c r="F567" s="95">
        <v>90.136962842478113</v>
      </c>
      <c r="G567" s="95">
        <v>155.39322853118856</v>
      </c>
      <c r="H567" s="95">
        <v>326.0444329003094</v>
      </c>
      <c r="I567" s="95">
        <v>1535.9060880705229</v>
      </c>
      <c r="J567" s="95">
        <v>62.898747805512961</v>
      </c>
      <c r="K567" s="95">
        <v>290.18778098199238</v>
      </c>
      <c r="L567" s="95">
        <v>112.72224246034385</v>
      </c>
      <c r="M567" s="95">
        <v>5696.0250447985809</v>
      </c>
      <c r="N567" s="95">
        <v>1726.6698227667639</v>
      </c>
      <c r="O567" s="95">
        <v>10000.000000000002</v>
      </c>
      <c r="Q567" s="98">
        <v>5696.0250447985809</v>
      </c>
      <c r="R567" s="95">
        <v>4707.3338242552873</v>
      </c>
      <c r="S567" s="99">
        <v>3145.023681053101</v>
      </c>
      <c r="U567" s="121">
        <v>652.48464800353418</v>
      </c>
      <c r="V567" s="59">
        <v>14656.381082267475</v>
      </c>
      <c r="W567" s="59">
        <v>25271.517175780322</v>
      </c>
      <c r="X567" s="59">
        <v>109192.66724465981</v>
      </c>
      <c r="Y567" s="59">
        <v>599227.10927258001</v>
      </c>
      <c r="Z567" s="59">
        <v>1530743.636581057</v>
      </c>
      <c r="AA567" s="59">
        <v>898989.82398503309</v>
      </c>
      <c r="AB567" s="59">
        <v>3178733.6199893812</v>
      </c>
      <c r="AC567" s="59">
        <v>3382040948.5069036</v>
      </c>
      <c r="AD567" s="68">
        <v>3178733.6199893812</v>
      </c>
    </row>
    <row r="568" spans="1:30" x14ac:dyDescent="0.2">
      <c r="A568" s="95">
        <v>560</v>
      </c>
      <c r="B568" s="95">
        <v>46</v>
      </c>
      <c r="C568" s="95">
        <v>8</v>
      </c>
      <c r="D568" s="95"/>
      <c r="E568" s="95">
        <v>3.9641146821655129</v>
      </c>
      <c r="F568" s="95">
        <v>89.259722963125427</v>
      </c>
      <c r="G568" s="95">
        <v>153.99863727803972</v>
      </c>
      <c r="H568" s="95">
        <v>323.44129866614236</v>
      </c>
      <c r="I568" s="95">
        <v>1527.5385552613636</v>
      </c>
      <c r="J568" s="95">
        <v>62.587485838483715</v>
      </c>
      <c r="K568" s="95">
        <v>288.73884697747792</v>
      </c>
      <c r="L568" s="95">
        <v>112.15636318442203</v>
      </c>
      <c r="M568" s="95">
        <v>5703.69846155701</v>
      </c>
      <c r="N568" s="95">
        <v>1734.6165135917706</v>
      </c>
      <c r="O568" s="95">
        <v>10000.000000000002</v>
      </c>
      <c r="Q568" s="98">
        <v>5703.69846155701</v>
      </c>
      <c r="R568" s="95">
        <v>4712.3255190415166</v>
      </c>
      <c r="S568" s="99">
        <v>3148.8163951523125</v>
      </c>
      <c r="U568" s="121">
        <v>642.58863084214727</v>
      </c>
      <c r="V568" s="59">
        <v>14479.538044057166</v>
      </c>
      <c r="W568" s="59">
        <v>24985.730651986436</v>
      </c>
      <c r="X568" s="59">
        <v>108065.97378890715</v>
      </c>
      <c r="Y568" s="59">
        <v>594563.64683631761</v>
      </c>
      <c r="Z568" s="59">
        <v>1519529.8822416961</v>
      </c>
      <c r="AA568" s="59">
        <v>892375.72412862815</v>
      </c>
      <c r="AB568" s="59">
        <v>3154643.0843224349</v>
      </c>
      <c r="AC568" s="59">
        <v>3385195591.5912261</v>
      </c>
      <c r="AD568" s="68">
        <v>3154643.0843224349</v>
      </c>
    </row>
    <row r="569" spans="1:30" x14ac:dyDescent="0.2">
      <c r="A569" s="95">
        <v>561</v>
      </c>
      <c r="B569" s="95">
        <v>46</v>
      </c>
      <c r="C569" s="95">
        <v>9</v>
      </c>
      <c r="D569" s="95"/>
      <c r="E569" s="95">
        <v>3.9132418770777222</v>
      </c>
      <c r="F569" s="95">
        <v>88.390899231151437</v>
      </c>
      <c r="G569" s="95">
        <v>152.61607814464085</v>
      </c>
      <c r="H569" s="95">
        <v>320.85740848092945</v>
      </c>
      <c r="I569" s="95">
        <v>1519.2086153173427</v>
      </c>
      <c r="J569" s="95">
        <v>62.276925641988285</v>
      </c>
      <c r="K569" s="95">
        <v>287.29566262609296</v>
      </c>
      <c r="L569" s="95">
        <v>111.59262800838643</v>
      </c>
      <c r="M569" s="95">
        <v>5711.3334982539955</v>
      </c>
      <c r="N569" s="95">
        <v>1742.5150424183953</v>
      </c>
      <c r="O569" s="95">
        <v>10000</v>
      </c>
      <c r="Q569" s="98">
        <v>5711.3334982539955</v>
      </c>
      <c r="R569" s="95">
        <v>4717.2900193461164</v>
      </c>
      <c r="S569" s="99">
        <v>3152.5893726860745</v>
      </c>
      <c r="U569" s="121">
        <v>632.84270327437457</v>
      </c>
      <c r="V569" s="59">
        <v>14304.809057657161</v>
      </c>
      <c r="W569" s="59">
        <v>24703.097365580383</v>
      </c>
      <c r="X569" s="59">
        <v>106950.39078591634</v>
      </c>
      <c r="Y569" s="59">
        <v>589933.36111409415</v>
      </c>
      <c r="Z569" s="59">
        <v>1508387.6144576776</v>
      </c>
      <c r="AA569" s="59">
        <v>885804.71171478357</v>
      </c>
      <c r="AB569" s="59">
        <v>3130716.8271989836</v>
      </c>
      <c r="AC569" s="59">
        <v>3388326308.4184251</v>
      </c>
      <c r="AD569" s="68">
        <v>3130716.8271989836</v>
      </c>
    </row>
    <row r="570" spans="1:30" x14ac:dyDescent="0.2">
      <c r="A570" s="95">
        <v>562</v>
      </c>
      <c r="B570" s="95">
        <v>46</v>
      </c>
      <c r="C570" s="95">
        <v>10</v>
      </c>
      <c r="D570" s="95"/>
      <c r="E570" s="95">
        <v>3.8630219396552246</v>
      </c>
      <c r="F570" s="95">
        <v>87.530412530602902</v>
      </c>
      <c r="G570" s="95">
        <v>151.2454533251358</v>
      </c>
      <c r="H570" s="95">
        <v>318.29263730424401</v>
      </c>
      <c r="I570" s="95">
        <v>1510.9161723177783</v>
      </c>
      <c r="J570" s="95">
        <v>61.967082926306468</v>
      </c>
      <c r="K570" s="95">
        <v>285.85821363746339</v>
      </c>
      <c r="L570" s="95">
        <v>111.03103444345152</v>
      </c>
      <c r="M570" s="95">
        <v>5718.930295490708</v>
      </c>
      <c r="N570" s="95">
        <v>1750.3656760846554</v>
      </c>
      <c r="O570" s="95">
        <v>10000.000000000002</v>
      </c>
      <c r="Q570" s="98">
        <v>5718.930295490708</v>
      </c>
      <c r="R570" s="95">
        <v>4722.2274473458974</v>
      </c>
      <c r="S570" s="99">
        <v>3156.3426940707973</v>
      </c>
      <c r="U570" s="121">
        <v>623.2445889413799</v>
      </c>
      <c r="V570" s="59">
        <v>14132.169160793374</v>
      </c>
      <c r="W570" s="59">
        <v>24423.583678686093</v>
      </c>
      <c r="X570" s="59">
        <v>105845.81557261817</v>
      </c>
      <c r="Y570" s="59">
        <v>585336.05091372237</v>
      </c>
      <c r="Z570" s="59">
        <v>1497316.5322157377</v>
      </c>
      <c r="AA570" s="59">
        <v>879276.55645067722</v>
      </c>
      <c r="AB570" s="59">
        <v>3106953.9525811765</v>
      </c>
      <c r="AC570" s="59">
        <v>3391433262.3710065</v>
      </c>
      <c r="AD570" s="68">
        <v>3106953.9525811765</v>
      </c>
    </row>
    <row r="571" spans="1:30" x14ac:dyDescent="0.2">
      <c r="A571" s="95">
        <v>563</v>
      </c>
      <c r="B571" s="95">
        <v>46</v>
      </c>
      <c r="C571" s="95">
        <v>11</v>
      </c>
      <c r="D571" s="95"/>
      <c r="E571" s="95">
        <v>3.8134464914296493</v>
      </c>
      <c r="F571" s="95">
        <v>86.678184467120076</v>
      </c>
      <c r="G571" s="95">
        <v>149.88666573289038</v>
      </c>
      <c r="H571" s="95">
        <v>315.74686071186625</v>
      </c>
      <c r="I571" s="95">
        <v>1502.6611298526693</v>
      </c>
      <c r="J571" s="95">
        <v>61.657972921096977</v>
      </c>
      <c r="K571" s="95">
        <v>284.42648577277402</v>
      </c>
      <c r="L571" s="95">
        <v>110.47157999320349</v>
      </c>
      <c r="M571" s="95">
        <v>5726.4889938846527</v>
      </c>
      <c r="N571" s="95">
        <v>1758.1686801722981</v>
      </c>
      <c r="O571" s="95">
        <v>10000.000000000002</v>
      </c>
      <c r="Q571" s="98">
        <v>5726.4889938846527</v>
      </c>
      <c r="R571" s="95">
        <v>4727.13792490593</v>
      </c>
      <c r="S571" s="99">
        <v>3160.0764396190293</v>
      </c>
      <c r="U571" s="121">
        <v>613.79204600910236</v>
      </c>
      <c r="V571" s="59">
        <v>13961.593681025633</v>
      </c>
      <c r="W571" s="59">
        <v>24147.156295195302</v>
      </c>
      <c r="X571" s="59">
        <v>104752.14634190021</v>
      </c>
      <c r="Y571" s="59">
        <v>580771.51586595585</v>
      </c>
      <c r="Z571" s="59">
        <v>1486316.3325922568</v>
      </c>
      <c r="AA571" s="59">
        <v>872791.02954970906</v>
      </c>
      <c r="AB571" s="59">
        <v>3083353.5663720518</v>
      </c>
      <c r="AC571" s="59">
        <v>3394516615.9373784</v>
      </c>
      <c r="AD571" s="68">
        <v>3083353.5663720518</v>
      </c>
    </row>
    <row r="572" spans="1:30" x14ac:dyDescent="0.2">
      <c r="A572" s="95">
        <v>564</v>
      </c>
      <c r="B572" s="95">
        <v>47</v>
      </c>
      <c r="C572" s="95">
        <v>0</v>
      </c>
      <c r="D572" s="95"/>
      <c r="E572" s="95">
        <v>3.764507261456302</v>
      </c>
      <c r="F572" s="95">
        <v>85.834137361662457</v>
      </c>
      <c r="G572" s="95">
        <v>148.53961899619384</v>
      </c>
      <c r="H572" s="95">
        <v>313.21995489511886</v>
      </c>
      <c r="I572" s="95">
        <v>1494.4433910323223</v>
      </c>
      <c r="J572" s="95">
        <v>61.349610386717998</v>
      </c>
      <c r="K572" s="95">
        <v>283.00046484242029</v>
      </c>
      <c r="L572" s="95">
        <v>109.91426215089301</v>
      </c>
      <c r="M572" s="95">
        <v>5734.0097340625935</v>
      </c>
      <c r="N572" s="95">
        <v>1765.9243190106224</v>
      </c>
      <c r="O572" s="95">
        <v>10000.000000000002</v>
      </c>
      <c r="Q572" s="98">
        <v>5734.0097340625935</v>
      </c>
      <c r="R572" s="95">
        <v>4732.0215735779511</v>
      </c>
      <c r="S572" s="99">
        <v>3163.7906895364558</v>
      </c>
      <c r="U572" s="121">
        <v>604.48286664463103</v>
      </c>
      <c r="V572" s="59">
        <v>13793.058232461402</v>
      </c>
      <c r="W572" s="59">
        <v>23873.782257551637</v>
      </c>
      <c r="X572" s="59">
        <v>103669.28213673252</v>
      </c>
      <c r="Y572" s="59">
        <v>576239.55642603152</v>
      </c>
      <c r="Z572" s="59">
        <v>1475386.7108545834</v>
      </c>
      <c r="AA572" s="59">
        <v>866347.90366946964</v>
      </c>
      <c r="AB572" s="59">
        <v>3059914.7764434749</v>
      </c>
      <c r="AC572" s="59">
        <v>3397576530.7138219</v>
      </c>
      <c r="AD572" s="68">
        <v>3059914.7764434749</v>
      </c>
    </row>
    <row r="573" spans="1:30" x14ac:dyDescent="0.2">
      <c r="A573" s="95">
        <v>565</v>
      </c>
      <c r="B573" s="95">
        <v>47</v>
      </c>
      <c r="C573" s="95">
        <v>1</v>
      </c>
      <c r="D573" s="95"/>
      <c r="E573" s="95">
        <v>3.7161960849342797</v>
      </c>
      <c r="F573" s="95">
        <v>84.998194244284747</v>
      </c>
      <c r="G573" s="95">
        <v>147.20421745397206</v>
      </c>
      <c r="H573" s="95">
        <v>310.71179666016803</v>
      </c>
      <c r="I573" s="95">
        <v>1486.2628584968993</v>
      </c>
      <c r="J573" s="95">
        <v>61.042009625283718</v>
      </c>
      <c r="K573" s="95">
        <v>281.58013670372685</v>
      </c>
      <c r="L573" s="95">
        <v>109.35907839689465</v>
      </c>
      <c r="M573" s="95">
        <v>5741.4926566535241</v>
      </c>
      <c r="N573" s="95">
        <v>1773.6328556803132</v>
      </c>
      <c r="O573" s="95">
        <v>10000.000000000002</v>
      </c>
      <c r="Q573" s="98">
        <v>5741.4926566535241</v>
      </c>
      <c r="R573" s="95">
        <v>4736.8785145988059</v>
      </c>
      <c r="S573" s="99">
        <v>3167.4855239189587</v>
      </c>
      <c r="U573" s="121">
        <v>595.31487650052077</v>
      </c>
      <c r="V573" s="59">
        <v>13626.53871250542</v>
      </c>
      <c r="W573" s="59">
        <v>23603.428943560983</v>
      </c>
      <c r="X573" s="59">
        <v>102597.12284431582</v>
      </c>
      <c r="Y573" s="59">
        <v>571739.97387512866</v>
      </c>
      <c r="Z573" s="59">
        <v>1464527.3605594314</v>
      </c>
      <c r="AA573" s="59">
        <v>859946.9528533438</v>
      </c>
      <c r="AB573" s="59">
        <v>3036636.6926647867</v>
      </c>
      <c r="AC573" s="59">
        <v>3400613167.4064865</v>
      </c>
      <c r="AD573" s="68">
        <v>3036636.6926647867</v>
      </c>
    </row>
    <row r="574" spans="1:30" x14ac:dyDescent="0.2">
      <c r="A574" s="95">
        <v>566</v>
      </c>
      <c r="B574" s="95">
        <v>47</v>
      </c>
      <c r="C574" s="95">
        <v>2</v>
      </c>
      <c r="D574" s="95"/>
      <c r="E574" s="95">
        <v>3.6685049018442899</v>
      </c>
      <c r="F574" s="95">
        <v>84.170278847962635</v>
      </c>
      <c r="G574" s="95">
        <v>145.88036615151296</v>
      </c>
      <c r="H574" s="95">
        <v>308.22226342729061</v>
      </c>
      <c r="I574" s="95">
        <v>1478.1194344258874</v>
      </c>
      <c r="J574" s="95">
        <v>60.735184491463123</v>
      </c>
      <c r="K574" s="95">
        <v>280.16548725873196</v>
      </c>
      <c r="L574" s="95">
        <v>108.80602619632549</v>
      </c>
      <c r="M574" s="95">
        <v>5748.9379022816984</v>
      </c>
      <c r="N574" s="95">
        <v>1781.2945520172839</v>
      </c>
      <c r="O574" s="95">
        <v>10000</v>
      </c>
      <c r="Q574" s="98">
        <v>5748.9379022816984</v>
      </c>
      <c r="R574" s="95">
        <v>4741.7088688889207</v>
      </c>
      <c r="S574" s="99">
        <v>3171.1610227497363</v>
      </c>
      <c r="U574" s="121">
        <v>586.28593420692948</v>
      </c>
      <c r="V574" s="59">
        <v>13462.011298644982</v>
      </c>
      <c r="W574" s="59">
        <v>23336.064063228001</v>
      </c>
      <c r="X574" s="59">
        <v>101535.56919025206</v>
      </c>
      <c r="Y574" s="59">
        <v>567272.57032174955</v>
      </c>
      <c r="Z574" s="59">
        <v>1453737.9736484324</v>
      </c>
      <c r="AA574" s="59">
        <v>853587.95247556933</v>
      </c>
      <c r="AB574" s="59">
        <v>3013518.4269320834</v>
      </c>
      <c r="AC574" s="59">
        <v>3403626685.8334184</v>
      </c>
      <c r="AD574" s="68">
        <v>3013518.4269320834</v>
      </c>
    </row>
    <row r="575" spans="1:30" x14ac:dyDescent="0.2">
      <c r="A575" s="95">
        <v>567</v>
      </c>
      <c r="B575" s="95">
        <v>47</v>
      </c>
      <c r="C575" s="95">
        <v>3</v>
      </c>
      <c r="D575" s="95"/>
      <c r="E575" s="95">
        <v>3.6214257556039549</v>
      </c>
      <c r="F575" s="95">
        <v>83.350315602468001</v>
      </c>
      <c r="G575" s="95">
        <v>144.56797083620373</v>
      </c>
      <c r="H575" s="95">
        <v>305.7512332301078</v>
      </c>
      <c r="I575" s="95">
        <v>1470.0130205474904</v>
      </c>
      <c r="J575" s="95">
        <v>60.429148403027106</v>
      </c>
      <c r="K575" s="95">
        <v>278.75650245203587</v>
      </c>
      <c r="L575" s="95">
        <v>108.25510299681555</v>
      </c>
      <c r="M575" s="95">
        <v>5756.3456115597201</v>
      </c>
      <c r="N575" s="95">
        <v>1788.9096686165285</v>
      </c>
      <c r="O575" s="95">
        <v>10000.000000000002</v>
      </c>
      <c r="Q575" s="98">
        <v>5756.3456115597201</v>
      </c>
      <c r="R575" s="95">
        <v>4746.5127570508048</v>
      </c>
      <c r="S575" s="99">
        <v>3174.8172658964841</v>
      </c>
      <c r="U575" s="121">
        <v>577.39393087145777</v>
      </c>
      <c r="V575" s="59">
        <v>13299.452445270437</v>
      </c>
      <c r="W575" s="59">
        <v>23071.655655618637</v>
      </c>
      <c r="X575" s="59">
        <v>100484.5227327381</v>
      </c>
      <c r="Y575" s="59">
        <v>562837.14870301983</v>
      </c>
      <c r="Z575" s="59">
        <v>1443018.240540921</v>
      </c>
      <c r="AA575" s="59">
        <v>847270.67918957747</v>
      </c>
      <c r="AB575" s="59">
        <v>2990559.0931980168</v>
      </c>
      <c r="AC575" s="59">
        <v>3406617244.9266162</v>
      </c>
      <c r="AD575" s="68">
        <v>2990559.0931980168</v>
      </c>
    </row>
    <row r="576" spans="1:30" x14ac:dyDescent="0.2">
      <c r="A576" s="95">
        <v>568</v>
      </c>
      <c r="B576" s="95">
        <v>47</v>
      </c>
      <c r="C576" s="95">
        <v>4</v>
      </c>
      <c r="D576" s="95"/>
      <c r="E576" s="95">
        <v>3.5749507917403709</v>
      </c>
      <c r="F576" s="95">
        <v>82.538229628293379</v>
      </c>
      <c r="G576" s="95">
        <v>143.26693795328089</v>
      </c>
      <c r="H576" s="95">
        <v>303.29858471478599</v>
      </c>
      <c r="I576" s="95">
        <v>1461.9435181479419</v>
      </c>
      <c r="J576" s="95">
        <v>60.123914351149956</v>
      </c>
      <c r="K576" s="95">
        <v>277.3531682687123</v>
      </c>
      <c r="L576" s="95">
        <v>107.70630622642278</v>
      </c>
      <c r="M576" s="95">
        <v>5763.7159250816885</v>
      </c>
      <c r="N576" s="95">
        <v>1796.4784648359851</v>
      </c>
      <c r="O576" s="95">
        <v>10000.000000000002</v>
      </c>
      <c r="Q576" s="98">
        <v>5763.7159250816885</v>
      </c>
      <c r="R576" s="95">
        <v>4751.2902993675843</v>
      </c>
      <c r="S576" s="99">
        <v>3178.4543331086347</v>
      </c>
      <c r="U576" s="121">
        <v>568.63678958657397</v>
      </c>
      <c r="V576" s="59">
        <v>13138.838880530553</v>
      </c>
      <c r="W576" s="59">
        <v>22810.172085748516</v>
      </c>
      <c r="X576" s="59">
        <v>99443.885856782043</v>
      </c>
      <c r="Y576" s="59">
        <v>558433.51278591075</v>
      </c>
      <c r="Z576" s="59">
        <v>1432367.8502240286</v>
      </c>
      <c r="AA576" s="59">
        <v>840994.91087944782</v>
      </c>
      <c r="AB576" s="59">
        <v>2967757.8075020351</v>
      </c>
      <c r="AC576" s="59">
        <v>3409585002.7341185</v>
      </c>
      <c r="AD576" s="68">
        <v>2967757.8075020351</v>
      </c>
    </row>
    <row r="577" spans="1:30" x14ac:dyDescent="0.2">
      <c r="A577" s="95">
        <v>569</v>
      </c>
      <c r="B577" s="95">
        <v>47</v>
      </c>
      <c r="C577" s="95">
        <v>5</v>
      </c>
      <c r="D577" s="95"/>
      <c r="E577" s="95">
        <v>3.5290722565797026</v>
      </c>
      <c r="F577" s="95">
        <v>81.733946730625192</v>
      </c>
      <c r="G577" s="95">
        <v>141.97717464159254</v>
      </c>
      <c r="H577" s="95">
        <v>300.86419713920526</v>
      </c>
      <c r="I577" s="95">
        <v>1453.9108280807418</v>
      </c>
      <c r="J577" s="95">
        <v>59.819494910470837</v>
      </c>
      <c r="K577" s="95">
        <v>275.95547073228136</v>
      </c>
      <c r="L577" s="95">
        <v>107.15963329168625</v>
      </c>
      <c r="M577" s="95">
        <v>5771.0489834164127</v>
      </c>
      <c r="N577" s="95">
        <v>1804.0011988004055</v>
      </c>
      <c r="O577" s="95">
        <v>10000.000000000002</v>
      </c>
      <c r="Q577" s="98">
        <v>5771.0489834164127</v>
      </c>
      <c r="R577" s="95">
        <v>4756.0416158015651</v>
      </c>
      <c r="S577" s="99">
        <v>3182.0723040146531</v>
      </c>
      <c r="U577" s="121">
        <v>560.01246494451095</v>
      </c>
      <c r="V577" s="59">
        <v>12980.147603222391</v>
      </c>
      <c r="W577" s="59">
        <v>22551.582041496986</v>
      </c>
      <c r="X577" s="59">
        <v>98413.561768442945</v>
      </c>
      <c r="Y577" s="59">
        <v>554061.46716838505</v>
      </c>
      <c r="Z577" s="59">
        <v>1421786.49034016</v>
      </c>
      <c r="AA577" s="59">
        <v>834760.42661432305</v>
      </c>
      <c r="AB577" s="59">
        <v>2945113.6880009747</v>
      </c>
      <c r="AC577" s="59">
        <v>3412530116.4221196</v>
      </c>
      <c r="AD577" s="68">
        <v>2945113.6880009747</v>
      </c>
    </row>
    <row r="578" spans="1:30" x14ac:dyDescent="0.2">
      <c r="A578" s="95">
        <v>570</v>
      </c>
      <c r="B578" s="95">
        <v>47</v>
      </c>
      <c r="C578" s="95">
        <v>6</v>
      </c>
      <c r="D578" s="95"/>
      <c r="E578" s="95">
        <v>3.4837824959535966</v>
      </c>
      <c r="F578" s="95">
        <v>80.937393393365483</v>
      </c>
      <c r="G578" s="95">
        <v>140.69858872937363</v>
      </c>
      <c r="H578" s="95">
        <v>298.44795037209633</v>
      </c>
      <c r="I578" s="95">
        <v>1445.9148507758152</v>
      </c>
      <c r="J578" s="95">
        <v>59.515902248921158</v>
      </c>
      <c r="K578" s="95">
        <v>274.56339590274263</v>
      </c>
      <c r="L578" s="95">
        <v>106.61508157581085</v>
      </c>
      <c r="M578" s="95">
        <v>5778.3449271006857</v>
      </c>
      <c r="N578" s="95">
        <v>1811.4781274052368</v>
      </c>
      <c r="O578" s="95">
        <v>10000.000000000002</v>
      </c>
      <c r="Q578" s="98">
        <v>5778.3449271006857</v>
      </c>
      <c r="R578" s="95">
        <v>4760.7668259928278</v>
      </c>
      <c r="S578" s="99">
        <v>3185.6712581193897</v>
      </c>
      <c r="U578" s="121">
        <v>551.51894255951925</v>
      </c>
      <c r="V578" s="59">
        <v>12823.35587971532</v>
      </c>
      <c r="W578" s="59">
        <v>22295.854530546734</v>
      </c>
      <c r="X578" s="59">
        <v>97393.454489093871</v>
      </c>
      <c r="Y578" s="59">
        <v>549720.81728046597</v>
      </c>
      <c r="Z578" s="59">
        <v>1411273.847271929</v>
      </c>
      <c r="AA578" s="59">
        <v>828567.00660563039</v>
      </c>
      <c r="AB578" s="59">
        <v>2922625.8549999408</v>
      </c>
      <c r="AC578" s="59">
        <v>3415452742.2771196</v>
      </c>
      <c r="AD578" s="68">
        <v>2922625.8549999408</v>
      </c>
    </row>
    <row r="579" spans="1:30" x14ac:dyDescent="0.2">
      <c r="A579" s="95">
        <v>571</v>
      </c>
      <c r="B579" s="95">
        <v>47</v>
      </c>
      <c r="C579" s="95">
        <v>7</v>
      </c>
      <c r="D579" s="95"/>
      <c r="E579" s="95">
        <v>3.439073953922192</v>
      </c>
      <c r="F579" s="95">
        <v>80.148496773201813</v>
      </c>
      <c r="G579" s="95">
        <v>139.43108873003399</v>
      </c>
      <c r="H579" s="95">
        <v>296.04972489214583</v>
      </c>
      <c r="I579" s="95">
        <v>1437.9554862485936</v>
      </c>
      <c r="J579" s="95">
        <v>59.213148137323174</v>
      </c>
      <c r="K579" s="95">
        <v>273.17692987466739</v>
      </c>
      <c r="L579" s="95">
        <v>106.07264843697737</v>
      </c>
      <c r="M579" s="95">
        <v>5785.6038966326259</v>
      </c>
      <c r="N579" s="95">
        <v>1818.9095063205102</v>
      </c>
      <c r="O579" s="95">
        <v>10000.000000000002</v>
      </c>
      <c r="Q579" s="98">
        <v>5785.6038966326259</v>
      </c>
      <c r="R579" s="95">
        <v>4765.4660492578496</v>
      </c>
      <c r="S579" s="99">
        <v>3189.2512748014874</v>
      </c>
      <c r="U579" s="121">
        <v>543.15423859736654</v>
      </c>
      <c r="V579" s="59">
        <v>12668.441240908833</v>
      </c>
      <c r="W579" s="59">
        <v>22042.958877348789</v>
      </c>
      <c r="X579" s="59">
        <v>96383.468849708355</v>
      </c>
      <c r="Y579" s="59">
        <v>545411.36938523175</v>
      </c>
      <c r="Z579" s="59">
        <v>1400829.6062246165</v>
      </c>
      <c r="AA579" s="59">
        <v>822414.43216696824</v>
      </c>
      <c r="AB579" s="59">
        <v>2900293.4309833799</v>
      </c>
      <c r="AC579" s="59">
        <v>3418353035.7081032</v>
      </c>
      <c r="AD579" s="68">
        <v>2900293.4309833799</v>
      </c>
    </row>
    <row r="580" spans="1:30" x14ac:dyDescent="0.2">
      <c r="A580" s="95">
        <v>572</v>
      </c>
      <c r="B580" s="95">
        <v>47</v>
      </c>
      <c r="C580" s="95">
        <v>8</v>
      </c>
      <c r="D580" s="95"/>
      <c r="E580" s="95">
        <v>3.3949391715135238</v>
      </c>
      <c r="F580" s="95">
        <v>79.367184693725008</v>
      </c>
      <c r="G580" s="95">
        <v>138.17458383795955</v>
      </c>
      <c r="H580" s="95">
        <v>293.66940178707131</v>
      </c>
      <c r="I580" s="95">
        <v>1430.0326341090199</v>
      </c>
      <c r="J580" s="95">
        <v>58.911243958765375</v>
      </c>
      <c r="K580" s="95">
        <v>271.79605877534857</v>
      </c>
      <c r="L580" s="95">
        <v>105.53233120677223</v>
      </c>
      <c r="M580" s="95">
        <v>5792.8260324650882</v>
      </c>
      <c r="N580" s="95">
        <v>1826.2955899947381</v>
      </c>
      <c r="O580" s="95">
        <v>10000.000000000002</v>
      </c>
      <c r="Q580" s="98">
        <v>5792.8260324650882</v>
      </c>
      <c r="R580" s="95">
        <v>4770.139404588158</v>
      </c>
      <c r="S580" s="99">
        <v>3192.8124333108453</v>
      </c>
      <c r="U580" s="121">
        <v>534.91639931197312</v>
      </c>
      <c r="V580" s="59">
        <v>12515.381479223797</v>
      </c>
      <c r="W580" s="59">
        <v>21792.864720112764</v>
      </c>
      <c r="X580" s="59">
        <v>95383.510485170671</v>
      </c>
      <c r="Y580" s="59">
        <v>541132.93057973543</v>
      </c>
      <c r="Z580" s="59">
        <v>1390453.4513062243</v>
      </c>
      <c r="AA580" s="59">
        <v>816302.48567652039</v>
      </c>
      <c r="AB580" s="59">
        <v>2878115.5406462993</v>
      </c>
      <c r="AC580" s="59">
        <v>3421231151.2487493</v>
      </c>
      <c r="AD580" s="68">
        <v>2878115.5406462993</v>
      </c>
    </row>
    <row r="581" spans="1:30" x14ac:dyDescent="0.2">
      <c r="A581" s="95">
        <v>573</v>
      </c>
      <c r="B581" s="95">
        <v>47</v>
      </c>
      <c r="C581" s="95">
        <v>9</v>
      </c>
      <c r="D581" s="95"/>
      <c r="E581" s="95">
        <v>3.3513707854791002</v>
      </c>
      <c r="F581" s="95">
        <v>78.593385639594388</v>
      </c>
      <c r="G581" s="95">
        <v>136.92898392432679</v>
      </c>
      <c r="H581" s="95">
        <v>291.30686275266572</v>
      </c>
      <c r="I581" s="95">
        <v>1422.1461935704772</v>
      </c>
      <c r="J581" s="95">
        <v>58.610200717759824</v>
      </c>
      <c r="K581" s="95">
        <v>270.42076876300706</v>
      </c>
      <c r="L581" s="95">
        <v>104.99412718873087</v>
      </c>
      <c r="M581" s="95">
        <v>5800.0114749991408</v>
      </c>
      <c r="N581" s="95">
        <v>1833.6366316588203</v>
      </c>
      <c r="O581" s="95">
        <v>10000.000000000002</v>
      </c>
      <c r="Q581" s="98">
        <v>5800.0114749991408</v>
      </c>
      <c r="R581" s="95">
        <v>4774.7870106490127</v>
      </c>
      <c r="S581" s="99">
        <v>3196.3548127661325</v>
      </c>
      <c r="U581" s="121">
        <v>526.80350058907493</v>
      </c>
      <c r="V581" s="59">
        <v>12364.154645626792</v>
      </c>
      <c r="W581" s="59">
        <v>21545.542007822194</v>
      </c>
      <c r="X581" s="59">
        <v>94393.485828609904</v>
      </c>
      <c r="Y581" s="59">
        <v>536885.30879585235</v>
      </c>
      <c r="Z581" s="59">
        <v>1380145.0656051915</v>
      </c>
      <c r="AA581" s="59">
        <v>810230.95054186683</v>
      </c>
      <c r="AB581" s="59">
        <v>2856091.3109255587</v>
      </c>
      <c r="AC581" s="59">
        <v>3424087242.5596747</v>
      </c>
      <c r="AD581" s="68">
        <v>2856091.3109255587</v>
      </c>
    </row>
    <row r="582" spans="1:30" x14ac:dyDescent="0.2">
      <c r="A582" s="95">
        <v>574</v>
      </c>
      <c r="B582" s="95">
        <v>47</v>
      </c>
      <c r="C582" s="95">
        <v>10</v>
      </c>
      <c r="D582" s="95"/>
      <c r="E582" s="95">
        <v>3.3083615270654518</v>
      </c>
      <c r="F582" s="95">
        <v>77.827028750750273</v>
      </c>
      <c r="G582" s="95">
        <v>135.69419953293064</v>
      </c>
      <c r="H582" s="95">
        <v>288.96199009181248</v>
      </c>
      <c r="I582" s="95">
        <v>1414.2960634586411</v>
      </c>
      <c r="J582" s="95">
        <v>58.310029049186667</v>
      </c>
      <c r="K582" s="95">
        <v>269.05104602505344</v>
      </c>
      <c r="L582" s="95">
        <v>104.45803365698984</v>
      </c>
      <c r="M582" s="95">
        <v>5807.160364577614</v>
      </c>
      <c r="N582" s="95">
        <v>1840.9328833299583</v>
      </c>
      <c r="O582" s="95">
        <v>10000.000000000002</v>
      </c>
      <c r="Q582" s="98">
        <v>5807.160364577614</v>
      </c>
      <c r="R582" s="95">
        <v>4779.4089857781164</v>
      </c>
      <c r="S582" s="99">
        <v>3199.8784921523556</v>
      </c>
      <c r="U582" s="121">
        <v>518.81364749680722</v>
      </c>
      <c r="V582" s="59">
        <v>12214.7390466872</v>
      </c>
      <c r="W582" s="59">
        <v>21300.960997274793</v>
      </c>
      <c r="X582" s="59">
        <v>93413.302105758048</v>
      </c>
      <c r="Y582" s="59">
        <v>532668.31280105468</v>
      </c>
      <c r="Z582" s="59">
        <v>1369904.1312658323</v>
      </c>
      <c r="AA582" s="59">
        <v>804199.61116706755</v>
      </c>
      <c r="AB582" s="59">
        <v>2834219.8710311716</v>
      </c>
      <c r="AC582" s="59">
        <v>3426921462.430706</v>
      </c>
      <c r="AD582" s="68">
        <v>2834219.8710311716</v>
      </c>
    </row>
    <row r="583" spans="1:30" x14ac:dyDescent="0.2">
      <c r="A583" s="95">
        <v>575</v>
      </c>
      <c r="B583" s="95">
        <v>47</v>
      </c>
      <c r="C583" s="95">
        <v>11</v>
      </c>
      <c r="D583" s="95"/>
      <c r="E583" s="95">
        <v>3.265904220801445</v>
      </c>
      <c r="F583" s="95">
        <v>77.068043816673196</v>
      </c>
      <c r="G583" s="95">
        <v>134.47014187602593</v>
      </c>
      <c r="H583" s="95">
        <v>286.63466671347118</v>
      </c>
      <c r="I583" s="95">
        <v>1406.4821422202556</v>
      </c>
      <c r="J583" s="95">
        <v>58.010739227030832</v>
      </c>
      <c r="K583" s="95">
        <v>267.68687677640378</v>
      </c>
      <c r="L583" s="95">
        <v>103.92404785504201</v>
      </c>
      <c r="M583" s="95">
        <v>5814.2728414787216</v>
      </c>
      <c r="N583" s="95">
        <v>1848.1845958155766</v>
      </c>
      <c r="O583" s="95">
        <v>10000.000000000002</v>
      </c>
      <c r="Q583" s="98">
        <v>5814.2728414787216</v>
      </c>
      <c r="R583" s="95">
        <v>4784.0054479843566</v>
      </c>
      <c r="S583" s="99">
        <v>3203.3835503184782</v>
      </c>
      <c r="U583" s="121">
        <v>510.94497384310563</v>
      </c>
      <c r="V583" s="59">
        <v>12067.113241666704</v>
      </c>
      <c r="W583" s="59">
        <v>21059.092250147507</v>
      </c>
      <c r="X583" s="59">
        <v>92442.867329332235</v>
      </c>
      <c r="Y583" s="59">
        <v>528481.75219911546</v>
      </c>
      <c r="Z583" s="59">
        <v>1359730.3295615665</v>
      </c>
      <c r="AA583" s="59">
        <v>798208.25292190129</v>
      </c>
      <c r="AB583" s="59">
        <v>2812500.3524775729</v>
      </c>
      <c r="AC583" s="59">
        <v>3429733962.7831836</v>
      </c>
      <c r="AD583" s="68">
        <v>2812500.3524775729</v>
      </c>
    </row>
    <row r="584" spans="1:30" x14ac:dyDescent="0.2">
      <c r="A584" s="95">
        <v>576</v>
      </c>
      <c r="B584" s="95">
        <v>48</v>
      </c>
      <c r="C584" s="95">
        <v>0</v>
      </c>
      <c r="D584" s="95"/>
      <c r="E584" s="95">
        <v>3.2239917833011598</v>
      </c>
      <c r="F584" s="95">
        <v>76.316361270689839</v>
      </c>
      <c r="G584" s="95">
        <v>133.2567228301827</v>
      </c>
      <c r="H584" s="95">
        <v>284.32477613163468</v>
      </c>
      <c r="I584" s="95">
        <v>1398.7043279318339</v>
      </c>
      <c r="J584" s="95">
        <v>57.71234117291575</v>
      </c>
      <c r="K584" s="95">
        <v>266.32824725784826</v>
      </c>
      <c r="L584" s="95">
        <v>103.39216699459014</v>
      </c>
      <c r="M584" s="95">
        <v>5821.3490459097529</v>
      </c>
      <c r="N584" s="95">
        <v>1855.3920187172525</v>
      </c>
      <c r="O584" s="95">
        <v>10000.000000000002</v>
      </c>
      <c r="Q584" s="98">
        <v>5821.3490459097529</v>
      </c>
      <c r="R584" s="95">
        <v>4788.5765149465724</v>
      </c>
      <c r="S584" s="99">
        <v>3206.870065975088</v>
      </c>
      <c r="U584" s="121">
        <v>503.19564173981854</v>
      </c>
      <c r="V584" s="59">
        <v>11921.256039640841</v>
      </c>
      <c r="W584" s="59">
        <v>20819.906630086207</v>
      </c>
      <c r="X584" s="59">
        <v>91482.090293441375</v>
      </c>
      <c r="Y584" s="59">
        <v>524325.43743074266</v>
      </c>
      <c r="Z584" s="59">
        <v>1349623.3409659949</v>
      </c>
      <c r="AA584" s="59">
        <v>792256.66211314395</v>
      </c>
      <c r="AB584" s="59">
        <v>2790931.8891147897</v>
      </c>
      <c r="AC584" s="59">
        <v>3432524894.6722984</v>
      </c>
      <c r="AD584" s="68">
        <v>2790931.8891147897</v>
      </c>
    </row>
    <row r="585" spans="1:30" x14ac:dyDescent="0.2">
      <c r="A585" s="95">
        <v>577</v>
      </c>
      <c r="B585" s="95">
        <v>48</v>
      </c>
      <c r="C585" s="95">
        <v>1</v>
      </c>
      <c r="D585" s="95"/>
      <c r="E585" s="95">
        <v>3.1826172220821283</v>
      </c>
      <c r="F585" s="95">
        <v>75.571912184325015</v>
      </c>
      <c r="G585" s="95">
        <v>132.05385493215519</v>
      </c>
      <c r="H585" s="95">
        <v>282.03220246425815</v>
      </c>
      <c r="I585" s="95">
        <v>1390.9625183082842</v>
      </c>
      <c r="J585" s="95">
        <v>57.414844464438993</v>
      </c>
      <c r="K585" s="95">
        <v>264.97514373447183</v>
      </c>
      <c r="L585" s="95">
        <v>102.86238825449412</v>
      </c>
      <c r="M585" s="95">
        <v>5828.3891180008395</v>
      </c>
      <c r="N585" s="95">
        <v>1862.5554004346527</v>
      </c>
      <c r="O585" s="95">
        <v>10000.000000000002</v>
      </c>
      <c r="Q585" s="98">
        <v>5828.3891180008395</v>
      </c>
      <c r="R585" s="95">
        <v>4793.1223040123505</v>
      </c>
      <c r="S585" s="99">
        <v>3210.3381176921162</v>
      </c>
      <c r="U585" s="121">
        <v>495.56384117343129</v>
      </c>
      <c r="V585" s="59">
        <v>11777.146496652294</v>
      </c>
      <c r="W585" s="59">
        <v>20583.375299819832</v>
      </c>
      <c r="X585" s="59">
        <v>90530.880568017077</v>
      </c>
      <c r="Y585" s="59">
        <v>520199.17977414292</v>
      </c>
      <c r="Z585" s="59">
        <v>1339582.8452218866</v>
      </c>
      <c r="AA585" s="59">
        <v>786344.62595778191</v>
      </c>
      <c r="AB585" s="59">
        <v>2769513.6171594742</v>
      </c>
      <c r="AC585" s="59">
        <v>3435294408.2894578</v>
      </c>
      <c r="AD585" s="68">
        <v>2769513.6171594742</v>
      </c>
    </row>
    <row r="586" spans="1:30" x14ac:dyDescent="0.2">
      <c r="A586" s="95">
        <v>578</v>
      </c>
      <c r="B586" s="95">
        <v>48</v>
      </c>
      <c r="C586" s="95">
        <v>2</v>
      </c>
      <c r="D586" s="95"/>
      <c r="E586" s="95">
        <v>3.1417736343987408</v>
      </c>
      <c r="F586" s="95">
        <v>74.834628261699677</v>
      </c>
      <c r="G586" s="95">
        <v>130.86145137476512</v>
      </c>
      <c r="H586" s="95">
        <v>279.75683043216043</v>
      </c>
      <c r="I586" s="95">
        <v>1383.2566107114599</v>
      </c>
      <c r="J586" s="95">
        <v>57.11825834331448</v>
      </c>
      <c r="K586" s="95">
        <v>263.62755249412538</v>
      </c>
      <c r="L586" s="95">
        <v>102.33470877980717</v>
      </c>
      <c r="M586" s="95">
        <v>5835.3931977987941</v>
      </c>
      <c r="N586" s="95">
        <v>1869.6749881694766</v>
      </c>
      <c r="O586" s="95">
        <v>10000.000000000002</v>
      </c>
      <c r="Q586" s="98">
        <v>5835.3931977987941</v>
      </c>
      <c r="R586" s="95">
        <v>4797.6429321968526</v>
      </c>
      <c r="S586" s="99">
        <v>3213.7877838966028</v>
      </c>
      <c r="U586" s="121">
        <v>488.04778958230094</v>
      </c>
      <c r="V586" s="59">
        <v>11634.763912895582</v>
      </c>
      <c r="W586" s="59">
        <v>20349.469718298897</v>
      </c>
      <c r="X586" s="59">
        <v>89589.148493269298</v>
      </c>
      <c r="Y586" s="59">
        <v>516102.79134551861</v>
      </c>
      <c r="Z586" s="59">
        <v>1329608.5214081313</v>
      </c>
      <c r="AA586" s="59">
        <v>780471.93255805434</v>
      </c>
      <c r="AB586" s="59">
        <v>2748244.6752257505</v>
      </c>
      <c r="AC586" s="59">
        <v>3438042652.9646835</v>
      </c>
      <c r="AD586" s="68">
        <v>2748244.6752257505</v>
      </c>
    </row>
    <row r="587" spans="1:30" x14ac:dyDescent="0.2">
      <c r="A587" s="95">
        <v>579</v>
      </c>
      <c r="B587" s="95">
        <v>48</v>
      </c>
      <c r="C587" s="95">
        <v>3</v>
      </c>
      <c r="D587" s="95"/>
      <c r="E587" s="95">
        <v>3.1014542060906236</v>
      </c>
      <c r="F587" s="95">
        <v>74.104441833974448</v>
      </c>
      <c r="G587" s="95">
        <v>129.67942600279898</v>
      </c>
      <c r="H587" s="95">
        <v>277.49854535789802</v>
      </c>
      <c r="I587" s="95">
        <v>1375.5865021586349</v>
      </c>
      <c r="J587" s="95">
        <v>56.822591723325729</v>
      </c>
      <c r="K587" s="95">
        <v>262.28545984594666</v>
      </c>
      <c r="L587" s="95">
        <v>101.80912568089683</v>
      </c>
      <c r="M587" s="95">
        <v>5842.3614252610278</v>
      </c>
      <c r="N587" s="95">
        <v>1876.7510279294077</v>
      </c>
      <c r="O587" s="95">
        <v>10000.000000000002</v>
      </c>
      <c r="Q587" s="98">
        <v>5842.3614252610278</v>
      </c>
      <c r="R587" s="95">
        <v>4802.1385161816652</v>
      </c>
      <c r="S587" s="99">
        <v>3217.2191428705119</v>
      </c>
      <c r="U587" s="121">
        <v>480.64573144030271</v>
      </c>
      <c r="V587" s="59">
        <v>11494.087829932816</v>
      </c>
      <c r="W587" s="59">
        <v>20118.161637858135</v>
      </c>
      <c r="X587" s="59">
        <v>88656.805174166686</v>
      </c>
      <c r="Y587" s="59">
        <v>512036.08509949647</v>
      </c>
      <c r="Z587" s="59">
        <v>1319700.0480047124</v>
      </c>
      <c r="AA587" s="59">
        <v>774638.37087822985</v>
      </c>
      <c r="AB587" s="59">
        <v>2727124.2043558368</v>
      </c>
      <c r="AC587" s="59">
        <v>3440769777.1690392</v>
      </c>
      <c r="AD587" s="68">
        <v>2727124.2043558368</v>
      </c>
    </row>
    <row r="588" spans="1:30" x14ac:dyDescent="0.2">
      <c r="A588" s="95">
        <v>580</v>
      </c>
      <c r="B588" s="95">
        <v>48</v>
      </c>
      <c r="C588" s="95">
        <v>4</v>
      </c>
      <c r="D588" s="95"/>
      <c r="E588" s="95">
        <v>3.0616522104457937</v>
      </c>
      <c r="F588" s="95">
        <v>73.381285853838421</v>
      </c>
      <c r="G588" s="95">
        <v>128.50769330891967</v>
      </c>
      <c r="H588" s="95">
        <v>275.25723316461284</v>
      </c>
      <c r="I588" s="95">
        <v>1367.9520893309048</v>
      </c>
      <c r="J588" s="95">
        <v>56.527853198094746</v>
      </c>
      <c r="K588" s="95">
        <v>260.94885211892944</v>
      </c>
      <c r="L588" s="95">
        <v>101.28563603264644</v>
      </c>
      <c r="M588" s="95">
        <v>5849.2939402495385</v>
      </c>
      <c r="N588" s="95">
        <v>1883.7837645320703</v>
      </c>
      <c r="O588" s="95">
        <v>10000.000000000002</v>
      </c>
      <c r="Q588" s="98">
        <v>5849.2939402495385</v>
      </c>
      <c r="R588" s="95">
        <v>4806.6091723136806</v>
      </c>
      <c r="S588" s="99">
        <v>3220.6322727485895</v>
      </c>
      <c r="U588" s="121">
        <v>473.35593784679139</v>
      </c>
      <c r="V588" s="59">
        <v>11355.098027940199</v>
      </c>
      <c r="W588" s="59">
        <v>19889.423101403179</v>
      </c>
      <c r="X588" s="59">
        <v>87733.762474941657</v>
      </c>
      <c r="Y588" s="59">
        <v>507998.8748294902</v>
      </c>
      <c r="Z588" s="59">
        <v>1309857.10295576</v>
      </c>
      <c r="AA588" s="59">
        <v>768843.73072302085</v>
      </c>
      <c r="AB588" s="59">
        <v>2706151.3480504029</v>
      </c>
      <c r="AC588" s="59">
        <v>3443475928.5170898</v>
      </c>
      <c r="AD588" s="68">
        <v>2706151.3480504029</v>
      </c>
    </row>
    <row r="589" spans="1:30" x14ac:dyDescent="0.2">
      <c r="A589" s="95">
        <v>581</v>
      </c>
      <c r="B589" s="95">
        <v>48</v>
      </c>
      <c r="C589" s="95">
        <v>5</v>
      </c>
      <c r="D589" s="95"/>
      <c r="E589" s="95">
        <v>3.0223610070784059</v>
      </c>
      <c r="F589" s="95">
        <v>72.665093890042911</v>
      </c>
      <c r="G589" s="95">
        <v>127.34616842959267</v>
      </c>
      <c r="H589" s="95">
        <v>273.03278037485325</v>
      </c>
      <c r="I589" s="95">
        <v>1360.3532685815142</v>
      </c>
      <c r="J589" s="95">
        <v>56.234051048670771</v>
      </c>
      <c r="K589" s="95">
        <v>259.61771566054045</v>
      </c>
      <c r="L589" s="95">
        <v>100.7642368737333</v>
      </c>
      <c r="M589" s="95">
        <v>5856.1908825249811</v>
      </c>
      <c r="N589" s="95">
        <v>1890.7734416089936</v>
      </c>
      <c r="O589" s="95">
        <v>10000</v>
      </c>
      <c r="Q589" s="98">
        <v>5856.1908825249811</v>
      </c>
      <c r="R589" s="95">
        <v>4811.0550166040057</v>
      </c>
      <c r="S589" s="99">
        <v>3224.0272515162719</v>
      </c>
      <c r="U589" s="121">
        <v>466.1767061227817</v>
      </c>
      <c r="V589" s="59">
        <v>11217.774522984953</v>
      </c>
      <c r="W589" s="59">
        <v>19663.226439621125</v>
      </c>
      <c r="X589" s="59">
        <v>86819.933013620554</v>
      </c>
      <c r="Y589" s="59">
        <v>503990.97516799794</v>
      </c>
      <c r="Z589" s="59">
        <v>1300079.3637307305</v>
      </c>
      <c r="AA589" s="59">
        <v>763087.80271755042</v>
      </c>
      <c r="AB589" s="59">
        <v>2685325.2522986284</v>
      </c>
      <c r="AC589" s="59">
        <v>3446161253.7693887</v>
      </c>
      <c r="AD589" s="68">
        <v>2685325.2522986284</v>
      </c>
    </row>
    <row r="590" spans="1:30" x14ac:dyDescent="0.2">
      <c r="A590" s="95">
        <v>582</v>
      </c>
      <c r="B590" s="95">
        <v>48</v>
      </c>
      <c r="C590" s="95">
        <v>6</v>
      </c>
      <c r="D590" s="95"/>
      <c r="E590" s="95">
        <v>2.9835740408208999</v>
      </c>
      <c r="F590" s="95">
        <v>71.95580012197982</v>
      </c>
      <c r="G590" s="95">
        <v>126.19476714102663</v>
      </c>
      <c r="H590" s="95">
        <v>270.82507410936978</v>
      </c>
      <c r="I590" s="95">
        <v>1352.7899359441096</v>
      </c>
      <c r="J590" s="95">
        <v>55.941193250943215</v>
      </c>
      <c r="K590" s="95">
        <v>258.29203683538242</v>
      </c>
      <c r="L590" s="95">
        <v>100.24492520597957</v>
      </c>
      <c r="M590" s="95">
        <v>5863.0523917408082</v>
      </c>
      <c r="N590" s="95">
        <v>1897.7203016095805</v>
      </c>
      <c r="O590" s="95">
        <v>10000</v>
      </c>
      <c r="Q590" s="98">
        <v>5863.0523917408082</v>
      </c>
      <c r="R590" s="95">
        <v>4815.4761647268961</v>
      </c>
      <c r="S590" s="99">
        <v>3227.4041570076361</v>
      </c>
      <c r="U590" s="121">
        <v>459.10635941325279</v>
      </c>
      <c r="V590" s="59">
        <v>11082.097564332336</v>
      </c>
      <c r="W590" s="59">
        <v>19439.544268214777</v>
      </c>
      <c r="X590" s="59">
        <v>85915.23015657888</v>
      </c>
      <c r="Y590" s="59">
        <v>500012.20158683497</v>
      </c>
      <c r="Z590" s="59">
        <v>1290366.5073837703</v>
      </c>
      <c r="AA590" s="59">
        <v>757370.37828878395</v>
      </c>
      <c r="AB590" s="59">
        <v>2664645.0656079287</v>
      </c>
      <c r="AC590" s="59">
        <v>3448825898.8349967</v>
      </c>
      <c r="AD590" s="68">
        <v>2664645.0656079287</v>
      </c>
    </row>
    <row r="591" spans="1:30" x14ac:dyDescent="0.2">
      <c r="A591" s="95">
        <v>583</v>
      </c>
      <c r="B591" s="95">
        <v>48</v>
      </c>
      <c r="C591" s="95">
        <v>7</v>
      </c>
      <c r="D591" s="95"/>
      <c r="E591" s="95">
        <v>2.9452848406303649</v>
      </c>
      <c r="F591" s="95">
        <v>71.253339334304357</v>
      </c>
      <c r="G591" s="95">
        <v>125.05340585512889</v>
      </c>
      <c r="H591" s="95">
        <v>268.63400208588558</v>
      </c>
      <c r="I591" s="95">
        <v>1345.2619871409195</v>
      </c>
      <c r="J591" s="95">
        <v>55.649287482882926</v>
      </c>
      <c r="K591" s="95">
        <v>256.97180202390285</v>
      </c>
      <c r="L591" s="95">
        <v>99.727697993772338</v>
      </c>
      <c r="M591" s="95">
        <v>5869.8786074374902</v>
      </c>
      <c r="N591" s="95">
        <v>1904.6245858050834</v>
      </c>
      <c r="O591" s="95">
        <v>10000</v>
      </c>
      <c r="Q591" s="98">
        <v>5869.8786074374902</v>
      </c>
      <c r="R591" s="95">
        <v>4819.8727320187145</v>
      </c>
      <c r="S591" s="99">
        <v>3230.7630669033933</v>
      </c>
      <c r="U591" s="121">
        <v>452.1432462954852</v>
      </c>
      <c r="V591" s="59">
        <v>10948.047631782461</v>
      </c>
      <c r="W591" s="59">
        <v>19218.349485160485</v>
      </c>
      <c r="X591" s="59">
        <v>85019.568013121578</v>
      </c>
      <c r="Y591" s="59">
        <v>496062.3703973029</v>
      </c>
      <c r="Z591" s="59">
        <v>1280718.2106113106</v>
      </c>
      <c r="AA591" s="59">
        <v>751691.24964834645</v>
      </c>
      <c r="AB591" s="59">
        <v>2644109.9390333197</v>
      </c>
      <c r="AC591" s="59">
        <v>3451470008.7740302</v>
      </c>
      <c r="AD591" s="68">
        <v>2644109.9390333197</v>
      </c>
    </row>
    <row r="592" spans="1:30" x14ac:dyDescent="0.2">
      <c r="A592" s="95">
        <v>584</v>
      </c>
      <c r="B592" s="95">
        <v>48</v>
      </c>
      <c r="C592" s="95">
        <v>8</v>
      </c>
      <c r="D592" s="95"/>
      <c r="E592" s="95">
        <v>2.9074870185089421</v>
      </c>
      <c r="F592" s="95">
        <v>70.557646911601736</v>
      </c>
      <c r="G592" s="95">
        <v>123.92200161547561</v>
      </c>
      <c r="H592" s="95">
        <v>266.45945261784181</v>
      </c>
      <c r="I592" s="95">
        <v>1337.7693175908594</v>
      </c>
      <c r="J592" s="95">
        <v>55.358341131615745</v>
      </c>
      <c r="K592" s="95">
        <v>255.65699762114684</v>
      </c>
      <c r="L592" s="95">
        <v>99.212552163549333</v>
      </c>
      <c r="M592" s="95">
        <v>5876.6696690368153</v>
      </c>
      <c r="N592" s="95">
        <v>1911.4865342925852</v>
      </c>
      <c r="O592" s="95">
        <v>10000</v>
      </c>
      <c r="Q592" s="98">
        <v>5876.6696690368153</v>
      </c>
      <c r="R592" s="95">
        <v>4824.2448334769224</v>
      </c>
      <c r="S592" s="99">
        <v>3234.1040587289294</v>
      </c>
      <c r="U592" s="121">
        <v>445.28574039333699</v>
      </c>
      <c r="V592" s="59">
        <v>10815.605433036562</v>
      </c>
      <c r="W592" s="59">
        <v>18999.615267989386</v>
      </c>
      <c r="X592" s="59">
        <v>84132.861430088728</v>
      </c>
      <c r="Y592" s="59">
        <v>492141.29875029612</v>
      </c>
      <c r="Z592" s="59">
        <v>1271134.1498079405</v>
      </c>
      <c r="AA592" s="59">
        <v>746050.20977664855</v>
      </c>
      <c r="AB592" s="59">
        <v>2623719.0262063933</v>
      </c>
      <c r="AC592" s="59">
        <v>3454093727.8002367</v>
      </c>
      <c r="AD592" s="68">
        <v>2623719.0262063933</v>
      </c>
    </row>
    <row r="593" spans="1:30" x14ac:dyDescent="0.2">
      <c r="A593" s="95">
        <v>585</v>
      </c>
      <c r="B593" s="95">
        <v>48</v>
      </c>
      <c r="C593" s="95">
        <v>9</v>
      </c>
      <c r="D593" s="95"/>
      <c r="E593" s="95">
        <v>2.8701742684380775</v>
      </c>
      <c r="F593" s="95">
        <v>69.868658833097584</v>
      </c>
      <c r="G593" s="95">
        <v>122.80047209329697</v>
      </c>
      <c r="H593" s="95">
        <v>264.30131461311908</v>
      </c>
      <c r="I593" s="95">
        <v>1330.3118224175671</v>
      </c>
      <c r="J593" s="95">
        <v>55.068361300332441</v>
      </c>
      <c r="K593" s="95">
        <v>254.34761003555357</v>
      </c>
      <c r="L593" s="95">
        <v>98.699484603347088</v>
      </c>
      <c r="M593" s="95">
        <v>5883.4257158362616</v>
      </c>
      <c r="N593" s="95">
        <v>1918.3063859989863</v>
      </c>
      <c r="O593" s="95">
        <v>10000</v>
      </c>
      <c r="Q593" s="98">
        <v>5883.4257158362616</v>
      </c>
      <c r="R593" s="95">
        <v>4828.592583759093</v>
      </c>
      <c r="S593" s="99">
        <v>3237.4272098523843</v>
      </c>
      <c r="U593" s="121">
        <v>438.53223999737133</v>
      </c>
      <c r="V593" s="59">
        <v>10684.751901092441</v>
      </c>
      <c r="W593" s="59">
        <v>18783.315071091893</v>
      </c>
      <c r="X593" s="59">
        <v>83255.025986486624</v>
      </c>
      <c r="Y593" s="59">
        <v>488248.80463634682</v>
      </c>
      <c r="Z593" s="59">
        <v>1261614.0011206097</v>
      </c>
      <c r="AA593" s="59">
        <v>740447.0524082483</v>
      </c>
      <c r="AB593" s="59">
        <v>2603471.4833638733</v>
      </c>
      <c r="AC593" s="59">
        <v>3456697199.2836008</v>
      </c>
      <c r="AD593" s="68">
        <v>2603471.4833638733</v>
      </c>
    </row>
    <row r="594" spans="1:30" x14ac:dyDescent="0.2">
      <c r="A594" s="95">
        <v>586</v>
      </c>
      <c r="B594" s="95">
        <v>48</v>
      </c>
      <c r="C594" s="95">
        <v>10</v>
      </c>
      <c r="D594" s="95"/>
      <c r="E594" s="95">
        <v>2.8333403653264555</v>
      </c>
      <c r="F594" s="95">
        <v>69.186311667411701</v>
      </c>
      <c r="G594" s="95">
        <v>121.68873558347745</v>
      </c>
      <c r="H594" s="95">
        <v>262.15947757273477</v>
      </c>
      <c r="I594" s="95">
        <v>1322.8893964573622</v>
      </c>
      <c r="J594" s="95">
        <v>54.779354815038722</v>
      </c>
      <c r="K594" s="95">
        <v>253.04362568779516</v>
      </c>
      <c r="L594" s="95">
        <v>98.188492162408181</v>
      </c>
      <c r="M594" s="95">
        <v>5890.1468870034505</v>
      </c>
      <c r="N594" s="95">
        <v>1925.0843786849944</v>
      </c>
      <c r="O594" s="95">
        <v>10000</v>
      </c>
      <c r="Q594" s="98">
        <v>5890.1468870034505</v>
      </c>
      <c r="R594" s="95">
        <v>4832.9160971819501</v>
      </c>
      <c r="S594" s="99">
        <v>3240.732597482775</v>
      </c>
      <c r="U594" s="121">
        <v>431.88116769074463</v>
      </c>
      <c r="V594" s="59">
        <v>10555.468191668759</v>
      </c>
      <c r="W594" s="59">
        <v>18569.422623045295</v>
      </c>
      <c r="X594" s="59">
        <v>82385.977988144296</v>
      </c>
      <c r="Y594" s="59">
        <v>484384.70688560873</v>
      </c>
      <c r="Z594" s="59">
        <v>1252157.4405012061</v>
      </c>
      <c r="AA594" s="59">
        <v>734881.57201837911</v>
      </c>
      <c r="AB594" s="59">
        <v>2583366.4693757431</v>
      </c>
      <c r="AC594" s="59">
        <v>3459280565.7529764</v>
      </c>
      <c r="AD594" s="68">
        <v>2583366.4693757431</v>
      </c>
    </row>
    <row r="595" spans="1:30" x14ac:dyDescent="0.2">
      <c r="A595" s="95">
        <v>587</v>
      </c>
      <c r="B595" s="95">
        <v>48</v>
      </c>
      <c r="C595" s="95">
        <v>11</v>
      </c>
      <c r="D595" s="95"/>
      <c r="E595" s="95">
        <v>2.7969791639714328</v>
      </c>
      <c r="F595" s="95">
        <v>68.510542567354946</v>
      </c>
      <c r="G595" s="95">
        <v>120.58671100057113</v>
      </c>
      <c r="H595" s="95">
        <v>260.03383158951721</v>
      </c>
      <c r="I595" s="95">
        <v>1315.5019342671351</v>
      </c>
      <c r="J595" s="95">
        <v>54.491328231149268</v>
      </c>
      <c r="K595" s="95">
        <v>251.74503100965705</v>
      </c>
      <c r="L595" s="95">
        <v>97.679571650844707</v>
      </c>
      <c r="M595" s="95">
        <v>5896.8333215706771</v>
      </c>
      <c r="N595" s="95">
        <v>1931.8207489491217</v>
      </c>
      <c r="O595" s="95">
        <v>10000</v>
      </c>
      <c r="Q595" s="98">
        <v>5896.8333215706771</v>
      </c>
      <c r="R595" s="95">
        <v>4837.2154877204366</v>
      </c>
      <c r="S595" s="99">
        <v>3244.0202986681579</v>
      </c>
      <c r="U595" s="121">
        <v>425.33096998076826</v>
      </c>
      <c r="V595" s="59">
        <v>10427.735680657883</v>
      </c>
      <c r="W595" s="59">
        <v>18357.911923964333</v>
      </c>
      <c r="X595" s="59">
        <v>81525.634462395625</v>
      </c>
      <c r="Y595" s="59">
        <v>480548.82516778109</v>
      </c>
      <c r="Z595" s="59">
        <v>1242764.1437575484</v>
      </c>
      <c r="AA595" s="59">
        <v>729353.56381057715</v>
      </c>
      <c r="AB595" s="59">
        <v>2563403.1457729051</v>
      </c>
      <c r="AC595" s="59">
        <v>3461843968.8987494</v>
      </c>
      <c r="AD595" s="68">
        <v>2563403.1457729051</v>
      </c>
    </row>
    <row r="596" spans="1:30" x14ac:dyDescent="0.2">
      <c r="A596" s="95">
        <v>588</v>
      </c>
      <c r="B596" s="95">
        <v>49</v>
      </c>
      <c r="C596" s="95">
        <v>0</v>
      </c>
      <c r="D596" s="95"/>
      <c r="E596" s="95">
        <v>2.7610845980337992</v>
      </c>
      <c r="F596" s="95">
        <v>67.841289264768889</v>
      </c>
      <c r="G596" s="95">
        <v>119.49431787483242</v>
      </c>
      <c r="H596" s="95">
        <v>257.92426734675655</v>
      </c>
      <c r="I596" s="95">
        <v>1308.1493301321636</v>
      </c>
      <c r="J596" s="95">
        <v>54.20428783992925</v>
      </c>
      <c r="K596" s="95">
        <v>250.45181244295898</v>
      </c>
      <c r="L596" s="95">
        <v>97.17271983935494</v>
      </c>
      <c r="M596" s="95">
        <v>5903.4851584295156</v>
      </c>
      <c r="N596" s="95">
        <v>1938.5157322316857</v>
      </c>
      <c r="O596" s="95">
        <v>10000</v>
      </c>
      <c r="Q596" s="98">
        <v>5903.4851584295156</v>
      </c>
      <c r="R596" s="95">
        <v>4841.490869006805</v>
      </c>
      <c r="S596" s="99">
        <v>3247.2903902938342</v>
      </c>
      <c r="U596" s="121">
        <v>418.88011693606001</v>
      </c>
      <c r="V596" s="59">
        <v>10301.535961606973</v>
      </c>
      <c r="W596" s="59">
        <v>18148.757242874544</v>
      </c>
      <c r="X596" s="59">
        <v>80673.913152787092</v>
      </c>
      <c r="Y596" s="59">
        <v>476740.97999197355</v>
      </c>
      <c r="Z596" s="59">
        <v>1233433.7866028443</v>
      </c>
      <c r="AA596" s="59">
        <v>723862.82370534551</v>
      </c>
      <c r="AB596" s="59">
        <v>2543580.6767743682</v>
      </c>
      <c r="AC596" s="59">
        <v>3464387549.5755239</v>
      </c>
      <c r="AD596" s="68">
        <v>2543580.6767743682</v>
      </c>
    </row>
    <row r="597" spans="1:30" x14ac:dyDescent="0.2">
      <c r="A597" s="95">
        <v>589</v>
      </c>
      <c r="B597" s="95">
        <v>49</v>
      </c>
      <c r="C597" s="95">
        <v>1</v>
      </c>
      <c r="D597" s="95"/>
      <c r="E597" s="95">
        <v>2.7256506790256987</v>
      </c>
      <c r="F597" s="95">
        <v>67.1784900654079</v>
      </c>
      <c r="G597" s="95">
        <v>118.41147634826214</v>
      </c>
      <c r="H597" s="95">
        <v>255.83067611683373</v>
      </c>
      <c r="I597" s="95">
        <v>1300.8314780738576</v>
      </c>
      <c r="J597" s="95">
        <v>53.918239674787102</v>
      </c>
      <c r="K597" s="95">
        <v>249.16395643851553</v>
      </c>
      <c r="L597" s="95">
        <v>96.667933458990447</v>
      </c>
      <c r="M597" s="95">
        <v>5910.1025363255058</v>
      </c>
      <c r="N597" s="95">
        <v>1945.1695628188136</v>
      </c>
      <c r="O597" s="95">
        <v>10000</v>
      </c>
      <c r="Q597" s="98">
        <v>5910.1025363255058</v>
      </c>
      <c r="R597" s="95">
        <v>4845.7423543297346</v>
      </c>
      <c r="S597" s="99">
        <v>3250.5429490805914</v>
      </c>
      <c r="U597" s="121">
        <v>412.52710182919645</v>
      </c>
      <c r="V597" s="59">
        <v>10176.850843227012</v>
      </c>
      <c r="W597" s="59">
        <v>17941.933115108277</v>
      </c>
      <c r="X597" s="59">
        <v>79830.732513811337</v>
      </c>
      <c r="Y597" s="59">
        <v>472960.99270651251</v>
      </c>
      <c r="Z597" s="59">
        <v>1224166.0447036512</v>
      </c>
      <c r="AA597" s="59">
        <v>718409.14832979569</v>
      </c>
      <c r="AB597" s="59">
        <v>2523898.2293139352</v>
      </c>
      <c r="AC597" s="59">
        <v>3466911447.8048377</v>
      </c>
      <c r="AD597" s="68">
        <v>2523898.2293139352</v>
      </c>
    </row>
    <row r="598" spans="1:30" x14ac:dyDescent="0.2">
      <c r="A598" s="95">
        <v>590</v>
      </c>
      <c r="B598" s="95">
        <v>49</v>
      </c>
      <c r="C598" s="95">
        <v>2</v>
      </c>
      <c r="D598" s="95"/>
      <c r="E598" s="95">
        <v>2.6906714953115354</v>
      </c>
      <c r="F598" s="95">
        <v>66.522083843863413</v>
      </c>
      <c r="G598" s="95">
        <v>117.33810717066902</v>
      </c>
      <c r="H598" s="95">
        <v>253.75294975982672</v>
      </c>
      <c r="I598" s="95">
        <v>1293.5482718574331</v>
      </c>
      <c r="J598" s="95">
        <v>53.633189517421947</v>
      </c>
      <c r="K598" s="95">
        <v>247.88144945513557</v>
      </c>
      <c r="L598" s="95">
        <v>96.165209200971034</v>
      </c>
      <c r="M598" s="95">
        <v>5916.6855938529152</v>
      </c>
      <c r="N598" s="95">
        <v>1951.7824738464519</v>
      </c>
      <c r="O598" s="95">
        <v>10000</v>
      </c>
      <c r="Q598" s="98">
        <v>5916.6855938529152</v>
      </c>
      <c r="R598" s="95">
        <v>4849.970056633475</v>
      </c>
      <c r="S598" s="99">
        <v>3253.7780515829863</v>
      </c>
      <c r="U598" s="121">
        <v>406.27044078478696</v>
      </c>
      <c r="V598" s="59">
        <v>10053.662346929508</v>
      </c>
      <c r="W598" s="59">
        <v>17737.414339723218</v>
      </c>
      <c r="X598" s="59">
        <v>78996.011705666533</v>
      </c>
      <c r="Y598" s="59">
        <v>469208.68549869081</v>
      </c>
      <c r="Z598" s="59">
        <v>1214960.5937263828</v>
      </c>
      <c r="AA598" s="59">
        <v>712992.33500820899</v>
      </c>
      <c r="AB598" s="59">
        <v>2504354.9730663868</v>
      </c>
      <c r="AC598" s="59">
        <v>3469415802.777904</v>
      </c>
      <c r="AD598" s="68">
        <v>2504354.9730663868</v>
      </c>
    </row>
    <row r="599" spans="1:30" x14ac:dyDescent="0.2">
      <c r="A599" s="95">
        <v>591</v>
      </c>
      <c r="B599" s="95">
        <v>49</v>
      </c>
      <c r="C599" s="95">
        <v>3</v>
      </c>
      <c r="D599" s="95"/>
      <c r="E599" s="95">
        <v>2.656141211121704</v>
      </c>
      <c r="F599" s="95">
        <v>65.872010038530092</v>
      </c>
      <c r="G599" s="95">
        <v>116.2741316957468</v>
      </c>
      <c r="H599" s="95">
        <v>251.69098072209562</v>
      </c>
      <c r="I599" s="95">
        <v>1286.299604999514</v>
      </c>
      <c r="J599" s="95">
        <v>53.349142903829133</v>
      </c>
      <c r="K599" s="95">
        <v>246.60427795865965</v>
      </c>
      <c r="L599" s="95">
        <v>95.664543716544983</v>
      </c>
      <c r="M599" s="95">
        <v>5923.2344694495787</v>
      </c>
      <c r="N599" s="95">
        <v>1958.354697304379</v>
      </c>
      <c r="O599" s="95">
        <v>10000</v>
      </c>
      <c r="Q599" s="98">
        <v>5923.2344694495787</v>
      </c>
      <c r="R599" s="95">
        <v>4854.174088517012</v>
      </c>
      <c r="S599" s="99">
        <v>3256.9957741876647</v>
      </c>
      <c r="U599" s="121">
        <v>400.10867243288436</v>
      </c>
      <c r="V599" s="59">
        <v>9931.95270439054</v>
      </c>
      <c r="W599" s="59">
        <v>17535.175976943236</v>
      </c>
      <c r="X599" s="59">
        <v>78169.670589041547</v>
      </c>
      <c r="Y599" s="59">
        <v>465483.8813944601</v>
      </c>
      <c r="Z599" s="59">
        <v>1205817.1093824033</v>
      </c>
      <c r="AA599" s="59">
        <v>707612.18175346276</v>
      </c>
      <c r="AB599" s="59">
        <v>2484950.0804731343</v>
      </c>
      <c r="AC599" s="59">
        <v>3471900752.858377</v>
      </c>
      <c r="AD599" s="68">
        <v>2484950.0804731343</v>
      </c>
    </row>
    <row r="600" spans="1:30" x14ac:dyDescent="0.2">
      <c r="A600" s="95">
        <v>592</v>
      </c>
      <c r="B600" s="95">
        <v>49</v>
      </c>
      <c r="C600" s="95">
        <v>4</v>
      </c>
      <c r="D600" s="95"/>
      <c r="E600" s="95">
        <v>2.6220540655789755</v>
      </c>
      <c r="F600" s="95">
        <v>65.228208646613467</v>
      </c>
      <c r="G600" s="95">
        <v>115.21947187716704</v>
      </c>
      <c r="H600" s="95">
        <v>249.64466203484636</v>
      </c>
      <c r="I600" s="95">
        <v>1279.0853707756646</v>
      </c>
      <c r="J600" s="95">
        <v>53.066105130167209</v>
      </c>
      <c r="K600" s="95">
        <v>245.33242842103431</v>
      </c>
      <c r="L600" s="95">
        <v>95.165933616892119</v>
      </c>
      <c r="M600" s="95">
        <v>5929.7493013918147</v>
      </c>
      <c r="N600" s="95">
        <v>1964.886464040221</v>
      </c>
      <c r="O600" s="95">
        <v>10000</v>
      </c>
      <c r="Q600" s="98">
        <v>5929.7493013918147</v>
      </c>
      <c r="R600" s="95">
        <v>4858.3545622332604</v>
      </c>
      <c r="S600" s="99">
        <v>3260.196193111718</v>
      </c>
      <c r="U600" s="121">
        <v>394.04035756765228</v>
      </c>
      <c r="V600" s="59">
        <v>9811.7043551418792</v>
      </c>
      <c r="W600" s="59">
        <v>17335.193345621461</v>
      </c>
      <c r="X600" s="59">
        <v>77351.629719927238</v>
      </c>
      <c r="Y600" s="59">
        <v>461786.40425806784</v>
      </c>
      <c r="Z600" s="59">
        <v>1196735.2674717426</v>
      </c>
      <c r="AA600" s="59">
        <v>702268.4872592719</v>
      </c>
      <c r="AB600" s="59">
        <v>2465682.7267673407</v>
      </c>
      <c r="AC600" s="59">
        <v>3474366435.5851445</v>
      </c>
      <c r="AD600" s="68">
        <v>2465682.7267673407</v>
      </c>
    </row>
    <row r="601" spans="1:30" x14ac:dyDescent="0.2">
      <c r="A601" s="95">
        <v>593</v>
      </c>
      <c r="B601" s="95">
        <v>49</v>
      </c>
      <c r="C601" s="95">
        <v>5</v>
      </c>
      <c r="D601" s="95"/>
      <c r="E601" s="95">
        <v>2.5884043717373788</v>
      </c>
      <c r="F601" s="95">
        <v>64.590620219178959</v>
      </c>
      <c r="G601" s="95">
        <v>114.17405026468761</v>
      </c>
      <c r="H601" s="95">
        <v>247.61388731267374</v>
      </c>
      <c r="I601" s="95">
        <v>1271.9054622278506</v>
      </c>
      <c r="J601" s="95">
        <v>52.784081258489586</v>
      </c>
      <c r="K601" s="95">
        <v>244.06588731942264</v>
      </c>
      <c r="L601" s="95">
        <v>94.669375473067376</v>
      </c>
      <c r="M601" s="95">
        <v>5936.2302277894196</v>
      </c>
      <c r="N601" s="95">
        <v>1971.3780037634722</v>
      </c>
      <c r="O601" s="95">
        <v>10000</v>
      </c>
      <c r="Q601" s="98">
        <v>5936.2302277894196</v>
      </c>
      <c r="R601" s="95">
        <v>4862.5115896882817</v>
      </c>
      <c r="S601" s="99">
        <v>3263.3793844010797</v>
      </c>
      <c r="U601" s="121">
        <v>388.06407881120953</v>
      </c>
      <c r="V601" s="59">
        <v>9692.89994418889</v>
      </c>
      <c r="W601" s="59">
        <v>17137.442020725386</v>
      </c>
      <c r="X601" s="59">
        <v>76541.810344453683</v>
      </c>
      <c r="Y601" s="59">
        <v>458116.07879163994</v>
      </c>
      <c r="Z601" s="59">
        <v>1187714.7439254774</v>
      </c>
      <c r="AA601" s="59">
        <v>696961.05089319404</v>
      </c>
      <c r="AB601" s="59">
        <v>2446552.0899984906</v>
      </c>
      <c r="AC601" s="59">
        <v>3476812987.6751432</v>
      </c>
      <c r="AD601" s="68">
        <v>2446552.0899984906</v>
      </c>
    </row>
    <row r="602" spans="1:30" x14ac:dyDescent="0.2">
      <c r="A602" s="95">
        <v>594</v>
      </c>
      <c r="B602" s="95">
        <v>49</v>
      </c>
      <c r="C602" s="95">
        <v>6</v>
      </c>
      <c r="D602" s="95"/>
      <c r="E602" s="95">
        <v>2.5551865156334159</v>
      </c>
      <c r="F602" s="95">
        <v>63.959185856241746</v>
      </c>
      <c r="G602" s="95">
        <v>113.13779000027714</v>
      </c>
      <c r="H602" s="95">
        <v>245.59855075208404</v>
      </c>
      <c r="I602" s="95">
        <v>1264.7597721718309</v>
      </c>
      <c r="J602" s="95">
        <v>52.503076122344041</v>
      </c>
      <c r="K602" s="95">
        <v>242.80464113535027</v>
      </c>
      <c r="L602" s="95">
        <v>94.17486581598277</v>
      </c>
      <c r="M602" s="95">
        <v>5942.6773865807381</v>
      </c>
      <c r="N602" s="95">
        <v>1977.8295450495175</v>
      </c>
      <c r="O602" s="95">
        <v>10000</v>
      </c>
      <c r="Q602" s="98">
        <v>5942.6773865807381</v>
      </c>
      <c r="R602" s="95">
        <v>4866.6452824405224</v>
      </c>
      <c r="S602" s="99">
        <v>3266.5454239289538</v>
      </c>
      <c r="U602" s="121">
        <v>382.17844028257286</v>
      </c>
      <c r="V602" s="59">
        <v>9575.5223196549377</v>
      </c>
      <c r="W602" s="59">
        <v>16941.897830843875</v>
      </c>
      <c r="X602" s="59">
        <v>75740.134393753498</v>
      </c>
      <c r="Y602" s="59">
        <v>454472.73053470842</v>
      </c>
      <c r="Z602" s="59">
        <v>1178755.2148468099</v>
      </c>
      <c r="AA602" s="59">
        <v>691689.67269035429</v>
      </c>
      <c r="AB602" s="59">
        <v>2427557.3510564077</v>
      </c>
      <c r="AC602" s="59">
        <v>3479240545.0261998</v>
      </c>
      <c r="AD602" s="68">
        <v>2427557.3510564077</v>
      </c>
    </row>
    <row r="603" spans="1:30" x14ac:dyDescent="0.2">
      <c r="A603" s="95">
        <v>595</v>
      </c>
      <c r="B603" s="95">
        <v>49</v>
      </c>
      <c r="C603" s="95">
        <v>7</v>
      </c>
      <c r="D603" s="95"/>
      <c r="E603" s="95">
        <v>2.5223949553494536</v>
      </c>
      <c r="F603" s="95">
        <v>63.333847201897377</v>
      </c>
      <c r="G603" s="95">
        <v>112.11061481425523</v>
      </c>
      <c r="H603" s="95">
        <v>243.59854712999774</v>
      </c>
      <c r="I603" s="95">
        <v>1257.648193204479</v>
      </c>
      <c r="J603" s="95">
        <v>52.223094332243278</v>
      </c>
      <c r="K603" s="95">
        <v>241.54867635388584</v>
      </c>
      <c r="L603" s="95">
        <v>93.682401136425511</v>
      </c>
      <c r="M603" s="95">
        <v>5949.0909155278086</v>
      </c>
      <c r="N603" s="95">
        <v>1984.2413153436576</v>
      </c>
      <c r="O603" s="95">
        <v>10000</v>
      </c>
      <c r="Q603" s="98">
        <v>5949.0909155278086</v>
      </c>
      <c r="R603" s="95">
        <v>4870.7557517000805</v>
      </c>
      <c r="S603" s="99">
        <v>3269.6943873942814</v>
      </c>
      <c r="U603" s="121">
        <v>376.38206727162049</v>
      </c>
      <c r="V603" s="59">
        <v>9459.5545304520056</v>
      </c>
      <c r="W603" s="59">
        <v>16748.53685571592</v>
      </c>
      <c r="X603" s="59">
        <v>74946.524478851366</v>
      </c>
      <c r="Y603" s="59">
        <v>450856.18586368684</v>
      </c>
      <c r="Z603" s="59">
        <v>1169856.3565508814</v>
      </c>
      <c r="AA603" s="59">
        <v>686454.15334784344</v>
      </c>
      <c r="AB603" s="59">
        <v>2408697.6936947028</v>
      </c>
      <c r="AC603" s="59">
        <v>3481649242.7198944</v>
      </c>
      <c r="AD603" s="68">
        <v>2408697.6936947028</v>
      </c>
    </row>
    <row r="604" spans="1:30" x14ac:dyDescent="0.2">
      <c r="A604" s="95">
        <v>596</v>
      </c>
      <c r="B604" s="95">
        <v>49</v>
      </c>
      <c r="C604" s="95">
        <v>8</v>
      </c>
      <c r="D604" s="95"/>
      <c r="E604" s="95">
        <v>2.4900242200891354</v>
      </c>
      <c r="F604" s="95">
        <v>62.714546439492743</v>
      </c>
      <c r="G604" s="95">
        <v>111.09244902144883</v>
      </c>
      <c r="H604" s="95">
        <v>241.61377180223283</v>
      </c>
      <c r="I604" s="95">
        <v>1250.5706177110353</v>
      </c>
      <c r="J604" s="95">
        <v>51.944140281009382</v>
      </c>
      <c r="K604" s="95">
        <v>240.29797946285535</v>
      </c>
      <c r="L604" s="95">
        <v>93.191977885110347</v>
      </c>
      <c r="M604" s="95">
        <v>5955.4709522115882</v>
      </c>
      <c r="N604" s="95">
        <v>1990.6135409651372</v>
      </c>
      <c r="O604" s="95">
        <v>10000</v>
      </c>
      <c r="Q604" s="98">
        <v>5955.4709522115882</v>
      </c>
      <c r="R604" s="95">
        <v>4874.8431083279947</v>
      </c>
      <c r="S604" s="99">
        <v>3272.8263503202415</v>
      </c>
      <c r="U604" s="121">
        <v>370.67360591800093</v>
      </c>
      <c r="V604" s="59">
        <v>9344.9798239772554</v>
      </c>
      <c r="W604" s="59">
        <v>16557.335423781002</v>
      </c>
      <c r="X604" s="59">
        <v>74160.903885579697</v>
      </c>
      <c r="Y604" s="59">
        <v>447266.27199129277</v>
      </c>
      <c r="Z604" s="59">
        <v>1161017.8456033564</v>
      </c>
      <c r="AA604" s="59">
        <v>681254.29421974823</v>
      </c>
      <c r="AB604" s="59">
        <v>2389972.3045536531</v>
      </c>
      <c r="AC604" s="59">
        <v>3484039215.0244479</v>
      </c>
      <c r="AD604" s="68">
        <v>2389972.3045536531</v>
      </c>
    </row>
    <row r="605" spans="1:30" x14ac:dyDescent="0.2">
      <c r="A605" s="95">
        <v>597</v>
      </c>
      <c r="B605" s="95">
        <v>49</v>
      </c>
      <c r="C605" s="95">
        <v>9</v>
      </c>
      <c r="D605" s="95"/>
      <c r="E605" s="95">
        <v>2.4580689092646582</v>
      </c>
      <c r="F605" s="95">
        <v>62.101226286837104</v>
      </c>
      <c r="G605" s="95">
        <v>110.08321751736462</v>
      </c>
      <c r="H605" s="95">
        <v>239.64412070196886</v>
      </c>
      <c r="I605" s="95">
        <v>1243.5269378722908</v>
      </c>
      <c r="J605" s="95">
        <v>51.666218148995348</v>
      </c>
      <c r="K605" s="95">
        <v>239.05253695208947</v>
      </c>
      <c r="L605" s="95">
        <v>92.703592472764186</v>
      </c>
      <c r="M605" s="95">
        <v>5961.8176340272485</v>
      </c>
      <c r="N605" s="95">
        <v>1996.9464471111758</v>
      </c>
      <c r="O605" s="95">
        <v>10000</v>
      </c>
      <c r="Q605" s="98">
        <v>5961.8176340272485</v>
      </c>
      <c r="R605" s="95">
        <v>4878.9074628355556</v>
      </c>
      <c r="S605" s="99">
        <v>3275.9413880527864</v>
      </c>
      <c r="U605" s="121">
        <v>365.05172289491122</v>
      </c>
      <c r="V605" s="59">
        <v>9231.7816438352402</v>
      </c>
      <c r="W605" s="59">
        <v>16368.270109750885</v>
      </c>
      <c r="X605" s="59">
        <v>73383.196569520645</v>
      </c>
      <c r="Y605" s="59">
        <v>443702.81696591922</v>
      </c>
      <c r="Z605" s="59">
        <v>1152239.3588578096</v>
      </c>
      <c r="AA605" s="59">
        <v>676089.89731277409</v>
      </c>
      <c r="AB605" s="59">
        <v>2371380.3731825044</v>
      </c>
      <c r="AC605" s="59">
        <v>3486410595.3976302</v>
      </c>
      <c r="AD605" s="68">
        <v>2371380.3731825044</v>
      </c>
    </row>
    <row r="606" spans="1:30" x14ac:dyDescent="0.2">
      <c r="A606" s="95">
        <v>598</v>
      </c>
      <c r="B606" s="95">
        <v>49</v>
      </c>
      <c r="C606" s="95">
        <v>10</v>
      </c>
      <c r="D606" s="95"/>
      <c r="E606" s="95">
        <v>2.4265236915957615</v>
      </c>
      <c r="F606" s="95">
        <v>61.493829991452927</v>
      </c>
      <c r="G606" s="95">
        <v>109.08284577437753</v>
      </c>
      <c r="H606" s="95">
        <v>237.6894903381924</v>
      </c>
      <c r="I606" s="95">
        <v>1236.517045671701</v>
      </c>
      <c r="J606" s="95">
        <v>51.389331909186382</v>
      </c>
      <c r="K606" s="95">
        <v>237.81233531270297</v>
      </c>
      <c r="L606" s="95">
        <v>92.217241270241118</v>
      </c>
      <c r="M606" s="95">
        <v>5968.1310981795505</v>
      </c>
      <c r="N606" s="95">
        <v>2003.240257860999</v>
      </c>
      <c r="O606" s="95">
        <v>10000</v>
      </c>
      <c r="Q606" s="98">
        <v>5968.1310981795505</v>
      </c>
      <c r="R606" s="95">
        <v>4882.9489253836409</v>
      </c>
      <c r="S606" s="99">
        <v>3279.03957575921</v>
      </c>
      <c r="U606" s="121">
        <v>359.51510509767178</v>
      </c>
      <c r="V606" s="59">
        <v>9119.9436275855242</v>
      </c>
      <c r="W606" s="59">
        <v>16181.317732202726</v>
      </c>
      <c r="X606" s="59">
        <v>72613.327150974263</v>
      </c>
      <c r="Y606" s="59">
        <v>440165.64967095462</v>
      </c>
      <c r="Z606" s="59">
        <v>1143520.5734919503</v>
      </c>
      <c r="AA606" s="59">
        <v>670960.76528242149</v>
      </c>
      <c r="AB606" s="59">
        <v>2352921.0920611867</v>
      </c>
      <c r="AC606" s="59">
        <v>3488763516.4896913</v>
      </c>
      <c r="AD606" s="68">
        <v>2352921.0920611867</v>
      </c>
    </row>
    <row r="607" spans="1:30" x14ac:dyDescent="0.2">
      <c r="A607" s="95">
        <v>599</v>
      </c>
      <c r="B607" s="95">
        <v>49</v>
      </c>
      <c r="C607" s="95">
        <v>11</v>
      </c>
      <c r="D607" s="95"/>
      <c r="E607" s="95">
        <v>2.3953833042202826</v>
      </c>
      <c r="F607" s="95">
        <v>60.892301325866214</v>
      </c>
      <c r="G607" s="95">
        <v>108.09125983793555</v>
      </c>
      <c r="H607" s="95">
        <v>235.74977779412421</v>
      </c>
      <c r="I607" s="95">
        <v>1229.5408329024324</v>
      </c>
      <c r="J607" s="95">
        <v>51.113485332183878</v>
      </c>
      <c r="K607" s="95">
        <v>236.57736103640573</v>
      </c>
      <c r="L607" s="95">
        <v>91.732920608666149</v>
      </c>
      <c r="M607" s="95">
        <v>5974.4114816782912</v>
      </c>
      <c r="N607" s="95">
        <v>2009.4951961798738</v>
      </c>
      <c r="O607" s="95">
        <v>10000</v>
      </c>
      <c r="Q607" s="98">
        <v>5974.4114816782912</v>
      </c>
      <c r="R607" s="95">
        <v>4886.9676057820743</v>
      </c>
      <c r="S607" s="99">
        <v>3282.120988426751</v>
      </c>
      <c r="U607" s="121">
        <v>354.06245933702377</v>
      </c>
      <c r="V607" s="59">
        <v>9009.4496045154083</v>
      </c>
      <c r="W607" s="59">
        <v>15996.455351193334</v>
      </c>
      <c r="X607" s="59">
        <v>71851.220909953205</v>
      </c>
      <c r="Y607" s="59">
        <v>436654.5998240537</v>
      </c>
      <c r="Z607" s="59">
        <v>1134861.1670427145</v>
      </c>
      <c r="AA607" s="59">
        <v>665866.70142967999</v>
      </c>
      <c r="AB607" s="59">
        <v>2334593.6566214473</v>
      </c>
      <c r="AC607" s="59">
        <v>3491098110.1463127</v>
      </c>
      <c r="AD607" s="68">
        <v>2334593.6566214473</v>
      </c>
    </row>
    <row r="608" spans="1:30" x14ac:dyDescent="0.2">
      <c r="A608" s="95">
        <v>600</v>
      </c>
      <c r="B608" s="95">
        <v>50</v>
      </c>
      <c r="C608" s="95">
        <v>0</v>
      </c>
      <c r="D608" s="95"/>
      <c r="E608" s="95">
        <v>2.3646425518161225</v>
      </c>
      <c r="F608" s="95">
        <v>60.296584582936056</v>
      </c>
      <c r="G608" s="95">
        <v>107.10838632278079</v>
      </c>
      <c r="H608" s="95">
        <v>233.82488072562847</v>
      </c>
      <c r="I608" s="95">
        <v>1222.5981911743406</v>
      </c>
      <c r="J608" s="95">
        <v>50.838681991074864</v>
      </c>
      <c r="K608" s="95">
        <v>235.34760061484459</v>
      </c>
      <c r="L608" s="95">
        <v>91.250626779605909</v>
      </c>
      <c r="M608" s="95">
        <v>5980.6589213338275</v>
      </c>
      <c r="N608" s="95">
        <v>2015.7114839231444</v>
      </c>
      <c r="O608" s="95">
        <v>10000</v>
      </c>
      <c r="Q608" s="98">
        <v>5980.6589213338275</v>
      </c>
      <c r="R608" s="95">
        <v>4890.963613489007</v>
      </c>
      <c r="S608" s="99">
        <v>3285.185700861226</v>
      </c>
      <c r="U608" s="121">
        <v>348.69251203707887</v>
      </c>
      <c r="V608" s="59">
        <v>8900.2835934375016</v>
      </c>
      <c r="W608" s="59">
        <v>15813.660265894419</v>
      </c>
      <c r="X608" s="59">
        <v>71096.80378120362</v>
      </c>
      <c r="Y608" s="59">
        <v>433169.49797635851</v>
      </c>
      <c r="Z608" s="59">
        <v>1126260.8174402567</v>
      </c>
      <c r="AA608" s="59">
        <v>660807.50969820737</v>
      </c>
      <c r="AB608" s="59">
        <v>2316397.2652673954</v>
      </c>
      <c r="AC608" s="59">
        <v>3493414507.4115801</v>
      </c>
      <c r="AD608" s="68">
        <v>2316397.2652673954</v>
      </c>
    </row>
    <row r="609" spans="1:30" x14ac:dyDescent="0.2">
      <c r="A609" s="95">
        <v>601</v>
      </c>
      <c r="B609" s="95">
        <v>50</v>
      </c>
      <c r="C609" s="95">
        <v>1</v>
      </c>
      <c r="D609" s="95"/>
      <c r="E609" s="95">
        <v>2.3287788064469113</v>
      </c>
      <c r="F609" s="95">
        <v>59.565932540529559</v>
      </c>
      <c r="G609" s="95">
        <v>105.88423284110038</v>
      </c>
      <c r="H609" s="95">
        <v>231.36910597124472</v>
      </c>
      <c r="I609" s="95">
        <v>1212.8362828081406</v>
      </c>
      <c r="J609" s="95">
        <v>50.446301674876999</v>
      </c>
      <c r="K609" s="95">
        <v>233.57389613754026</v>
      </c>
      <c r="L609" s="95">
        <v>90.557437906112341</v>
      </c>
      <c r="M609" s="95">
        <v>5986.8735537526718</v>
      </c>
      <c r="N609" s="95">
        <v>2026.5644775613359</v>
      </c>
      <c r="O609" s="95">
        <v>10000</v>
      </c>
      <c r="Q609" s="98">
        <v>5986.8735537526718</v>
      </c>
      <c r="R609" s="95">
        <v>4894.9370576103238</v>
      </c>
      <c r="S609" s="99">
        <v>3288.2337876856964</v>
      </c>
      <c r="U609" s="121"/>
      <c r="V609" s="59"/>
      <c r="W609" s="59"/>
      <c r="X609" s="59"/>
      <c r="Y609" s="59"/>
      <c r="Z609" s="59"/>
      <c r="AA609" s="59"/>
      <c r="AB609" s="59"/>
      <c r="AC609" s="59"/>
      <c r="AD609" s="68"/>
    </row>
    <row r="610" spans="1:30" x14ac:dyDescent="0.2">
      <c r="A610" s="95">
        <v>602</v>
      </c>
      <c r="B610" s="95">
        <v>50</v>
      </c>
      <c r="C610" s="95">
        <v>2</v>
      </c>
      <c r="D610" s="95"/>
      <c r="E610" s="95">
        <v>2.293458994549133</v>
      </c>
      <c r="F610" s="95">
        <v>58.844063977135797</v>
      </c>
      <c r="G610" s="95">
        <v>104.67377627362883</v>
      </c>
      <c r="H610" s="95">
        <v>228.93813095125611</v>
      </c>
      <c r="I610" s="95">
        <v>1203.146627384916</v>
      </c>
      <c r="J610" s="95">
        <v>50.049452432471291</v>
      </c>
      <c r="K610" s="95">
        <v>231.81944750063212</v>
      </c>
      <c r="L610" s="95">
        <v>89.869006402841592</v>
      </c>
      <c r="M610" s="95">
        <v>5993.041014524184</v>
      </c>
      <c r="N610" s="95">
        <v>2037.3250215583851</v>
      </c>
      <c r="O610" s="95">
        <v>10000</v>
      </c>
      <c r="Q610" s="98">
        <v>5993.041014524184</v>
      </c>
      <c r="R610" s="95">
        <v>4898.8787755294506</v>
      </c>
      <c r="S610" s="99">
        <v>3291.2582111365764</v>
      </c>
      <c r="U610" s="121"/>
      <c r="V610" s="59"/>
      <c r="W610" s="59"/>
      <c r="X610" s="59"/>
      <c r="Y610" s="59"/>
      <c r="Z610" s="59"/>
      <c r="AA610" s="59"/>
      <c r="AB610" s="59"/>
      <c r="AC610" s="59"/>
      <c r="AD610" s="68"/>
    </row>
    <row r="611" spans="1:30" x14ac:dyDescent="0.2">
      <c r="A611" s="95">
        <v>603</v>
      </c>
      <c r="B611" s="95">
        <v>50</v>
      </c>
      <c r="C611" s="95">
        <v>3</v>
      </c>
      <c r="D611" s="95"/>
      <c r="E611" s="95">
        <v>2.2586748664651379</v>
      </c>
      <c r="F611" s="95">
        <v>58.130874402618453</v>
      </c>
      <c r="G611" s="95">
        <v>103.4768676759151</v>
      </c>
      <c r="H611" s="95">
        <v>226.53171857214429</v>
      </c>
      <c r="I611" s="95">
        <v>1193.5287541481598</v>
      </c>
      <c r="J611" s="95">
        <v>49.648406112158263</v>
      </c>
      <c r="K611" s="95">
        <v>230.08394184712253</v>
      </c>
      <c r="L611" s="95">
        <v>89.185305305228411</v>
      </c>
      <c r="M611" s="95">
        <v>5999.1615848739166</v>
      </c>
      <c r="N611" s="95">
        <v>2047.9938721962712</v>
      </c>
      <c r="O611" s="95">
        <v>10000</v>
      </c>
      <c r="Q611" s="98">
        <v>5999.1615848739166</v>
      </c>
      <c r="R611" s="95">
        <v>4902.7890020684517</v>
      </c>
      <c r="S611" s="99">
        <v>3294.2591393014795</v>
      </c>
      <c r="U611" s="121"/>
      <c r="V611" s="59"/>
      <c r="W611" s="59"/>
      <c r="X611" s="59"/>
      <c r="Y611" s="59"/>
      <c r="Z611" s="59"/>
      <c r="AA611" s="59"/>
      <c r="AB611" s="59"/>
      <c r="AC611" s="59"/>
      <c r="AD611" s="68"/>
    </row>
    <row r="612" spans="1:30" x14ac:dyDescent="0.2">
      <c r="A612" s="95">
        <v>604</v>
      </c>
      <c r="B612" s="95">
        <v>50</v>
      </c>
      <c r="C612" s="95">
        <v>4</v>
      </c>
      <c r="D612" s="95"/>
      <c r="E612" s="95">
        <v>2.2244182976570834</v>
      </c>
      <c r="F612" s="95">
        <v>57.426260552533755</v>
      </c>
      <c r="G612" s="95">
        <v>102.29335965959662</v>
      </c>
      <c r="H612" s="95">
        <v>224.14963382710692</v>
      </c>
      <c r="I612" s="95">
        <v>1183.9821946785669</v>
      </c>
      <c r="J612" s="95">
        <v>49.243426143010502</v>
      </c>
      <c r="K612" s="95">
        <v>228.36707246076224</v>
      </c>
      <c r="L612" s="95">
        <v>88.50630797265616</v>
      </c>
      <c r="M612" s="95">
        <v>6005.2355462709684</v>
      </c>
      <c r="N612" s="95">
        <v>2058.5717801371406</v>
      </c>
      <c r="O612" s="95">
        <v>10000</v>
      </c>
      <c r="Q612" s="98">
        <v>6005.2355462709684</v>
      </c>
      <c r="R612" s="95">
        <v>4906.6679705194329</v>
      </c>
      <c r="S612" s="99">
        <v>3297.2367394864218</v>
      </c>
      <c r="U612" s="121"/>
      <c r="V612" s="59"/>
      <c r="W612" s="59"/>
      <c r="X612" s="59"/>
      <c r="Y612" s="59"/>
      <c r="Z612" s="59"/>
      <c r="AA612" s="59"/>
      <c r="AB612" s="59"/>
      <c r="AC612" s="59"/>
      <c r="AD612" s="68"/>
    </row>
    <row r="613" spans="1:30" x14ac:dyDescent="0.2">
      <c r="A613" s="95">
        <v>605</v>
      </c>
      <c r="B613" s="95">
        <v>50</v>
      </c>
      <c r="C613" s="95">
        <v>5</v>
      </c>
      <c r="D613" s="95"/>
      <c r="E613" s="95">
        <v>2.1906812868092844</v>
      </c>
      <c r="F613" s="95">
        <v>56.730120374029241</v>
      </c>
      <c r="G613" s="95">
        <v>101.12310637709162</v>
      </c>
      <c r="H613" s="95">
        <v>221.79164378014403</v>
      </c>
      <c r="I613" s="95">
        <v>1174.506482891223</v>
      </c>
      <c r="J613" s="95">
        <v>48.834767764031909</v>
      </c>
      <c r="K613" s="95">
        <v>226.66853864011827</v>
      </c>
      <c r="L613" s="95">
        <v>87.831988064990298</v>
      </c>
      <c r="M613" s="95">
        <v>6011.2631803691311</v>
      </c>
      <c r="N613" s="95">
        <v>2069.0594904524301</v>
      </c>
      <c r="O613" s="95">
        <v>9999.9999999999982</v>
      </c>
      <c r="Q613" s="98">
        <v>6011.2631803691311</v>
      </c>
      <c r="R613" s="95">
        <v>4910.5159126521385</v>
      </c>
      <c r="S613" s="99">
        <v>3300.191178205635</v>
      </c>
      <c r="U613" s="121"/>
      <c r="V613" s="59"/>
      <c r="W613" s="59"/>
      <c r="X613" s="59"/>
      <c r="Y613" s="59"/>
      <c r="Z613" s="59"/>
      <c r="AA613" s="59"/>
      <c r="AB613" s="59"/>
      <c r="AC613" s="59"/>
      <c r="AD613" s="68"/>
    </row>
    <row r="614" spans="1:30" x14ac:dyDescent="0.2">
      <c r="A614" s="95">
        <v>606</v>
      </c>
      <c r="B614" s="95">
        <v>50</v>
      </c>
      <c r="C614" s="95">
        <v>6</v>
      </c>
      <c r="D614" s="95"/>
      <c r="E614" s="95">
        <v>2.1574559539593436</v>
      </c>
      <c r="F614" s="95">
        <v>56.042353011900268</v>
      </c>
      <c r="G614" s="95">
        <v>99.965963506427499</v>
      </c>
      <c r="H614" s="95">
        <v>219.4575175502311</v>
      </c>
      <c r="I614" s="95">
        <v>1165.1011550326673</v>
      </c>
      <c r="J614" s="95">
        <v>48.422678247275059</v>
      </c>
      <c r="K614" s="95">
        <v>224.98804557523002</v>
      </c>
      <c r="L614" s="95">
        <v>87.162319520655643</v>
      </c>
      <c r="M614" s="95">
        <v>6017.2447689495057</v>
      </c>
      <c r="N614" s="95">
        <v>2079.4577426521469</v>
      </c>
      <c r="O614" s="95">
        <v>9999.9999999999982</v>
      </c>
      <c r="Q614" s="98">
        <v>6017.2447689495057</v>
      </c>
      <c r="R614" s="95">
        <v>4914.3330587215351</v>
      </c>
      <c r="S614" s="99">
        <v>3303.122621171965</v>
      </c>
      <c r="U614" s="121"/>
      <c r="V614" s="59"/>
      <c r="W614" s="59"/>
      <c r="X614" s="59"/>
      <c r="Y614" s="59"/>
      <c r="Z614" s="59"/>
      <c r="AA614" s="59"/>
      <c r="AB614" s="59"/>
      <c r="AC614" s="59"/>
      <c r="AD614" s="68"/>
    </row>
    <row r="615" spans="1:30" x14ac:dyDescent="0.2">
      <c r="A615" s="95">
        <v>607</v>
      </c>
      <c r="B615" s="95">
        <v>50</v>
      </c>
      <c r="C615" s="95">
        <v>7</v>
      </c>
      <c r="D615" s="95"/>
      <c r="E615" s="95">
        <v>2.1247345386576271</v>
      </c>
      <c r="F615" s="95">
        <v>55.362858794802619</v>
      </c>
      <c r="G615" s="95">
        <v>98.82178823620437</v>
      </c>
      <c r="H615" s="95">
        <v>217.14702629557939</v>
      </c>
      <c r="I615" s="95">
        <v>1155.7657496778315</v>
      </c>
      <c r="J615" s="95">
        <v>48.007397115075086</v>
      </c>
      <c r="K615" s="95">
        <v>223.32530422680091</v>
      </c>
      <c r="L615" s="95">
        <v>86.497276536174397</v>
      </c>
      <c r="M615" s="95">
        <v>6023.1805938645684</v>
      </c>
      <c r="N615" s="95">
        <v>2089.7672707143047</v>
      </c>
      <c r="O615" s="95">
        <v>9999.9999999999982</v>
      </c>
      <c r="Q615" s="98">
        <v>6023.1805938645684</v>
      </c>
      <c r="R615" s="95">
        <v>4918.1196374753908</v>
      </c>
      <c r="S615" s="99">
        <v>3306.0312332878307</v>
      </c>
      <c r="U615" s="121"/>
      <c r="V615" s="59"/>
      <c r="W615" s="59"/>
      <c r="X615" s="59"/>
      <c r="Y615" s="59"/>
      <c r="Z615" s="59"/>
      <c r="AA615" s="59"/>
      <c r="AB615" s="59"/>
      <c r="AC615" s="59"/>
      <c r="AD615" s="68"/>
    </row>
    <row r="616" spans="1:30" x14ac:dyDescent="0.2">
      <c r="A616" s="95">
        <v>608</v>
      </c>
      <c r="B616" s="95">
        <v>50</v>
      </c>
      <c r="C616" s="95">
        <v>8</v>
      </c>
      <c r="D616" s="95"/>
      <c r="E616" s="95">
        <v>2.092509398154653</v>
      </c>
      <c r="F616" s="95">
        <v>54.6915392216195</v>
      </c>
      <c r="G616" s="95">
        <v>97.690439250692734</v>
      </c>
      <c r="H616" s="95">
        <v>214.85994319798311</v>
      </c>
      <c r="I616" s="95">
        <v>1146.4998077268567</v>
      </c>
      <c r="J616" s="95">
        <v>47.589156351554237</v>
      </c>
      <c r="K616" s="95">
        <v>221.68003120787347</v>
      </c>
      <c r="L616" s="95">
        <v>85.836833547086016</v>
      </c>
      <c r="M616" s="95">
        <v>6029.0709369836759</v>
      </c>
      <c r="N616" s="95">
        <v>2099.9888031145024</v>
      </c>
      <c r="O616" s="95">
        <v>9999.9999999999982</v>
      </c>
      <c r="Q616" s="98">
        <v>6029.0709369836759</v>
      </c>
      <c r="R616" s="95">
        <v>4921.8758761618437</v>
      </c>
      <c r="S616" s="99">
        <v>3308.9171786367256</v>
      </c>
      <c r="U616" s="121"/>
      <c r="V616" s="59"/>
      <c r="W616" s="59"/>
      <c r="X616" s="59"/>
      <c r="Y616" s="59"/>
      <c r="Z616" s="59"/>
      <c r="AA616" s="59"/>
      <c r="AB616" s="59"/>
      <c r="AC616" s="59"/>
      <c r="AD616" s="68"/>
    </row>
    <row r="617" spans="1:30" x14ac:dyDescent="0.2">
      <c r="A617" s="95">
        <v>609</v>
      </c>
      <c r="B617" s="95">
        <v>50</v>
      </c>
      <c r="C617" s="95">
        <v>9</v>
      </c>
      <c r="D617" s="95"/>
      <c r="E617" s="95">
        <v>2.0607730056159741</v>
      </c>
      <c r="F617" s="95">
        <v>54.028296947981268</v>
      </c>
      <c r="G617" s="95">
        <v>96.57177671506436</v>
      </c>
      <c r="H617" s="95">
        <v>212.59604344725381</v>
      </c>
      <c r="I617" s="95">
        <v>1137.3028724017897</v>
      </c>
      <c r="J617" s="95">
        <v>47.168180608547331</v>
      </c>
      <c r="K617" s="95">
        <v>220.05194866793695</v>
      </c>
      <c r="L617" s="95">
        <v>85.180965210173582</v>
      </c>
      <c r="M617" s="95">
        <v>6034.9160801399985</v>
      </c>
      <c r="N617" s="95">
        <v>2110.1230628556373</v>
      </c>
      <c r="O617" s="95">
        <v>9999.9999999999982</v>
      </c>
      <c r="Q617" s="98">
        <v>6034.9160801399985</v>
      </c>
      <c r="R617" s="95">
        <v>4925.6020005369564</v>
      </c>
      <c r="S617" s="99">
        <v>3311.7806204752437</v>
      </c>
      <c r="U617" s="121"/>
      <c r="V617" s="59"/>
      <c r="W617" s="59"/>
      <c r="X617" s="59"/>
      <c r="Y617" s="59"/>
      <c r="Z617" s="59"/>
      <c r="AA617" s="59"/>
      <c r="AB617" s="59"/>
      <c r="AC617" s="59"/>
      <c r="AD617" s="68"/>
    </row>
    <row r="618" spans="1:30" x14ac:dyDescent="0.2">
      <c r="A618" s="95">
        <v>610</v>
      </c>
      <c r="B618" s="95">
        <v>50</v>
      </c>
      <c r="C618" s="95">
        <v>10</v>
      </c>
      <c r="D618" s="95"/>
      <c r="E618" s="95">
        <v>2.0295179483641319</v>
      </c>
      <c r="F618" s="95">
        <v>53.373035772936255</v>
      </c>
      <c r="G618" s="95">
        <v>95.465662260755323</v>
      </c>
      <c r="H618" s="95">
        <v>210.35510422574171</v>
      </c>
      <c r="I618" s="95">
        <v>1128.1744892431623</v>
      </c>
      <c r="J618" s="95">
        <v>46.744687406094215</v>
      </c>
      <c r="K618" s="95">
        <v>218.44078417941782</v>
      </c>
      <c r="L618" s="95">
        <v>84.529646386925293</v>
      </c>
      <c r="M618" s="95">
        <v>6040.7163050788577</v>
      </c>
      <c r="N618" s="95">
        <v>2120.1707674977442</v>
      </c>
      <c r="O618" s="95">
        <v>9999.9999999999982</v>
      </c>
      <c r="Q618" s="98">
        <v>6040.7163050788577</v>
      </c>
      <c r="R618" s="95">
        <v>4929.2982348722626</v>
      </c>
      <c r="S618" s="99">
        <v>3314.6217212256124</v>
      </c>
      <c r="U618" s="121"/>
      <c r="V618" s="59"/>
      <c r="W618" s="59"/>
      <c r="X618" s="59"/>
      <c r="Y618" s="59"/>
      <c r="Z618" s="59"/>
      <c r="AA618" s="59"/>
      <c r="AB618" s="59"/>
      <c r="AC618" s="59"/>
      <c r="AD618" s="68"/>
    </row>
    <row r="619" spans="1:30" x14ac:dyDescent="0.2">
      <c r="A619" s="95">
        <v>611</v>
      </c>
      <c r="B619" s="95">
        <v>50</v>
      </c>
      <c r="C619" s="95">
        <v>11</v>
      </c>
      <c r="D619" s="95"/>
      <c r="E619" s="95">
        <v>1.9987369261472758</v>
      </c>
      <c r="F619" s="95">
        <v>52.725660625771106</v>
      </c>
      <c r="G619" s="95">
        <v>94.371958970960307</v>
      </c>
      <c r="H619" s="95">
        <v>208.13690469294434</v>
      </c>
      <c r="I619" s="95">
        <v>1119.1142061064534</v>
      </c>
      <c r="J619" s="95">
        <v>46.318887327641775</v>
      </c>
      <c r="K619" s="95">
        <v>216.84627062650412</v>
      </c>
      <c r="L619" s="95">
        <v>83.882852128162952</v>
      </c>
      <c r="M619" s="95">
        <v>6046.471893407459</v>
      </c>
      <c r="N619" s="95">
        <v>2130.1326291879545</v>
      </c>
      <c r="O619" s="95">
        <v>9999.9999999999982</v>
      </c>
      <c r="Q619" s="98">
        <v>6046.471893407459</v>
      </c>
      <c r="R619" s="95">
        <v>4932.9648019623028</v>
      </c>
      <c r="S619" s="99">
        <v>3317.440642468714</v>
      </c>
      <c r="U619" s="121"/>
      <c r="V619" s="59"/>
      <c r="W619" s="59"/>
      <c r="X619" s="59"/>
      <c r="Y619" s="59"/>
      <c r="Z619" s="59"/>
      <c r="AA619" s="59"/>
      <c r="AB619" s="59"/>
      <c r="AC619" s="59"/>
      <c r="AD619" s="68"/>
    </row>
    <row r="620" spans="1:30" x14ac:dyDescent="0.2">
      <c r="A620" s="95">
        <v>612</v>
      </c>
      <c r="B620" s="95">
        <v>51</v>
      </c>
      <c r="C620" s="95">
        <v>0</v>
      </c>
      <c r="D620" s="95"/>
      <c r="E620" s="95">
        <v>1.9684227494340421</v>
      </c>
      <c r="F620" s="95">
        <v>52.0860775529789</v>
      </c>
      <c r="G620" s="95">
        <v>93.290531366257213</v>
      </c>
      <c r="H620" s="95">
        <v>205.94122597020203</v>
      </c>
      <c r="I620" s="95">
        <v>1110.1215731584384</v>
      </c>
      <c r="J620" s="95">
        <v>46.002872425888114</v>
      </c>
      <c r="K620" s="95">
        <v>215.15625788046205</v>
      </c>
      <c r="L620" s="95">
        <v>83.240557659772634</v>
      </c>
      <c r="M620" s="95">
        <v>6052.1831265460023</v>
      </c>
      <c r="N620" s="95">
        <v>2140.0093546905628</v>
      </c>
      <c r="O620" s="95">
        <v>9999.9999999999982</v>
      </c>
      <c r="Q620" s="98">
        <v>6052.1831265460023</v>
      </c>
      <c r="R620" s="95">
        <v>4936.6019231321488</v>
      </c>
      <c r="S620" s="99">
        <v>3320.2375449375786</v>
      </c>
      <c r="U620" s="121"/>
      <c r="V620" s="59"/>
      <c r="W620" s="59"/>
      <c r="X620" s="59"/>
      <c r="Y620" s="59"/>
      <c r="Z620" s="59"/>
      <c r="AA620" s="59"/>
      <c r="AB620" s="59"/>
      <c r="AC620" s="59"/>
      <c r="AD620" s="68"/>
    </row>
    <row r="621" spans="1:30" x14ac:dyDescent="0.2">
      <c r="A621" s="95">
        <v>613</v>
      </c>
      <c r="B621" s="95">
        <v>51</v>
      </c>
      <c r="C621" s="95">
        <v>1</v>
      </c>
      <c r="D621" s="95"/>
      <c r="E621" s="95">
        <v>1.9385683377342924</v>
      </c>
      <c r="F621" s="95">
        <v>51.454193705373648</v>
      </c>
      <c r="G621" s="95">
        <v>92.22124539036102</v>
      </c>
      <c r="H621" s="95">
        <v>203.76785112548072</v>
      </c>
      <c r="I621" s="95">
        <v>1101.1961428734257</v>
      </c>
      <c r="J621" s="95">
        <v>45.681382914371596</v>
      </c>
      <c r="K621" s="95">
        <v>213.48529350517117</v>
      </c>
      <c r="L621" s="95">
        <v>82.602738369476114</v>
      </c>
      <c r="M621" s="95">
        <v>6057.8509383614064</v>
      </c>
      <c r="N621" s="95">
        <v>2149.801645417198</v>
      </c>
      <c r="O621" s="95">
        <v>9999.9999999999982</v>
      </c>
      <c r="Q621" s="98">
        <v>6057.8509383614064</v>
      </c>
      <c r="R621" s="95">
        <v>4940.2098182449135</v>
      </c>
      <c r="S621" s="99">
        <v>3323.012588511333</v>
      </c>
      <c r="U621" s="121"/>
      <c r="V621" s="59"/>
      <c r="W621" s="59"/>
      <c r="X621" s="59"/>
      <c r="Y621" s="59"/>
      <c r="Z621" s="59"/>
      <c r="AA621" s="59"/>
      <c r="AB621" s="59"/>
      <c r="AC621" s="59"/>
      <c r="AD621" s="68"/>
    </row>
    <row r="622" spans="1:30" x14ac:dyDescent="0.2">
      <c r="A622" s="95">
        <v>614</v>
      </c>
      <c r="B622" s="95">
        <v>51</v>
      </c>
      <c r="C622" s="95">
        <v>2</v>
      </c>
      <c r="D622" s="95"/>
      <c r="E622" s="95">
        <v>1.9091667179453222</v>
      </c>
      <c r="F622" s="95">
        <v>50.829917325349385</v>
      </c>
      <c r="G622" s="95">
        <v>91.163968396006013</v>
      </c>
      <c r="H622" s="95">
        <v>201.61656515824166</v>
      </c>
      <c r="I622" s="95">
        <v>1092.3374700293834</v>
      </c>
      <c r="J622" s="95">
        <v>45.361057302606355</v>
      </c>
      <c r="K622" s="95">
        <v>211.82671220404222</v>
      </c>
      <c r="L622" s="95">
        <v>81.969366096057328</v>
      </c>
      <c r="M622" s="95">
        <v>6063.4755828486368</v>
      </c>
      <c r="N622" s="95">
        <v>2159.5101939217307</v>
      </c>
      <c r="O622" s="95">
        <v>10000</v>
      </c>
      <c r="Q622" s="98">
        <v>6063.4755828486368</v>
      </c>
      <c r="R622" s="95">
        <v>4943.7887057092521</v>
      </c>
      <c r="S622" s="99">
        <v>3325.7659285110626</v>
      </c>
      <c r="U622" s="121"/>
      <c r="V622" s="59"/>
      <c r="W622" s="59"/>
      <c r="X622" s="59"/>
      <c r="Y622" s="59"/>
      <c r="Z622" s="59"/>
      <c r="AA622" s="59"/>
      <c r="AB622" s="59"/>
      <c r="AC622" s="59"/>
      <c r="AD622" s="68"/>
    </row>
    <row r="623" spans="1:30" x14ac:dyDescent="0.2">
      <c r="A623" s="95">
        <v>615</v>
      </c>
      <c r="B623" s="95">
        <v>51</v>
      </c>
      <c r="C623" s="95">
        <v>3</v>
      </c>
      <c r="D623" s="95"/>
      <c r="E623" s="95">
        <v>1.8802110227231514</v>
      </c>
      <c r="F623" s="95">
        <v>50.213157734282483</v>
      </c>
      <c r="G623" s="95">
        <v>90.118569130955478</v>
      </c>
      <c r="H623" s="95">
        <v>199.48715498439825</v>
      </c>
      <c r="I623" s="95">
        <v>1083.5451117039574</v>
      </c>
      <c r="J623" s="95">
        <v>45.041921146792767</v>
      </c>
      <c r="K623" s="95">
        <v>210.18042200909204</v>
      </c>
      <c r="L623" s="95">
        <v>81.340413161690932</v>
      </c>
      <c r="M623" s="95">
        <v>6069.057351475215</v>
      </c>
      <c r="N623" s="95">
        <v>2169.135687630891</v>
      </c>
      <c r="O623" s="95">
        <v>9999.9999999999982</v>
      </c>
      <c r="Q623" s="98">
        <v>6069.057351475215</v>
      </c>
      <c r="R623" s="95">
        <v>4947.3388024868473</v>
      </c>
      <c r="S623" s="99">
        <v>3328.4977195866345</v>
      </c>
      <c r="U623" s="121"/>
      <c r="V623" s="59"/>
      <c r="W623" s="59"/>
      <c r="X623" s="59"/>
      <c r="Y623" s="59"/>
      <c r="Z623" s="59"/>
      <c r="AA623" s="59"/>
      <c r="AB623" s="59"/>
      <c r="AC623" s="59"/>
      <c r="AD623" s="68"/>
    </row>
    <row r="624" spans="1:30" x14ac:dyDescent="0.2">
      <c r="A624" s="95">
        <v>616</v>
      </c>
      <c r="B624" s="95">
        <v>51</v>
      </c>
      <c r="C624" s="95">
        <v>4</v>
      </c>
      <c r="D624" s="95"/>
      <c r="E624" s="95">
        <v>1.851694488878517</v>
      </c>
      <c r="F624" s="95">
        <v>49.603825320075501</v>
      </c>
      <c r="G624" s="95">
        <v>89.084917724137753</v>
      </c>
      <c r="H624" s="95">
        <v>197.37940942135978</v>
      </c>
      <c r="I624" s="95">
        <v>1074.8186272703845</v>
      </c>
      <c r="J624" s="95">
        <v>44.723998940804975</v>
      </c>
      <c r="K624" s="95">
        <v>208.54633178199541</v>
      </c>
      <c r="L624" s="95">
        <v>80.715852130266242</v>
      </c>
      <c r="M624" s="95">
        <v>6074.5965342530299</v>
      </c>
      <c r="N624" s="95">
        <v>2178.6788086690663</v>
      </c>
      <c r="O624" s="95">
        <v>9999.9999999999982</v>
      </c>
      <c r="Q624" s="98">
        <v>6074.5965342530299</v>
      </c>
      <c r="R624" s="95">
        <v>4950.8603240998855</v>
      </c>
      <c r="S624" s="99">
        <v>3331.2081154948391</v>
      </c>
      <c r="U624" s="121"/>
      <c r="V624" s="59"/>
      <c r="W624" s="59"/>
      <c r="X624" s="59"/>
      <c r="Y624" s="59"/>
      <c r="Z624" s="59"/>
      <c r="AA624" s="59"/>
      <c r="AB624" s="59"/>
      <c r="AC624" s="59"/>
      <c r="AD624" s="68"/>
    </row>
    <row r="625" spans="1:30" x14ac:dyDescent="0.2">
      <c r="A625" s="95">
        <v>617</v>
      </c>
      <c r="B625" s="95">
        <v>51</v>
      </c>
      <c r="C625" s="95">
        <v>5</v>
      </c>
      <c r="D625" s="95"/>
      <c r="E625" s="95">
        <v>1.8236104557971928</v>
      </c>
      <c r="F625" s="95">
        <v>49.001831524841123</v>
      </c>
      <c r="G625" s="95">
        <v>88.062885671907836</v>
      </c>
      <c r="H625" s="95">
        <v>195.29311917316232</v>
      </c>
      <c r="I625" s="95">
        <v>1066.1575783932988</v>
      </c>
      <c r="J625" s="95">
        <v>44.407314146334436</v>
      </c>
      <c r="K625" s="95">
        <v>206.9243512023495</v>
      </c>
      <c r="L625" s="95">
        <v>80.095655798836646</v>
      </c>
      <c r="M625" s="95">
        <v>6080.0934197385659</v>
      </c>
      <c r="N625" s="95">
        <v>2188.1402338949051</v>
      </c>
      <c r="O625" s="95">
        <v>9999.9999999999982</v>
      </c>
      <c r="Q625" s="98">
        <v>6080.0934197385659</v>
      </c>
      <c r="R625" s="95">
        <v>4954.3534846385146</v>
      </c>
      <c r="S625" s="99">
        <v>3333.8972691007507</v>
      </c>
      <c r="U625" s="121"/>
      <c r="V625" s="59"/>
      <c r="W625" s="59"/>
      <c r="X625" s="59"/>
      <c r="Y625" s="59"/>
      <c r="Z625" s="59"/>
      <c r="AA625" s="59"/>
      <c r="AB625" s="59"/>
      <c r="AC625" s="59"/>
      <c r="AD625" s="68"/>
    </row>
    <row r="626" spans="1:30" x14ac:dyDescent="0.2">
      <c r="A626" s="95">
        <v>618</v>
      </c>
      <c r="B626" s="95">
        <v>51</v>
      </c>
      <c r="C626" s="95">
        <v>6</v>
      </c>
      <c r="D626" s="95"/>
      <c r="E626" s="95">
        <v>1.7959523638842687</v>
      </c>
      <c r="F626" s="95">
        <v>48.407088832724632</v>
      </c>
      <c r="G626" s="95">
        <v>87.052345824433544</v>
      </c>
      <c r="H626" s="95">
        <v>193.22807681568619</v>
      </c>
      <c r="I626" s="95">
        <v>1057.5615290244386</v>
      </c>
      <c r="J626" s="95">
        <v>44.091889222234791</v>
      </c>
      <c r="K626" s="95">
        <v>205.31439075617143</v>
      </c>
      <c r="L626" s="95">
        <v>79.479797189519061</v>
      </c>
      <c r="M626" s="95">
        <v>6085.5482950331825</v>
      </c>
      <c r="N626" s="95">
        <v>2197.520634937724</v>
      </c>
      <c r="O626" s="95">
        <v>10000</v>
      </c>
      <c r="Q626" s="98">
        <v>6085.5482950331825</v>
      </c>
      <c r="R626" s="95">
        <v>4957.8184967682928</v>
      </c>
      <c r="S626" s="99">
        <v>3336.5653323791853</v>
      </c>
      <c r="U626" s="121"/>
      <c r="V626" s="59"/>
      <c r="W626" s="59"/>
      <c r="X626" s="59"/>
      <c r="Y626" s="59"/>
      <c r="Z626" s="59"/>
      <c r="AA626" s="59"/>
      <c r="AB626" s="59"/>
      <c r="AC626" s="59"/>
      <c r="AD626" s="68"/>
    </row>
    <row r="627" spans="1:30" x14ac:dyDescent="0.2">
      <c r="A627" s="95">
        <v>619</v>
      </c>
      <c r="B627" s="95">
        <v>51</v>
      </c>
      <c r="C627" s="95">
        <v>7</v>
      </c>
      <c r="D627" s="95"/>
      <c r="E627" s="95">
        <v>1.768713753032024</v>
      </c>
      <c r="F627" s="95">
        <v>47.819510757863448</v>
      </c>
      <c r="G627" s="95">
        <v>86.053172372205324</v>
      </c>
      <c r="H627" s="95">
        <v>191.18407678196058</v>
      </c>
      <c r="I627" s="95">
        <v>1049.03004539825</v>
      </c>
      <c r="J627" s="95">
        <v>43.777745653089077</v>
      </c>
      <c r="K627" s="95">
        <v>203.71636172462442</v>
      </c>
      <c r="L627" s="95">
        <v>78.868249541821598</v>
      </c>
      <c r="M627" s="95">
        <v>6090.9614457834377</v>
      </c>
      <c r="N627" s="95">
        <v>2206.8206782337147</v>
      </c>
      <c r="O627" s="95">
        <v>9999.9999999999982</v>
      </c>
      <c r="Q627" s="98">
        <v>6090.9614457834377</v>
      </c>
      <c r="R627" s="95">
        <v>4961.2555717376226</v>
      </c>
      <c r="S627" s="99">
        <v>3339.2124564162582</v>
      </c>
      <c r="U627" s="121"/>
      <c r="V627" s="59"/>
      <c r="W627" s="59"/>
      <c r="X627" s="59"/>
      <c r="Y627" s="59"/>
      <c r="Z627" s="59"/>
      <c r="AA627" s="59"/>
      <c r="AB627" s="59"/>
      <c r="AC627" s="59"/>
      <c r="AD627" s="68"/>
    </row>
    <row r="628" spans="1:30" x14ac:dyDescent="0.2">
      <c r="A628" s="95">
        <v>620</v>
      </c>
      <c r="B628" s="95">
        <v>51</v>
      </c>
      <c r="C628" s="95">
        <v>8</v>
      </c>
      <c r="D628" s="95"/>
      <c r="E628" s="95">
        <v>1.7418882611110384</v>
      </c>
      <c r="F628" s="95">
        <v>47.23901183248222</v>
      </c>
      <c r="G628" s="95">
        <v>85.065240832668692</v>
      </c>
      <c r="H628" s="95">
        <v>189.16091534755472</v>
      </c>
      <c r="I628" s="95">
        <v>1040.5626960273928</v>
      </c>
      <c r="J628" s="95">
        <v>43.464903977019532</v>
      </c>
      <c r="K628" s="95">
        <v>202.13017617296694</v>
      </c>
      <c r="L628" s="95">
        <v>78.26098630537858</v>
      </c>
      <c r="M628" s="95">
        <v>6096.3331561814693</v>
      </c>
      <c r="N628" s="95">
        <v>2216.0410250619552</v>
      </c>
      <c r="O628" s="95">
        <v>10000</v>
      </c>
      <c r="Q628" s="98">
        <v>6096.3331561814693</v>
      </c>
      <c r="R628" s="95">
        <v>4964.6649193851672</v>
      </c>
      <c r="S628" s="99">
        <v>3341.8387914110299</v>
      </c>
      <c r="U628" s="121"/>
      <c r="V628" s="59"/>
      <c r="W628" s="59"/>
      <c r="X628" s="59"/>
      <c r="Y628" s="59"/>
      <c r="Z628" s="59"/>
      <c r="AA628" s="59"/>
      <c r="AB628" s="59"/>
      <c r="AC628" s="59"/>
      <c r="AD628" s="68"/>
    </row>
    <row r="629" spans="1:30" x14ac:dyDescent="0.2">
      <c r="A629" s="95">
        <v>621</v>
      </c>
      <c r="B629" s="95">
        <v>51</v>
      </c>
      <c r="C629" s="95">
        <v>9</v>
      </c>
      <c r="D629" s="95"/>
      <c r="E629" s="95">
        <v>1.7154696224841877</v>
      </c>
      <c r="F629" s="95">
        <v>46.665507595122023</v>
      </c>
      <c r="G629" s="95">
        <v>84.08842803697847</v>
      </c>
      <c r="H629" s="95">
        <v>187.15839061605578</v>
      </c>
      <c r="I629" s="95">
        <v>1032.1590516981498</v>
      </c>
      <c r="J629" s="95">
        <v>43.153383812759884</v>
      </c>
      <c r="K629" s="95">
        <v>200.55574693972079</v>
      </c>
      <c r="L629" s="95">
        <v>77.657981133073278</v>
      </c>
      <c r="M629" s="95">
        <v>6101.663708965435</v>
      </c>
      <c r="N629" s="95">
        <v>2225.1823315802199</v>
      </c>
      <c r="O629" s="95">
        <v>10000</v>
      </c>
      <c r="Q629" s="98">
        <v>6101.663708965435</v>
      </c>
      <c r="R629" s="95">
        <v>4968.046748147256</v>
      </c>
      <c r="S629" s="99">
        <v>3344.4444866772451</v>
      </c>
      <c r="U629" s="121"/>
      <c r="V629" s="59"/>
      <c r="W629" s="59"/>
      <c r="X629" s="59"/>
      <c r="Y629" s="59"/>
      <c r="Z629" s="59"/>
      <c r="AA629" s="59"/>
      <c r="AB629" s="59"/>
      <c r="AC629" s="59"/>
      <c r="AD629" s="68"/>
    </row>
    <row r="630" spans="1:30" x14ac:dyDescent="0.2">
      <c r="A630" s="95">
        <v>622</v>
      </c>
      <c r="B630" s="95">
        <v>51</v>
      </c>
      <c r="C630" s="95">
        <v>10</v>
      </c>
      <c r="D630" s="95"/>
      <c r="E630" s="95">
        <v>1.6894516665431776</v>
      </c>
      <c r="F630" s="95">
        <v>46.098914579002219</v>
      </c>
      <c r="G630" s="95">
        <v>83.122612116873839</v>
      </c>
      <c r="H630" s="95">
        <v>185.17630250463338</v>
      </c>
      <c r="I630" s="95">
        <v>1023.8186854657399</v>
      </c>
      <c r="J630" s="95">
        <v>42.843203886009441</v>
      </c>
      <c r="K630" s="95">
        <v>198.99298762605264</v>
      </c>
      <c r="L630" s="95">
        <v>77.059207874529179</v>
      </c>
      <c r="M630" s="95">
        <v>6106.9533854200181</v>
      </c>
      <c r="N630" s="95">
        <v>2234.2452488605977</v>
      </c>
      <c r="O630" s="95">
        <v>10000</v>
      </c>
      <c r="Q630" s="98">
        <v>6106.9533854200181</v>
      </c>
      <c r="R630" s="95">
        <v>4971.4012650652749</v>
      </c>
      <c r="S630" s="99">
        <v>3347.0296906451572</v>
      </c>
      <c r="U630" s="121"/>
      <c r="V630" s="59"/>
      <c r="W630" s="59"/>
      <c r="X630" s="59"/>
      <c r="Y630" s="59"/>
      <c r="Z630" s="59"/>
      <c r="AA630" s="59"/>
      <c r="AB630" s="59"/>
      <c r="AC630" s="59"/>
      <c r="AD630" s="68"/>
    </row>
    <row r="631" spans="1:30" x14ac:dyDescent="0.2">
      <c r="A631" s="95">
        <v>623</v>
      </c>
      <c r="B631" s="95">
        <v>51</v>
      </c>
      <c r="C631" s="95">
        <v>11</v>
      </c>
      <c r="D631" s="95"/>
      <c r="E631" s="95">
        <v>1.6638283162672727</v>
      </c>
      <c r="F631" s="95">
        <v>45.539150300513491</v>
      </c>
      <c r="G631" s="95">
        <v>82.167672491673301</v>
      </c>
      <c r="H631" s="95">
        <v>183.21445272969058</v>
      </c>
      <c r="I631" s="95">
        <v>1015.5411726495382</v>
      </c>
      <c r="J631" s="95">
        <v>42.534382055087761</v>
      </c>
      <c r="K631" s="95">
        <v>197.441812585365</v>
      </c>
      <c r="L631" s="95">
        <v>76.464640569951868</v>
      </c>
      <c r="M631" s="95">
        <v>6112.2024653770013</v>
      </c>
      <c r="N631" s="95">
        <v>2243.2304229249112</v>
      </c>
      <c r="O631" s="95">
        <v>10000</v>
      </c>
      <c r="Q631" s="98">
        <v>6112.2024653770013</v>
      </c>
      <c r="R631" s="95">
        <v>4974.7286757930387</v>
      </c>
      <c r="S631" s="99">
        <v>3349.5945508634354</v>
      </c>
      <c r="U631" s="121"/>
      <c r="V631" s="59"/>
      <c r="W631" s="59"/>
      <c r="X631" s="59"/>
      <c r="Y631" s="59"/>
      <c r="Z631" s="59"/>
      <c r="AA631" s="59"/>
      <c r="AB631" s="59"/>
      <c r="AC631" s="59"/>
      <c r="AD631" s="68"/>
    </row>
    <row r="632" spans="1:30" x14ac:dyDescent="0.2">
      <c r="A632" s="95">
        <v>624</v>
      </c>
      <c r="B632" s="95">
        <v>52</v>
      </c>
      <c r="C632" s="95">
        <v>0</v>
      </c>
      <c r="D632" s="95"/>
      <c r="E632" s="95">
        <v>1.6385935868038857</v>
      </c>
      <c r="F632" s="95">
        <v>44.986133247840677</v>
      </c>
      <c r="G632" s="95">
        <v>81.223489855388635</v>
      </c>
      <c r="H632" s="95">
        <v>181.27264479260114</v>
      </c>
      <c r="I632" s="95">
        <v>1007.3260908282048</v>
      </c>
      <c r="J632" s="95">
        <v>42.226935335908209</v>
      </c>
      <c r="K632" s="95">
        <v>195.90213691309162</v>
      </c>
      <c r="L632" s="95">
        <v>75.874253444304202</v>
      </c>
      <c r="M632" s="95">
        <v>6117.4112272159146</v>
      </c>
      <c r="N632" s="95">
        <v>2252.1384947799424</v>
      </c>
      <c r="O632" s="95">
        <v>10000</v>
      </c>
      <c r="Q632" s="98">
        <v>6117.4112272159146</v>
      </c>
      <c r="R632" s="95">
        <v>4978.02918460415</v>
      </c>
      <c r="S632" s="99">
        <v>3352.1392140011558</v>
      </c>
      <c r="U632" s="121"/>
      <c r="V632" s="59"/>
      <c r="W632" s="59"/>
      <c r="X632" s="59"/>
      <c r="Y632" s="59"/>
      <c r="Z632" s="59"/>
      <c r="AA632" s="59"/>
      <c r="AB632" s="59"/>
      <c r="AC632" s="59"/>
      <c r="AD632" s="68"/>
    </row>
    <row r="633" spans="1:30" x14ac:dyDescent="0.2">
      <c r="A633" s="95">
        <v>625</v>
      </c>
      <c r="B633" s="95">
        <v>52</v>
      </c>
      <c r="C633" s="95">
        <v>1</v>
      </c>
      <c r="D633" s="95"/>
      <c r="E633" s="95">
        <v>1.6137415840706935</v>
      </c>
      <c r="F633" s="95">
        <v>44.439782869714008</v>
      </c>
      <c r="G633" s="95">
        <v>80.289946163956927</v>
      </c>
      <c r="H633" s="95">
        <v>179.35068396553331</v>
      </c>
      <c r="I633" s="95">
        <v>999.1730198347226</v>
      </c>
      <c r="J633" s="95">
        <v>41.920879926288308</v>
      </c>
      <c r="K633" s="95">
        <v>194.37387643669331</v>
      </c>
      <c r="L633" s="95">
        <v>75.288020901798305</v>
      </c>
      <c r="M633" s="95">
        <v>6122.5799478647577</v>
      </c>
      <c r="N633" s="95">
        <v>2260.9701004524645</v>
      </c>
      <c r="O633" s="95">
        <v>10000</v>
      </c>
      <c r="Q633" s="98">
        <v>6122.5799478647577</v>
      </c>
      <c r="R633" s="95">
        <v>4981.3029943993415</v>
      </c>
      <c r="S633" s="99">
        <v>3354.6638258498665</v>
      </c>
      <c r="U633" s="121"/>
      <c r="V633" s="59"/>
      <c r="W633" s="59"/>
      <c r="X633" s="59"/>
      <c r="Y633" s="59"/>
      <c r="Z633" s="59"/>
      <c r="AA633" s="59"/>
      <c r="AB633" s="59"/>
      <c r="AC633" s="59"/>
      <c r="AD633" s="68"/>
    </row>
    <row r="634" spans="1:30" x14ac:dyDescent="0.2">
      <c r="A634" s="95">
        <v>626</v>
      </c>
      <c r="B634" s="95">
        <v>52</v>
      </c>
      <c r="C634" s="95">
        <v>2</v>
      </c>
      <c r="D634" s="95"/>
      <c r="E634" s="95">
        <v>1.5892665033789546</v>
      </c>
      <c r="F634" s="95">
        <v>43.90001956428727</v>
      </c>
      <c r="G634" s="95">
        <v>79.366924622589735</v>
      </c>
      <c r="H634" s="95">
        <v>177.44837727735941</v>
      </c>
      <c r="I634" s="95">
        <v>991.08154175134803</v>
      </c>
      <c r="J634" s="95">
        <v>41.616231229614122</v>
      </c>
      <c r="K634" s="95">
        <v>192.85694770584945</v>
      </c>
      <c r="L634" s="95">
        <v>74.705917520688644</v>
      </c>
      <c r="M634" s="95">
        <v>6127.7089028008049</v>
      </c>
      <c r="N634" s="95">
        <v>2269.7258710240794</v>
      </c>
      <c r="O634" s="95">
        <v>10000</v>
      </c>
      <c r="Q634" s="98">
        <v>6127.7089028008049</v>
      </c>
      <c r="R634" s="95">
        <v>4984.5503067138043</v>
      </c>
      <c r="S634" s="99">
        <v>3357.1685313257308</v>
      </c>
      <c r="U634" s="121"/>
      <c r="V634" s="59"/>
      <c r="W634" s="59"/>
      <c r="X634" s="59"/>
      <c r="Y634" s="59"/>
      <c r="Z634" s="59"/>
      <c r="AA634" s="59"/>
      <c r="AB634" s="59"/>
      <c r="AC634" s="59"/>
      <c r="AD634" s="68"/>
    </row>
    <row r="635" spans="1:30" x14ac:dyDescent="0.2">
      <c r="A635" s="95">
        <v>627</v>
      </c>
      <c r="B635" s="95">
        <v>52</v>
      </c>
      <c r="C635" s="95">
        <v>3</v>
      </c>
      <c r="D635" s="95"/>
      <c r="E635" s="95">
        <v>1.5651626280777071</v>
      </c>
      <c r="F635" s="95">
        <v>43.36676466814162</v>
      </c>
      <c r="G635" s="95">
        <v>78.454309673238512</v>
      </c>
      <c r="H635" s="95">
        <v>175.56553349965179</v>
      </c>
      <c r="I635" s="95">
        <v>983.0512409044743</v>
      </c>
      <c r="J635" s="95">
        <v>41.313003877875715</v>
      </c>
      <c r="K635" s="95">
        <v>191.35126798284128</v>
      </c>
      <c r="L635" s="95">
        <v>74.127918048351276</v>
      </c>
      <c r="M635" s="95">
        <v>6132.7983660514865</v>
      </c>
      <c r="N635" s="95">
        <v>2278.4064326658613</v>
      </c>
      <c r="O635" s="95">
        <v>10000</v>
      </c>
      <c r="Q635" s="98">
        <v>6132.7983660514865</v>
      </c>
      <c r="R635" s="95">
        <v>4987.7713217244964</v>
      </c>
      <c r="S635" s="99">
        <v>3359.6534744717414</v>
      </c>
      <c r="U635" s="121"/>
      <c r="V635" s="59"/>
      <c r="W635" s="59"/>
      <c r="X635" s="59"/>
      <c r="Y635" s="59"/>
      <c r="Z635" s="59"/>
      <c r="AA635" s="59"/>
      <c r="AB635" s="59"/>
      <c r="AC635" s="59"/>
      <c r="AD635" s="68"/>
    </row>
    <row r="636" spans="1:30" x14ac:dyDescent="0.2">
      <c r="A636" s="95">
        <v>628</v>
      </c>
      <c r="B636" s="95">
        <v>52</v>
      </c>
      <c r="C636" s="95">
        <v>4</v>
      </c>
      <c r="D636" s="95"/>
      <c r="E636" s="95">
        <v>1.5414243282185285</v>
      </c>
      <c r="F636" s="95">
        <v>42.83994044541361</v>
      </c>
      <c r="G636" s="95">
        <v>77.551986982175421</v>
      </c>
      <c r="H636" s="95">
        <v>173.70196313276443</v>
      </c>
      <c r="I636" s="95">
        <v>975.08170385941025</v>
      </c>
      <c r="J636" s="95">
        <v>41.011211754090084</v>
      </c>
      <c r="K636" s="95">
        <v>189.85675523312253</v>
      </c>
      <c r="L636" s="95">
        <v>73.553997396634827</v>
      </c>
      <c r="M636" s="95">
        <v>6137.8486101953613</v>
      </c>
      <c r="N636" s="95">
        <v>2287.012406672809</v>
      </c>
      <c r="O636" s="95">
        <v>10000</v>
      </c>
      <c r="Q636" s="98">
        <v>6137.8486101953613</v>
      </c>
      <c r="R636" s="95">
        <v>4990.9662382574361</v>
      </c>
      <c r="S636" s="99">
        <v>3362.1187984600074</v>
      </c>
      <c r="U636" s="121"/>
      <c r="V636" s="59"/>
      <c r="W636" s="59"/>
      <c r="X636" s="59"/>
      <c r="Y636" s="59"/>
      <c r="Z636" s="59"/>
      <c r="AA636" s="59"/>
      <c r="AB636" s="59"/>
      <c r="AC636" s="59"/>
      <c r="AD636" s="68"/>
    </row>
    <row r="637" spans="1:30" x14ac:dyDescent="0.2">
      <c r="A637" s="95">
        <v>629</v>
      </c>
      <c r="B637" s="95">
        <v>52</v>
      </c>
      <c r="C637" s="95">
        <v>5</v>
      </c>
      <c r="D637" s="95"/>
      <c r="E637" s="95">
        <v>1.5180460592405474</v>
      </c>
      <c r="F637" s="95">
        <v>42.31947007704607</v>
      </c>
      <c r="G637" s="95">
        <v>76.659843427688557</v>
      </c>
      <c r="H637" s="95">
        <v>171.85747839200033</v>
      </c>
      <c r="I637" s="95">
        <v>967.17251941507607</v>
      </c>
      <c r="J637" s="95">
        <v>40.710868014127612</v>
      </c>
      <c r="K637" s="95">
        <v>188.37332811607362</v>
      </c>
      <c r="L637" s="95">
        <v>72.984130637469647</v>
      </c>
      <c r="M637" s="95">
        <v>6142.8599063631709</v>
      </c>
      <c r="N637" s="95">
        <v>2295.5444094981062</v>
      </c>
      <c r="O637" s="95">
        <v>10000</v>
      </c>
      <c r="Q637" s="98">
        <v>6142.8599063631709</v>
      </c>
      <c r="R637" s="95">
        <v>4994.1352537949788</v>
      </c>
      <c r="S637" s="99">
        <v>3364.5646455941041</v>
      </c>
      <c r="U637" s="121"/>
      <c r="V637" s="59"/>
      <c r="W637" s="59"/>
      <c r="X637" s="59"/>
      <c r="Y637" s="59"/>
      <c r="Z637" s="59"/>
      <c r="AA637" s="59"/>
      <c r="AB637" s="59"/>
      <c r="AC637" s="59"/>
      <c r="AD637" s="68"/>
    </row>
    <row r="638" spans="1:30" x14ac:dyDescent="0.2">
      <c r="A638" s="95">
        <v>630</v>
      </c>
      <c r="B638" s="95">
        <v>52</v>
      </c>
      <c r="C638" s="95">
        <v>6</v>
      </c>
      <c r="D638" s="95"/>
      <c r="E638" s="95">
        <v>1.495022360675399</v>
      </c>
      <c r="F638" s="95">
        <v>41.80527765016059</v>
      </c>
      <c r="G638" s="95">
        <v>75.777767087890766</v>
      </c>
      <c r="H638" s="95">
        <v>170.03189319386453</v>
      </c>
      <c r="I638" s="95">
        <v>959.32327859861721</v>
      </c>
      <c r="J638" s="95">
        <v>40.411985107957676</v>
      </c>
      <c r="K638" s="95">
        <v>186.90090597593519</v>
      </c>
      <c r="L638" s="95">
        <v>72.418292998722123</v>
      </c>
      <c r="M638" s="95">
        <v>6147.8325242389856</v>
      </c>
      <c r="N638" s="95">
        <v>2304.0030527871913</v>
      </c>
      <c r="O638" s="95">
        <v>10000</v>
      </c>
      <c r="Q638" s="98">
        <v>6147.8325242389856</v>
      </c>
      <c r="R638" s="95">
        <v>4997.2785644830774</v>
      </c>
      <c r="S638" s="99">
        <v>3366.9911573114928</v>
      </c>
      <c r="U638" s="121"/>
      <c r="V638" s="59"/>
      <c r="W638" s="59"/>
      <c r="X638" s="59"/>
      <c r="Y638" s="59"/>
      <c r="Z638" s="59"/>
      <c r="AA638" s="59"/>
      <c r="AB638" s="59"/>
      <c r="AC638" s="59"/>
      <c r="AD638" s="68"/>
    </row>
    <row r="639" spans="1:30" x14ac:dyDescent="0.2">
      <c r="A639" s="95">
        <v>631</v>
      </c>
      <c r="B639" s="95">
        <v>52</v>
      </c>
      <c r="C639" s="95">
        <v>7</v>
      </c>
      <c r="D639" s="95"/>
      <c r="E639" s="95">
        <v>1.4723478548718221</v>
      </c>
      <c r="F639" s="95">
        <v>41.297288147550169</v>
      </c>
      <c r="G639" s="95">
        <v>74.905647228641087</v>
      </c>
      <c r="H639" s="95">
        <v>168.22502314240265</v>
      </c>
      <c r="I639" s="95">
        <v>951.53357465993815</v>
      </c>
      <c r="J639" s="95">
        <v>40.114574800328633</v>
      </c>
      <c r="K639" s="95">
        <v>185.43940883291717</v>
      </c>
      <c r="L639" s="95">
        <v>71.856459860281632</v>
      </c>
      <c r="M639" s="95">
        <v>6152.7667320614364</v>
      </c>
      <c r="N639" s="95">
        <v>2312.3889434116327</v>
      </c>
      <c r="O639" s="95">
        <v>10000</v>
      </c>
      <c r="Q639" s="98">
        <v>6152.7667320614364</v>
      </c>
      <c r="R639" s="95">
        <v>5000.3963651385229</v>
      </c>
      <c r="S639" s="99">
        <v>3369.3984741859999</v>
      </c>
      <c r="U639" s="121"/>
      <c r="V639" s="59"/>
      <c r="W639" s="59"/>
      <c r="X639" s="59"/>
      <c r="Y639" s="59"/>
      <c r="Z639" s="59"/>
      <c r="AA639" s="59"/>
      <c r="AB639" s="59"/>
      <c r="AC639" s="59"/>
      <c r="AD639" s="68"/>
    </row>
    <row r="640" spans="1:30" x14ac:dyDescent="0.2">
      <c r="A640" s="95">
        <v>632</v>
      </c>
      <c r="B640" s="95">
        <v>52</v>
      </c>
      <c r="C640" s="95">
        <v>8</v>
      </c>
      <c r="D640" s="95"/>
      <c r="E640" s="95">
        <v>1.4500172457395994</v>
      </c>
      <c r="F640" s="95">
        <v>40.79542743729079</v>
      </c>
      <c r="G640" s="95">
        <v>74.043374291578019</v>
      </c>
      <c r="H640" s="95">
        <v>166.43668551562448</v>
      </c>
      <c r="I640" s="95">
        <v>943.80300306615868</v>
      </c>
      <c r="J640" s="95">
        <v>39.818648190896951</v>
      </c>
      <c r="K640" s="95">
        <v>183.98875737447963</v>
      </c>
      <c r="L640" s="95">
        <v>71.298606750368407</v>
      </c>
      <c r="M640" s="95">
        <v>6157.6627966250435</v>
      </c>
      <c r="N640" s="95">
        <v>2320.70268350282</v>
      </c>
      <c r="O640" s="95">
        <v>10000</v>
      </c>
      <c r="Q640" s="98">
        <v>6157.6627966250435</v>
      </c>
      <c r="R640" s="95">
        <v>5003.4888492561677</v>
      </c>
      <c r="S640" s="99">
        <v>3371.7867359303582</v>
      </c>
      <c r="U640" s="121"/>
      <c r="V640" s="59"/>
      <c r="W640" s="59"/>
      <c r="X640" s="59"/>
      <c r="Y640" s="59"/>
      <c r="Z640" s="59"/>
      <c r="AA640" s="59"/>
      <c r="AB640" s="59"/>
      <c r="AC640" s="59"/>
      <c r="AD640" s="68"/>
    </row>
    <row r="641" spans="1:30" x14ac:dyDescent="0.2">
      <c r="A641" s="95">
        <v>633</v>
      </c>
      <c r="B641" s="95">
        <v>52</v>
      </c>
      <c r="C641" s="95">
        <v>9</v>
      </c>
      <c r="D641" s="95"/>
      <c r="E641" s="95">
        <v>1.4280253175125488</v>
      </c>
      <c r="F641" s="95">
        <v>40.299622262470614</v>
      </c>
      <c r="G641" s="95">
        <v>73.190839882263674</v>
      </c>
      <c r="H641" s="95">
        <v>164.66669925201293</v>
      </c>
      <c r="I641" s="95">
        <v>936.1311614959925</v>
      </c>
      <c r="J641" s="95">
        <v>39.524215733819936</v>
      </c>
      <c r="K641" s="95">
        <v>182.54887294678164</v>
      </c>
      <c r="L641" s="95">
        <v>70.744709342050953</v>
      </c>
      <c r="M641" s="95">
        <v>6162.5209832816345</v>
      </c>
      <c r="N641" s="95">
        <v>2328.9448704854608</v>
      </c>
      <c r="O641" s="95">
        <v>10000</v>
      </c>
      <c r="Q641" s="98">
        <v>6162.5209832816345</v>
      </c>
      <c r="R641" s="95">
        <v>5006.5562090161329</v>
      </c>
      <c r="S641" s="99">
        <v>3374.1560813988058</v>
      </c>
      <c r="U641" s="121"/>
      <c r="V641" s="59"/>
      <c r="W641" s="59"/>
      <c r="X641" s="59"/>
      <c r="Y641" s="59"/>
      <c r="Z641" s="59"/>
      <c r="AA641" s="59"/>
      <c r="AB641" s="59"/>
      <c r="AC641" s="59"/>
      <c r="AD641" s="68"/>
    </row>
    <row r="642" spans="1:30" x14ac:dyDescent="0.2">
      <c r="A642" s="95">
        <v>634</v>
      </c>
      <c r="B642" s="95">
        <v>52</v>
      </c>
      <c r="C642" s="95">
        <v>10</v>
      </c>
      <c r="D642" s="95"/>
      <c r="E642" s="95">
        <v>1.4063669335302751</v>
      </c>
      <c r="F642" s="95">
        <v>39.809800231035481</v>
      </c>
      <c r="G642" s="95">
        <v>72.347936758437939</v>
      </c>
      <c r="H642" s="95">
        <v>162.91488493711771</v>
      </c>
      <c r="I642" s="95">
        <v>928.51764983405133</v>
      </c>
      <c r="J642" s="95">
        <v>39.231287256826128</v>
      </c>
      <c r="K642" s="95">
        <v>181.11967754629453</v>
      </c>
      <c r="L642" s="95">
        <v>70.19474344996226</v>
      </c>
      <c r="M642" s="95">
        <v>6167.3415559418554</v>
      </c>
      <c r="N642" s="95">
        <v>2337.1160971108893</v>
      </c>
      <c r="O642" s="95">
        <v>10000</v>
      </c>
      <c r="Q642" s="98">
        <v>6167.3415559418554</v>
      </c>
      <c r="R642" s="95">
        <v>5009.5986352909949</v>
      </c>
      <c r="S642" s="99">
        <v>3376.506648589741</v>
      </c>
      <c r="U642" s="121"/>
      <c r="V642" s="59"/>
      <c r="W642" s="59"/>
      <c r="X642" s="59"/>
      <c r="Y642" s="59"/>
      <c r="Z642" s="59"/>
      <c r="AA642" s="59"/>
      <c r="AB642" s="59"/>
      <c r="AC642" s="59"/>
      <c r="AD642" s="68"/>
    </row>
    <row r="643" spans="1:30" x14ac:dyDescent="0.2">
      <c r="A643" s="95">
        <v>635</v>
      </c>
      <c r="B643" s="95">
        <v>52</v>
      </c>
      <c r="C643" s="95">
        <v>11</v>
      </c>
      <c r="D643" s="95"/>
      <c r="E643" s="95">
        <v>1.3850370350383991</v>
      </c>
      <c r="F643" s="95">
        <v>39.325889805749455</v>
      </c>
      <c r="G643" s="95">
        <v>71.514558818381857</v>
      </c>
      <c r="H643" s="95">
        <v>161.1810647902339</v>
      </c>
      <c r="I643" s="95">
        <v>920.96207016507526</v>
      </c>
      <c r="J643" s="95">
        <v>38.93987197977701</v>
      </c>
      <c r="K643" s="95">
        <v>179.70109381157579</v>
      </c>
      <c r="L643" s="95">
        <v>69.64868502720455</v>
      </c>
      <c r="M643" s="95">
        <v>6172.1247770767768</v>
      </c>
      <c r="N643" s="95">
        <v>2345.2169514901866</v>
      </c>
      <c r="O643" s="95">
        <v>10000</v>
      </c>
      <c r="Q643" s="98">
        <v>6172.1247770767768</v>
      </c>
      <c r="R643" s="95">
        <v>5012.6163176529553</v>
      </c>
      <c r="S643" s="99">
        <v>3378.8385746484319</v>
      </c>
      <c r="U643" s="121"/>
      <c r="V643" s="59"/>
      <c r="W643" s="59"/>
      <c r="X643" s="59"/>
      <c r="Y643" s="59"/>
      <c r="Z643" s="59"/>
      <c r="AA643" s="59"/>
      <c r="AB643" s="59"/>
      <c r="AC643" s="59"/>
      <c r="AD643" s="68"/>
    </row>
    <row r="644" spans="1:30" x14ac:dyDescent="0.2">
      <c r="A644" s="95">
        <v>636</v>
      </c>
      <c r="B644" s="95">
        <v>53</v>
      </c>
      <c r="C644" s="95">
        <v>0</v>
      </c>
      <c r="D644" s="95"/>
      <c r="E644" s="95">
        <v>1.3640306400069835</v>
      </c>
      <c r="F644" s="95">
        <v>38.847820294269212</v>
      </c>
      <c r="G644" s="95">
        <v>70.69060108938919</v>
      </c>
      <c r="H644" s="95">
        <v>159.46506265116503</v>
      </c>
      <c r="I644" s="95">
        <v>913.464026768091</v>
      </c>
      <c r="J644" s="95">
        <v>38.649978532733329</v>
      </c>
      <c r="K644" s="95">
        <v>178.29304501520048</v>
      </c>
      <c r="L644" s="95">
        <v>69.106510162432755</v>
      </c>
      <c r="M644" s="95">
        <v>6176.8709077195963</v>
      </c>
      <c r="N644" s="95">
        <v>2353.2480171271154</v>
      </c>
      <c r="O644" s="95">
        <v>10000</v>
      </c>
      <c r="Q644" s="98">
        <v>6176.8709077195963</v>
      </c>
      <c r="R644" s="95">
        <v>5015.6094443809916</v>
      </c>
      <c r="S644" s="99">
        <v>3381.1519958697754</v>
      </c>
      <c r="U644" s="121"/>
      <c r="V644" s="59"/>
      <c r="W644" s="59"/>
      <c r="X644" s="59"/>
      <c r="Y644" s="59"/>
      <c r="Z644" s="59"/>
      <c r="AA644" s="59"/>
      <c r="AB644" s="59"/>
      <c r="AC644" s="59"/>
      <c r="AD644" s="68"/>
    </row>
    <row r="645" spans="1:30" x14ac:dyDescent="0.2">
      <c r="A645" s="95">
        <v>637</v>
      </c>
      <c r="B645" s="95">
        <v>53</v>
      </c>
      <c r="C645" s="95">
        <v>1</v>
      </c>
      <c r="D645" s="95"/>
      <c r="E645" s="95">
        <v>1.3433428419668776</v>
      </c>
      <c r="F645" s="95">
        <v>38.375521839330915</v>
      </c>
      <c r="G645" s="95">
        <v>69.87595971634552</v>
      </c>
      <c r="H645" s="95">
        <v>157.76670396707053</v>
      </c>
      <c r="I645" s="95">
        <v>906.02312611049933</v>
      </c>
      <c r="J645" s="95">
        <v>38.361614973539083</v>
      </c>
      <c r="K645" s="95">
        <v>176.89545505584641</v>
      </c>
      <c r="L645" s="95">
        <v>68.568195077107404</v>
      </c>
      <c r="M645" s="95">
        <v>6181.5802074674311</v>
      </c>
      <c r="N645" s="95">
        <v>2361.2098729508625</v>
      </c>
      <c r="O645" s="95">
        <v>10000</v>
      </c>
      <c r="Q645" s="98">
        <v>6181.5802074674311</v>
      </c>
      <c r="R645" s="95">
        <v>5018.5782024679875</v>
      </c>
      <c r="S645" s="99">
        <v>3383.44704770111</v>
      </c>
      <c r="U645" s="121"/>
      <c r="V645" s="59"/>
      <c r="W645" s="59"/>
      <c r="X645" s="59"/>
      <c r="Y645" s="59"/>
      <c r="Z645" s="59"/>
      <c r="AA645" s="59"/>
      <c r="AB645" s="59"/>
      <c r="AC645" s="59"/>
      <c r="AD645" s="68"/>
    </row>
    <row r="646" spans="1:30" x14ac:dyDescent="0.2">
      <c r="A646" s="95">
        <v>638</v>
      </c>
      <c r="B646" s="95">
        <v>53</v>
      </c>
      <c r="C646" s="95">
        <v>2</v>
      </c>
      <c r="D646" s="95"/>
      <c r="E646" s="95">
        <v>1.3229688088637133</v>
      </c>
      <c r="F646" s="95">
        <v>37.908925409048457</v>
      </c>
      <c r="G646" s="95">
        <v>69.07053195041378</v>
      </c>
      <c r="H646" s="95">
        <v>156.08581577939734</v>
      </c>
      <c r="I646" s="95">
        <v>898.63897684209439</v>
      </c>
      <c r="J646" s="95">
        <v>38.074788804935757</v>
      </c>
      <c r="K646" s="95">
        <v>175.50824845052992</v>
      </c>
      <c r="L646" s="95">
        <v>68.033716122908103</v>
      </c>
      <c r="M646" s="95">
        <v>6186.2529344832119</v>
      </c>
      <c r="N646" s="95">
        <v>2369.1030933485968</v>
      </c>
      <c r="O646" s="95">
        <v>10000</v>
      </c>
      <c r="Q646" s="98">
        <v>6186.2529344832119</v>
      </c>
      <c r="R646" s="95">
        <v>5021.5227776278462</v>
      </c>
      <c r="S646" s="99">
        <v>3385.7238647450722</v>
      </c>
      <c r="U646" s="121"/>
      <c r="V646" s="59"/>
      <c r="W646" s="59"/>
      <c r="X646" s="59"/>
      <c r="Y646" s="59"/>
      <c r="Z646" s="59"/>
      <c r="AA646" s="59"/>
      <c r="AB646" s="59"/>
      <c r="AC646" s="59"/>
      <c r="AD646" s="68"/>
    </row>
    <row r="647" spans="1:30" x14ac:dyDescent="0.2">
      <c r="A647" s="95">
        <v>639</v>
      </c>
      <c r="B647" s="95">
        <v>53</v>
      </c>
      <c r="C647" s="95">
        <v>3</v>
      </c>
      <c r="D647" s="95"/>
      <c r="E647" s="95">
        <v>1.3029037819292804</v>
      </c>
      <c r="F647" s="95">
        <v>37.447962787321771</v>
      </c>
      <c r="G647" s="95">
        <v>68.274216137825661</v>
      </c>
      <c r="H647" s="95">
        <v>154.42222671089556</v>
      </c>
      <c r="I647" s="95">
        <v>891.31118978901463</v>
      </c>
      <c r="J647" s="95">
        <v>37.789506991219064</v>
      </c>
      <c r="K647" s="95">
        <v>174.13135032698887</v>
      </c>
      <c r="L647" s="95">
        <v>67.503049779298948</v>
      </c>
      <c r="M647" s="95">
        <v>6190.8893454976651</v>
      </c>
      <c r="N647" s="95">
        <v>2376.9282481978412</v>
      </c>
      <c r="O647" s="95">
        <v>10000</v>
      </c>
      <c r="Q647" s="98">
        <v>6190.8893454976651</v>
      </c>
      <c r="R647" s="95">
        <v>5024.4433543025825</v>
      </c>
      <c r="S647" s="99">
        <v>3387.9825807625025</v>
      </c>
      <c r="U647" s="121"/>
      <c r="V647" s="59"/>
      <c r="W647" s="59"/>
      <c r="X647" s="59"/>
      <c r="Y647" s="59"/>
      <c r="Z647" s="59"/>
      <c r="AA647" s="59"/>
      <c r="AB647" s="59"/>
      <c r="AC647" s="59"/>
      <c r="AD647" s="68"/>
    </row>
    <row r="648" spans="1:30" x14ac:dyDescent="0.2">
      <c r="A648" s="95">
        <v>640</v>
      </c>
      <c r="B648" s="95">
        <v>53</v>
      </c>
      <c r="C648" s="95">
        <v>4</v>
      </c>
      <c r="D648" s="95"/>
      <c r="E648" s="95">
        <v>1.2831430745700196</v>
      </c>
      <c r="F648" s="95">
        <v>36.992566564354057</v>
      </c>
      <c r="G648" s="95">
        <v>67.486911708777711</v>
      </c>
      <c r="H648" s="95">
        <v>152.77576695271782</v>
      </c>
      <c r="I648" s="95">
        <v>884.03937794762794</v>
      </c>
      <c r="J648" s="95">
        <v>37.505775974450273</v>
      </c>
      <c r="K648" s="95">
        <v>172.76468641620977</v>
      </c>
      <c r="L648" s="95">
        <v>66.976172651238059</v>
      </c>
      <c r="M648" s="95">
        <v>6195.4896958113968</v>
      </c>
      <c r="N648" s="95">
        <v>2384.6859028986573</v>
      </c>
      <c r="O648" s="95">
        <v>10000</v>
      </c>
      <c r="Q648" s="98">
        <v>6195.4896958113968</v>
      </c>
      <c r="R648" s="95">
        <v>5027.3401156693972</v>
      </c>
      <c r="S648" s="99">
        <v>3390.2233286753931</v>
      </c>
      <c r="U648" s="121"/>
      <c r="V648" s="59"/>
      <c r="W648" s="59"/>
      <c r="X648" s="59"/>
      <c r="Y648" s="59"/>
      <c r="Z648" s="59"/>
      <c r="AA648" s="59"/>
      <c r="AB648" s="59"/>
      <c r="AC648" s="59"/>
      <c r="AD648" s="68"/>
    </row>
    <row r="649" spans="1:30" x14ac:dyDescent="0.2">
      <c r="A649" s="95">
        <v>641</v>
      </c>
      <c r="B649" s="95">
        <v>53</v>
      </c>
      <c r="C649" s="95">
        <v>5</v>
      </c>
      <c r="D649" s="95"/>
      <c r="E649" s="95">
        <v>1.2636820712723744</v>
      </c>
      <c r="F649" s="95">
        <v>36.542670127276686</v>
      </c>
      <c r="G649" s="95">
        <v>66.708519166431557</v>
      </c>
      <c r="H649" s="95">
        <v>151.14626825160209</v>
      </c>
      <c r="I649" s="95">
        <v>876.82315647835253</v>
      </c>
      <c r="J649" s="95">
        <v>37.223601690233728</v>
      </c>
      <c r="K649" s="95">
        <v>171.40818304509583</v>
      </c>
      <c r="L649" s="95">
        <v>66.453061467023275</v>
      </c>
      <c r="M649" s="95">
        <v>6200.0542392970674</v>
      </c>
      <c r="N649" s="95">
        <v>2392.3766184056449</v>
      </c>
      <c r="O649" s="95">
        <v>10000</v>
      </c>
      <c r="Q649" s="98">
        <v>6200.0542392970674</v>
      </c>
      <c r="R649" s="95">
        <v>5030.2132436477268</v>
      </c>
      <c r="S649" s="99">
        <v>3392.4462405698791</v>
      </c>
      <c r="U649" s="121"/>
      <c r="V649" s="59"/>
      <c r="W649" s="59"/>
      <c r="X649" s="59"/>
      <c r="Y649" s="59"/>
      <c r="Z649" s="59"/>
      <c r="AA649" s="59"/>
      <c r="AB649" s="59"/>
      <c r="AC649" s="59"/>
      <c r="AD649" s="68"/>
    </row>
    <row r="650" spans="1:30" x14ac:dyDescent="0.2">
      <c r="A650" s="95">
        <v>642</v>
      </c>
      <c r="B650" s="95">
        <v>53</v>
      </c>
      <c r="C650" s="95">
        <v>6</v>
      </c>
      <c r="D650" s="95"/>
      <c r="E650" s="95">
        <v>1.2445162265247434</v>
      </c>
      <c r="F650" s="95">
        <v>36.098207650880632</v>
      </c>
      <c r="G650" s="95">
        <v>65.938940076017275</v>
      </c>
      <c r="H650" s="95">
        <v>149.53356389713807</v>
      </c>
      <c r="I650" s="95">
        <v>869.66214269941418</v>
      </c>
      <c r="J650" s="95">
        <v>36.942989583071927</v>
      </c>
      <c r="K650" s="95">
        <v>170.06176712927294</v>
      </c>
      <c r="L650" s="95">
        <v>65.933693076266934</v>
      </c>
      <c r="M650" s="95">
        <v>6204.5832284016587</v>
      </c>
      <c r="N650" s="95">
        <v>2400.0009512597549</v>
      </c>
      <c r="O650" s="95">
        <v>10000</v>
      </c>
      <c r="Q650" s="98">
        <v>6204.5832284016587</v>
      </c>
      <c r="R650" s="95">
        <v>5033.0629189062811</v>
      </c>
      <c r="S650" s="99">
        <v>3394.6514476992706</v>
      </c>
      <c r="U650" s="121"/>
      <c r="V650" s="59"/>
      <c r="W650" s="59"/>
      <c r="X650" s="59"/>
      <c r="Y650" s="59"/>
      <c r="Z650" s="59"/>
      <c r="AA650" s="59"/>
      <c r="AB650" s="59"/>
      <c r="AC650" s="59"/>
      <c r="AD650" s="68"/>
    </row>
    <row r="651" spans="1:30" x14ac:dyDescent="0.2">
      <c r="A651" s="95">
        <v>643</v>
      </c>
      <c r="B651" s="95">
        <v>53</v>
      </c>
      <c r="C651" s="95">
        <v>7</v>
      </c>
      <c r="D651" s="95"/>
      <c r="E651" s="95">
        <v>1.2256410637557849</v>
      </c>
      <c r="F651" s="95">
        <v>35.659114088453236</v>
      </c>
      <c r="G651" s="95">
        <v>65.178077054039079</v>
      </c>
      <c r="H651" s="95">
        <v>147.93748870911639</v>
      </c>
      <c r="I651" s="95">
        <v>862.55595608054227</v>
      </c>
      <c r="J651" s="95">
        <v>36.663944621309213</v>
      </c>
      <c r="K651" s="95">
        <v>168.72536616603045</v>
      </c>
      <c r="L651" s="95">
        <v>65.4180444479926</v>
      </c>
      <c r="M651" s="95">
        <v>6209.076914148839</v>
      </c>
      <c r="N651" s="95">
        <v>2407.5594536199224</v>
      </c>
      <c r="O651" s="95">
        <v>10000</v>
      </c>
      <c r="Q651" s="98">
        <v>6209.076914148839</v>
      </c>
      <c r="R651" s="95">
        <v>5035.8893208700538</v>
      </c>
      <c r="S651" s="99">
        <v>3396.8390804871233</v>
      </c>
      <c r="U651" s="121"/>
      <c r="V651" s="59"/>
      <c r="W651" s="59"/>
      <c r="X651" s="59"/>
      <c r="Y651" s="59"/>
      <c r="Z651" s="59"/>
      <c r="AA651" s="59"/>
      <c r="AB651" s="59"/>
      <c r="AC651" s="59"/>
      <c r="AD651" s="68"/>
    </row>
    <row r="652" spans="1:30" x14ac:dyDescent="0.2">
      <c r="A652" s="95">
        <v>644</v>
      </c>
      <c r="B652" s="95">
        <v>53</v>
      </c>
      <c r="C652" s="95">
        <v>8</v>
      </c>
      <c r="D652" s="95"/>
      <c r="E652" s="95">
        <v>1.2070521742888221</v>
      </c>
      <c r="F652" s="95">
        <v>35.225325162719187</v>
      </c>
      <c r="G652" s="95">
        <v>64.425833757582524</v>
      </c>
      <c r="H652" s="95">
        <v>146.35787902496094</v>
      </c>
      <c r="I652" s="95">
        <v>855.50421823660508</v>
      </c>
      <c r="J652" s="95">
        <v>36.386471311674924</v>
      </c>
      <c r="K652" s="95">
        <v>167.39890822739403</v>
      </c>
      <c r="L652" s="95">
        <v>64.906092668847123</v>
      </c>
      <c r="M652" s="95">
        <v>6213.5355461414192</v>
      </c>
      <c r="N652" s="95">
        <v>2415.0526732945082</v>
      </c>
      <c r="O652" s="95">
        <v>10000</v>
      </c>
      <c r="Q652" s="98">
        <v>6213.5355461414192</v>
      </c>
      <c r="R652" s="95">
        <v>5038.692627727316</v>
      </c>
      <c r="S652" s="99">
        <v>3399.0092685303457</v>
      </c>
      <c r="U652" s="121"/>
      <c r="V652" s="59"/>
      <c r="W652" s="59"/>
      <c r="X652" s="59"/>
      <c r="Y652" s="59"/>
      <c r="Z652" s="59"/>
      <c r="AA652" s="59"/>
      <c r="AB652" s="59"/>
      <c r="AC652" s="59"/>
      <c r="AD652" s="68"/>
    </row>
    <row r="653" spans="1:30" x14ac:dyDescent="0.2">
      <c r="A653" s="95">
        <v>645</v>
      </c>
      <c r="B653" s="95">
        <v>53</v>
      </c>
      <c r="C653" s="95">
        <v>9</v>
      </c>
      <c r="D653" s="95"/>
      <c r="E653" s="95">
        <v>1.1887452163121082</v>
      </c>
      <c r="F653" s="95">
        <v>34.796777356884512</v>
      </c>
      <c r="G653" s="95">
        <v>63.682114873722391</v>
      </c>
      <c r="H653" s="95">
        <v>144.7945726872436</v>
      </c>
      <c r="I653" s="95">
        <v>848.50655292118643</v>
      </c>
      <c r="J653" s="95">
        <v>36.110573713436395</v>
      </c>
      <c r="K653" s="95">
        <v>166.08232195332744</v>
      </c>
      <c r="L653" s="95">
        <v>64.397814941421814</v>
      </c>
      <c r="M653" s="95">
        <v>6217.9593725639015</v>
      </c>
      <c r="N653" s="95">
        <v>2422.4811537725636</v>
      </c>
      <c r="O653" s="95">
        <v>10000</v>
      </c>
      <c r="Q653" s="98">
        <v>6217.9593725639015</v>
      </c>
      <c r="R653" s="95">
        <v>5041.4730164365847</v>
      </c>
      <c r="S653" s="99">
        <v>3401.1621406023432</v>
      </c>
      <c r="U653" s="121"/>
      <c r="V653" s="59"/>
      <c r="W653" s="59"/>
      <c r="X653" s="59"/>
      <c r="Y653" s="59"/>
      <c r="Z653" s="59"/>
      <c r="AA653" s="59"/>
      <c r="AB653" s="59"/>
      <c r="AC653" s="59"/>
      <c r="AD653" s="68"/>
    </row>
    <row r="654" spans="1:30" x14ac:dyDescent="0.2">
      <c r="A654" s="95">
        <v>646</v>
      </c>
      <c r="B654" s="95">
        <v>53</v>
      </c>
      <c r="C654" s="95">
        <v>10</v>
      </c>
      <c r="D654" s="95"/>
      <c r="E654" s="95">
        <v>1.1707159138647079</v>
      </c>
      <c r="F654" s="95">
        <v>34.3734079057825</v>
      </c>
      <c r="G654" s="95">
        <v>62.946826109030432</v>
      </c>
      <c r="H654" s="95">
        <v>143.24740903128156</v>
      </c>
      <c r="I654" s="95">
        <v>841.56258602010473</v>
      </c>
      <c r="J654" s="95">
        <v>35.83625545217209</v>
      </c>
      <c r="K654" s="95">
        <v>164.77553654506079</v>
      </c>
      <c r="L654" s="95">
        <v>63.893188582676565</v>
      </c>
      <c r="M654" s="95">
        <v>6222.3486401851187</v>
      </c>
      <c r="N654" s="95">
        <v>2429.845434254908</v>
      </c>
      <c r="O654" s="95">
        <v>10000</v>
      </c>
      <c r="Q654" s="98">
        <v>6222.3486401851187</v>
      </c>
      <c r="R654" s="95">
        <v>5044.2306627335784</v>
      </c>
      <c r="S654" s="99">
        <v>3403.2978246561961</v>
      </c>
      <c r="U654" s="121"/>
      <c r="V654" s="59"/>
      <c r="W654" s="59"/>
      <c r="X654" s="59"/>
      <c r="Y654" s="59"/>
      <c r="Z654" s="59"/>
      <c r="AA654" s="59"/>
      <c r="AB654" s="59"/>
      <c r="AC654" s="59"/>
      <c r="AD654" s="68"/>
    </row>
    <row r="655" spans="1:30" x14ac:dyDescent="0.2">
      <c r="A655" s="95">
        <v>647</v>
      </c>
      <c r="B655" s="95">
        <v>53</v>
      </c>
      <c r="C655" s="95">
        <v>11</v>
      </c>
      <c r="D655" s="95"/>
      <c r="E655" s="95">
        <v>1.1529600558377597</v>
      </c>
      <c r="F655" s="95">
        <v>33.955154787120399</v>
      </c>
      <c r="G655" s="95">
        <v>62.21987417918217</v>
      </c>
      <c r="H655" s="95">
        <v>141.71622887281671</v>
      </c>
      <c r="I655" s="95">
        <v>834.67194554487605</v>
      </c>
      <c r="J655" s="95">
        <v>35.563519733174857</v>
      </c>
      <c r="K655" s="95">
        <v>163.47848175854219</v>
      </c>
      <c r="L655" s="95">
        <v>63.392191022461269</v>
      </c>
      <c r="M655" s="95">
        <v>6226.7035943609644</v>
      </c>
      <c r="N655" s="95">
        <v>2437.1460496850245</v>
      </c>
      <c r="O655" s="95">
        <v>10000</v>
      </c>
      <c r="Q655" s="98">
        <v>6226.7035943609644</v>
      </c>
      <c r="R655" s="95">
        <v>5046.965741138144</v>
      </c>
      <c r="S655" s="99">
        <v>3405.4164478278703</v>
      </c>
      <c r="U655" s="121"/>
      <c r="V655" s="59"/>
      <c r="W655" s="59"/>
      <c r="X655" s="59"/>
      <c r="Y655" s="59"/>
      <c r="Z655" s="59"/>
      <c r="AA655" s="59"/>
      <c r="AB655" s="59"/>
      <c r="AC655" s="59"/>
      <c r="AD655" s="68"/>
    </row>
    <row r="656" spans="1:30" x14ac:dyDescent="0.2">
      <c r="A656" s="95">
        <v>648</v>
      </c>
      <c r="B656" s="95">
        <v>54</v>
      </c>
      <c r="C656" s="95">
        <v>0</v>
      </c>
      <c r="D656" s="95"/>
      <c r="E656" s="95">
        <v>1.1354734949908871</v>
      </c>
      <c r="F656" s="95">
        <v>33.541956712825815</v>
      </c>
      <c r="G656" s="95">
        <v>61.501166798661885</v>
      </c>
      <c r="H656" s="95">
        <v>140.20087449577687</v>
      </c>
      <c r="I656" s="95">
        <v>827.83426162612204</v>
      </c>
      <c r="J656" s="95">
        <v>35.292369354494866</v>
      </c>
      <c r="K656" s="95">
        <v>162.1910878980103</v>
      </c>
      <c r="L656" s="95">
        <v>62.894799802129107</v>
      </c>
      <c r="M656" s="95">
        <v>6231.0244790372135</v>
      </c>
      <c r="N656" s="95">
        <v>2444.3835307797754</v>
      </c>
      <c r="O656" s="95">
        <v>10000</v>
      </c>
      <c r="Q656" s="98">
        <v>6231.0244790372135</v>
      </c>
      <c r="R656" s="95">
        <v>5049.6784249611646</v>
      </c>
      <c r="S656" s="99">
        <v>3407.5181364394589</v>
      </c>
      <c r="U656" s="121"/>
      <c r="V656" s="59"/>
      <c r="W656" s="59"/>
      <c r="X656" s="59"/>
      <c r="Y656" s="59"/>
      <c r="Z656" s="59"/>
      <c r="AA656" s="59"/>
      <c r="AB656" s="59"/>
      <c r="AC656" s="59"/>
      <c r="AD656" s="68"/>
    </row>
    <row r="657" spans="1:30" x14ac:dyDescent="0.2">
      <c r="A657" s="95">
        <v>649</v>
      </c>
      <c r="B657" s="95">
        <v>54</v>
      </c>
      <c r="C657" s="95">
        <v>1</v>
      </c>
      <c r="D657" s="95"/>
      <c r="E657" s="95">
        <v>1.1182521469835254</v>
      </c>
      <c r="F657" s="95">
        <v>33.133753120491654</v>
      </c>
      <c r="G657" s="95">
        <v>60.790612670565032</v>
      </c>
      <c r="H657" s="95">
        <v>138.70118964011886</v>
      </c>
      <c r="I657" s="95">
        <v>821.04916650692439</v>
      </c>
      <c r="J657" s="95">
        <v>35.022806719631816</v>
      </c>
      <c r="K657" s="95">
        <v>160.91328580968505</v>
      </c>
      <c r="L657" s="95">
        <v>62.400992573236486</v>
      </c>
      <c r="M657" s="95">
        <v>6235.3115367524306</v>
      </c>
      <c r="N657" s="95">
        <v>2451.5584040599333</v>
      </c>
      <c r="O657" s="95">
        <v>10000</v>
      </c>
      <c r="Q657" s="98">
        <v>6235.3115367524306</v>
      </c>
      <c r="R657" s="95">
        <v>5052.3688863114494</v>
      </c>
      <c r="S657" s="99">
        <v>3409.6030160024534</v>
      </c>
      <c r="U657" s="121"/>
      <c r="V657" s="59"/>
      <c r="W657" s="59"/>
      <c r="X657" s="59"/>
      <c r="Y657" s="59"/>
      <c r="Z657" s="59"/>
      <c r="AA657" s="59"/>
      <c r="AB657" s="59"/>
      <c r="AC657" s="59"/>
      <c r="AD657" s="68"/>
    </row>
    <row r="658" spans="1:30" x14ac:dyDescent="0.2">
      <c r="A658" s="95">
        <v>650</v>
      </c>
      <c r="B658" s="95">
        <v>54</v>
      </c>
      <c r="C658" s="95">
        <v>2</v>
      </c>
      <c r="D658" s="95"/>
      <c r="E658" s="95">
        <v>1.1012919894209419</v>
      </c>
      <c r="F658" s="95">
        <v>32.7304841649186</v>
      </c>
      <c r="G658" s="95">
        <v>60.088121476497307</v>
      </c>
      <c r="H658" s="95">
        <v>137.21701948975272</v>
      </c>
      <c r="I658" s="95">
        <v>814.31629453612743</v>
      </c>
      <c r="J658" s="95">
        <v>34.754833849885486</v>
      </c>
      <c r="K658" s="95">
        <v>159.64500687557415</v>
      </c>
      <c r="L658" s="95">
        <v>61.910747096324663</v>
      </c>
      <c r="M658" s="95">
        <v>6239.565008640966</v>
      </c>
      <c r="N658" s="95">
        <v>2458.6711918805331</v>
      </c>
      <c r="O658" s="95">
        <v>10000</v>
      </c>
      <c r="Q658" s="98">
        <v>6239.565008640966</v>
      </c>
      <c r="R658" s="95">
        <v>5055.0372961025969</v>
      </c>
      <c r="S658" s="99">
        <v>3411.6712112210444</v>
      </c>
      <c r="U658" s="121"/>
      <c r="V658" s="59"/>
      <c r="W658" s="59"/>
      <c r="X658" s="59"/>
      <c r="Y658" s="59"/>
      <c r="Z658" s="59"/>
      <c r="AA658" s="59"/>
      <c r="AB658" s="59"/>
      <c r="AC658" s="59"/>
      <c r="AD658" s="68"/>
    </row>
    <row r="659" spans="1:30" x14ac:dyDescent="0.2">
      <c r="A659" s="95">
        <v>651</v>
      </c>
      <c r="B659" s="95">
        <v>54</v>
      </c>
      <c r="C659" s="95">
        <v>3</v>
      </c>
      <c r="D659" s="95"/>
      <c r="E659" s="95">
        <v>1.0845890609147242</v>
      </c>
      <c r="F659" s="95">
        <v>32.33209070975397</v>
      </c>
      <c r="G659" s="95">
        <v>59.393603866569478</v>
      </c>
      <c r="H659" s="95">
        <v>135.74821066054724</v>
      </c>
      <c r="I659" s="95">
        <v>807.63528216158977</v>
      </c>
      <c r="J659" s="95">
        <v>34.488452396373688</v>
      </c>
      <c r="K659" s="95">
        <v>158.38618300739256</v>
      </c>
      <c r="L659" s="95">
        <v>61.42404123977844</v>
      </c>
      <c r="M659" s="95">
        <v>6243.7851344360388</v>
      </c>
      <c r="N659" s="95">
        <v>2465.7224124610416</v>
      </c>
      <c r="O659" s="95">
        <v>10000</v>
      </c>
      <c r="Q659" s="98">
        <v>6243.7851344360388</v>
      </c>
      <c r="R659" s="95">
        <v>5057.683824059839</v>
      </c>
      <c r="S659" s="99">
        <v>3413.7228459954476</v>
      </c>
      <c r="U659" s="121"/>
      <c r="V659" s="59"/>
      <c r="W659" s="59"/>
      <c r="X659" s="59"/>
      <c r="Y659" s="59"/>
      <c r="Z659" s="59"/>
      <c r="AA659" s="59"/>
      <c r="AB659" s="59"/>
      <c r="AC659" s="59"/>
      <c r="AD659" s="68"/>
    </row>
    <row r="660" spans="1:30" x14ac:dyDescent="0.2">
      <c r="A660" s="95">
        <v>652</v>
      </c>
      <c r="B660" s="95">
        <v>54</v>
      </c>
      <c r="C660" s="95">
        <v>4</v>
      </c>
      <c r="D660" s="95"/>
      <c r="E660" s="95">
        <v>1.0681394601575176</v>
      </c>
      <c r="F660" s="95">
        <v>31.938514319225963</v>
      </c>
      <c r="G660" s="95">
        <v>58.706971449487291</v>
      </c>
      <c r="H660" s="95">
        <v>134.29461118841635</v>
      </c>
      <c r="I660" s="95">
        <v>801.00576792338609</v>
      </c>
      <c r="J660" s="95">
        <v>34.223663651726248</v>
      </c>
      <c r="K660" s="95">
        <v>157.13674664059275</v>
      </c>
      <c r="L660" s="95">
        <v>60.940852978757384</v>
      </c>
      <c r="M660" s="95">
        <v>6247.9721524729011</v>
      </c>
      <c r="N660" s="95">
        <v>2472.7125799153491</v>
      </c>
      <c r="O660" s="95">
        <v>10000</v>
      </c>
      <c r="Q660" s="98">
        <v>6247.9721524729011</v>
      </c>
      <c r="R660" s="95">
        <v>5060.308638726864</v>
      </c>
      <c r="S660" s="99">
        <v>3415.7580434252577</v>
      </c>
      <c r="U660" s="121"/>
      <c r="V660" s="59"/>
      <c r="W660" s="59"/>
      <c r="X660" s="59"/>
      <c r="Y660" s="59"/>
      <c r="Z660" s="59"/>
      <c r="AA660" s="59"/>
      <c r="AB660" s="59"/>
      <c r="AC660" s="59"/>
      <c r="AD660" s="68"/>
    </row>
    <row r="661" spans="1:30" x14ac:dyDescent="0.2">
      <c r="A661" s="95">
        <v>653</v>
      </c>
      <c r="B661" s="95">
        <v>54</v>
      </c>
      <c r="C661" s="95">
        <v>5</v>
      </c>
      <c r="D661" s="95"/>
      <c r="E661" s="95">
        <v>1.0519393450117953</v>
      </c>
      <c r="F661" s="95">
        <v>31.549697249972173</v>
      </c>
      <c r="G661" s="95">
        <v>58.028136782735544</v>
      </c>
      <c r="H661" s="95">
        <v>132.85607051748596</v>
      </c>
      <c r="I661" s="95">
        <v>794.42739244696077</v>
      </c>
      <c r="J661" s="95">
        <v>33.960468561463529</v>
      </c>
      <c r="K661" s="95">
        <v>155.89663072850323</v>
      </c>
      <c r="L661" s="95">
        <v>60.461160394195424</v>
      </c>
      <c r="M661" s="95">
        <v>6252.1262996920923</v>
      </c>
      <c r="N661" s="95">
        <v>2479.6422042815793</v>
      </c>
      <c r="O661" s="95">
        <v>10000</v>
      </c>
      <c r="Q661" s="98">
        <v>6252.1262996920923</v>
      </c>
      <c r="R661" s="95">
        <v>5062.911907472615</v>
      </c>
      <c r="S661" s="99">
        <v>3417.7769258128246</v>
      </c>
      <c r="U661" s="121"/>
      <c r="V661" s="59"/>
      <c r="W661" s="59"/>
      <c r="X661" s="59"/>
      <c r="Y661" s="59"/>
      <c r="Z661" s="59"/>
      <c r="AA661" s="59"/>
      <c r="AB661" s="59"/>
      <c r="AC661" s="59"/>
      <c r="AD661" s="68"/>
    </row>
    <row r="662" spans="1:30" x14ac:dyDescent="0.2">
      <c r="A662" s="95">
        <v>654</v>
      </c>
      <c r="B662" s="95">
        <v>54</v>
      </c>
      <c r="C662" s="95">
        <v>6</v>
      </c>
      <c r="D662" s="95"/>
      <c r="E662" s="95">
        <v>1.0359849316124496</v>
      </c>
      <c r="F662" s="95">
        <v>31.165582442961387</v>
      </c>
      <c r="G662" s="95">
        <v>57.357013362855675</v>
      </c>
      <c r="H662" s="95">
        <v>131.43243948834123</v>
      </c>
      <c r="I662" s="95">
        <v>787.89979843623473</v>
      </c>
      <c r="J662" s="95">
        <v>33.6988677350678</v>
      </c>
      <c r="K662" s="95">
        <v>154.66576873657289</v>
      </c>
      <c r="L662" s="95">
        <v>59.984941671864675</v>
      </c>
      <c r="M662" s="95">
        <v>6256.2478116427674</v>
      </c>
      <c r="N662" s="95">
        <v>2486.5117915517221</v>
      </c>
      <c r="O662" s="95">
        <v>10000</v>
      </c>
      <c r="Q662" s="98">
        <v>6256.2478116427674</v>
      </c>
      <c r="R662" s="95">
        <v>5065.4937964980672</v>
      </c>
      <c r="S662" s="99">
        <v>3419.779614666656</v>
      </c>
      <c r="U662" s="121"/>
      <c r="V662" s="59"/>
      <c r="W662" s="59"/>
      <c r="X662" s="59"/>
      <c r="Y662" s="59"/>
      <c r="Z662" s="59"/>
      <c r="AA662" s="59"/>
      <c r="AB662" s="59"/>
      <c r="AC662" s="59"/>
      <c r="AD662" s="68"/>
    </row>
    <row r="663" spans="1:30" x14ac:dyDescent="0.2">
      <c r="A663" s="95">
        <v>655</v>
      </c>
      <c r="B663" s="95">
        <v>54</v>
      </c>
      <c r="C663" s="95">
        <v>7</v>
      </c>
      <c r="D663" s="95"/>
      <c r="E663" s="95">
        <v>1.0202724934829941</v>
      </c>
      <c r="F663" s="95">
        <v>30.786113515507591</v>
      </c>
      <c r="G663" s="95">
        <v>56.693515615815961</v>
      </c>
      <c r="H663" s="95">
        <v>130.02357032635396</v>
      </c>
      <c r="I663" s="95">
        <v>781.42263066666567</v>
      </c>
      <c r="J663" s="95">
        <v>33.438861456755461</v>
      </c>
      <c r="K663" s="95">
        <v>153.44409463671909</v>
      </c>
      <c r="L663" s="95">
        <v>59.512175101499793</v>
      </c>
      <c r="M663" s="95">
        <v>6260.3369224861144</v>
      </c>
      <c r="N663" s="95">
        <v>2493.3218437010855</v>
      </c>
      <c r="O663" s="95">
        <v>10000</v>
      </c>
      <c r="Q663" s="98">
        <v>6260.3369224861144</v>
      </c>
      <c r="R663" s="95">
        <v>5068.0544708429852</v>
      </c>
      <c r="S663" s="99">
        <v>3421.7662307048377</v>
      </c>
      <c r="U663" s="121"/>
      <c r="V663" s="59"/>
      <c r="W663" s="59"/>
      <c r="X663" s="59"/>
      <c r="Y663" s="59"/>
      <c r="Z663" s="59"/>
      <c r="AA663" s="59"/>
      <c r="AB663" s="59"/>
      <c r="AC663" s="59"/>
      <c r="AD663" s="68"/>
    </row>
    <row r="664" spans="1:30" x14ac:dyDescent="0.2">
      <c r="A664" s="95">
        <v>656</v>
      </c>
      <c r="B664" s="95">
        <v>54</v>
      </c>
      <c r="C664" s="95">
        <v>8</v>
      </c>
      <c r="D664" s="95"/>
      <c r="E664" s="95">
        <v>1.0047983606651687</v>
      </c>
      <c r="F664" s="95">
        <v>30.411234753375204</v>
      </c>
      <c r="G664" s="95">
        <v>56.037558887473644</v>
      </c>
      <c r="H664" s="95">
        <v>128.62931663008962</v>
      </c>
      <c r="I664" s="95">
        <v>774.99553597826491</v>
      </c>
      <c r="J664" s="95">
        <v>33.180449695957982</v>
      </c>
      <c r="K664" s="95">
        <v>152.23154290177703</v>
      </c>
      <c r="L664" s="95">
        <v>59.042839075979103</v>
      </c>
      <c r="M664" s="95">
        <v>6264.3938649988459</v>
      </c>
      <c r="N664" s="95">
        <v>2500.0728587175718</v>
      </c>
      <c r="O664" s="95">
        <v>10000</v>
      </c>
      <c r="Q664" s="98">
        <v>6264.3938649988459</v>
      </c>
      <c r="R664" s="95">
        <v>5070.5940943926516</v>
      </c>
      <c r="S664" s="99">
        <v>3423.7368938584787</v>
      </c>
      <c r="U664" s="121"/>
      <c r="V664" s="59"/>
      <c r="W664" s="59"/>
      <c r="X664" s="59"/>
      <c r="Y664" s="59"/>
      <c r="Z664" s="59"/>
      <c r="AA664" s="59"/>
      <c r="AB664" s="59"/>
      <c r="AC664" s="59"/>
      <c r="AD664" s="68"/>
    </row>
    <row r="665" spans="1:30" x14ac:dyDescent="0.2">
      <c r="A665" s="95">
        <v>657</v>
      </c>
      <c r="B665" s="95">
        <v>54</v>
      </c>
      <c r="C665" s="95">
        <v>9</v>
      </c>
      <c r="D665" s="95"/>
      <c r="E665" s="95">
        <v>0.98955891886174696</v>
      </c>
      <c r="F665" s="95">
        <v>30.040891102974498</v>
      </c>
      <c r="G665" s="95">
        <v>55.389059434128164</v>
      </c>
      <c r="H665" s="95">
        <v>127.24953335979383</v>
      </c>
      <c r="I665" s="95">
        <v>768.61816326856956</v>
      </c>
      <c r="J665" s="95">
        <v>32.923632117519205</v>
      </c>
      <c r="K665" s="95">
        <v>151.02804850004833</v>
      </c>
      <c r="L665" s="95">
        <v>58.576912090559098</v>
      </c>
      <c r="M665" s="95">
        <v>6268.418870576771</v>
      </c>
      <c r="N665" s="95">
        <v>2506.7653306307743</v>
      </c>
      <c r="O665" s="95">
        <v>10000</v>
      </c>
      <c r="Q665" s="98">
        <v>6268.418870576771</v>
      </c>
      <c r="R665" s="95">
        <v>5073.1128298845806</v>
      </c>
      <c r="S665" s="99">
        <v>3425.6917232751739</v>
      </c>
      <c r="U665" s="121"/>
      <c r="V665" s="59"/>
      <c r="W665" s="59"/>
      <c r="X665" s="59"/>
      <c r="Y665" s="59"/>
      <c r="Z665" s="59"/>
      <c r="AA665" s="59"/>
      <c r="AB665" s="59"/>
      <c r="AC665" s="59"/>
      <c r="AD665" s="68"/>
    </row>
    <row r="666" spans="1:30" x14ac:dyDescent="0.2">
      <c r="A666" s="95">
        <v>658</v>
      </c>
      <c r="B666" s="95">
        <v>54</v>
      </c>
      <c r="C666" s="95">
        <v>10</v>
      </c>
      <c r="D666" s="95"/>
      <c r="E666" s="95">
        <v>0.97455060859234377</v>
      </c>
      <c r="F666" s="95">
        <v>29.675028163646218</v>
      </c>
      <c r="G666" s="95">
        <v>54.747934413164757</v>
      </c>
      <c r="H666" s="95">
        <v>125.88407682595822</v>
      </c>
      <c r="I666" s="95">
        <v>762.29016348557332</v>
      </c>
      <c r="J666" s="95">
        <v>32.668408091616385</v>
      </c>
      <c r="K666" s="95">
        <v>149.83354688994646</v>
      </c>
      <c r="L666" s="95">
        <v>58.114372742159055</v>
      </c>
      <c r="M666" s="95">
        <v>6272.4121692384433</v>
      </c>
      <c r="N666" s="95">
        <v>2513.3997495409003</v>
      </c>
      <c r="O666" s="95">
        <v>10000</v>
      </c>
      <c r="Q666" s="98">
        <v>6272.4121692384433</v>
      </c>
      <c r="R666" s="95">
        <v>5075.6108389152032</v>
      </c>
      <c r="S666" s="99">
        <v>3427.630837322487</v>
      </c>
      <c r="U666" s="121"/>
      <c r="V666" s="59"/>
      <c r="W666" s="59"/>
      <c r="X666" s="59"/>
      <c r="Y666" s="59"/>
      <c r="Z666" s="59"/>
      <c r="AA666" s="59"/>
      <c r="AB666" s="59"/>
      <c r="AC666" s="59"/>
      <c r="AD666" s="68"/>
    </row>
    <row r="667" spans="1:30" x14ac:dyDescent="0.2">
      <c r="A667" s="95">
        <v>659</v>
      </c>
      <c r="B667" s="95">
        <v>54</v>
      </c>
      <c r="C667" s="95">
        <v>11</v>
      </c>
      <c r="D667" s="95"/>
      <c r="E667" s="95">
        <v>0.95976992436202657</v>
      </c>
      <c r="F667" s="95">
        <v>29.313592180034416</v>
      </c>
      <c r="G667" s="95">
        <v>54.114101873787625</v>
      </c>
      <c r="H667" s="95">
        <v>124.53280467796499</v>
      </c>
      <c r="I667" s="95">
        <v>756.01118962061616</v>
      </c>
      <c r="J667" s="95">
        <v>32.414776703412315</v>
      </c>
      <c r="K667" s="95">
        <v>148.64797401473731</v>
      </c>
      <c r="L667" s="95">
        <v>57.655199728692558</v>
      </c>
      <c r="M667" s="95">
        <v>6276.3739896288807</v>
      </c>
      <c r="N667" s="95">
        <v>2519.9766016475123</v>
      </c>
      <c r="O667" s="95">
        <v>10000</v>
      </c>
      <c r="Q667" s="98">
        <v>6276.3739896288807</v>
      </c>
      <c r="R667" s="95">
        <v>5078.0882819465314</v>
      </c>
      <c r="S667" s="99">
        <v>3429.5543535914489</v>
      </c>
      <c r="U667" s="121"/>
      <c r="V667" s="59"/>
      <c r="W667" s="59"/>
      <c r="X667" s="59"/>
      <c r="Y667" s="59"/>
      <c r="Z667" s="59"/>
      <c r="AA667" s="59"/>
      <c r="AB667" s="59"/>
      <c r="AC667" s="59"/>
      <c r="AD667" s="68"/>
    </row>
    <row r="668" spans="1:30" x14ac:dyDescent="0.2">
      <c r="A668" s="95">
        <v>660</v>
      </c>
      <c r="B668" s="95">
        <v>55</v>
      </c>
      <c r="C668" s="95">
        <v>0</v>
      </c>
      <c r="D668" s="95"/>
      <c r="E668" s="95">
        <v>0.94521341384253588</v>
      </c>
      <c r="F668" s="95">
        <v>28.956530034546514</v>
      </c>
      <c r="G668" s="95">
        <v>53.487480747841978</v>
      </c>
      <c r="H668" s="95">
        <v>123.19557589281023</v>
      </c>
      <c r="I668" s="95">
        <v>749.78089670123381</v>
      </c>
      <c r="J668" s="95">
        <v>32.162736762445462</v>
      </c>
      <c r="K668" s="95">
        <v>147.47126629737238</v>
      </c>
      <c r="L668" s="95">
        <v>57.199371848443064</v>
      </c>
      <c r="M668" s="95">
        <v>6280.304559023366</v>
      </c>
      <c r="N668" s="95">
        <v>2526.4963692780984</v>
      </c>
      <c r="O668" s="95">
        <v>10000</v>
      </c>
      <c r="Q668" s="98">
        <v>6280.304559023366</v>
      </c>
      <c r="R668" s="95">
        <v>5080.5453183127984</v>
      </c>
      <c r="S668" s="99">
        <v>3431.4623889000759</v>
      </c>
      <c r="U668" s="121"/>
      <c r="V668" s="59"/>
      <c r="W668" s="59"/>
      <c r="X668" s="59"/>
      <c r="Y668" s="59"/>
      <c r="Z668" s="59"/>
      <c r="AA668" s="59"/>
      <c r="AB668" s="59"/>
      <c r="AC668" s="59"/>
      <c r="AD668" s="68"/>
    </row>
    <row r="669" spans="1:30" x14ac:dyDescent="0.2">
      <c r="A669" s="95">
        <v>661</v>
      </c>
      <c r="B669" s="95">
        <v>55</v>
      </c>
      <c r="C669" s="95">
        <v>1</v>
      </c>
      <c r="D669" s="95"/>
      <c r="E669" s="95">
        <v>660.88751879211691</v>
      </c>
      <c r="F669" s="95">
        <v>1416.1875402688192</v>
      </c>
      <c r="G669" s="95">
        <v>896.91877550358549</v>
      </c>
      <c r="H669" s="95">
        <v>1.6777976892520929</v>
      </c>
      <c r="I669" s="95">
        <v>136.93773953755061</v>
      </c>
      <c r="J669" s="95">
        <v>5.9413317072399279</v>
      </c>
      <c r="K669" s="95">
        <v>32.049854819690452</v>
      </c>
      <c r="L669" s="95">
        <v>11.951276242586685</v>
      </c>
      <c r="M669" s="95">
        <v>2979.2151389096025</v>
      </c>
      <c r="N669" s="95">
        <v>3858.2330265295609</v>
      </c>
      <c r="O669" s="95">
        <v>10000.000000000005</v>
      </c>
      <c r="Q669" s="98"/>
      <c r="R669" s="95"/>
      <c r="S669" s="99"/>
      <c r="U669" s="121"/>
      <c r="V669" s="59"/>
      <c r="W669" s="59"/>
      <c r="X669" s="59"/>
      <c r="Y669" s="59"/>
      <c r="Z669" s="59"/>
      <c r="AA669" s="59"/>
      <c r="AB669" s="59"/>
      <c r="AC669" s="59"/>
      <c r="AD669" s="68"/>
    </row>
    <row r="670" spans="1:30" x14ac:dyDescent="0.2">
      <c r="A670" s="95">
        <v>662</v>
      </c>
      <c r="B670" s="95">
        <v>55</v>
      </c>
      <c r="C670" s="95">
        <v>2</v>
      </c>
      <c r="D670" s="95"/>
      <c r="E670" s="95">
        <v>657.05740696961072</v>
      </c>
      <c r="F670" s="95">
        <v>1407.9801577920205</v>
      </c>
      <c r="G670" s="95">
        <v>891.72076660161292</v>
      </c>
      <c r="H670" s="95">
        <v>1.6518554586211764</v>
      </c>
      <c r="I670" s="95">
        <v>135.55554003304306</v>
      </c>
      <c r="J670" s="95">
        <v>5.8813783073381014</v>
      </c>
      <c r="K670" s="95">
        <v>31.730155937533308</v>
      </c>
      <c r="L670" s="95">
        <v>11.831791578708851</v>
      </c>
      <c r="M670" s="95">
        <v>2980.0296473317781</v>
      </c>
      <c r="N670" s="95">
        <v>3876.5612999897385</v>
      </c>
      <c r="O670" s="95">
        <v>10000.000000000005</v>
      </c>
      <c r="Q670" s="98"/>
      <c r="R670" s="95"/>
      <c r="S670" s="99"/>
      <c r="U670" s="121"/>
      <c r="V670" s="59"/>
      <c r="W670" s="59"/>
      <c r="X670" s="59"/>
      <c r="Y670" s="59"/>
      <c r="Z670" s="59"/>
      <c r="AA670" s="59"/>
      <c r="AB670" s="59"/>
      <c r="AC670" s="59"/>
      <c r="AD670" s="68"/>
    </row>
    <row r="671" spans="1:30" x14ac:dyDescent="0.2">
      <c r="A671" s="95">
        <v>663</v>
      </c>
      <c r="B671" s="95">
        <v>55</v>
      </c>
      <c r="C671" s="95">
        <v>3</v>
      </c>
      <c r="D671" s="95"/>
      <c r="E671" s="95">
        <v>653.24949220205838</v>
      </c>
      <c r="F671" s="95">
        <v>1399.8203404329797</v>
      </c>
      <c r="G671" s="95">
        <v>886.55288227422045</v>
      </c>
      <c r="H671" s="95">
        <v>1.6263143486583946</v>
      </c>
      <c r="I671" s="95">
        <v>134.18720487611105</v>
      </c>
      <c r="J671" s="95">
        <v>5.8212519860574128</v>
      </c>
      <c r="K671" s="95">
        <v>31.414382580065727</v>
      </c>
      <c r="L671" s="95">
        <v>11.71348711063149</v>
      </c>
      <c r="M671" s="95">
        <v>2980.8360109418654</v>
      </c>
      <c r="N671" s="95">
        <v>3894.778633247357</v>
      </c>
      <c r="O671" s="95">
        <v>10000.000000000005</v>
      </c>
      <c r="Q671" s="98"/>
      <c r="R671" s="95"/>
      <c r="S671" s="99"/>
      <c r="U671" s="121"/>
      <c r="V671" s="59"/>
      <c r="W671" s="59"/>
      <c r="X671" s="59"/>
      <c r="Y671" s="59"/>
      <c r="Z671" s="59"/>
      <c r="AA671" s="59"/>
      <c r="AB671" s="59"/>
      <c r="AC671" s="59"/>
      <c r="AD671" s="68"/>
    </row>
    <row r="672" spans="1:30" x14ac:dyDescent="0.2">
      <c r="A672" s="95">
        <v>664</v>
      </c>
      <c r="B672" s="95">
        <v>55</v>
      </c>
      <c r="C672" s="95">
        <v>4</v>
      </c>
      <c r="D672" s="95"/>
      <c r="E672" s="95">
        <v>649.46364584850323</v>
      </c>
      <c r="F672" s="95">
        <v>1391.7078125325045</v>
      </c>
      <c r="G672" s="95">
        <v>881.4149479372528</v>
      </c>
      <c r="H672" s="95">
        <v>1.6011681572066281</v>
      </c>
      <c r="I672" s="95">
        <v>132.83259636052253</v>
      </c>
      <c r="J672" s="95">
        <v>5.7609812659516724</v>
      </c>
      <c r="K672" s="95">
        <v>31.102474255660283</v>
      </c>
      <c r="L672" s="95">
        <v>11.596351443163888</v>
      </c>
      <c r="M672" s="95">
        <v>2981.6343057507547</v>
      </c>
      <c r="N672" s="95">
        <v>3912.8857164484853</v>
      </c>
      <c r="O672" s="95">
        <v>10000.000000000005</v>
      </c>
      <c r="Q672" s="98"/>
      <c r="R672" s="95"/>
      <c r="S672" s="99"/>
      <c r="U672" s="121"/>
      <c r="V672" s="59"/>
      <c r="W672" s="59"/>
      <c r="X672" s="59"/>
      <c r="Y672" s="59"/>
      <c r="Z672" s="59"/>
      <c r="AA672" s="59"/>
      <c r="AB672" s="59"/>
      <c r="AC672" s="59"/>
      <c r="AD672" s="68"/>
    </row>
    <row r="673" spans="1:30" x14ac:dyDescent="0.2">
      <c r="A673" s="95">
        <v>665</v>
      </c>
      <c r="B673" s="95">
        <v>55</v>
      </c>
      <c r="C673" s="95">
        <v>5</v>
      </c>
      <c r="D673" s="95"/>
      <c r="E673" s="95">
        <v>645.69974001351534</v>
      </c>
      <c r="F673" s="95">
        <v>1383.6423000289592</v>
      </c>
      <c r="G673" s="95">
        <v>876.30679001834073</v>
      </c>
      <c r="H673" s="95">
        <v>1.5764107780069643</v>
      </c>
      <c r="I673" s="95">
        <v>131.49157812635735</v>
      </c>
      <c r="J673" s="95">
        <v>5.7005936234970704</v>
      </c>
      <c r="K673" s="95">
        <v>30.794371569650234</v>
      </c>
      <c r="L673" s="95">
        <v>11.480373310818607</v>
      </c>
      <c r="M673" s="95">
        <v>2982.4246072318606</v>
      </c>
      <c r="N673" s="95">
        <v>3930.8832352989998</v>
      </c>
      <c r="O673" s="95">
        <v>10000.000000000005</v>
      </c>
      <c r="Q673" s="98"/>
      <c r="R673" s="95"/>
      <c r="S673" s="99"/>
      <c r="U673" s="121"/>
      <c r="V673" s="59"/>
      <c r="W673" s="59"/>
      <c r="X673" s="59"/>
      <c r="Y673" s="59"/>
      <c r="Z673" s="59"/>
      <c r="AA673" s="59"/>
      <c r="AB673" s="59"/>
      <c r="AC673" s="59"/>
      <c r="AD673" s="68"/>
    </row>
    <row r="674" spans="1:30" x14ac:dyDescent="0.2">
      <c r="A674" s="95">
        <v>666</v>
      </c>
      <c r="B674" s="95">
        <v>55</v>
      </c>
      <c r="C674" s="95">
        <v>6</v>
      </c>
      <c r="D674" s="95"/>
      <c r="E674" s="95">
        <v>641.95764754287086</v>
      </c>
      <c r="F674" s="95">
        <v>1375.6235304490067</v>
      </c>
      <c r="G674" s="95">
        <v>871.2282359510375</v>
      </c>
      <c r="H674" s="95">
        <v>1.5520361992159128</v>
      </c>
      <c r="I674" s="95">
        <v>130.16401514718572</v>
      </c>
      <c r="J674" s="95">
        <v>5.640115520140581</v>
      </c>
      <c r="K674" s="95">
        <v>30.490016202700613</v>
      </c>
      <c r="L674" s="95">
        <v>11.365541574303561</v>
      </c>
      <c r="M674" s="95">
        <v>2983.2069903201104</v>
      </c>
      <c r="N674" s="95">
        <v>3948.7718710934341</v>
      </c>
      <c r="O674" s="95">
        <v>10000.000000000005</v>
      </c>
      <c r="Q674" s="98"/>
      <c r="R674" s="95"/>
      <c r="S674" s="99"/>
      <c r="U674" s="121"/>
      <c r="V674" s="59"/>
      <c r="W674" s="59"/>
      <c r="X674" s="59"/>
      <c r="Y674" s="59"/>
      <c r="Z674" s="59"/>
      <c r="AA674" s="59"/>
      <c r="AB674" s="59"/>
      <c r="AC674" s="59"/>
      <c r="AD674" s="68"/>
    </row>
    <row r="675" spans="1:30" x14ac:dyDescent="0.2">
      <c r="A675" s="95">
        <v>667</v>
      </c>
      <c r="B675" s="95">
        <v>55</v>
      </c>
      <c r="C675" s="95">
        <v>7</v>
      </c>
      <c r="D675" s="95"/>
      <c r="E675" s="95">
        <v>638.2372420192562</v>
      </c>
      <c r="F675" s="95">
        <v>1367.6512328984038</v>
      </c>
      <c r="G675" s="95">
        <v>866.17911416898903</v>
      </c>
      <c r="H675" s="95">
        <v>1.5280385019455476</v>
      </c>
      <c r="I675" s="95">
        <v>128.84977371736309</v>
      </c>
      <c r="J675" s="95">
        <v>5.5795724324880123</v>
      </c>
      <c r="K675" s="95">
        <v>30.189350889621011</v>
      </c>
      <c r="L675" s="95">
        <v>11.251845217197673</v>
      </c>
      <c r="M675" s="95">
        <v>2983.9815294110767</v>
      </c>
      <c r="N675" s="95">
        <v>3966.552300743665</v>
      </c>
      <c r="O675" s="95">
        <v>10000.000000000005</v>
      </c>
      <c r="Q675" s="98"/>
      <c r="R675" s="95"/>
      <c r="S675" s="99"/>
      <c r="U675" s="121"/>
      <c r="V675" s="59"/>
      <c r="W675" s="59"/>
      <c r="X675" s="59"/>
      <c r="Y675" s="59"/>
      <c r="Z675" s="59"/>
      <c r="AA675" s="59"/>
      <c r="AB675" s="59"/>
      <c r="AC675" s="59"/>
      <c r="AD675" s="68"/>
    </row>
    <row r="676" spans="1:30" x14ac:dyDescent="0.2">
      <c r="A676" s="95">
        <v>668</v>
      </c>
      <c r="B676" s="95">
        <v>55</v>
      </c>
      <c r="C676" s="95">
        <v>8</v>
      </c>
      <c r="D676" s="95"/>
      <c r="E676" s="95">
        <v>634.53839775799759</v>
      </c>
      <c r="F676" s="95">
        <v>1359.7251380528496</v>
      </c>
      <c r="G676" s="95">
        <v>861.15925410013813</v>
      </c>
      <c r="H676" s="95">
        <v>1.5044118588262201</v>
      </c>
      <c r="I676" s="95">
        <v>127.54872143944085</v>
      </c>
      <c r="J676" s="95">
        <v>5.5189888816549368</v>
      </c>
      <c r="K676" s="95">
        <v>29.892319398610919</v>
      </c>
      <c r="L676" s="95">
        <v>11.139273342800246</v>
      </c>
      <c r="M676" s="95">
        <v>2984.7482983602513</v>
      </c>
      <c r="N676" s="95">
        <v>3984.2251968074365</v>
      </c>
      <c r="O676" s="95">
        <v>10000.000000000005</v>
      </c>
      <c r="Q676" s="98"/>
      <c r="R676" s="95"/>
      <c r="S676" s="99"/>
      <c r="U676" s="121"/>
      <c r="V676" s="59"/>
      <c r="W676" s="59"/>
      <c r="X676" s="59"/>
      <c r="Y676" s="59"/>
      <c r="Z676" s="59"/>
      <c r="AA676" s="59"/>
      <c r="AB676" s="59"/>
      <c r="AC676" s="59"/>
      <c r="AD676" s="68"/>
    </row>
    <row r="677" spans="1:30" x14ac:dyDescent="0.2">
      <c r="A677" s="95">
        <v>669</v>
      </c>
      <c r="B677" s="95">
        <v>55</v>
      </c>
      <c r="C677" s="95">
        <v>9</v>
      </c>
      <c r="D677" s="95"/>
      <c r="E677" s="95">
        <v>630.86098980281497</v>
      </c>
      <c r="F677" s="95">
        <v>1351.8449781488869</v>
      </c>
      <c r="G677" s="95">
        <v>856.16848616096183</v>
      </c>
      <c r="H677" s="95">
        <v>1.4811505325914982</v>
      </c>
      <c r="I677" s="95">
        <v>126.26072721169157</v>
      </c>
      <c r="J677" s="95">
        <v>5.4583884618031338</v>
      </c>
      <c r="K677" s="95">
        <v>29.598866510928655</v>
      </c>
      <c r="L677" s="95">
        <v>11.027815171144765</v>
      </c>
      <c r="M677" s="95">
        <v>2985.5073704824581</v>
      </c>
      <c r="N677" s="95">
        <v>4001.791227516725</v>
      </c>
      <c r="O677" s="95">
        <v>10000.000000000007</v>
      </c>
      <c r="Q677" s="98"/>
      <c r="R677" s="95"/>
      <c r="S677" s="99"/>
      <c r="U677" s="121"/>
      <c r="V677" s="59"/>
      <c r="W677" s="59"/>
      <c r="X677" s="59"/>
      <c r="Y677" s="59"/>
      <c r="Z677" s="59"/>
      <c r="AA677" s="59"/>
      <c r="AB677" s="59"/>
      <c r="AC677" s="59"/>
      <c r="AD677" s="68"/>
    </row>
    <row r="678" spans="1:30" x14ac:dyDescent="0.2">
      <c r="A678" s="95">
        <v>670</v>
      </c>
      <c r="B678" s="95">
        <v>55</v>
      </c>
      <c r="C678" s="95">
        <v>10</v>
      </c>
      <c r="D678" s="95"/>
      <c r="E678" s="95">
        <v>627.20489392160084</v>
      </c>
      <c r="F678" s="95">
        <v>1344.0104869748566</v>
      </c>
      <c r="G678" s="95">
        <v>851.20664175074262</v>
      </c>
      <c r="H678" s="95">
        <v>1.4582488746849829</v>
      </c>
      <c r="I678" s="95">
        <v>124.98566121574802</v>
      </c>
      <c r="J678" s="95">
        <v>5.3977938678845554</v>
      </c>
      <c r="K678" s="95">
        <v>29.308938000975136</v>
      </c>
      <c r="L678" s="95">
        <v>10.917460036168169</v>
      </c>
      <c r="M678" s="95">
        <v>2986.2588185514041</v>
      </c>
      <c r="N678" s="95">
        <v>4019.2510568059415</v>
      </c>
      <c r="O678" s="95">
        <v>10000.000000000007</v>
      </c>
      <c r="Q678" s="98"/>
      <c r="R678" s="95"/>
      <c r="S678" s="99"/>
      <c r="U678" s="121"/>
      <c r="V678" s="59"/>
      <c r="W678" s="59"/>
      <c r="X678" s="59"/>
      <c r="Y678" s="59"/>
      <c r="Z678" s="59"/>
      <c r="AA678" s="59"/>
      <c r="AB678" s="59"/>
      <c r="AC678" s="59"/>
      <c r="AD678" s="68"/>
    </row>
    <row r="679" spans="1:30" x14ac:dyDescent="0.2">
      <c r="A679" s="95">
        <v>671</v>
      </c>
      <c r="B679" s="95">
        <v>55</v>
      </c>
      <c r="C679" s="95">
        <v>11</v>
      </c>
      <c r="D679" s="95"/>
      <c r="E679" s="95">
        <v>623.56998660222314</v>
      </c>
      <c r="F679" s="95">
        <v>1336.2213998619045</v>
      </c>
      <c r="G679" s="95">
        <v>846.2735532458729</v>
      </c>
      <c r="H679" s="95">
        <v>1.4357013238886676</v>
      </c>
      <c r="I679" s="95">
        <v>123.72339490435492</v>
      </c>
      <c r="J679" s="95">
        <v>5.3372269226142315</v>
      </c>
      <c r="K679" s="95">
        <v>29.022480616783906</v>
      </c>
      <c r="L679" s="95">
        <v>10.808197383027222</v>
      </c>
      <c r="M679" s="95">
        <v>2987.0027147993633</v>
      </c>
      <c r="N679" s="95">
        <v>4036.6053443399737</v>
      </c>
      <c r="O679" s="95">
        <v>10000.000000000007</v>
      </c>
      <c r="Q679" s="98"/>
      <c r="R679" s="95"/>
      <c r="S679" s="99"/>
      <c r="U679" s="121"/>
      <c r="V679" s="59"/>
      <c r="W679" s="59"/>
      <c r="X679" s="59"/>
      <c r="Y679" s="59"/>
      <c r="Z679" s="59"/>
      <c r="AA679" s="59"/>
      <c r="AB679" s="59"/>
      <c r="AC679" s="59"/>
      <c r="AD679" s="68"/>
    </row>
    <row r="680" spans="1:30" x14ac:dyDescent="0.2">
      <c r="A680" s="95">
        <v>672</v>
      </c>
      <c r="B680" s="95">
        <v>56</v>
      </c>
      <c r="C680" s="95">
        <v>0</v>
      </c>
      <c r="D680" s="95"/>
      <c r="E680" s="95">
        <v>619.95614504835294</v>
      </c>
      <c r="F680" s="95">
        <v>1328.4774536750397</v>
      </c>
      <c r="G680" s="95">
        <v>841.36905399419186</v>
      </c>
      <c r="H680" s="95">
        <v>1.4135024049725051</v>
      </c>
      <c r="I680" s="95">
        <v>122.4738009892325</v>
      </c>
      <c r="J680" s="95">
        <v>5.2888587397597533</v>
      </c>
      <c r="K680" s="95">
        <v>28.727291923842262</v>
      </c>
      <c r="L680" s="95">
        <v>10.700016765553908</v>
      </c>
      <c r="M680" s="95">
        <v>2987.7391309169925</v>
      </c>
      <c r="N680" s="95">
        <v>4053.8547455420689</v>
      </c>
      <c r="O680" s="95">
        <v>10000.000000000007</v>
      </c>
      <c r="Q680" s="98"/>
      <c r="R680" s="95"/>
      <c r="S680" s="99"/>
      <c r="U680" s="121"/>
      <c r="V680" s="59"/>
      <c r="W680" s="59"/>
      <c r="X680" s="59"/>
      <c r="Y680" s="59"/>
      <c r="Z680" s="59"/>
      <c r="AA680" s="59"/>
      <c r="AB680" s="59"/>
      <c r="AC680" s="59"/>
      <c r="AD680" s="68"/>
    </row>
    <row r="681" spans="1:30" x14ac:dyDescent="0.2">
      <c r="A681" s="95">
        <v>673</v>
      </c>
      <c r="B681" s="95">
        <v>56</v>
      </c>
      <c r="C681" s="95">
        <v>1</v>
      </c>
      <c r="D681" s="95"/>
      <c r="E681" s="95">
        <v>616.36324717531579</v>
      </c>
      <c r="F681" s="95">
        <v>1320.7783868042457</v>
      </c>
      <c r="G681" s="95">
        <v>836.49297830935564</v>
      </c>
      <c r="H681" s="95">
        <v>1.3916467273648563</v>
      </c>
      <c r="I681" s="95">
        <v>121.23675342905103</v>
      </c>
      <c r="J681" s="95">
        <v>5.2401403205858763</v>
      </c>
      <c r="K681" s="95">
        <v>28.435818839617408</v>
      </c>
      <c r="L681" s="95">
        <v>10.592907843842264</v>
      </c>
      <c r="M681" s="95">
        <v>2988.4682089290759</v>
      </c>
      <c r="N681" s="95">
        <v>4070.9999116215527</v>
      </c>
      <c r="O681" s="95">
        <v>10000.000000000007</v>
      </c>
      <c r="Q681" s="98"/>
      <c r="R681" s="95"/>
      <c r="S681" s="99"/>
      <c r="U681" s="121"/>
      <c r="V681" s="59"/>
      <c r="W681" s="59"/>
      <c r="X681" s="59"/>
      <c r="Y681" s="59"/>
      <c r="Z681" s="59"/>
      <c r="AA681" s="59"/>
      <c r="AB681" s="59"/>
      <c r="AC681" s="59"/>
      <c r="AD681" s="68"/>
    </row>
    <row r="682" spans="1:30" x14ac:dyDescent="0.2">
      <c r="A682" s="95">
        <v>674</v>
      </c>
      <c r="B682" s="95">
        <v>56</v>
      </c>
      <c r="C682" s="95">
        <v>2</v>
      </c>
      <c r="D682" s="95"/>
      <c r="E682" s="95">
        <v>612.79117160596763</v>
      </c>
      <c r="F682" s="95">
        <v>1313.1239391556426</v>
      </c>
      <c r="G682" s="95">
        <v>831.64516146524034</v>
      </c>
      <c r="H682" s="95">
        <v>1.3701289838434949</v>
      </c>
      <c r="I682" s="95">
        <v>120.0121274175152</v>
      </c>
      <c r="J682" s="95">
        <v>5.191786480587159</v>
      </c>
      <c r="K682" s="95">
        <v>28.14731938302651</v>
      </c>
      <c r="L682" s="95">
        <v>10.48685998032987</v>
      </c>
      <c r="M682" s="95">
        <v>2989.1900163372179</v>
      </c>
      <c r="N682" s="95">
        <v>4088.0414891906366</v>
      </c>
      <c r="O682" s="95">
        <v>10000.000000000007</v>
      </c>
      <c r="Q682" s="98"/>
      <c r="R682" s="95"/>
      <c r="S682" s="99"/>
      <c r="U682" s="121"/>
      <c r="V682" s="59"/>
      <c r="W682" s="59"/>
      <c r="X682" s="59"/>
      <c r="Y682" s="59"/>
      <c r="Z682" s="59"/>
      <c r="AA682" s="59"/>
      <c r="AB682" s="59"/>
      <c r="AC682" s="59"/>
      <c r="AD682" s="68"/>
    </row>
    <row r="683" spans="1:30" x14ac:dyDescent="0.2">
      <c r="A683" s="95">
        <v>675</v>
      </c>
      <c r="B683" s="95">
        <v>56</v>
      </c>
      <c r="C683" s="95">
        <v>3</v>
      </c>
      <c r="D683" s="95"/>
      <c r="E683" s="95">
        <v>609.23979766659431</v>
      </c>
      <c r="F683" s="95">
        <v>1305.5138521426998</v>
      </c>
      <c r="G683" s="95">
        <v>826.82543969037658</v>
      </c>
      <c r="H683" s="95">
        <v>1.3489439492468531</v>
      </c>
      <c r="I683" s="95">
        <v>118.79979937155755</v>
      </c>
      <c r="J683" s="95">
        <v>5.1437969132567378</v>
      </c>
      <c r="K683" s="95">
        <v>27.861762684530099</v>
      </c>
      <c r="L683" s="95">
        <v>10.381862678077557</v>
      </c>
      <c r="M683" s="95">
        <v>2989.904624180715</v>
      </c>
      <c r="N683" s="95">
        <v>4104.980120722953</v>
      </c>
      <c r="O683" s="95">
        <v>10000.000000000007</v>
      </c>
      <c r="Q683" s="98"/>
      <c r="R683" s="95"/>
      <c r="S683" s="99"/>
      <c r="U683" s="121"/>
      <c r="V683" s="59"/>
      <c r="W683" s="59"/>
      <c r="X683" s="59"/>
      <c r="Y683" s="59"/>
      <c r="Z683" s="59"/>
      <c r="AA683" s="59"/>
      <c r="AB683" s="59"/>
      <c r="AC683" s="59"/>
      <c r="AD683" s="68"/>
    </row>
    <row r="684" spans="1:30" x14ac:dyDescent="0.2">
      <c r="A684" s="95">
        <v>676</v>
      </c>
      <c r="B684" s="95">
        <v>56</v>
      </c>
      <c r="C684" s="95">
        <v>4</v>
      </c>
      <c r="D684" s="95"/>
      <c r="E684" s="95">
        <v>605.70900538283502</v>
      </c>
      <c r="F684" s="95">
        <v>1297.9478686775012</v>
      </c>
      <c r="G684" s="95">
        <v>822.03365016241753</v>
      </c>
      <c r="H684" s="95">
        <v>1.3280864792051936</v>
      </c>
      <c r="I684" s="95">
        <v>117.59964691964007</v>
      </c>
      <c r="J684" s="95">
        <v>5.0961712261450849</v>
      </c>
      <c r="K684" s="95">
        <v>27.579118208992909</v>
      </c>
      <c r="L684" s="95">
        <v>10.27790555365176</v>
      </c>
      <c r="M684" s="95">
        <v>2990.6121028325833</v>
      </c>
      <c r="N684" s="95">
        <v>4121.8164445570355</v>
      </c>
      <c r="O684" s="95">
        <v>10000.000000000007</v>
      </c>
      <c r="Q684" s="98"/>
      <c r="R684" s="95"/>
      <c r="S684" s="99"/>
      <c r="U684" s="121"/>
      <c r="V684" s="59"/>
      <c r="W684" s="59"/>
      <c r="X684" s="59"/>
      <c r="Y684" s="59"/>
      <c r="Z684" s="59"/>
      <c r="AA684" s="59"/>
      <c r="AB684" s="59"/>
      <c r="AC684" s="59"/>
      <c r="AD684" s="68"/>
    </row>
    <row r="685" spans="1:30" x14ac:dyDescent="0.2">
      <c r="A685" s="95">
        <v>677</v>
      </c>
      <c r="B685" s="95">
        <v>56</v>
      </c>
      <c r="C685" s="95">
        <v>5</v>
      </c>
      <c r="D685" s="95"/>
      <c r="E685" s="95">
        <v>602.19867547562887</v>
      </c>
      <c r="F685" s="95">
        <v>1290.4257331620595</v>
      </c>
      <c r="G685" s="95">
        <v>817.26963100263777</v>
      </c>
      <c r="H685" s="95">
        <v>1.3075515088914003</v>
      </c>
      <c r="I685" s="95">
        <v>116.4115488901629</v>
      </c>
      <c r="J685" s="95">
        <v>5.0489089440800727</v>
      </c>
      <c r="K685" s="95">
        <v>27.299355751735767</v>
      </c>
      <c r="L685" s="95">
        <v>10.174978335249204</v>
      </c>
      <c r="M685" s="95">
        <v>2991.3125220054144</v>
      </c>
      <c r="N685" s="95">
        <v>4138.5510949241479</v>
      </c>
      <c r="O685" s="95">
        <v>10000.000000000007</v>
      </c>
      <c r="Q685" s="98"/>
      <c r="R685" s="95"/>
      <c r="S685" s="99"/>
      <c r="U685" s="121"/>
      <c r="V685" s="59"/>
      <c r="W685" s="59"/>
      <c r="X685" s="59"/>
      <c r="Y685" s="59"/>
      <c r="Z685" s="59"/>
      <c r="AA685" s="59"/>
      <c r="AB685" s="59"/>
      <c r="AC685" s="59"/>
      <c r="AD685" s="68"/>
    </row>
    <row r="686" spans="1:30" x14ac:dyDescent="0.2">
      <c r="A686" s="95">
        <v>678</v>
      </c>
      <c r="B686" s="95">
        <v>56</v>
      </c>
      <c r="C686" s="95">
        <v>6</v>
      </c>
      <c r="D686" s="95"/>
      <c r="E686" s="95">
        <v>598.7086893571859</v>
      </c>
      <c r="F686" s="95">
        <v>1282.9471914796816</v>
      </c>
      <c r="G686" s="95">
        <v>812.53322127046511</v>
      </c>
      <c r="H686" s="95">
        <v>1.2873340517910843</v>
      </c>
      <c r="I686" s="95">
        <v>115.2353852999795</v>
      </c>
      <c r="J686" s="95">
        <v>5.0020095122922292</v>
      </c>
      <c r="K686" s="95">
        <v>27.022445434640961</v>
      </c>
      <c r="L686" s="95">
        <v>10.073070860881533</v>
      </c>
      <c r="M686" s="95">
        <v>2992.0059507571787</v>
      </c>
      <c r="N686" s="95">
        <v>4155.1847019759107</v>
      </c>
      <c r="O686" s="95">
        <v>10000.000000000007</v>
      </c>
      <c r="Q686" s="98"/>
      <c r="R686" s="95"/>
      <c r="S686" s="99"/>
      <c r="U686" s="121"/>
      <c r="V686" s="59"/>
      <c r="W686" s="59"/>
      <c r="X686" s="59"/>
      <c r="Y686" s="59"/>
      <c r="Z686" s="59"/>
      <c r="AA686" s="59"/>
      <c r="AB686" s="59"/>
      <c r="AC686" s="59"/>
      <c r="AD686" s="68"/>
    </row>
    <row r="687" spans="1:30" x14ac:dyDescent="0.2">
      <c r="A687" s="95">
        <v>679</v>
      </c>
      <c r="B687" s="95">
        <v>56</v>
      </c>
      <c r="C687" s="95">
        <v>7</v>
      </c>
      <c r="D687" s="95"/>
      <c r="E687" s="95">
        <v>595.23892912698034</v>
      </c>
      <c r="F687" s="95">
        <v>1275.511990986384</v>
      </c>
      <c r="G687" s="95">
        <v>807.82426095804328</v>
      </c>
      <c r="H687" s="95">
        <v>1.2674291984917074</v>
      </c>
      <c r="I687" s="95">
        <v>114.07103734301695</v>
      </c>
      <c r="J687" s="95">
        <v>4.9554722994478002</v>
      </c>
      <c r="K687" s="95">
        <v>26.748357702310244</v>
      </c>
      <c r="L687" s="95">
        <v>9.9721730766172954</v>
      </c>
      <c r="M687" s="95">
        <v>2992.6924574969717</v>
      </c>
      <c r="N687" s="95">
        <v>4171.7178918117443</v>
      </c>
      <c r="O687" s="95">
        <v>10000.000000000007</v>
      </c>
      <c r="Q687" s="98"/>
      <c r="R687" s="95"/>
      <c r="S687" s="99"/>
      <c r="U687" s="121"/>
      <c r="V687" s="59"/>
      <c r="W687" s="59"/>
      <c r="X687" s="59"/>
      <c r="Y687" s="59"/>
      <c r="Z687" s="59"/>
      <c r="AA687" s="59"/>
      <c r="AB687" s="59"/>
      <c r="AC687" s="59"/>
      <c r="AD687" s="68"/>
    </row>
    <row r="688" spans="1:30" x14ac:dyDescent="0.2">
      <c r="A688" s="95">
        <v>680</v>
      </c>
      <c r="B688" s="95">
        <v>56</v>
      </c>
      <c r="C688" s="95">
        <v>8</v>
      </c>
      <c r="D688" s="95"/>
      <c r="E688" s="95">
        <v>591.78927756776807</v>
      </c>
      <c r="F688" s="95">
        <v>1268.1198805023578</v>
      </c>
      <c r="G688" s="95">
        <v>803.14259098482671</v>
      </c>
      <c r="H688" s="95">
        <v>1.2478321154904273</v>
      </c>
      <c r="I688" s="95">
        <v>112.91838737900106</v>
      </c>
      <c r="J688" s="95">
        <v>4.9092966005921621</v>
      </c>
      <c r="K688" s="95">
        <v>26.477063318274652</v>
      </c>
      <c r="L688" s="95">
        <v>9.8722750348788217</v>
      </c>
      <c r="M688" s="95">
        <v>2993.3721099907111</v>
      </c>
      <c r="N688" s="95">
        <v>4188.1512865061068</v>
      </c>
      <c r="O688" s="95">
        <v>10000.000000000007</v>
      </c>
      <c r="Q688" s="98"/>
      <c r="R688" s="95"/>
      <c r="S688" s="99"/>
      <c r="U688" s="121"/>
      <c r="V688" s="59"/>
      <c r="W688" s="59"/>
      <c r="X688" s="59"/>
      <c r="Y688" s="59"/>
      <c r="Z688" s="59"/>
      <c r="AA688" s="59"/>
      <c r="AB688" s="59"/>
      <c r="AC688" s="59"/>
      <c r="AD688" s="68"/>
    </row>
    <row r="689" spans="1:30" x14ac:dyDescent="0.2">
      <c r="A689" s="95">
        <v>681</v>
      </c>
      <c r="B689" s="95">
        <v>56</v>
      </c>
      <c r="C689" s="95">
        <v>9</v>
      </c>
      <c r="D689" s="95"/>
      <c r="E689" s="95">
        <v>588.35961814162658</v>
      </c>
      <c r="F689" s="95">
        <v>1260.7706103034832</v>
      </c>
      <c r="G689" s="95">
        <v>798.48805319220605</v>
      </c>
      <c r="H689" s="95">
        <v>1.2285380440203759</v>
      </c>
      <c r="I689" s="95">
        <v>111.77731892228482</v>
      </c>
      <c r="J689" s="95">
        <v>4.8634816400060501</v>
      </c>
      <c r="K689" s="95">
        <v>26.208533361255277</v>
      </c>
      <c r="L689" s="95">
        <v>9.7733668927916177</v>
      </c>
      <c r="M689" s="95">
        <v>2994.0449753667817</v>
      </c>
      <c r="N689" s="95">
        <v>4204.4855041355513</v>
      </c>
      <c r="O689" s="95">
        <v>10000.000000000007</v>
      </c>
      <c r="Q689" s="98"/>
      <c r="R689" s="95"/>
      <c r="S689" s="99"/>
      <c r="U689" s="121"/>
      <c r="V689" s="59"/>
      <c r="W689" s="59"/>
      <c r="X689" s="59"/>
      <c r="Y689" s="59"/>
      <c r="Z689" s="59"/>
      <c r="AA689" s="59"/>
      <c r="AB689" s="59"/>
      <c r="AC689" s="59"/>
      <c r="AD689" s="68"/>
    </row>
    <row r="690" spans="1:30" x14ac:dyDescent="0.2">
      <c r="A690" s="95">
        <v>682</v>
      </c>
      <c r="B690" s="95">
        <v>56</v>
      </c>
      <c r="C690" s="95">
        <v>10</v>
      </c>
      <c r="D690" s="95"/>
      <c r="E690" s="95">
        <v>584.94983498601778</v>
      </c>
      <c r="F690" s="95">
        <v>1253.463932112893</v>
      </c>
      <c r="G690" s="95">
        <v>793.86049033816562</v>
      </c>
      <c r="H690" s="95">
        <v>1.209542298895087</v>
      </c>
      <c r="I690" s="95">
        <v>110.64771663077975</v>
      </c>
      <c r="J690" s="95">
        <v>4.8180265739770105</v>
      </c>
      <c r="K690" s="95">
        <v>25.942739221474227</v>
      </c>
      <c r="L690" s="95">
        <v>9.6754389105840222</v>
      </c>
      <c r="M690" s="95">
        <v>2994.7111201216285</v>
      </c>
      <c r="N690" s="95">
        <v>4220.7211588055925</v>
      </c>
      <c r="O690" s="95">
        <v>10000.000000000007</v>
      </c>
      <c r="Q690" s="98"/>
      <c r="R690" s="95"/>
      <c r="S690" s="99"/>
      <c r="U690" s="121"/>
      <c r="V690" s="59"/>
      <c r="W690" s="59"/>
      <c r="X690" s="59"/>
      <c r="Y690" s="59"/>
      <c r="Z690" s="59"/>
      <c r="AA690" s="59"/>
      <c r="AB690" s="59"/>
      <c r="AC690" s="59"/>
      <c r="AD690" s="68"/>
    </row>
    <row r="691" spans="1:30" x14ac:dyDescent="0.2">
      <c r="A691" s="95">
        <v>683</v>
      </c>
      <c r="B691" s="95">
        <v>56</v>
      </c>
      <c r="C691" s="95">
        <v>11</v>
      </c>
      <c r="D691" s="95"/>
      <c r="E691" s="95">
        <v>581.55981290987427</v>
      </c>
      <c r="F691" s="95">
        <v>1246.1995990925855</v>
      </c>
      <c r="G691" s="95">
        <v>789.2597460919709</v>
      </c>
      <c r="H691" s="95">
        <v>1.1908402673707901</v>
      </c>
      <c r="I691" s="95">
        <v>109.52946629498913</v>
      </c>
      <c r="J691" s="95">
        <v>4.7729304934884125</v>
      </c>
      <c r="K691" s="95">
        <v>25.679652597014957</v>
      </c>
      <c r="L691" s="95">
        <v>9.5784814500349658</v>
      </c>
      <c r="M691" s="95">
        <v>2995.3706101253024</v>
      </c>
      <c r="N691" s="95">
        <v>4236.8588606773756</v>
      </c>
      <c r="O691" s="95">
        <v>10000.000000000007</v>
      </c>
      <c r="Q691" s="98"/>
      <c r="R691" s="95"/>
      <c r="S691" s="99"/>
      <c r="U691" s="121"/>
      <c r="V691" s="59"/>
      <c r="W691" s="59"/>
      <c r="X691" s="59"/>
      <c r="Y691" s="59"/>
      <c r="Z691" s="59"/>
      <c r="AA691" s="59"/>
      <c r="AB691" s="59"/>
      <c r="AC691" s="59"/>
      <c r="AD691" s="68"/>
    </row>
    <row r="692" spans="1:30" x14ac:dyDescent="0.2">
      <c r="A692" s="95">
        <v>684</v>
      </c>
      <c r="B692" s="95">
        <v>57</v>
      </c>
      <c r="C692" s="95">
        <v>0</v>
      </c>
      <c r="D692" s="95"/>
      <c r="E692" s="95">
        <v>578.18943738970768</v>
      </c>
      <c r="F692" s="95">
        <v>1238.9773658350857</v>
      </c>
      <c r="G692" s="95">
        <v>784.68566502888768</v>
      </c>
      <c r="H692" s="95">
        <v>1.1724274080262964</v>
      </c>
      <c r="I692" s="95">
        <v>108.42245482714208</v>
      </c>
      <c r="J692" s="95">
        <v>4.7281924268283015</v>
      </c>
      <c r="K692" s="95">
        <v>25.419245490231212</v>
      </c>
      <c r="L692" s="95">
        <v>9.4824849729677911</v>
      </c>
      <c r="M692" s="95">
        <v>2996.0235106269561</v>
      </c>
      <c r="N692" s="95">
        <v>4252.8992159941736</v>
      </c>
      <c r="O692" s="95">
        <v>10000.000000000007</v>
      </c>
      <c r="Q692" s="98"/>
      <c r="R692" s="95"/>
      <c r="S692" s="99"/>
      <c r="U692" s="121"/>
      <c r="V692" s="59"/>
      <c r="W692" s="59"/>
      <c r="X692" s="59"/>
      <c r="Y692" s="59"/>
      <c r="Z692" s="59"/>
      <c r="AA692" s="59"/>
      <c r="AB692" s="59"/>
      <c r="AC692" s="59"/>
      <c r="AD692" s="68"/>
    </row>
    <row r="693" spans="1:30" x14ac:dyDescent="0.2">
      <c r="A693" s="95">
        <v>685</v>
      </c>
      <c r="B693" s="95">
        <v>57</v>
      </c>
      <c r="C693" s="95">
        <v>1</v>
      </c>
      <c r="D693" s="95"/>
      <c r="E693" s="95">
        <v>574.83859456573987</v>
      </c>
      <c r="F693" s="95">
        <v>1231.7969883551546</v>
      </c>
      <c r="G693" s="95">
        <v>780.13809262493135</v>
      </c>
      <c r="H693" s="95">
        <v>1.154299249660204</v>
      </c>
      <c r="I693" s="95">
        <v>107.32657025042791</v>
      </c>
      <c r="J693" s="95">
        <v>4.6838113421203111</v>
      </c>
      <c r="K693" s="95">
        <v>25.16149020420379</v>
      </c>
      <c r="L693" s="95">
        <v>9.3874400397881406</v>
      </c>
      <c r="M693" s="95">
        <v>2996.6698862602934</v>
      </c>
      <c r="N693" s="95">
        <v>4268.8428271076873</v>
      </c>
      <c r="O693" s="95">
        <v>10000.000000000007</v>
      </c>
      <c r="Q693" s="98"/>
      <c r="R693" s="95"/>
      <c r="S693" s="99"/>
      <c r="U693" s="121"/>
      <c r="V693" s="59"/>
      <c r="W693" s="59"/>
      <c r="X693" s="59"/>
      <c r="Y693" s="59"/>
      <c r="Z693" s="59"/>
      <c r="AA693" s="59"/>
      <c r="AB693" s="59"/>
      <c r="AC693" s="59"/>
      <c r="AD693" s="68"/>
    </row>
    <row r="694" spans="1:30" x14ac:dyDescent="0.2">
      <c r="A694" s="95">
        <v>686</v>
      </c>
      <c r="B694" s="95">
        <v>57</v>
      </c>
      <c r="C694" s="95">
        <v>2</v>
      </c>
      <c r="D694" s="95"/>
      <c r="E694" s="95">
        <v>571.50717123805623</v>
      </c>
      <c r="F694" s="95">
        <v>1224.6582240815467</v>
      </c>
      <c r="G694" s="95">
        <v>775.61687525164632</v>
      </c>
      <c r="H694" s="95">
        <v>1.1364513902051541</v>
      </c>
      <c r="I694" s="95">
        <v>106.2417016883297</v>
      </c>
      <c r="J694" s="95">
        <v>4.6397861497787778</v>
      </c>
      <c r="K694" s="95">
        <v>24.906359339244414</v>
      </c>
      <c r="L694" s="95">
        <v>9.2933373080640536</v>
      </c>
      <c r="M694" s="95">
        <v>2997.3098010489707</v>
      </c>
      <c r="N694" s="95">
        <v>4284.690292504165</v>
      </c>
      <c r="O694" s="95">
        <v>10000.000000000007</v>
      </c>
      <c r="Q694" s="98"/>
      <c r="R694" s="95"/>
      <c r="S694" s="99"/>
      <c r="U694" s="121"/>
      <c r="V694" s="59"/>
      <c r="W694" s="59"/>
      <c r="X694" s="59"/>
      <c r="Y694" s="59"/>
      <c r="Z694" s="59"/>
      <c r="AA694" s="59"/>
      <c r="AB694" s="59"/>
      <c r="AC694" s="59"/>
      <c r="AD694" s="68"/>
    </row>
    <row r="695" spans="1:30" x14ac:dyDescent="0.2">
      <c r="A695" s="95">
        <v>687</v>
      </c>
      <c r="B695" s="95">
        <v>57</v>
      </c>
      <c r="C695" s="95">
        <v>3</v>
      </c>
      <c r="D695" s="95"/>
      <c r="E695" s="95">
        <v>568.19505486278172</v>
      </c>
      <c r="F695" s="95">
        <v>1217.5608318488155</v>
      </c>
      <c r="G695" s="95">
        <v>771.12186017091665</v>
      </c>
      <c r="H695" s="95">
        <v>1.1188794956588755</v>
      </c>
      <c r="I695" s="95">
        <v>105.16773935405632</v>
      </c>
      <c r="J695" s="95">
        <v>4.5961157048901713</v>
      </c>
      <c r="K695" s="95">
        <v>24.653825789445943</v>
      </c>
      <c r="L695" s="95">
        <v>9.2001675311464783</v>
      </c>
      <c r="M695" s="95">
        <v>2997.9433184119539</v>
      </c>
      <c r="N695" s="95">
        <v>4300.4422068303411</v>
      </c>
      <c r="O695" s="95">
        <v>10000.000000000007</v>
      </c>
      <c r="Q695" s="98"/>
      <c r="R695" s="95"/>
      <c r="S695" s="99"/>
      <c r="U695" s="121"/>
      <c r="V695" s="59"/>
      <c r="W695" s="59"/>
      <c r="X695" s="59"/>
      <c r="Y695" s="59"/>
      <c r="Z695" s="59"/>
      <c r="AA695" s="59"/>
      <c r="AB695" s="59"/>
      <c r="AC695" s="59"/>
      <c r="AD695" s="68"/>
    </row>
    <row r="696" spans="1:30" x14ac:dyDescent="0.2">
      <c r="A696" s="95">
        <v>688</v>
      </c>
      <c r="B696" s="95">
        <v>57</v>
      </c>
      <c r="C696" s="95">
        <v>4</v>
      </c>
      <c r="D696" s="95"/>
      <c r="E696" s="95">
        <v>564.90213354827893</v>
      </c>
      <c r="F696" s="95">
        <v>1210.5045718891665</v>
      </c>
      <c r="G696" s="95">
        <v>766.65289552980562</v>
      </c>
      <c r="H696" s="95">
        <v>1.1015792990317572</v>
      </c>
      <c r="I696" s="95">
        <v>104.10457454007205</v>
      </c>
      <c r="J696" s="95">
        <v>4.5527988095228711</v>
      </c>
      <c r="K696" s="95">
        <v>24.403862739278217</v>
      </c>
      <c r="L696" s="95">
        <v>9.1079215568284724</v>
      </c>
      <c r="M696" s="95">
        <v>2998.5705011688297</v>
      </c>
      <c r="N696" s="95">
        <v>4316.0991609191924</v>
      </c>
      <c r="O696" s="95">
        <v>10000.000000000007</v>
      </c>
      <c r="Q696" s="98"/>
      <c r="R696" s="95"/>
      <c r="S696" s="99"/>
      <c r="U696" s="121"/>
      <c r="V696" s="59"/>
      <c r="W696" s="59"/>
      <c r="X696" s="59"/>
      <c r="Y696" s="59"/>
      <c r="Z696" s="59"/>
      <c r="AA696" s="59"/>
      <c r="AB696" s="59"/>
      <c r="AC696" s="59"/>
      <c r="AD696" s="68"/>
    </row>
    <row r="697" spans="1:30" x14ac:dyDescent="0.2">
      <c r="A697" s="95">
        <v>689</v>
      </c>
      <c r="B697" s="95">
        <v>57</v>
      </c>
      <c r="C697" s="95">
        <v>5</v>
      </c>
      <c r="D697" s="95"/>
      <c r="E697" s="95">
        <v>561.62829605136778</v>
      </c>
      <c r="F697" s="95">
        <v>1203.489205824357</v>
      </c>
      <c r="G697" s="95">
        <v>762.20983035542622</v>
      </c>
      <c r="H697" s="95">
        <v>1.0845465993106937</v>
      </c>
      <c r="I697" s="95">
        <v>103.05209960772288</v>
      </c>
      <c r="J697" s="95">
        <v>4.509834214967281</v>
      </c>
      <c r="K697" s="95">
        <v>24.15644366022882</v>
      </c>
      <c r="L697" s="95">
        <v>9.0165903260414755</v>
      </c>
      <c r="M697" s="95">
        <v>2999.1914115450713</v>
      </c>
      <c r="N697" s="95">
        <v>4331.6617418155129</v>
      </c>
      <c r="O697" s="95">
        <v>10000.000000000005</v>
      </c>
      <c r="Q697" s="98"/>
      <c r="R697" s="95"/>
      <c r="S697" s="99"/>
      <c r="U697" s="121"/>
      <c r="V697" s="59"/>
      <c r="W697" s="59"/>
      <c r="X697" s="59"/>
      <c r="Y697" s="59"/>
      <c r="Z697" s="59"/>
      <c r="AA697" s="59"/>
      <c r="AB697" s="59"/>
      <c r="AC697" s="59"/>
      <c r="AD697" s="68"/>
    </row>
    <row r="698" spans="1:30" x14ac:dyDescent="0.2">
      <c r="A698" s="95">
        <v>690</v>
      </c>
      <c r="B698" s="95">
        <v>57</v>
      </c>
      <c r="C698" s="95">
        <v>6</v>
      </c>
      <c r="D698" s="95"/>
      <c r="E698" s="95">
        <v>558.37343177356786</v>
      </c>
      <c r="F698" s="95">
        <v>1196.5144966576429</v>
      </c>
      <c r="G698" s="95">
        <v>757.79251454984058</v>
      </c>
      <c r="H698" s="95">
        <v>1.0677772604389517</v>
      </c>
      <c r="I698" s="95">
        <v>102.01020797695882</v>
      </c>
      <c r="J698" s="95">
        <v>4.4672206239082062</v>
      </c>
      <c r="K698" s="95">
        <v>23.91154230748807</v>
      </c>
      <c r="L698" s="95">
        <v>8.9261648715870816</v>
      </c>
      <c r="M698" s="95">
        <v>2999.8061111772622</v>
      </c>
      <c r="N698" s="95">
        <v>4347.1305328013123</v>
      </c>
      <c r="O698" s="95">
        <v>10000.000000000007</v>
      </c>
      <c r="Q698" s="98"/>
      <c r="R698" s="95"/>
      <c r="S698" s="99"/>
      <c r="U698" s="121"/>
      <c r="V698" s="59"/>
      <c r="W698" s="59"/>
      <c r="X698" s="59"/>
      <c r="Y698" s="59"/>
      <c r="Z698" s="59"/>
      <c r="AA698" s="59"/>
      <c r="AB698" s="59"/>
      <c r="AC698" s="59"/>
      <c r="AD698" s="68"/>
    </row>
    <row r="699" spans="1:30" x14ac:dyDescent="0.2">
      <c r="A699" s="95">
        <v>691</v>
      </c>
      <c r="B699" s="95">
        <v>57</v>
      </c>
      <c r="C699" s="95">
        <v>7</v>
      </c>
      <c r="D699" s="95"/>
      <c r="E699" s="95">
        <v>555.1374307573617</v>
      </c>
      <c r="F699" s="95">
        <v>1189.5802087657726</v>
      </c>
      <c r="G699" s="95">
        <v>753.4007988849894</v>
      </c>
      <c r="H699" s="95">
        <v>1.0512672103118095</v>
      </c>
      <c r="I699" s="95">
        <v>100.97879411615131</v>
      </c>
      <c r="J699" s="95">
        <v>4.4249566925313859</v>
      </c>
      <c r="K699" s="95">
        <v>23.669132716677545</v>
      </c>
      <c r="L699" s="95">
        <v>8.8366363169028226</v>
      </c>
      <c r="M699" s="95">
        <v>3000.4146611182755</v>
      </c>
      <c r="N699" s="95">
        <v>4362.5061134210328</v>
      </c>
      <c r="O699" s="95">
        <v>10000.000000000007</v>
      </c>
      <c r="Q699" s="98"/>
      <c r="R699" s="95"/>
      <c r="S699" s="99"/>
      <c r="U699" s="121"/>
      <c r="V699" s="59"/>
      <c r="W699" s="59"/>
      <c r="X699" s="59"/>
      <c r="Y699" s="59"/>
      <c r="Z699" s="59"/>
      <c r="AA699" s="59"/>
      <c r="AB699" s="59"/>
      <c r="AC699" s="59"/>
      <c r="AD699" s="68"/>
    </row>
    <row r="700" spans="1:30" x14ac:dyDescent="0.2">
      <c r="A700" s="95">
        <v>692</v>
      </c>
      <c r="B700" s="95">
        <v>57</v>
      </c>
      <c r="C700" s="95">
        <v>8</v>
      </c>
      <c r="D700" s="95"/>
      <c r="E700" s="95">
        <v>551.92018368248046</v>
      </c>
      <c r="F700" s="95">
        <v>1182.6861078910272</v>
      </c>
      <c r="G700" s="95">
        <v>749.03453499765055</v>
      </c>
      <c r="H700" s="95">
        <v>1.0350124397877267</v>
      </c>
      <c r="I700" s="95">
        <v>99.957753532004745</v>
      </c>
      <c r="J700" s="95">
        <v>4.3830410325659992</v>
      </c>
      <c r="K700" s="95">
        <v>23.429189200621476</v>
      </c>
      <c r="L700" s="95">
        <v>8.7479958748605391</v>
      </c>
      <c r="M700" s="95">
        <v>3001.0171218424111</v>
      </c>
      <c r="N700" s="95">
        <v>4377.7890595065974</v>
      </c>
      <c r="O700" s="95">
        <v>10000.000000000007</v>
      </c>
      <c r="Q700" s="98"/>
      <c r="R700" s="95"/>
      <c r="S700" s="99"/>
      <c r="U700" s="121"/>
      <c r="V700" s="59"/>
      <c r="W700" s="59"/>
      <c r="X700" s="59"/>
      <c r="Y700" s="59"/>
      <c r="Z700" s="59"/>
      <c r="AA700" s="59"/>
      <c r="AB700" s="59"/>
      <c r="AC700" s="59"/>
      <c r="AD700" s="68"/>
    </row>
    <row r="701" spans="1:30" x14ac:dyDescent="0.2">
      <c r="A701" s="95">
        <v>693</v>
      </c>
      <c r="B701" s="95">
        <v>57</v>
      </c>
      <c r="C701" s="95">
        <v>9</v>
      </c>
      <c r="D701" s="95"/>
      <c r="E701" s="95">
        <v>548.72158186221066</v>
      </c>
      <c r="F701" s="95">
        <v>1175.8319611333063</v>
      </c>
      <c r="G701" s="95">
        <v>744.69357538442728</v>
      </c>
      <c r="H701" s="95">
        <v>1.0190090017148028</v>
      </c>
      <c r="I701" s="95">
        <v>98.946982759561735</v>
      </c>
      <c r="J701" s="95">
        <v>4.3414722132649306</v>
      </c>
      <c r="K701" s="95">
        <v>23.191686346160338</v>
      </c>
      <c r="L701" s="95">
        <v>8.6602348465959853</v>
      </c>
      <c r="M701" s="95">
        <v>3001.6135532504913</v>
      </c>
      <c r="N701" s="95">
        <v>4392.9799432022737</v>
      </c>
      <c r="O701" s="95">
        <v>10000.000000000007</v>
      </c>
      <c r="Q701" s="98"/>
      <c r="R701" s="95"/>
      <c r="S701" s="99"/>
      <c r="U701" s="121"/>
      <c r="V701" s="59"/>
      <c r="W701" s="59"/>
      <c r="X701" s="59"/>
      <c r="Y701" s="59"/>
      <c r="Z701" s="59"/>
      <c r="AA701" s="59"/>
      <c r="AB701" s="59"/>
      <c r="AC701" s="59"/>
      <c r="AD701" s="68"/>
    </row>
    <row r="702" spans="1:30" x14ac:dyDescent="0.2">
      <c r="A702" s="95">
        <v>694</v>
      </c>
      <c r="B702" s="95">
        <v>57</v>
      </c>
      <c r="C702" s="95">
        <v>10</v>
      </c>
      <c r="D702" s="95"/>
      <c r="E702" s="95">
        <v>545.54151723972257</v>
      </c>
      <c r="F702" s="95">
        <v>1169.0175369422604</v>
      </c>
      <c r="G702" s="95">
        <v>740.37777339676495</v>
      </c>
      <c r="H702" s="95">
        <v>1.0032530099722887</v>
      </c>
      <c r="I702" s="95">
        <v>97.946379352300781</v>
      </c>
      <c r="J702" s="95">
        <v>4.3002487633245243</v>
      </c>
      <c r="K702" s="95">
        <v>22.956599011006013</v>
      </c>
      <c r="L702" s="95">
        <v>8.5733446203683705</v>
      </c>
      <c r="M702" s="95">
        <v>3002.2040146749146</v>
      </c>
      <c r="N702" s="95">
        <v>4408.0793329893722</v>
      </c>
      <c r="O702" s="95">
        <v>10000.000000000007</v>
      </c>
      <c r="Q702" s="98"/>
      <c r="R702" s="95"/>
      <c r="S702" s="99"/>
      <c r="U702" s="121"/>
      <c r="V702" s="59"/>
      <c r="W702" s="59"/>
      <c r="X702" s="59"/>
      <c r="Y702" s="59"/>
      <c r="Z702" s="59"/>
      <c r="AA702" s="59"/>
      <c r="AB702" s="59"/>
      <c r="AC702" s="59"/>
      <c r="AD702" s="68"/>
    </row>
    <row r="703" spans="1:30" x14ac:dyDescent="0.2">
      <c r="A703" s="95">
        <v>695</v>
      </c>
      <c r="B703" s="95">
        <v>57</v>
      </c>
      <c r="C703" s="95">
        <v>11</v>
      </c>
      <c r="D703" s="95"/>
      <c r="E703" s="95">
        <v>542.37988238441972</v>
      </c>
      <c r="F703" s="95">
        <v>1162.2426051094685</v>
      </c>
      <c r="G703" s="95">
        <v>736.08698323599674</v>
      </c>
      <c r="H703" s="95">
        <v>0.98774063852691851</v>
      </c>
      <c r="I703" s="95">
        <v>96.955841872325905</v>
      </c>
      <c r="J703" s="95">
        <v>4.259369172745517</v>
      </c>
      <c r="K703" s="95">
        <v>22.723902320637862</v>
      </c>
      <c r="L703" s="95">
        <v>8.4873166704485907</v>
      </c>
      <c r="M703" s="95">
        <v>3002.7885648846691</v>
      </c>
      <c r="N703" s="95">
        <v>4423.087793710768</v>
      </c>
      <c r="O703" s="95">
        <v>10000.000000000007</v>
      </c>
      <c r="Q703" s="98"/>
      <c r="R703" s="95"/>
      <c r="S703" s="99"/>
      <c r="U703" s="121"/>
      <c r="V703" s="59"/>
      <c r="W703" s="59"/>
      <c r="X703" s="59"/>
      <c r="Y703" s="59"/>
      <c r="Z703" s="59"/>
      <c r="AA703" s="59"/>
      <c r="AB703" s="59"/>
      <c r="AC703" s="59"/>
      <c r="AD703" s="68"/>
    </row>
    <row r="704" spans="1:30" x14ac:dyDescent="0.2">
      <c r="A704" s="95">
        <v>696</v>
      </c>
      <c r="B704" s="95">
        <v>58</v>
      </c>
      <c r="C704" s="95">
        <v>0</v>
      </c>
      <c r="D704" s="95"/>
      <c r="E704" s="95">
        <v>539.23657048830944</v>
      </c>
      <c r="F704" s="95">
        <v>1155.5069367606609</v>
      </c>
      <c r="G704" s="95">
        <v>731.82105994841856</v>
      </c>
      <c r="H704" s="95">
        <v>0.97246812050383291</v>
      </c>
      <c r="I704" s="95">
        <v>95.975269880647389</v>
      </c>
      <c r="J704" s="95">
        <v>4.2188318946367787</v>
      </c>
      <c r="K704" s="95">
        <v>22.493571665239092</v>
      </c>
      <c r="L704" s="95">
        <v>8.4021425560349741</v>
      </c>
      <c r="M704" s="95">
        <v>3003.3672620903053</v>
      </c>
      <c r="N704" s="95">
        <v>4438.0058865952515</v>
      </c>
      <c r="O704" s="95">
        <v>10000.000000000007</v>
      </c>
      <c r="Q704" s="98"/>
      <c r="R704" s="95"/>
      <c r="S704" s="99"/>
      <c r="U704" s="121"/>
      <c r="V704" s="59"/>
      <c r="W704" s="59"/>
      <c r="X704" s="59"/>
      <c r="Y704" s="59"/>
      <c r="Z704" s="59"/>
      <c r="AA704" s="59"/>
      <c r="AB704" s="59"/>
      <c r="AC704" s="59"/>
      <c r="AD704" s="68"/>
    </row>
    <row r="705" spans="1:30" x14ac:dyDescent="0.2">
      <c r="A705" s="95">
        <v>697</v>
      </c>
      <c r="B705" s="95">
        <v>58</v>
      </c>
      <c r="C705" s="95">
        <v>1</v>
      </c>
      <c r="D705" s="95"/>
      <c r="E705" s="95">
        <v>536.11147536239503</v>
      </c>
      <c r="F705" s="95">
        <v>1148.8103043479871</v>
      </c>
      <c r="G705" s="95">
        <v>727.57985942039181</v>
      </c>
      <c r="H705" s="95">
        <v>0.95743174727186708</v>
      </c>
      <c r="I705" s="95">
        <v>95.004563927552667</v>
      </c>
      <c r="J705" s="95">
        <v>4.1786353469634729</v>
      </c>
      <c r="K705" s="95">
        <v>22.265582696672805</v>
      </c>
      <c r="L705" s="95">
        <v>8.3178139201954213</v>
      </c>
      <c r="M705" s="95">
        <v>3003.9401639488683</v>
      </c>
      <c r="N705" s="95">
        <v>4452.8341692817094</v>
      </c>
      <c r="O705" s="95">
        <v>10000.000000000007</v>
      </c>
      <c r="Q705" s="98"/>
      <c r="R705" s="95"/>
      <c r="S705" s="99"/>
      <c r="U705" s="121"/>
      <c r="V705" s="59"/>
      <c r="W705" s="59"/>
      <c r="X705" s="59"/>
      <c r="Y705" s="59"/>
      <c r="Z705" s="59"/>
      <c r="AA705" s="59"/>
      <c r="AB705" s="59"/>
      <c r="AC705" s="59"/>
      <c r="AD705" s="68"/>
    </row>
    <row r="706" spans="1:30" x14ac:dyDescent="0.2">
      <c r="A706" s="95">
        <v>698</v>
      </c>
      <c r="B706" s="95">
        <v>58</v>
      </c>
      <c r="C706" s="95">
        <v>2</v>
      </c>
      <c r="D706" s="95"/>
      <c r="E706" s="95">
        <v>533.00449143308799</v>
      </c>
      <c r="F706" s="95">
        <v>1142.1524816423291</v>
      </c>
      <c r="G706" s="95">
        <v>723.36323837347516</v>
      </c>
      <c r="H706" s="95">
        <v>0.94262786754298278</v>
      </c>
      <c r="I706" s="95">
        <v>94.043625543066838</v>
      </c>
      <c r="J706" s="95">
        <v>4.1387779142411727</v>
      </c>
      <c r="K706" s="95">
        <v>22.039911325497133</v>
      </c>
      <c r="L706" s="95">
        <v>8.234322488834847</v>
      </c>
      <c r="M706" s="95">
        <v>3004.5073275687932</v>
      </c>
      <c r="N706" s="95">
        <v>4467.5731958431397</v>
      </c>
      <c r="O706" s="95">
        <v>10000.000000000009</v>
      </c>
      <c r="Q706" s="98"/>
      <c r="R706" s="95"/>
      <c r="S706" s="99"/>
      <c r="U706" s="121"/>
      <c r="V706" s="59"/>
      <c r="W706" s="59"/>
      <c r="X706" s="59"/>
      <c r="Y706" s="59"/>
      <c r="Z706" s="59"/>
      <c r="AA706" s="59"/>
      <c r="AB706" s="59"/>
      <c r="AC706" s="59"/>
      <c r="AD706" s="68"/>
    </row>
    <row r="707" spans="1:30" x14ac:dyDescent="0.2">
      <c r="A707" s="95">
        <v>699</v>
      </c>
      <c r="B707" s="95">
        <v>58</v>
      </c>
      <c r="C707" s="95">
        <v>3</v>
      </c>
      <c r="D707" s="95"/>
      <c r="E707" s="95">
        <v>529.91551373864183</v>
      </c>
      <c r="F707" s="95">
        <v>1135.5332437256586</v>
      </c>
      <c r="G707" s="95">
        <v>719.17105435958388</v>
      </c>
      <c r="H707" s="95">
        <v>0.92805288648562434</v>
      </c>
      <c r="I707" s="95">
        <v>93.092357227501807</v>
      </c>
      <c r="J707" s="95">
        <v>4.0992579491774537</v>
      </c>
      <c r="K707" s="95">
        <v>21.816533718018832</v>
      </c>
      <c r="L707" s="95">
        <v>8.1516600696869084</v>
      </c>
      <c r="M707" s="95">
        <v>3005.0688095147584</v>
      </c>
      <c r="N707" s="95">
        <v>4482.2235168104944</v>
      </c>
      <c r="O707" s="95">
        <v>10000.000000000007</v>
      </c>
      <c r="Q707" s="98"/>
      <c r="R707" s="95"/>
      <c r="S707" s="99"/>
      <c r="U707" s="121"/>
      <c r="V707" s="59"/>
      <c r="W707" s="59"/>
      <c r="X707" s="59"/>
      <c r="Y707" s="59"/>
      <c r="Z707" s="59"/>
      <c r="AA707" s="59"/>
      <c r="AB707" s="59"/>
      <c r="AC707" s="59"/>
      <c r="AD707" s="68"/>
    </row>
    <row r="708" spans="1:30" x14ac:dyDescent="0.2">
      <c r="A708" s="95">
        <v>700</v>
      </c>
      <c r="B708" s="95">
        <v>58</v>
      </c>
      <c r="C708" s="95">
        <v>4</v>
      </c>
      <c r="D708" s="95"/>
      <c r="E708" s="95">
        <v>526.84443792560592</v>
      </c>
      <c r="F708" s="95">
        <v>1128.9523669834389</v>
      </c>
      <c r="G708" s="95">
        <v>715.00316575617796</v>
      </c>
      <c r="H708" s="95">
        <v>0.91370326485178488</v>
      </c>
      <c r="I708" s="95">
        <v>92.150662442093378</v>
      </c>
      <c r="J708" s="95">
        <v>4.0600737742624222</v>
      </c>
      <c r="K708" s="95">
        <v>21.595426293384797</v>
      </c>
      <c r="L708" s="95">
        <v>8.0698185513290301</v>
      </c>
      <c r="M708" s="95">
        <v>3005.6246658125019</v>
      </c>
      <c r="N708" s="95">
        <v>4496.7856791963613</v>
      </c>
      <c r="O708" s="95">
        <v>10000.000000000007</v>
      </c>
      <c r="Q708" s="98"/>
      <c r="R708" s="95"/>
      <c r="S708" s="99"/>
      <c r="U708" s="121"/>
      <c r="V708" s="59"/>
      <c r="W708" s="59"/>
      <c r="X708" s="59"/>
      <c r="Y708" s="59"/>
      <c r="Z708" s="59"/>
      <c r="AA708" s="59"/>
      <c r="AB708" s="59"/>
      <c r="AC708" s="59"/>
      <c r="AD708" s="68"/>
    </row>
    <row r="709" spans="1:30" x14ac:dyDescent="0.2">
      <c r="A709" s="95">
        <v>701</v>
      </c>
      <c r="B709" s="95">
        <v>58</v>
      </c>
      <c r="C709" s="95">
        <v>5</v>
      </c>
      <c r="D709" s="95"/>
      <c r="E709" s="95">
        <v>523.79116024530038</v>
      </c>
      <c r="F709" s="95">
        <v>1122.4096290970699</v>
      </c>
      <c r="G709" s="95">
        <v>710.85943176147759</v>
      </c>
      <c r="H709" s="95">
        <v>0.89957551811756897</v>
      </c>
      <c r="I709" s="95">
        <v>91.218445599725555</v>
      </c>
      <c r="J709" s="95">
        <v>4.0212236833096284</v>
      </c>
      <c r="K709" s="95">
        <v>21.376565720710907</v>
      </c>
      <c r="L709" s="95">
        <v>7.9887899022197999</v>
      </c>
      <c r="M709" s="95">
        <v>3006.1749519536011</v>
      </c>
      <c r="N709" s="95">
        <v>4511.2602265184742</v>
      </c>
      <c r="O709" s="95">
        <v>10000.000000000007</v>
      </c>
      <c r="Q709" s="98"/>
      <c r="R709" s="95"/>
      <c r="S709" s="99"/>
      <c r="U709" s="121"/>
      <c r="V709" s="59"/>
      <c r="W709" s="59"/>
      <c r="X709" s="59"/>
      <c r="Y709" s="59"/>
      <c r="Z709" s="59"/>
      <c r="AA709" s="59"/>
      <c r="AB709" s="59"/>
      <c r="AC709" s="59"/>
      <c r="AD709" s="68"/>
    </row>
    <row r="710" spans="1:30" x14ac:dyDescent="0.2">
      <c r="A710" s="95">
        <v>702</v>
      </c>
      <c r="B710" s="95">
        <v>58</v>
      </c>
      <c r="C710" s="95">
        <v>6</v>
      </c>
      <c r="D710" s="95"/>
      <c r="E710" s="95">
        <v>520.75557755031116</v>
      </c>
      <c r="F710" s="95">
        <v>1115.9048090363788</v>
      </c>
      <c r="G710" s="95">
        <v>706.73971238970648</v>
      </c>
      <c r="H710" s="95">
        <v>0.88566621563704462</v>
      </c>
      <c r="I710" s="95">
        <v>90.295612055741216</v>
      </c>
      <c r="J710" s="95">
        <v>3.9827059429487246</v>
      </c>
      <c r="K710" s="95">
        <v>21.159928916247619</v>
      </c>
      <c r="L710" s="95">
        <v>7.908566169757834</v>
      </c>
      <c r="M710" s="95">
        <v>3006.7197229002118</v>
      </c>
      <c r="N710" s="95">
        <v>4525.6476988230661</v>
      </c>
      <c r="O710" s="95">
        <v>10000.000000000007</v>
      </c>
      <c r="Q710" s="98"/>
      <c r="R710" s="95"/>
      <c r="S710" s="99"/>
      <c r="U710" s="121"/>
      <c r="V710" s="59"/>
      <c r="W710" s="59"/>
      <c r="X710" s="59"/>
      <c r="Y710" s="59"/>
      <c r="Z710" s="59"/>
      <c r="AA710" s="59"/>
      <c r="AB710" s="59"/>
      <c r="AC710" s="59"/>
      <c r="AD710" s="68"/>
    </row>
    <row r="711" spans="1:30" x14ac:dyDescent="0.2">
      <c r="A711" s="95">
        <v>703</v>
      </c>
      <c r="B711" s="95">
        <v>58</v>
      </c>
      <c r="C711" s="95">
        <v>7</v>
      </c>
      <c r="D711" s="95"/>
      <c r="E711" s="95">
        <v>517.7375872910053</v>
      </c>
      <c r="F711" s="95">
        <v>1109.4376870521519</v>
      </c>
      <c r="G711" s="95">
        <v>702.64386846636273</v>
      </c>
      <c r="H711" s="95">
        <v>0.8719719798091784</v>
      </c>
      <c r="I711" s="95">
        <v>89.382068098838516</v>
      </c>
      <c r="J711" s="95">
        <v>3.9445187940712567</v>
      </c>
      <c r="K711" s="95">
        <v>20.945493040581788</v>
      </c>
      <c r="L711" s="95">
        <v>7.8291394793612588</v>
      </c>
      <c r="M711" s="95">
        <v>3007.2590330897719</v>
      </c>
      <c r="N711" s="95">
        <v>4539.9486327080531</v>
      </c>
      <c r="O711" s="95">
        <v>10000.000000000007</v>
      </c>
      <c r="Q711" s="98"/>
      <c r="R711" s="95"/>
      <c r="S711" s="99"/>
      <c r="U711" s="121"/>
      <c r="V711" s="59"/>
      <c r="W711" s="59"/>
      <c r="X711" s="59"/>
      <c r="Y711" s="59"/>
      <c r="Z711" s="59"/>
      <c r="AA711" s="59"/>
      <c r="AB711" s="59"/>
      <c r="AC711" s="59"/>
      <c r="AD711" s="68"/>
    </row>
    <row r="712" spans="1:30" x14ac:dyDescent="0.2">
      <c r="A712" s="95">
        <v>704</v>
      </c>
      <c r="B712" s="95">
        <v>58</v>
      </c>
      <c r="C712" s="95">
        <v>8</v>
      </c>
      <c r="D712" s="95"/>
      <c r="E712" s="95">
        <v>514.73708751206664</v>
      </c>
      <c r="F712" s="95">
        <v>1103.0080446687118</v>
      </c>
      <c r="G712" s="95">
        <v>698.57176162351743</v>
      </c>
      <c r="H712" s="95">
        <v>0.85848948525765101</v>
      </c>
      <c r="I712" s="95">
        <v>88.47772094205213</v>
      </c>
      <c r="J712" s="95">
        <v>3.9066604532308764</v>
      </c>
      <c r="K712" s="95">
        <v>20.733235495874151</v>
      </c>
      <c r="L712" s="95">
        <v>7.7505020335669998</v>
      </c>
      <c r="M712" s="95">
        <v>3007.7929364396682</v>
      </c>
      <c r="N712" s="95">
        <v>4554.1635613460612</v>
      </c>
      <c r="O712" s="95">
        <v>10000.000000000007</v>
      </c>
      <c r="Q712" s="98"/>
      <c r="R712" s="95"/>
      <c r="S712" s="99"/>
      <c r="U712" s="121"/>
      <c r="V712" s="59"/>
      <c r="W712" s="59"/>
      <c r="X712" s="59"/>
      <c r="Y712" s="59"/>
      <c r="Z712" s="59"/>
      <c r="AA712" s="59"/>
      <c r="AB712" s="59"/>
      <c r="AC712" s="59"/>
      <c r="AD712" s="68"/>
    </row>
    <row r="713" spans="1:30" x14ac:dyDescent="0.2">
      <c r="A713" s="95">
        <v>705</v>
      </c>
      <c r="B713" s="95">
        <v>58</v>
      </c>
      <c r="C713" s="95">
        <v>9</v>
      </c>
      <c r="D713" s="95"/>
      <c r="E713" s="95">
        <v>511.75397684905158</v>
      </c>
      <c r="F713" s="95">
        <v>1096.6156646765367</v>
      </c>
      <c r="G713" s="95">
        <v>694.52325429513985</v>
      </c>
      <c r="H713" s="95">
        <v>0.84521545802335529</v>
      </c>
      <c r="I713" s="95">
        <v>87.582478713818702</v>
      </c>
      <c r="J713" s="95">
        <v>3.8691291139992692</v>
      </c>
      <c r="K713" s="95">
        <v>20.523133923131958</v>
      </c>
      <c r="L713" s="95">
        <v>7.6726461111491027</v>
      </c>
      <c r="M713" s="95">
        <v>3008.3214863518647</v>
      </c>
      <c r="N713" s="95">
        <v>4568.2930145072914</v>
      </c>
      <c r="O713" s="95">
        <v>10000.000000000007</v>
      </c>
      <c r="Q713" s="98"/>
      <c r="R713" s="95"/>
      <c r="S713" s="99"/>
      <c r="U713" s="121"/>
      <c r="V713" s="59"/>
      <c r="W713" s="59"/>
      <c r="X713" s="59"/>
      <c r="Y713" s="59"/>
      <c r="Z713" s="59"/>
      <c r="AA713" s="59"/>
      <c r="AB713" s="59"/>
      <c r="AC713" s="59"/>
      <c r="AD713" s="68"/>
    </row>
    <row r="714" spans="1:30" x14ac:dyDescent="0.2">
      <c r="A714" s="95">
        <v>706</v>
      </c>
      <c r="B714" s="95">
        <v>58</v>
      </c>
      <c r="C714" s="95">
        <v>10</v>
      </c>
      <c r="D714" s="95"/>
      <c r="E714" s="95">
        <v>508.78815452496468</v>
      </c>
      <c r="F714" s="95">
        <v>1090.2603311249218</v>
      </c>
      <c r="G714" s="95">
        <v>690.49820971245049</v>
      </c>
      <c r="H714" s="95">
        <v>0.8321466747693792</v>
      </c>
      <c r="I714" s="95">
        <v>86.696250449125728</v>
      </c>
      <c r="J714" s="95">
        <v>3.8319229482790473</v>
      </c>
      <c r="K714" s="95">
        <v>20.315166199516202</v>
      </c>
      <c r="L714" s="95">
        <v>7.595564066255335</v>
      </c>
      <c r="M714" s="95">
        <v>3008.8447357174978</v>
      </c>
      <c r="N714" s="95">
        <v>4582.337518582226</v>
      </c>
      <c r="O714" s="95">
        <v>10000.000000000007</v>
      </c>
      <c r="Q714" s="98"/>
      <c r="R714" s="95"/>
      <c r="S714" s="99"/>
      <c r="U714" s="121"/>
      <c r="V714" s="59"/>
      <c r="W714" s="59"/>
      <c r="X714" s="59"/>
      <c r="Y714" s="59"/>
      <c r="Z714" s="59"/>
      <c r="AA714" s="59"/>
      <c r="AB714" s="59"/>
      <c r="AC714" s="59"/>
      <c r="AD714" s="68"/>
    </row>
    <row r="715" spans="1:30" x14ac:dyDescent="0.2">
      <c r="A715" s="95">
        <v>707</v>
      </c>
      <c r="B715" s="95">
        <v>58</v>
      </c>
      <c r="C715" s="95">
        <v>11</v>
      </c>
      <c r="D715" s="95"/>
      <c r="E715" s="95">
        <v>505.8395203468541</v>
      </c>
      <c r="F715" s="95">
        <v>1083.9418293146848</v>
      </c>
      <c r="G715" s="95">
        <v>686.49649189930039</v>
      </c>
      <c r="H715" s="95">
        <v>0.8192799619982819</v>
      </c>
      <c r="I715" s="95">
        <v>85.81894608074316</v>
      </c>
      <c r="J715" s="95">
        <v>3.7950401075748066</v>
      </c>
      <c r="K715" s="95">
        <v>20.109310435682964</v>
      </c>
      <c r="L715" s="95">
        <v>7.5192483275613737</v>
      </c>
      <c r="M715" s="95">
        <v>3009.3627369214332</v>
      </c>
      <c r="N715" s="95">
        <v>4596.2975966041731</v>
      </c>
      <c r="O715" s="95">
        <v>10000.000000000005</v>
      </c>
      <c r="Q715" s="98"/>
      <c r="R715" s="95"/>
      <c r="S715" s="99"/>
      <c r="U715" s="121"/>
      <c r="V715" s="59"/>
      <c r="W715" s="59"/>
      <c r="X715" s="59"/>
      <c r="Y715" s="59"/>
      <c r="Z715" s="59"/>
      <c r="AA715" s="59"/>
      <c r="AB715" s="59"/>
      <c r="AC715" s="59"/>
      <c r="AD715" s="68"/>
    </row>
    <row r="716" spans="1:30" x14ac:dyDescent="0.2">
      <c r="A716" s="95">
        <v>708</v>
      </c>
      <c r="B716" s="95">
        <v>59</v>
      </c>
      <c r="C716" s="95">
        <v>0</v>
      </c>
      <c r="D716" s="95"/>
      <c r="E716" s="95">
        <v>502.90797470242694</v>
      </c>
      <c r="F716" s="95">
        <v>1077.6599457909124</v>
      </c>
      <c r="G716" s="95">
        <v>682.51796566757776</v>
      </c>
      <c r="H716" s="95">
        <v>0.80661219528147221</v>
      </c>
      <c r="I716" s="95">
        <v>84.950476430536924</v>
      </c>
      <c r="J716" s="95">
        <v>3.75847872422354</v>
      </c>
      <c r="K716" s="95">
        <v>19.905544973158335</v>
      </c>
      <c r="L716" s="95">
        <v>7.4436913974418983</v>
      </c>
      <c r="M716" s="95">
        <v>3009.8755418467867</v>
      </c>
      <c r="N716" s="95">
        <v>4610.1737682716603</v>
      </c>
      <c r="O716" s="95">
        <v>10000.000000000005</v>
      </c>
      <c r="Q716" s="98"/>
      <c r="R716" s="95"/>
      <c r="S716" s="99"/>
      <c r="U716" s="121"/>
      <c r="V716" s="59"/>
      <c r="W716" s="59"/>
      <c r="X716" s="59"/>
      <c r="Y716" s="59"/>
      <c r="Z716" s="59"/>
      <c r="AA716" s="59"/>
      <c r="AB716" s="59"/>
      <c r="AC716" s="59"/>
      <c r="AD716" s="68"/>
    </row>
    <row r="717" spans="1:30" x14ac:dyDescent="0.2">
      <c r="A717" s="95">
        <v>709</v>
      </c>
      <c r="B717" s="95">
        <v>59</v>
      </c>
      <c r="C717" s="95">
        <v>1</v>
      </c>
      <c r="D717" s="95"/>
      <c r="E717" s="95">
        <v>499.99341855668399</v>
      </c>
      <c r="F717" s="95">
        <v>1071.414468335749</v>
      </c>
      <c r="G717" s="95">
        <v>678.56249661264087</v>
      </c>
      <c r="H717" s="95">
        <v>0.79414029850050238</v>
      </c>
      <c r="I717" s="95">
        <v>84.090753200863801</v>
      </c>
      <c r="J717" s="95">
        <v>3.722236912585549</v>
      </c>
      <c r="K717" s="95">
        <v>19.70384838174645</v>
      </c>
      <c r="L717" s="95">
        <v>7.368885851157942</v>
      </c>
      <c r="M717" s="95">
        <v>3010.3832018794128</v>
      </c>
      <c r="N717" s="95">
        <v>4623.9665499706662</v>
      </c>
      <c r="O717" s="95">
        <v>10000.000000000007</v>
      </c>
      <c r="Q717" s="98"/>
      <c r="R717" s="95"/>
      <c r="S717" s="99"/>
      <c r="U717" s="121"/>
      <c r="V717" s="59"/>
      <c r="W717" s="59"/>
      <c r="X717" s="59"/>
      <c r="Y717" s="59"/>
      <c r="Z717" s="59"/>
      <c r="AA717" s="59"/>
      <c r="AB717" s="59"/>
      <c r="AC717" s="59"/>
      <c r="AD717" s="68"/>
    </row>
    <row r="718" spans="1:30" x14ac:dyDescent="0.2">
      <c r="A718" s="95">
        <v>710</v>
      </c>
      <c r="B718" s="95">
        <v>59</v>
      </c>
      <c r="C718" s="95">
        <v>2</v>
      </c>
      <c r="D718" s="95"/>
      <c r="E718" s="95">
        <v>497.09575344857416</v>
      </c>
      <c r="F718" s="95">
        <v>1065.2051859612279</v>
      </c>
      <c r="G718" s="95">
        <v>674.6299511087775</v>
      </c>
      <c r="H718" s="95">
        <v>0.78186124310009331</v>
      </c>
      <c r="I718" s="95">
        <v>83.239688966046728</v>
      </c>
      <c r="J718" s="95">
        <v>3.6863127701969685</v>
      </c>
      <c r="K718" s="95">
        <v>19.504199456970106</v>
      </c>
      <c r="L718" s="95">
        <v>7.2948243360598957</v>
      </c>
      <c r="M718" s="95">
        <v>3010.8857679123539</v>
      </c>
      <c r="N718" s="95">
        <v>4637.6764547966995</v>
      </c>
      <c r="O718" s="95">
        <v>10000.000000000007</v>
      </c>
      <c r="Q718" s="98"/>
      <c r="R718" s="95"/>
      <c r="S718" s="99"/>
      <c r="U718" s="121"/>
      <c r="V718" s="59"/>
      <c r="W718" s="59"/>
      <c r="X718" s="59"/>
      <c r="Y718" s="59"/>
      <c r="Z718" s="59"/>
      <c r="AA718" s="59"/>
      <c r="AB718" s="59"/>
      <c r="AC718" s="59"/>
      <c r="AD718" s="68"/>
    </row>
    <row r="719" spans="1:30" x14ac:dyDescent="0.2">
      <c r="A719" s="95">
        <v>711</v>
      </c>
      <c r="B719" s="95">
        <v>59</v>
      </c>
      <c r="C719" s="95">
        <v>3</v>
      </c>
      <c r="D719" s="95"/>
      <c r="E719" s="95">
        <v>494.21488148766809</v>
      </c>
      <c r="F719" s="95">
        <v>1059.0318889021435</v>
      </c>
      <c r="G719" s="95">
        <v>670.72019630469072</v>
      </c>
      <c r="H719" s="95">
        <v>0.76977204735270899</v>
      </c>
      <c r="I719" s="95">
        <v>82.397197163930031</v>
      </c>
      <c r="J719" s="95">
        <v>3.6507043788849947</v>
      </c>
      <c r="K719" s="95">
        <v>19.306577217543531</v>
      </c>
      <c r="L719" s="95">
        <v>7.2214995708055696</v>
      </c>
      <c r="M719" s="95">
        <v>3011.3832903502584</v>
      </c>
      <c r="N719" s="95">
        <v>4651.3039925767298</v>
      </c>
      <c r="O719" s="95">
        <v>10000.000000000007</v>
      </c>
      <c r="Q719" s="98"/>
      <c r="R719" s="95"/>
      <c r="S719" s="99"/>
      <c r="U719" s="121"/>
      <c r="V719" s="59"/>
      <c r="W719" s="59"/>
      <c r="X719" s="59"/>
      <c r="Y719" s="59"/>
      <c r="Z719" s="59"/>
      <c r="AA719" s="59"/>
      <c r="AB719" s="59"/>
      <c r="AC719" s="59"/>
      <c r="AD719" s="68"/>
    </row>
    <row r="720" spans="1:30" x14ac:dyDescent="0.2">
      <c r="A720" s="95">
        <v>712</v>
      </c>
      <c r="B720" s="95">
        <v>59</v>
      </c>
      <c r="C720" s="95">
        <v>4</v>
      </c>
      <c r="D720" s="95"/>
      <c r="E720" s="95">
        <v>491.3507053508514</v>
      </c>
      <c r="F720" s="95">
        <v>1052.8943686089649</v>
      </c>
      <c r="G720" s="95">
        <v>666.83310011901096</v>
      </c>
      <c r="H720" s="95">
        <v>0.75786977563450286</v>
      </c>
      <c r="I720" s="95">
        <v>81.563192087513727</v>
      </c>
      <c r="J720" s="95">
        <v>3.6154098058468693</v>
      </c>
      <c r="K720" s="95">
        <v>19.110960902876791</v>
      </c>
      <c r="L720" s="95">
        <v>7.1489043445927578</v>
      </c>
      <c r="M720" s="95">
        <v>3011.8758191137631</v>
      </c>
      <c r="N720" s="95">
        <v>4664.8496698909521</v>
      </c>
      <c r="O720" s="95">
        <v>10000.000000000007</v>
      </c>
      <c r="Q720" s="98"/>
      <c r="R720" s="95"/>
      <c r="S720" s="99"/>
      <c r="U720" s="121"/>
      <c r="V720" s="59"/>
      <c r="W720" s="59"/>
      <c r="X720" s="59"/>
      <c r="Y720" s="59"/>
      <c r="Z720" s="59"/>
      <c r="AA720" s="59"/>
      <c r="AB720" s="59"/>
      <c r="AC720" s="59"/>
      <c r="AD720" s="68"/>
    </row>
    <row r="721" spans="1:30" x14ac:dyDescent="0.2">
      <c r="A721" s="95">
        <v>713</v>
      </c>
      <c r="B721" s="95">
        <v>59</v>
      </c>
      <c r="C721" s="95">
        <v>5</v>
      </c>
      <c r="D721" s="95"/>
      <c r="E721" s="95">
        <v>488.50312827903656</v>
      </c>
      <c r="F721" s="95">
        <v>1046.7924177407904</v>
      </c>
      <c r="G721" s="95">
        <v>662.96853123583367</v>
      </c>
      <c r="H721" s="95">
        <v>0.74615153771245912</v>
      </c>
      <c r="I721" s="95">
        <v>80.737588876666294</v>
      </c>
      <c r="J721" s="95">
        <v>3.5804271046936491</v>
      </c>
      <c r="K721" s="95">
        <v>18.917329970611394</v>
      </c>
      <c r="L721" s="95">
        <v>7.0770315164057713</v>
      </c>
      <c r="M721" s="95">
        <v>3012.3634036438402</v>
      </c>
      <c r="N721" s="95">
        <v>4678.3139900944161</v>
      </c>
      <c r="O721" s="95">
        <v>10000.000000000007</v>
      </c>
      <c r="Q721" s="98"/>
      <c r="R721" s="95"/>
      <c r="S721" s="99"/>
      <c r="U721" s="121"/>
      <c r="V721" s="59"/>
      <c r="W721" s="59"/>
      <c r="X721" s="59"/>
      <c r="Y721" s="59"/>
      <c r="Z721" s="59"/>
      <c r="AA721" s="59"/>
      <c r="AB721" s="59"/>
      <c r="AC721" s="59"/>
      <c r="AD721" s="68"/>
    </row>
    <row r="722" spans="1:30" x14ac:dyDescent="0.2">
      <c r="A722" s="95">
        <v>714</v>
      </c>
      <c r="B722" s="95">
        <v>59</v>
      </c>
      <c r="C722" s="95">
        <v>6</v>
      </c>
      <c r="D722" s="95"/>
      <c r="E722" s="95">
        <v>485.6720540738944</v>
      </c>
      <c r="F722" s="95">
        <v>1040.7258301583429</v>
      </c>
      <c r="G722" s="95">
        <v>659.12635910028359</v>
      </c>
      <c r="H722" s="95">
        <v>0.73461448804255636</v>
      </c>
      <c r="I722" s="95">
        <v>79.920303509915172</v>
      </c>
      <c r="J722" s="95">
        <v>3.5457543164597634</v>
      </c>
      <c r="K722" s="95">
        <v>18.725664094186634</v>
      </c>
      <c r="L722" s="95">
        <v>7.0058740142754283</v>
      </c>
      <c r="M722" s="95">
        <v>3012.8460929061125</v>
      </c>
      <c r="N722" s="95">
        <v>4691.6974533384928</v>
      </c>
      <c r="O722" s="95">
        <v>10000.000000000005</v>
      </c>
      <c r="Q722" s="98"/>
      <c r="R722" s="95"/>
      <c r="S722" s="99"/>
      <c r="U722" s="121"/>
      <c r="V722" s="59"/>
      <c r="W722" s="59"/>
      <c r="X722" s="59"/>
      <c r="Y722" s="59"/>
      <c r="Z722" s="59"/>
      <c r="AA722" s="59"/>
      <c r="AB722" s="59"/>
      <c r="AC722" s="59"/>
      <c r="AD722" s="68"/>
    </row>
    <row r="723" spans="1:30" x14ac:dyDescent="0.2">
      <c r="A723" s="95">
        <v>715</v>
      </c>
      <c r="B723" s="95">
        <v>59</v>
      </c>
      <c r="C723" s="95">
        <v>7</v>
      </c>
      <c r="D723" s="95"/>
      <c r="E723" s="95">
        <v>482.85738709460412</v>
      </c>
      <c r="F723" s="95">
        <v>1034.6944009170065</v>
      </c>
      <c r="G723" s="95">
        <v>655.30645391410394</v>
      </c>
      <c r="H723" s="95">
        <v>0.72325582507878283</v>
      </c>
      <c r="I723" s="95">
        <v>79.11125279631429</v>
      </c>
      <c r="J723" s="95">
        <v>3.5113894705793243</v>
      </c>
      <c r="K723" s="95">
        <v>18.535943160436204</v>
      </c>
      <c r="L723" s="95">
        <v>6.9354248345520197</v>
      </c>
      <c r="M723" s="95">
        <v>3013.3239353951326</v>
      </c>
      <c r="N723" s="95">
        <v>4705.0005565921983</v>
      </c>
      <c r="O723" s="95">
        <v>10000.000000000005</v>
      </c>
      <c r="Q723" s="98"/>
      <c r="R723" s="95"/>
      <c r="S723" s="99"/>
      <c r="U723" s="121"/>
      <c r="V723" s="59"/>
      <c r="W723" s="59"/>
      <c r="X723" s="59"/>
      <c r="Y723" s="59"/>
      <c r="Z723" s="59"/>
      <c r="AA723" s="59"/>
      <c r="AB723" s="59"/>
      <c r="AC723" s="59"/>
      <c r="AD723" s="68"/>
    </row>
    <row r="724" spans="1:30" x14ac:dyDescent="0.2">
      <c r="A724" s="95">
        <v>716</v>
      </c>
      <c r="B724" s="95">
        <v>59</v>
      </c>
      <c r="C724" s="95">
        <v>8</v>
      </c>
      <c r="D724" s="95"/>
      <c r="E724" s="95">
        <v>480.05903225462237</v>
      </c>
      <c r="F724" s="95">
        <v>1028.6979262599027</v>
      </c>
      <c r="G724" s="95">
        <v>651.50868663127153</v>
      </c>
      <c r="H724" s="95">
        <v>0.71207279059283635</v>
      </c>
      <c r="I724" s="95">
        <v>78.310354367387987</v>
      </c>
      <c r="J724" s="95">
        <v>3.477330585830146</v>
      </c>
      <c r="K724" s="95">
        <v>18.348147267214685</v>
      </c>
      <c r="L724" s="95">
        <v>6.8656770411907839</v>
      </c>
      <c r="M724" s="95">
        <v>3013.7969791386299</v>
      </c>
      <c r="N724" s="95">
        <v>4718.2237936633637</v>
      </c>
      <c r="O724" s="95">
        <v>10000.000000000007</v>
      </c>
      <c r="Q724" s="98"/>
      <c r="R724" s="95"/>
      <c r="S724" s="99"/>
      <c r="U724" s="121"/>
      <c r="V724" s="59"/>
      <c r="W724" s="59"/>
      <c r="X724" s="59"/>
      <c r="Y724" s="59"/>
      <c r="Z724" s="59"/>
      <c r="AA724" s="59"/>
      <c r="AB724" s="59"/>
      <c r="AC724" s="59"/>
      <c r="AD724" s="68"/>
    </row>
    <row r="725" spans="1:30" x14ac:dyDescent="0.2">
      <c r="A725" s="95">
        <v>717</v>
      </c>
      <c r="B725" s="95">
        <v>59</v>
      </c>
      <c r="C725" s="95">
        <v>9</v>
      </c>
      <c r="D725" s="95"/>
      <c r="E725" s="95">
        <v>477.27689501847095</v>
      </c>
      <c r="F725" s="95">
        <v>1022.7362036110068</v>
      </c>
      <c r="G725" s="95">
        <v>647.7329289536375</v>
      </c>
      <c r="H725" s="95">
        <v>0.70106266900434244</v>
      </c>
      <c r="I725" s="95">
        <v>77.517526669150655</v>
      </c>
      <c r="J725" s="95">
        <v>3.4435756712463856</v>
      </c>
      <c r="K725" s="95">
        <v>18.162256721053421</v>
      </c>
      <c r="L725" s="95">
        <v>6.7966237650494454</v>
      </c>
      <c r="M725" s="95">
        <v>3014.2652717017249</v>
      </c>
      <c r="N725" s="95">
        <v>4731.367655219663</v>
      </c>
      <c r="O725" s="95">
        <v>10000.000000000007</v>
      </c>
      <c r="Q725" s="98"/>
      <c r="R725" s="95"/>
      <c r="S725" s="99"/>
      <c r="U725" s="121"/>
      <c r="V725" s="59"/>
      <c r="W725" s="59"/>
      <c r="X725" s="59"/>
      <c r="Y725" s="59"/>
      <c r="Z725" s="59"/>
      <c r="AA725" s="59"/>
      <c r="AB725" s="59"/>
      <c r="AC725" s="59"/>
      <c r="AD725" s="68"/>
    </row>
    <row r="726" spans="1:30" x14ac:dyDescent="0.2">
      <c r="A726" s="95">
        <v>718</v>
      </c>
      <c r="B726" s="95">
        <v>59</v>
      </c>
      <c r="C726" s="95">
        <v>10</v>
      </c>
      <c r="D726" s="95"/>
      <c r="E726" s="95">
        <v>474.51088139854318</v>
      </c>
      <c r="F726" s="95">
        <v>1016.8090315683045</v>
      </c>
      <c r="G726" s="95">
        <v>643.97905332659263</v>
      </c>
      <c r="H726" s="95">
        <v>0.69022278672142923</v>
      </c>
      <c r="I726" s="95">
        <v>76.732688954201322</v>
      </c>
      <c r="J726" s="95">
        <v>3.4101227270007048</v>
      </c>
      <c r="K726" s="95">
        <v>17.978252034845394</v>
      </c>
      <c r="L726" s="95">
        <v>6.7282582031974005</v>
      </c>
      <c r="M726" s="95">
        <v>3014.7288601911082</v>
      </c>
      <c r="N726" s="95">
        <v>4744.4326288094926</v>
      </c>
      <c r="O726" s="95">
        <v>10000.000000000007</v>
      </c>
      <c r="Q726" s="98"/>
      <c r="R726" s="95"/>
      <c r="S726" s="99"/>
      <c r="U726" s="121"/>
      <c r="V726" s="59"/>
      <c r="W726" s="59"/>
      <c r="X726" s="59"/>
      <c r="Y726" s="59"/>
      <c r="Z726" s="59"/>
      <c r="AA726" s="59"/>
      <c r="AB726" s="59"/>
      <c r="AC726" s="59"/>
      <c r="AD726" s="68"/>
    </row>
    <row r="727" spans="1:30" x14ac:dyDescent="0.2">
      <c r="A727" s="95">
        <v>719</v>
      </c>
      <c r="B727" s="95">
        <v>59</v>
      </c>
      <c r="C727" s="95">
        <v>11</v>
      </c>
      <c r="D727" s="95"/>
      <c r="E727" s="95">
        <v>471.76089795192883</v>
      </c>
      <c r="F727" s="95">
        <v>1010.916209896988</v>
      </c>
      <c r="G727" s="95">
        <v>640.24693293475889</v>
      </c>
      <c r="H727" s="95">
        <v>0.67955051149149792</v>
      </c>
      <c r="I727" s="95">
        <v>75.955761273892662</v>
      </c>
      <c r="J727" s="95">
        <v>3.3769697452568233</v>
      </c>
      <c r="K727" s="95">
        <v>17.796113925558668</v>
      </c>
      <c r="L727" s="95">
        <v>6.660573618236147</v>
      </c>
      <c r="M727" s="95">
        <v>3015.1877912591899</v>
      </c>
      <c r="N727" s="95">
        <v>4757.419198882706</v>
      </c>
      <c r="O727" s="95">
        <v>10000.000000000007</v>
      </c>
      <c r="Q727" s="98"/>
      <c r="R727" s="95"/>
      <c r="S727" s="99"/>
      <c r="U727" s="121"/>
      <c r="V727" s="59"/>
      <c r="W727" s="59"/>
      <c r="X727" s="59"/>
      <c r="Y727" s="59"/>
      <c r="Z727" s="59"/>
      <c r="AA727" s="59"/>
      <c r="AB727" s="59"/>
      <c r="AC727" s="59"/>
      <c r="AD727" s="68"/>
    </row>
    <row r="728" spans="1:30" x14ac:dyDescent="0.2">
      <c r="A728" s="95">
        <v>720</v>
      </c>
      <c r="B728" s="95">
        <v>60</v>
      </c>
      <c r="C728" s="95">
        <v>0</v>
      </c>
      <c r="D728" s="95"/>
      <c r="E728" s="95">
        <v>469.02685177725721</v>
      </c>
      <c r="F728" s="95">
        <v>1005.0575395226917</v>
      </c>
      <c r="G728" s="95">
        <v>636.53644169770462</v>
      </c>
      <c r="H728" s="95">
        <v>0.66904325176203194</v>
      </c>
      <c r="I728" s="95">
        <v>75.186664470573689</v>
      </c>
      <c r="J728" s="95">
        <v>3.3441147109933063</v>
      </c>
      <c r="K728" s="95">
        <v>17.615823311977998</v>
      </c>
      <c r="L728" s="95">
        <v>6.5935633376305658</v>
      </c>
      <c r="M728" s="95">
        <v>3015.6421111082136</v>
      </c>
      <c r="N728" s="95">
        <v>4770.327846811203</v>
      </c>
      <c r="O728" s="95">
        <v>10000.000000000007</v>
      </c>
      <c r="Q728" s="98"/>
      <c r="R728" s="95"/>
      <c r="S728" s="99"/>
      <c r="U728" s="121"/>
      <c r="V728" s="59"/>
      <c r="W728" s="59"/>
      <c r="X728" s="59"/>
      <c r="Y728" s="59"/>
      <c r="Z728" s="59"/>
      <c r="AA728" s="59"/>
      <c r="AB728" s="59"/>
      <c r="AC728" s="59"/>
      <c r="AD728" s="68"/>
    </row>
    <row r="729" spans="1:30" x14ac:dyDescent="0.2">
      <c r="A729" s="95">
        <v>721</v>
      </c>
      <c r="B729" s="95">
        <v>60</v>
      </c>
      <c r="C729" s="95">
        <v>1</v>
      </c>
      <c r="D729" s="95"/>
      <c r="E729" s="95">
        <v>461.99144900059832</v>
      </c>
      <c r="F729" s="95">
        <v>989.9816764298514</v>
      </c>
      <c r="G729" s="95">
        <v>626.98839507223909</v>
      </c>
      <c r="H729" s="95">
        <v>0.65254018488523513</v>
      </c>
      <c r="I729" s="95">
        <v>73.733257486870414</v>
      </c>
      <c r="J729" s="95">
        <v>3.2807743862690235</v>
      </c>
      <c r="K729" s="95">
        <v>17.275214819728379</v>
      </c>
      <c r="L729" s="95">
        <v>6.4665296828145928</v>
      </c>
      <c r="M729" s="95">
        <v>3016.0918654943393</v>
      </c>
      <c r="N729" s="95">
        <v>4803.5382974424119</v>
      </c>
      <c r="O729" s="95">
        <v>10000.000000000007</v>
      </c>
      <c r="Q729" s="98"/>
      <c r="R729" s="95"/>
      <c r="S729" s="99"/>
      <c r="U729" s="121"/>
      <c r="V729" s="59"/>
      <c r="W729" s="59"/>
      <c r="X729" s="59"/>
      <c r="Y729" s="59"/>
      <c r="Z729" s="59"/>
      <c r="AA729" s="59"/>
      <c r="AB729" s="59"/>
      <c r="AC729" s="59"/>
      <c r="AD729" s="68"/>
    </row>
    <row r="730" spans="1:30" x14ac:dyDescent="0.2">
      <c r="A730" s="95">
        <v>722</v>
      </c>
      <c r="B730" s="95">
        <v>60</v>
      </c>
      <c r="C730" s="95">
        <v>2</v>
      </c>
      <c r="D730" s="95"/>
      <c r="E730" s="95">
        <v>455.06157726558934</v>
      </c>
      <c r="F730" s="95">
        <v>975.13195128340362</v>
      </c>
      <c r="G730" s="95">
        <v>617.58356914615547</v>
      </c>
      <c r="H730" s="95">
        <v>0.63644419365806604</v>
      </c>
      <c r="I730" s="95">
        <v>72.307911292454236</v>
      </c>
      <c r="J730" s="95">
        <v>3.2168814438111584</v>
      </c>
      <c r="K730" s="95">
        <v>16.942923322252081</v>
      </c>
      <c r="L730" s="95">
        <v>6.3419371289275555</v>
      </c>
      <c r="M730" s="95">
        <v>3016.5329599253955</v>
      </c>
      <c r="N730" s="95">
        <v>4836.2438449983611</v>
      </c>
      <c r="O730" s="95">
        <v>10000.000000000007</v>
      </c>
      <c r="Q730" s="98"/>
      <c r="R730" s="95"/>
      <c r="S730" s="99"/>
      <c r="U730" s="121"/>
      <c r="V730" s="59"/>
      <c r="W730" s="59"/>
      <c r="X730" s="59"/>
      <c r="Y730" s="59"/>
      <c r="Z730" s="59"/>
      <c r="AA730" s="59"/>
      <c r="AB730" s="59"/>
      <c r="AC730" s="59"/>
      <c r="AD730" s="68"/>
    </row>
    <row r="731" spans="1:30" x14ac:dyDescent="0.2">
      <c r="A731" s="95">
        <v>723</v>
      </c>
      <c r="B731" s="95">
        <v>60</v>
      </c>
      <c r="C731" s="95">
        <v>3</v>
      </c>
      <c r="D731" s="95"/>
      <c r="E731" s="95">
        <v>448.23565360660547</v>
      </c>
      <c r="F731" s="95">
        <v>960.5049720141526</v>
      </c>
      <c r="G731" s="95">
        <v>608.31981560896315</v>
      </c>
      <c r="H731" s="95">
        <v>0.62074523688116712</v>
      </c>
      <c r="I731" s="95">
        <v>70.91008497539778</v>
      </c>
      <c r="J731" s="95">
        <v>3.1525277341337943</v>
      </c>
      <c r="K731" s="95">
        <v>16.618718458892459</v>
      </c>
      <c r="L731" s="95">
        <v>6.2197389326715253</v>
      </c>
      <c r="M731" s="95">
        <v>3016.9655505078053</v>
      </c>
      <c r="N731" s="95">
        <v>4868.4521929245047</v>
      </c>
      <c r="O731" s="95">
        <v>10000.000000000007</v>
      </c>
      <c r="Q731" s="98"/>
      <c r="R731" s="95"/>
      <c r="S731" s="99"/>
      <c r="U731" s="121"/>
      <c r="V731" s="59"/>
      <c r="W731" s="59"/>
      <c r="X731" s="59"/>
      <c r="Y731" s="59"/>
      <c r="Z731" s="59"/>
      <c r="AA731" s="59"/>
      <c r="AB731" s="59"/>
      <c r="AC731" s="59"/>
      <c r="AD731" s="68"/>
    </row>
    <row r="732" spans="1:30" x14ac:dyDescent="0.2">
      <c r="A732" s="95">
        <v>724</v>
      </c>
      <c r="B732" s="95">
        <v>60</v>
      </c>
      <c r="C732" s="95">
        <v>4</v>
      </c>
      <c r="D732" s="95"/>
      <c r="E732" s="95">
        <v>441.51211880250639</v>
      </c>
      <c r="F732" s="95">
        <v>946.09739743394027</v>
      </c>
      <c r="G732" s="95">
        <v>599.19501837482869</v>
      </c>
      <c r="H732" s="95">
        <v>0.60543352103809833</v>
      </c>
      <c r="I732" s="95">
        <v>69.539248029415319</v>
      </c>
      <c r="J732" s="95">
        <v>3.0878002499075645</v>
      </c>
      <c r="K732" s="95">
        <v>16.302376588382163</v>
      </c>
      <c r="L732" s="95">
        <v>6.0998892992256701</v>
      </c>
      <c r="M732" s="95">
        <v>3017.3897909277434</v>
      </c>
      <c r="N732" s="95">
        <v>4900.1709267730203</v>
      </c>
      <c r="O732" s="95">
        <v>10000.000000000007</v>
      </c>
      <c r="Q732" s="98"/>
      <c r="R732" s="95"/>
      <c r="S732" s="99"/>
      <c r="U732" s="121"/>
      <c r="V732" s="59"/>
      <c r="W732" s="59"/>
      <c r="X732" s="59"/>
      <c r="Y732" s="59"/>
      <c r="Z732" s="59"/>
      <c r="AA732" s="59"/>
      <c r="AB732" s="59"/>
      <c r="AC732" s="59"/>
      <c r="AD732" s="68"/>
    </row>
    <row r="733" spans="1:30" x14ac:dyDescent="0.2">
      <c r="A733" s="95">
        <v>725</v>
      </c>
      <c r="B733" s="95">
        <v>60</v>
      </c>
      <c r="C733" s="95">
        <v>5</v>
      </c>
      <c r="D733" s="95"/>
      <c r="E733" s="95">
        <v>434.88943702046879</v>
      </c>
      <c r="F733" s="95">
        <v>931.90593647243122</v>
      </c>
      <c r="G733" s="95">
        <v>590.2070930992063</v>
      </c>
      <c r="H733" s="95">
        <v>0.59049949418582526</v>
      </c>
      <c r="I733" s="95">
        <v>68.194880154214204</v>
      </c>
      <c r="J733" s="95">
        <v>3.022781331959552</v>
      </c>
      <c r="K733" s="95">
        <v>15.993680589152623</v>
      </c>
      <c r="L733" s="95">
        <v>5.9823433569577977</v>
      </c>
      <c r="M733" s="95">
        <v>3017.8058324739227</v>
      </c>
      <c r="N733" s="95">
        <v>4931.407516007509</v>
      </c>
      <c r="O733" s="95">
        <v>10000.000000000007</v>
      </c>
      <c r="Q733" s="98"/>
      <c r="R733" s="95"/>
      <c r="S733" s="99"/>
      <c r="U733" s="121"/>
      <c r="V733" s="59"/>
      <c r="W733" s="59"/>
      <c r="X733" s="59"/>
      <c r="Y733" s="59"/>
      <c r="Z733" s="59"/>
      <c r="AA733" s="59"/>
      <c r="AB733" s="59"/>
      <c r="AC733" s="59"/>
      <c r="AD733" s="68"/>
    </row>
    <row r="734" spans="1:30" x14ac:dyDescent="0.2">
      <c r="A734" s="95">
        <v>726</v>
      </c>
      <c r="B734" s="95">
        <v>60</v>
      </c>
      <c r="C734" s="95">
        <v>6</v>
      </c>
      <c r="D734" s="95"/>
      <c r="E734" s="95">
        <v>428.36609546516178</v>
      </c>
      <c r="F734" s="95">
        <v>917.92734742534481</v>
      </c>
      <c r="G734" s="95">
        <v>581.3539867027182</v>
      </c>
      <c r="H734" s="95">
        <v>0.57593383999590819</v>
      </c>
      <c r="I734" s="95">
        <v>66.876471059663672</v>
      </c>
      <c r="J734" s="95">
        <v>2.957548867260996</v>
      </c>
      <c r="K734" s="95">
        <v>15.692419665615912</v>
      </c>
      <c r="L734" s="95">
        <v>5.8670571332179016</v>
      </c>
      <c r="M734" s="95">
        <v>3018.2138240607414</v>
      </c>
      <c r="N734" s="95">
        <v>4962.1693157802874</v>
      </c>
      <c r="O734" s="95">
        <v>10000.000000000007</v>
      </c>
      <c r="Q734" s="98"/>
      <c r="R734" s="95"/>
      <c r="S734" s="99"/>
      <c r="U734" s="121"/>
      <c r="V734" s="59"/>
      <c r="W734" s="59"/>
      <c r="X734" s="59"/>
      <c r="Y734" s="59"/>
      <c r="Z734" s="59"/>
      <c r="AA734" s="59"/>
      <c r="AB734" s="59"/>
      <c r="AC734" s="59"/>
      <c r="AD734" s="68"/>
    </row>
    <row r="735" spans="1:30" x14ac:dyDescent="0.2">
      <c r="A735" s="95">
        <v>727</v>
      </c>
      <c r="B735" s="95">
        <v>60</v>
      </c>
      <c r="C735" s="95">
        <v>7</v>
      </c>
      <c r="D735" s="95"/>
      <c r="E735" s="95">
        <v>421.94060403318434</v>
      </c>
      <c r="F735" s="95">
        <v>904.15843721396459</v>
      </c>
      <c r="G735" s="95">
        <v>572.6336769021774</v>
      </c>
      <c r="H735" s="95">
        <v>0.5617274719426758</v>
      </c>
      <c r="I735" s="95">
        <v>65.583520273708501</v>
      </c>
      <c r="J735" s="95">
        <v>2.8921764792021425</v>
      </c>
      <c r="K735" s="95">
        <v>15.39838916024001</v>
      </c>
      <c r="L735" s="95">
        <v>5.7539875311518731</v>
      </c>
      <c r="M735" s="95">
        <v>3018.6139122517643</v>
      </c>
      <c r="N735" s="95">
        <v>4992.4635686826714</v>
      </c>
      <c r="O735" s="95">
        <v>10000.000000000007</v>
      </c>
      <c r="Q735" s="98"/>
      <c r="R735" s="95"/>
      <c r="S735" s="99"/>
      <c r="U735" s="121"/>
      <c r="V735" s="59"/>
      <c r="W735" s="59"/>
      <c r="X735" s="59"/>
      <c r="Y735" s="59"/>
      <c r="Z735" s="59"/>
      <c r="AA735" s="59"/>
      <c r="AB735" s="59"/>
      <c r="AC735" s="59"/>
      <c r="AD735" s="68"/>
    </row>
    <row r="736" spans="1:30" x14ac:dyDescent="0.2">
      <c r="A736" s="95">
        <v>728</v>
      </c>
      <c r="B736" s="95">
        <v>60</v>
      </c>
      <c r="C736" s="95">
        <v>8</v>
      </c>
      <c r="D736" s="95"/>
      <c r="E736" s="95">
        <v>415.61149497268656</v>
      </c>
      <c r="F736" s="95">
        <v>890.59606065575508</v>
      </c>
      <c r="G736" s="95">
        <v>564.04417174864477</v>
      </c>
      <c r="H736" s="95">
        <v>0.54787152763475644</v>
      </c>
      <c r="I736" s="95">
        <v>64.315536953956112</v>
      </c>
      <c r="J736" s="95">
        <v>2.8267337104426176</v>
      </c>
      <c r="K736" s="95">
        <v>15.111390371243811</v>
      </c>
      <c r="L736" s="95">
        <v>5.6430923074772732</v>
      </c>
      <c r="M736" s="95">
        <v>3019.0062412835114</v>
      </c>
      <c r="N736" s="95">
        <v>5022.297406468655</v>
      </c>
      <c r="O736" s="95">
        <v>10000.000000000007</v>
      </c>
      <c r="Q736" s="98"/>
      <c r="R736" s="95"/>
      <c r="S736" s="99"/>
      <c r="U736" s="121"/>
      <c r="V736" s="59"/>
      <c r="W736" s="59"/>
      <c r="X736" s="59"/>
      <c r="Y736" s="59"/>
      <c r="Z736" s="59"/>
      <c r="AA736" s="59"/>
      <c r="AB736" s="59"/>
      <c r="AC736" s="59"/>
      <c r="AD736" s="68"/>
    </row>
    <row r="737" spans="1:30" x14ac:dyDescent="0.2">
      <c r="A737" s="95">
        <v>729</v>
      </c>
      <c r="B737" s="95">
        <v>60</v>
      </c>
      <c r="C737" s="95">
        <v>9</v>
      </c>
      <c r="D737" s="95"/>
      <c r="E737" s="95">
        <v>409.37732254809623</v>
      </c>
      <c r="F737" s="95">
        <v>877.23711974591879</v>
      </c>
      <c r="G737" s="95">
        <v>555.58350917241512</v>
      </c>
      <c r="H737" s="95">
        <v>0.53435736328643246</v>
      </c>
      <c r="I737" s="95">
        <v>63.072039702867265</v>
      </c>
      <c r="J737" s="95">
        <v>2.7612861986151334</v>
      </c>
      <c r="K737" s="95">
        <v>14.831230375743479</v>
      </c>
      <c r="L737" s="95">
        <v>5.5343300511665534</v>
      </c>
      <c r="M737" s="95">
        <v>3019.3909530895257</v>
      </c>
      <c r="N737" s="95">
        <v>5051.6778517523726</v>
      </c>
      <c r="O737" s="95">
        <v>10000.000000000007</v>
      </c>
      <c r="Q737" s="98"/>
      <c r="R737" s="95"/>
      <c r="S737" s="99"/>
      <c r="U737" s="121"/>
      <c r="V737" s="59"/>
      <c r="W737" s="59"/>
      <c r="X737" s="59"/>
      <c r="Y737" s="59"/>
      <c r="Z737" s="59"/>
      <c r="AA737" s="59"/>
      <c r="AB737" s="59"/>
      <c r="AC737" s="59"/>
      <c r="AD737" s="68"/>
    </row>
    <row r="738" spans="1:30" x14ac:dyDescent="0.2">
      <c r="A738" s="95">
        <v>730</v>
      </c>
      <c r="B738" s="95">
        <v>60</v>
      </c>
      <c r="C738" s="95">
        <v>10</v>
      </c>
      <c r="D738" s="95"/>
      <c r="E738" s="95">
        <v>403.23666270987479</v>
      </c>
      <c r="F738" s="95">
        <v>864.07856294972999</v>
      </c>
      <c r="G738" s="95">
        <v>547.24975653482886</v>
      </c>
      <c r="H738" s="95">
        <v>0.52117654832536708</v>
      </c>
      <c r="I738" s="95">
        <v>61.852556386481695</v>
      </c>
      <c r="J738" s="95">
        <v>2.695895845150166</v>
      </c>
      <c r="K738" s="95">
        <v>14.557721858186751</v>
      </c>
      <c r="L738" s="95">
        <v>5.427660162986423</v>
      </c>
      <c r="M738" s="95">
        <v>3019.7681873246988</v>
      </c>
      <c r="N738" s="95">
        <v>5080.6118196797443</v>
      </c>
      <c r="O738" s="95">
        <v>10000.000000000007</v>
      </c>
      <c r="Q738" s="98"/>
      <c r="R738" s="95"/>
      <c r="S738" s="99"/>
      <c r="U738" s="121"/>
      <c r="V738" s="59"/>
      <c r="W738" s="59"/>
      <c r="X738" s="59"/>
      <c r="Y738" s="59"/>
      <c r="Z738" s="59"/>
      <c r="AA738" s="59"/>
      <c r="AB738" s="59"/>
      <c r="AC738" s="59"/>
      <c r="AD738" s="68"/>
    </row>
    <row r="739" spans="1:30" x14ac:dyDescent="0.2">
      <c r="A739" s="95">
        <v>731</v>
      </c>
      <c r="B739" s="95">
        <v>60</v>
      </c>
      <c r="C739" s="95">
        <v>11</v>
      </c>
      <c r="D739" s="95"/>
      <c r="E739" s="95">
        <v>397.18811276922668</v>
      </c>
      <c r="F739" s="95">
        <v>851.11738450548398</v>
      </c>
      <c r="G739" s="95">
        <v>539.04101018680637</v>
      </c>
      <c r="H739" s="95">
        <v>0.50832086013334132</v>
      </c>
      <c r="I739" s="95">
        <v>60.65662395661132</v>
      </c>
      <c r="J739" s="95">
        <v>2.6306209774794218</v>
      </c>
      <c r="K739" s="95">
        <v>14.290682943916744</v>
      </c>
      <c r="L739" s="95">
        <v>5.3230428358451638</v>
      </c>
      <c r="M739" s="95">
        <v>3020.1380813898263</v>
      </c>
      <c r="N739" s="95">
        <v>5109.1061195746779</v>
      </c>
      <c r="O739" s="95">
        <v>10000.000000000007</v>
      </c>
      <c r="Q739" s="98"/>
      <c r="R739" s="95"/>
      <c r="S739" s="99"/>
      <c r="U739" s="121"/>
      <c r="V739" s="59"/>
      <c r="W739" s="59"/>
      <c r="X739" s="59"/>
      <c r="Y739" s="59"/>
      <c r="Z739" s="59"/>
      <c r="AA739" s="59"/>
      <c r="AB739" s="59"/>
      <c r="AC739" s="59"/>
      <c r="AD739" s="68"/>
    </row>
    <row r="740" spans="1:30" x14ac:dyDescent="0.2">
      <c r="A740" s="95">
        <v>732</v>
      </c>
      <c r="B740" s="95">
        <v>61</v>
      </c>
      <c r="C740" s="95">
        <v>0</v>
      </c>
      <c r="D740" s="95"/>
      <c r="E740" s="95">
        <v>391.23029107768826</v>
      </c>
      <c r="F740" s="95">
        <v>838.35062373790174</v>
      </c>
      <c r="G740" s="95">
        <v>530.95539503400425</v>
      </c>
      <c r="H740" s="95">
        <v>0.49578227891671889</v>
      </c>
      <c r="I740" s="95">
        <v>59.483788276435071</v>
      </c>
      <c r="J740" s="95">
        <v>2.5927830392188431</v>
      </c>
      <c r="K740" s="95">
        <v>14.002670503359129</v>
      </c>
      <c r="L740" s="95">
        <v>5.2204390359026211</v>
      </c>
      <c r="M740" s="95">
        <v>3020.50077045637</v>
      </c>
      <c r="N740" s="95">
        <v>5137.1674565602107</v>
      </c>
      <c r="O740" s="95">
        <v>10000.000000000007</v>
      </c>
      <c r="Q740" s="98"/>
      <c r="R740" s="95"/>
      <c r="S740" s="99"/>
      <c r="U740" s="121"/>
      <c r="V740" s="59"/>
      <c r="W740" s="59"/>
      <c r="X740" s="59"/>
      <c r="Y740" s="59"/>
      <c r="Z740" s="59"/>
      <c r="AA740" s="59"/>
      <c r="AB740" s="59"/>
      <c r="AC740" s="59"/>
      <c r="AD740" s="68"/>
    </row>
    <row r="741" spans="1:30" x14ac:dyDescent="0.2">
      <c r="A741" s="95">
        <v>733</v>
      </c>
      <c r="B741" s="95">
        <v>61</v>
      </c>
      <c r="C741" s="95">
        <v>1</v>
      </c>
      <c r="D741" s="95"/>
      <c r="E741" s="95">
        <v>385.36183671152293</v>
      </c>
      <c r="F741" s="95">
        <v>825.77536438183324</v>
      </c>
      <c r="G741" s="95">
        <v>522.99106410849424</v>
      </c>
      <c r="H741" s="95">
        <v>0.48355298270343983</v>
      </c>
      <c r="I741" s="95">
        <v>58.333603949430483</v>
      </c>
      <c r="J741" s="95">
        <v>2.5539139962801776</v>
      </c>
      <c r="K741" s="95">
        <v>13.721873684190093</v>
      </c>
      <c r="L741" s="95">
        <v>5.1198104844003298</v>
      </c>
      <c r="M741" s="95">
        <v>3020.8565465461902</v>
      </c>
      <c r="N741" s="95">
        <v>5164.8024331549614</v>
      </c>
      <c r="O741" s="95">
        <v>10000.000000000007</v>
      </c>
      <c r="Q741" s="98"/>
      <c r="R741" s="95"/>
      <c r="S741" s="99"/>
      <c r="U741" s="121"/>
      <c r="V741" s="59"/>
      <c r="W741" s="59"/>
      <c r="X741" s="59"/>
      <c r="Y741" s="59"/>
      <c r="Z741" s="59"/>
      <c r="AA741" s="59"/>
      <c r="AB741" s="59"/>
      <c r="AC741" s="59"/>
      <c r="AD741" s="68"/>
    </row>
    <row r="742" spans="1:30" x14ac:dyDescent="0.2">
      <c r="A742" s="95">
        <v>734</v>
      </c>
      <c r="B742" s="95">
        <v>61</v>
      </c>
      <c r="C742" s="95">
        <v>2</v>
      </c>
      <c r="D742" s="95"/>
      <c r="E742" s="95">
        <v>379.58140916085006</v>
      </c>
      <c r="F742" s="95">
        <v>813.38873391610571</v>
      </c>
      <c r="G742" s="95">
        <v>515.14619814686682</v>
      </c>
      <c r="H742" s="95">
        <v>0.47162534246342164</v>
      </c>
      <c r="I742" s="95">
        <v>57.205634151578508</v>
      </c>
      <c r="J742" s="95">
        <v>2.515392098088026</v>
      </c>
      <c r="K742" s="95">
        <v>13.446808333158819</v>
      </c>
      <c r="L742" s="95">
        <v>5.0211187388614134</v>
      </c>
      <c r="M742" s="95">
        <v>3021.2055316525893</v>
      </c>
      <c r="N742" s="95">
        <v>5192.0175484594438</v>
      </c>
      <c r="O742" s="95">
        <v>10000.000000000005</v>
      </c>
      <c r="Q742" s="98"/>
      <c r="R742" s="95"/>
      <c r="S742" s="99"/>
      <c r="U742" s="121"/>
      <c r="V742" s="59"/>
      <c r="W742" s="59"/>
      <c r="X742" s="59"/>
      <c r="Y742" s="59"/>
      <c r="Z742" s="59"/>
      <c r="AA742" s="59"/>
      <c r="AB742" s="59"/>
      <c r="AC742" s="59"/>
      <c r="AD742" s="68"/>
    </row>
    <row r="743" spans="1:30" x14ac:dyDescent="0.2">
      <c r="A743" s="95">
        <v>735</v>
      </c>
      <c r="B743" s="95">
        <v>61</v>
      </c>
      <c r="C743" s="95">
        <v>3</v>
      </c>
      <c r="D743" s="95"/>
      <c r="E743" s="95">
        <v>373.88768802343731</v>
      </c>
      <c r="F743" s="95">
        <v>801.1879029073641</v>
      </c>
      <c r="G743" s="95">
        <v>507.41900517466382</v>
      </c>
      <c r="H743" s="95">
        <v>0.45999191734932393</v>
      </c>
      <c r="I743" s="95">
        <v>56.099450466779174</v>
      </c>
      <c r="J743" s="95">
        <v>2.4772251198965636</v>
      </c>
      <c r="K743" s="95">
        <v>13.177354488833325</v>
      </c>
      <c r="L743" s="95">
        <v>4.9243261916079142</v>
      </c>
      <c r="M743" s="95">
        <v>3021.5478534523108</v>
      </c>
      <c r="N743" s="95">
        <v>5218.8192022577632</v>
      </c>
      <c r="O743" s="95">
        <v>10000.000000000005</v>
      </c>
      <c r="Q743" s="98"/>
      <c r="R743" s="95"/>
      <c r="S743" s="99"/>
      <c r="U743" s="121"/>
      <c r="V743" s="59"/>
      <c r="W743" s="59"/>
      <c r="X743" s="59"/>
      <c r="Y743" s="59"/>
      <c r="Z743" s="59"/>
      <c r="AA743" s="59"/>
      <c r="AB743" s="59"/>
      <c r="AC743" s="59"/>
      <c r="AD743" s="68"/>
    </row>
    <row r="744" spans="1:30" x14ac:dyDescent="0.2">
      <c r="A744" s="95">
        <v>736</v>
      </c>
      <c r="B744" s="95">
        <v>61</v>
      </c>
      <c r="C744" s="95">
        <v>4</v>
      </c>
      <c r="D744" s="95"/>
      <c r="E744" s="95">
        <v>368.27937270308576</v>
      </c>
      <c r="F744" s="95">
        <v>789.17008436375363</v>
      </c>
      <c r="G744" s="95">
        <v>499.80772009704384</v>
      </c>
      <c r="H744" s="95">
        <v>0.4486454500547073</v>
      </c>
      <c r="I744" s="95">
        <v>55.014632725416924</v>
      </c>
      <c r="J744" s="95">
        <v>2.4394201680337111</v>
      </c>
      <c r="K744" s="95">
        <v>12.913394786585251</v>
      </c>
      <c r="L744" s="95">
        <v>4.8293960017431257</v>
      </c>
      <c r="M744" s="95">
        <v>3021.8836372821766</v>
      </c>
      <c r="N744" s="95">
        <v>5245.2136964221127</v>
      </c>
      <c r="O744" s="95">
        <v>10000.000000000005</v>
      </c>
      <c r="Q744" s="98"/>
      <c r="R744" s="95"/>
      <c r="S744" s="99"/>
      <c r="U744" s="121"/>
      <c r="V744" s="59"/>
      <c r="W744" s="59"/>
      <c r="X744" s="59"/>
      <c r="Y744" s="59"/>
      <c r="Z744" s="59"/>
      <c r="AA744" s="59"/>
      <c r="AB744" s="59"/>
      <c r="AC744" s="59"/>
      <c r="AD744" s="68"/>
    </row>
    <row r="745" spans="1:30" x14ac:dyDescent="0.2">
      <c r="A745" s="95">
        <v>737</v>
      </c>
      <c r="B745" s="95">
        <v>61</v>
      </c>
      <c r="C745" s="95">
        <v>5</v>
      </c>
      <c r="D745" s="95"/>
      <c r="E745" s="95">
        <v>362.75518211253944</v>
      </c>
      <c r="F745" s="95">
        <v>777.33253309829729</v>
      </c>
      <c r="G745" s="95">
        <v>492.31060429558818</v>
      </c>
      <c r="H745" s="95">
        <v>0.43757886228669118</v>
      </c>
      <c r="I745" s="95">
        <v>53.950768846015606</v>
      </c>
      <c r="J745" s="95">
        <v>2.4019837113956162</v>
      </c>
      <c r="K745" s="95">
        <v>12.654814399962184</v>
      </c>
      <c r="L745" s="95">
        <v>4.7362920769107797</v>
      </c>
      <c r="M745" s="95">
        <v>3022.2130061804619</v>
      </c>
      <c r="N745" s="95">
        <v>5271.2072364165479</v>
      </c>
      <c r="O745" s="95">
        <v>10000.000000000005</v>
      </c>
      <c r="Q745" s="98"/>
      <c r="R745" s="95"/>
      <c r="S745" s="99"/>
      <c r="U745" s="121"/>
      <c r="V745" s="59"/>
      <c r="W745" s="59"/>
      <c r="X745" s="59"/>
      <c r="Y745" s="59"/>
      <c r="Z745" s="59"/>
      <c r="AA745" s="59"/>
      <c r="AB745" s="59"/>
      <c r="AC745" s="59"/>
      <c r="AD745" s="68"/>
    </row>
    <row r="746" spans="1:30" x14ac:dyDescent="0.2">
      <c r="A746" s="95">
        <v>738</v>
      </c>
      <c r="B746" s="95">
        <v>61</v>
      </c>
      <c r="C746" s="95">
        <v>6</v>
      </c>
      <c r="D746" s="95"/>
      <c r="E746" s="95">
        <v>357.31385438085135</v>
      </c>
      <c r="F746" s="95">
        <v>765.67254510182283</v>
      </c>
      <c r="G746" s="95">
        <v>484.92594523115434</v>
      </c>
      <c r="H746" s="95">
        <v>0.42678525035028614</v>
      </c>
      <c r="I746" s="95">
        <v>52.907454679924243</v>
      </c>
      <c r="J746" s="95">
        <v>2.3649216116678091</v>
      </c>
      <c r="K746" s="95">
        <v>12.401500983449001</v>
      </c>
      <c r="L746" s="95">
        <v>4.6449790556384221</v>
      </c>
      <c r="M746" s="95">
        <v>3022.5360809275544</v>
      </c>
      <c r="N746" s="95">
        <v>5296.8059327775927</v>
      </c>
      <c r="O746" s="95">
        <v>10000.000000000005</v>
      </c>
      <c r="Q746" s="98"/>
      <c r="R746" s="95"/>
      <c r="S746" s="99"/>
      <c r="U746" s="121"/>
      <c r="V746" s="59"/>
      <c r="W746" s="59"/>
      <c r="X746" s="59"/>
      <c r="Y746" s="59"/>
      <c r="Z746" s="59"/>
      <c r="AA746" s="59"/>
      <c r="AB746" s="59"/>
      <c r="AC746" s="59"/>
      <c r="AD746" s="68"/>
    </row>
    <row r="747" spans="1:30" x14ac:dyDescent="0.2">
      <c r="A747" s="95">
        <v>739</v>
      </c>
      <c r="B747" s="95">
        <v>61</v>
      </c>
      <c r="C747" s="95">
        <v>7</v>
      </c>
      <c r="D747" s="95"/>
      <c r="E747" s="95">
        <v>351.95414656513856</v>
      </c>
      <c r="F747" s="95">
        <v>754.18745692529546</v>
      </c>
      <c r="G747" s="95">
        <v>477.65205605268704</v>
      </c>
      <c r="H747" s="95">
        <v>0.41625788084164572</v>
      </c>
      <c r="I747" s="95">
        <v>51.884293858975767</v>
      </c>
      <c r="J747" s="95">
        <v>2.3282391523214394</v>
      </c>
      <c r="K747" s="95">
        <v>12.153344616583558</v>
      </c>
      <c r="L747" s="95">
        <v>4.5554222902396191</v>
      </c>
      <c r="M747" s="95">
        <v>3022.8529800859069</v>
      </c>
      <c r="N747" s="95">
        <v>5322.0158025720157</v>
      </c>
      <c r="O747" s="95">
        <v>10000.000000000005</v>
      </c>
      <c r="Q747" s="98"/>
      <c r="R747" s="95"/>
      <c r="S747" s="99"/>
      <c r="U747" s="121"/>
      <c r="V747" s="59"/>
      <c r="W747" s="59"/>
      <c r="X747" s="59"/>
      <c r="Y747" s="59"/>
      <c r="Z747" s="59"/>
      <c r="AA747" s="59"/>
      <c r="AB747" s="59"/>
      <c r="AC747" s="59"/>
      <c r="AD747" s="68"/>
    </row>
    <row r="748" spans="1:30" x14ac:dyDescent="0.2">
      <c r="A748" s="95">
        <v>740</v>
      </c>
      <c r="B748" s="95">
        <v>61</v>
      </c>
      <c r="C748" s="95">
        <v>8</v>
      </c>
      <c r="D748" s="95"/>
      <c r="E748" s="95">
        <v>346.67483436666146</v>
      </c>
      <c r="F748" s="95">
        <v>742.87464507141601</v>
      </c>
      <c r="G748" s="95">
        <v>470.48727521189676</v>
      </c>
      <c r="H748" s="95">
        <v>0.4059901864475518</v>
      </c>
      <c r="I748" s="95">
        <v>50.880897646062124</v>
      </c>
      <c r="J748" s="95">
        <v>2.2919410664312139</v>
      </c>
      <c r="K748" s="95">
        <v>11.910237749393096</v>
      </c>
      <c r="L748" s="95">
        <v>4.467587830250932</v>
      </c>
      <c r="M748" s="95">
        <v>3023.1638200392995</v>
      </c>
      <c r="N748" s="95">
        <v>5346.8427708321469</v>
      </c>
      <c r="O748" s="95">
        <v>10000.000000000005</v>
      </c>
      <c r="Q748" s="98"/>
      <c r="R748" s="95"/>
      <c r="S748" s="99"/>
      <c r="U748" s="121"/>
      <c r="V748" s="59"/>
      <c r="W748" s="59"/>
      <c r="X748" s="59"/>
      <c r="Y748" s="59"/>
      <c r="Z748" s="59"/>
      <c r="AA748" s="59"/>
      <c r="AB748" s="59"/>
      <c r="AC748" s="59"/>
      <c r="AD748" s="68"/>
    </row>
    <row r="749" spans="1:30" x14ac:dyDescent="0.2">
      <c r="A749" s="95">
        <v>741</v>
      </c>
      <c r="B749" s="95">
        <v>61</v>
      </c>
      <c r="C749" s="95">
        <v>9</v>
      </c>
      <c r="D749" s="95"/>
      <c r="E749" s="95">
        <v>341.47471185116154</v>
      </c>
      <c r="F749" s="95">
        <v>731.73152539534476</v>
      </c>
      <c r="G749" s="95">
        <v>463.42996608371828</v>
      </c>
      <c r="H749" s="95">
        <v>0.39597576184851219</v>
      </c>
      <c r="I749" s="95">
        <v>49.896884788570077</v>
      </c>
      <c r="J749" s="95">
        <v>2.2560315633599273</v>
      </c>
      <c r="K749" s="95">
        <v>11.672075149118506</v>
      </c>
      <c r="L749" s="95">
        <v>4.3814424063808159</v>
      </c>
      <c r="M749" s="95">
        <v>3023.4687150314276</v>
      </c>
      <c r="N749" s="95">
        <v>5371.2926719690749</v>
      </c>
      <c r="O749" s="95">
        <v>10000.000000000005</v>
      </c>
      <c r="Q749" s="98"/>
      <c r="R749" s="95"/>
      <c r="S749" s="99"/>
      <c r="U749" s="121"/>
      <c r="V749" s="59"/>
      <c r="W749" s="59"/>
      <c r="X749" s="59"/>
      <c r="Y749" s="59"/>
      <c r="Z749" s="59"/>
      <c r="AA749" s="59"/>
      <c r="AB749" s="59"/>
      <c r="AC749" s="59"/>
      <c r="AD749" s="68"/>
    </row>
    <row r="750" spans="1:30" x14ac:dyDescent="0.2">
      <c r="A750" s="95">
        <v>742</v>
      </c>
      <c r="B750" s="95">
        <v>61</v>
      </c>
      <c r="C750" s="95">
        <v>10</v>
      </c>
      <c r="D750" s="95"/>
      <c r="E750" s="95">
        <v>336.3525911733941</v>
      </c>
      <c r="F750" s="95">
        <v>720.7555525144146</v>
      </c>
      <c r="G750" s="95">
        <v>456.47851659246248</v>
      </c>
      <c r="H750" s="95">
        <v>0.38620835972291556</v>
      </c>
      <c r="I750" s="95">
        <v>48.93188137462321</v>
      </c>
      <c r="J750" s="95">
        <v>2.220514354352821</v>
      </c>
      <c r="K750" s="95">
        <v>11.438753848194512</v>
      </c>
      <c r="L750" s="95">
        <v>4.2969534149487627</v>
      </c>
      <c r="M750" s="95">
        <v>3023.7677772038242</v>
      </c>
      <c r="N750" s="95">
        <v>5395.3712511640679</v>
      </c>
      <c r="O750" s="95">
        <v>10000.000000000005</v>
      </c>
      <c r="Q750" s="98"/>
      <c r="R750" s="95"/>
      <c r="S750" s="99"/>
      <c r="U750" s="121"/>
      <c r="V750" s="59"/>
      <c r="W750" s="59"/>
      <c r="X750" s="59"/>
      <c r="Y750" s="59"/>
      <c r="Z750" s="59"/>
      <c r="AA750" s="59"/>
      <c r="AB750" s="59"/>
      <c r="AC750" s="59"/>
      <c r="AD750" s="68"/>
    </row>
    <row r="751" spans="1:30" x14ac:dyDescent="0.2">
      <c r="A751" s="95">
        <v>743</v>
      </c>
      <c r="B751" s="95">
        <v>61</v>
      </c>
      <c r="C751" s="95">
        <v>11</v>
      </c>
      <c r="D751" s="95"/>
      <c r="E751" s="95">
        <v>331.3073023057932</v>
      </c>
      <c r="F751" s="95">
        <v>709.94421922669835</v>
      </c>
      <c r="G751" s="95">
        <v>449.63133884357552</v>
      </c>
      <c r="H751" s="95">
        <v>0.37668188684975029</v>
      </c>
      <c r="I751" s="95">
        <v>47.985520692076598</v>
      </c>
      <c r="J751" s="95">
        <v>2.1853926770834127</v>
      </c>
      <c r="K751" s="95">
        <v>11.210173093454634</v>
      </c>
      <c r="L751" s="95">
        <v>4.2140889027941002</v>
      </c>
      <c r="M751" s="95">
        <v>3024.06111663313</v>
      </c>
      <c r="N751" s="95">
        <v>5419.084165738549</v>
      </c>
      <c r="O751" s="95">
        <v>10000.000000000005</v>
      </c>
      <c r="Q751" s="98"/>
      <c r="R751" s="95"/>
      <c r="S751" s="99"/>
      <c r="U751" s="121"/>
      <c r="V751" s="59"/>
      <c r="W751" s="59"/>
      <c r="X751" s="59"/>
      <c r="Y751" s="59"/>
      <c r="Z751" s="59"/>
      <c r="AA751" s="59"/>
      <c r="AB751" s="59"/>
      <c r="AC751" s="59"/>
      <c r="AD751" s="68"/>
    </row>
    <row r="752" spans="1:30" x14ac:dyDescent="0.2">
      <c r="A752" s="95">
        <v>744</v>
      </c>
      <c r="B752" s="95">
        <v>62</v>
      </c>
      <c r="C752" s="95">
        <v>0</v>
      </c>
      <c r="D752" s="95"/>
      <c r="E752" s="95">
        <v>326.33769277120632</v>
      </c>
      <c r="F752" s="95">
        <v>699.29505593829788</v>
      </c>
      <c r="G752" s="95">
        <v>442.88686876092191</v>
      </c>
      <c r="H752" s="95">
        <v>0.36739040030745646</v>
      </c>
      <c r="I752" s="95">
        <v>47.057443090211656</v>
      </c>
      <c r="J752" s="95">
        <v>2.1506693191908832</v>
      </c>
      <c r="K752" s="95">
        <v>10.986234296530617</v>
      </c>
      <c r="L752" s="95">
        <v>4.1328175526349034</v>
      </c>
      <c r="M752" s="95">
        <v>3024.3488413677292</v>
      </c>
      <c r="N752" s="95">
        <v>5442.4369865029739</v>
      </c>
      <c r="O752" s="95">
        <v>10000.000000000005</v>
      </c>
      <c r="Q752" s="98"/>
      <c r="R752" s="95"/>
      <c r="S752" s="99"/>
      <c r="U752" s="121"/>
      <c r="V752" s="59"/>
      <c r="W752" s="59"/>
      <c r="X752" s="59"/>
      <c r="Y752" s="59"/>
      <c r="Z752" s="59"/>
      <c r="AA752" s="59"/>
      <c r="AB752" s="59"/>
      <c r="AC752" s="59"/>
      <c r="AD752" s="68"/>
    </row>
    <row r="753" spans="1:30" x14ac:dyDescent="0.2">
      <c r="A753" s="95">
        <v>745</v>
      </c>
      <c r="B753" s="95">
        <v>62</v>
      </c>
      <c r="C753" s="95">
        <v>1</v>
      </c>
      <c r="D753" s="95"/>
      <c r="E753" s="95">
        <v>321.44262737963822</v>
      </c>
      <c r="F753" s="95">
        <v>688.80563009922344</v>
      </c>
      <c r="G753" s="95">
        <v>436.24356572950808</v>
      </c>
      <c r="H753" s="95">
        <v>0.35832810376653917</v>
      </c>
      <c r="I753" s="95">
        <v>46.147295844079686</v>
      </c>
      <c r="J753" s="95">
        <v>2.1163466408476355</v>
      </c>
      <c r="K753" s="95">
        <v>10.766840985416794</v>
      </c>
      <c r="L753" s="95">
        <v>4.0531086688584566</v>
      </c>
      <c r="M753" s="95">
        <v>3024.6310574637523</v>
      </c>
      <c r="N753" s="95">
        <v>5465.4351990849136</v>
      </c>
      <c r="O753" s="95">
        <v>10000.000000000005</v>
      </c>
      <c r="Q753" s="98"/>
      <c r="R753" s="95"/>
      <c r="S753" s="99"/>
      <c r="U753" s="121"/>
      <c r="V753" s="59"/>
      <c r="W753" s="59"/>
      <c r="X753" s="59"/>
      <c r="Y753" s="59"/>
      <c r="Z753" s="59"/>
      <c r="AA753" s="59"/>
      <c r="AB753" s="59"/>
      <c r="AC753" s="59"/>
      <c r="AD753" s="68"/>
    </row>
    <row r="754" spans="1:30" x14ac:dyDescent="0.2">
      <c r="A754" s="95">
        <v>746</v>
      </c>
      <c r="B754" s="95">
        <v>62</v>
      </c>
      <c r="C754" s="95">
        <v>2</v>
      </c>
      <c r="D754" s="95"/>
      <c r="E754" s="95">
        <v>316.62098796894367</v>
      </c>
      <c r="F754" s="95">
        <v>678.47354564773514</v>
      </c>
      <c r="G754" s="95">
        <v>429.69991224356545</v>
      </c>
      <c r="H754" s="95">
        <v>0.34948934387363123</v>
      </c>
      <c r="I754" s="95">
        <v>45.254733021443549</v>
      </c>
      <c r="J754" s="95">
        <v>2.082426596394201</v>
      </c>
      <c r="K754" s="95">
        <v>10.55189875717061</v>
      </c>
      <c r="L754" s="95">
        <v>3.9749321637256245</v>
      </c>
      <c r="M754" s="95">
        <v>3024.9078690204692</v>
      </c>
      <c r="N754" s="95">
        <v>5488.0842052366834</v>
      </c>
      <c r="O754" s="95">
        <v>10000.000000000004</v>
      </c>
      <c r="Q754" s="98"/>
      <c r="R754" s="95"/>
      <c r="S754" s="99"/>
      <c r="U754" s="121"/>
      <c r="V754" s="59"/>
      <c r="W754" s="59"/>
      <c r="X754" s="59"/>
      <c r="Y754" s="59"/>
      <c r="Z754" s="59"/>
      <c r="AA754" s="59"/>
      <c r="AB754" s="59"/>
      <c r="AC754" s="59"/>
      <c r="AD754" s="68"/>
    </row>
    <row r="755" spans="1:30" x14ac:dyDescent="0.2">
      <c r="A755" s="95">
        <v>747</v>
      </c>
      <c r="B755" s="95">
        <v>62</v>
      </c>
      <c r="C755" s="95">
        <v>3</v>
      </c>
      <c r="D755" s="95"/>
      <c r="E755" s="95">
        <v>311.8716731494095</v>
      </c>
      <c r="F755" s="95">
        <v>668.29644246301916</v>
      </c>
      <c r="G755" s="95">
        <v>423.254413559912</v>
      </c>
      <c r="H755" s="95">
        <v>0.34086860672474834</v>
      </c>
      <c r="I755" s="95">
        <v>44.379415352267962</v>
      </c>
      <c r="J755" s="95">
        <v>2.0489107550773009</v>
      </c>
      <c r="K755" s="95">
        <v>10.341315231721291</v>
      </c>
      <c r="L755" s="95">
        <v>3.8982585439723882</v>
      </c>
      <c r="M755" s="95">
        <v>3025.1793782150739</v>
      </c>
      <c r="N755" s="95">
        <v>5510.3893241228261</v>
      </c>
      <c r="O755" s="95">
        <v>10000.000000000004</v>
      </c>
      <c r="Q755" s="98"/>
      <c r="R755" s="95"/>
      <c r="S755" s="99"/>
      <c r="U755" s="121"/>
      <c r="V755" s="59"/>
      <c r="W755" s="59"/>
      <c r="X755" s="59"/>
      <c r="Y755" s="59"/>
      <c r="Z755" s="59"/>
      <c r="AA755" s="59"/>
      <c r="AB755" s="59"/>
      <c r="AC755" s="59"/>
      <c r="AD755" s="68"/>
    </row>
    <row r="756" spans="1:30" x14ac:dyDescent="0.2">
      <c r="A756" s="95">
        <v>748</v>
      </c>
      <c r="B756" s="95">
        <v>62</v>
      </c>
      <c r="C756" s="95">
        <v>4</v>
      </c>
      <c r="D756" s="95"/>
      <c r="E756" s="95">
        <v>307.19359805216834</v>
      </c>
      <c r="F756" s="95">
        <v>658.27199582607386</v>
      </c>
      <c r="G756" s="95">
        <v>416.90559735651334</v>
      </c>
      <c r="H756" s="95">
        <v>0.33246051442553787</v>
      </c>
      <c r="I756" s="95">
        <v>43.521010100709766</v>
      </c>
      <c r="J756" s="95">
        <v>2.0158003209255266</v>
      </c>
      <c r="K756" s="95">
        <v>10.135000006759361</v>
      </c>
      <c r="L756" s="95">
        <v>3.823058897792623</v>
      </c>
      <c r="M756" s="95">
        <v>3025.4456853368783</v>
      </c>
      <c r="N756" s="95">
        <v>5532.355793587757</v>
      </c>
      <c r="O756" s="95">
        <v>10000.000000000004</v>
      </c>
      <c r="Q756" s="98"/>
      <c r="R756" s="95"/>
      <c r="S756" s="99"/>
      <c r="U756" s="121"/>
      <c r="V756" s="59"/>
      <c r="W756" s="59"/>
      <c r="X756" s="59"/>
      <c r="Y756" s="59"/>
      <c r="Z756" s="59"/>
      <c r="AA756" s="59"/>
      <c r="AB756" s="59"/>
      <c r="AC756" s="59"/>
      <c r="AD756" s="68"/>
    </row>
    <row r="757" spans="1:30" x14ac:dyDescent="0.2">
      <c r="A757" s="95">
        <v>749</v>
      </c>
      <c r="B757" s="95">
        <v>62</v>
      </c>
      <c r="C757" s="95">
        <v>5</v>
      </c>
      <c r="D757" s="95"/>
      <c r="E757" s="95">
        <v>302.58569408138584</v>
      </c>
      <c r="F757" s="95">
        <v>648.39791588868275</v>
      </c>
      <c r="G757" s="95">
        <v>410.65201339616561</v>
      </c>
      <c r="H757" s="95">
        <v>0.32425982173637458</v>
      </c>
      <c r="I757" s="95">
        <v>42.679190939560435</v>
      </c>
      <c r="J757" s="95">
        <v>1.9830961517958337</v>
      </c>
      <c r="K757" s="95">
        <v>9.9328646136804153</v>
      </c>
      <c r="L757" s="95">
        <v>3.7493048821869888</v>
      </c>
      <c r="M757" s="95">
        <v>3025.7068888209219</v>
      </c>
      <c r="N757" s="95">
        <v>5553.9887714038878</v>
      </c>
      <c r="O757" s="95">
        <v>10000.000000000004</v>
      </c>
      <c r="Q757" s="98"/>
      <c r="R757" s="95"/>
      <c r="S757" s="99"/>
      <c r="U757" s="121"/>
      <c r="V757" s="59"/>
      <c r="W757" s="59"/>
      <c r="X757" s="59"/>
      <c r="Y757" s="59"/>
      <c r="Z757" s="59"/>
      <c r="AA757" s="59"/>
      <c r="AB757" s="59"/>
      <c r="AC757" s="59"/>
      <c r="AD757" s="68"/>
    </row>
    <row r="758" spans="1:30" x14ac:dyDescent="0.2">
      <c r="A758" s="95">
        <v>750</v>
      </c>
      <c r="B758" s="95">
        <v>62</v>
      </c>
      <c r="C758" s="95">
        <v>6</v>
      </c>
      <c r="D758" s="95"/>
      <c r="E758" s="95">
        <v>298.04690867016507</v>
      </c>
      <c r="F758" s="95">
        <v>638.67194715035248</v>
      </c>
      <c r="G758" s="95">
        <v>404.49223319522315</v>
      </c>
      <c r="H758" s="95">
        <v>0.3162614128002107</v>
      </c>
      <c r="I758" s="95">
        <v>41.85363782709409</v>
      </c>
      <c r="J758" s="95">
        <v>1.9507987776228106</v>
      </c>
      <c r="K758" s="95">
        <v>9.7348224745572463</v>
      </c>
      <c r="L758" s="95">
        <v>3.6769687106635494</v>
      </c>
      <c r="M758" s="95">
        <v>3025.9630852810096</v>
      </c>
      <c r="N758" s="95">
        <v>5575.2933365005156</v>
      </c>
      <c r="O758" s="95">
        <v>10000.000000000004</v>
      </c>
      <c r="Q758" s="98"/>
      <c r="R758" s="95"/>
      <c r="S758" s="99"/>
      <c r="U758" s="121"/>
      <c r="V758" s="59"/>
      <c r="W758" s="59"/>
      <c r="X758" s="59"/>
      <c r="Y758" s="59"/>
      <c r="Z758" s="59"/>
      <c r="AA758" s="59"/>
      <c r="AB758" s="59"/>
      <c r="AC758" s="59"/>
      <c r="AD758" s="68"/>
    </row>
    <row r="759" spans="1:30" x14ac:dyDescent="0.2">
      <c r="A759" s="95">
        <v>751</v>
      </c>
      <c r="B759" s="95">
        <v>62</v>
      </c>
      <c r="C759" s="95">
        <v>7</v>
      </c>
      <c r="D759" s="95"/>
      <c r="E759" s="95">
        <v>293.5762050401126</v>
      </c>
      <c r="F759" s="95">
        <v>629.09186794309721</v>
      </c>
      <c r="G759" s="95">
        <v>398.4248496972948</v>
      </c>
      <c r="H759" s="95">
        <v>0.30846029795113883</v>
      </c>
      <c r="I759" s="95">
        <v>41.04403688627508</v>
      </c>
      <c r="J759" s="95">
        <v>1.9189084179014895</v>
      </c>
      <c r="K759" s="95">
        <v>9.5407888601150876</v>
      </c>
      <c r="L759" s="95">
        <v>3.6060231412764483</v>
      </c>
      <c r="M759" s="95">
        <v>3026.2143695421873</v>
      </c>
      <c r="N759" s="95">
        <v>5596.2744901737933</v>
      </c>
      <c r="O759" s="95">
        <v>10000.000000000004</v>
      </c>
      <c r="Q759" s="98"/>
      <c r="R759" s="95"/>
      <c r="S759" s="99"/>
      <c r="U759" s="121"/>
      <c r="V759" s="59"/>
      <c r="W759" s="59"/>
      <c r="X759" s="59"/>
      <c r="Y759" s="59"/>
      <c r="Z759" s="59"/>
      <c r="AA759" s="59"/>
      <c r="AB759" s="59"/>
      <c r="AC759" s="59"/>
      <c r="AD759" s="68"/>
    </row>
    <row r="760" spans="1:30" x14ac:dyDescent="0.2">
      <c r="A760" s="95">
        <v>752</v>
      </c>
      <c r="B760" s="95">
        <v>62</v>
      </c>
      <c r="C760" s="95">
        <v>8</v>
      </c>
      <c r="D760" s="95"/>
      <c r="E760" s="95">
        <v>289.17256196451092</v>
      </c>
      <c r="F760" s="95">
        <v>619.65548992395077</v>
      </c>
      <c r="G760" s="95">
        <v>392.4484769518354</v>
      </c>
      <c r="H760" s="95">
        <v>0.30085161060167742</v>
      </c>
      <c r="I760" s="95">
        <v>40.250080286280102</v>
      </c>
      <c r="J760" s="95">
        <v>1.8874249984333273</v>
      </c>
      <c r="K760" s="95">
        <v>9.3506808486853874</v>
      </c>
      <c r="L760" s="95">
        <v>3.5364414649896294</v>
      </c>
      <c r="M760" s="95">
        <v>3026.4608346726636</v>
      </c>
      <c r="N760" s="95">
        <v>5616.9371572780537</v>
      </c>
      <c r="O760" s="95">
        <v>10000.000000000005</v>
      </c>
      <c r="Q760" s="98"/>
      <c r="R760" s="95"/>
      <c r="S760" s="99"/>
      <c r="U760" s="121"/>
      <c r="V760" s="59"/>
      <c r="W760" s="59"/>
      <c r="X760" s="59"/>
      <c r="Y760" s="59"/>
      <c r="Z760" s="59"/>
      <c r="AA760" s="59"/>
      <c r="AB760" s="59"/>
      <c r="AC760" s="59"/>
      <c r="AD760" s="68"/>
    </row>
    <row r="761" spans="1:30" x14ac:dyDescent="0.2">
      <c r="A761" s="95">
        <v>753</v>
      </c>
      <c r="B761" s="95">
        <v>62</v>
      </c>
      <c r="C761" s="95">
        <v>9</v>
      </c>
      <c r="D761" s="95"/>
      <c r="E761" s="95">
        <v>284.83497353504328</v>
      </c>
      <c r="F761" s="95">
        <v>610.36065757509152</v>
      </c>
      <c r="G761" s="95">
        <v>386.56174979755787</v>
      </c>
      <c r="H761" s="95">
        <v>0.29343060420683603</v>
      </c>
      <c r="I761" s="95">
        <v>39.471466126290643</v>
      </c>
      <c r="J761" s="95">
        <v>1.85634816736388</v>
      </c>
      <c r="K761" s="95">
        <v>9.1644172861141566</v>
      </c>
      <c r="L761" s="95">
        <v>3.468197494353237</v>
      </c>
      <c r="M761" s="95">
        <v>3026.7025720151901</v>
      </c>
      <c r="N761" s="95">
        <v>5637.2861873987931</v>
      </c>
      <c r="O761" s="95">
        <v>10000.000000000005</v>
      </c>
      <c r="Q761" s="98"/>
      <c r="R761" s="95"/>
      <c r="S761" s="99"/>
      <c r="U761" s="121"/>
      <c r="V761" s="59"/>
      <c r="W761" s="59"/>
      <c r="X761" s="59"/>
      <c r="Y761" s="59"/>
      <c r="Z761" s="59"/>
      <c r="AA761" s="59"/>
      <c r="AB761" s="59"/>
      <c r="AC761" s="59"/>
      <c r="AD761" s="68"/>
    </row>
    <row r="762" spans="1:30" x14ac:dyDescent="0.2">
      <c r="A762" s="95">
        <v>754</v>
      </c>
      <c r="B762" s="95">
        <v>62</v>
      </c>
      <c r="C762" s="95">
        <v>10</v>
      </c>
      <c r="D762" s="95"/>
      <c r="E762" s="95">
        <v>280.56244893201762</v>
      </c>
      <c r="F762" s="95">
        <v>601.20524771146518</v>
      </c>
      <c r="G762" s="95">
        <v>380.76332355059452</v>
      </c>
      <c r="H762" s="95">
        <v>0.28619264930306743</v>
      </c>
      <c r="I762" s="95">
        <v>38.707898321512502</v>
      </c>
      <c r="J762" s="95">
        <v>1.8256773105396262</v>
      </c>
      <c r="K762" s="95">
        <v>8.9819187466015578</v>
      </c>
      <c r="L762" s="95">
        <v>3.401265552480917</v>
      </c>
      <c r="M762" s="95">
        <v>3026.9396712179064</v>
      </c>
      <c r="N762" s="95">
        <v>5657.3263560075829</v>
      </c>
      <c r="O762" s="95">
        <v>10000.000000000004</v>
      </c>
      <c r="Q762" s="98"/>
      <c r="R762" s="95"/>
      <c r="S762" s="99"/>
      <c r="U762" s="121"/>
      <c r="V762" s="59"/>
      <c r="W762" s="59"/>
      <c r="X762" s="59"/>
      <c r="Y762" s="59"/>
      <c r="Z762" s="59"/>
      <c r="AA762" s="59"/>
      <c r="AB762" s="59"/>
      <c r="AC762" s="59"/>
      <c r="AD762" s="68"/>
    </row>
    <row r="763" spans="1:30" x14ac:dyDescent="0.2">
      <c r="A763" s="95">
        <v>755</v>
      </c>
      <c r="B763" s="95">
        <v>62</v>
      </c>
      <c r="C763" s="95">
        <v>11</v>
      </c>
      <c r="D763" s="95"/>
      <c r="E763" s="95">
        <v>276.35401219803737</v>
      </c>
      <c r="F763" s="95">
        <v>592.18716899579317</v>
      </c>
      <c r="G763" s="95">
        <v>375.05187369733562</v>
      </c>
      <c r="H763" s="95">
        <v>0.27913323062025841</v>
      </c>
      <c r="I763" s="95">
        <v>37.959086491379729</v>
      </c>
      <c r="J763" s="95">
        <v>1.7954115662103824</v>
      </c>
      <c r="K763" s="95">
        <v>8.8031074944499998</v>
      </c>
      <c r="L763" s="95">
        <v>3.3356204623168217</v>
      </c>
      <c r="M763" s="95">
        <v>3027.1722202646602</v>
      </c>
      <c r="N763" s="95">
        <v>5677.0623655992013</v>
      </c>
      <c r="O763" s="95">
        <v>10000.000000000005</v>
      </c>
      <c r="Q763" s="98"/>
      <c r="R763" s="95"/>
      <c r="S763" s="99"/>
      <c r="U763" s="121"/>
      <c r="V763" s="59"/>
      <c r="W763" s="59"/>
      <c r="X763" s="59"/>
      <c r="Y763" s="59"/>
      <c r="Z763" s="59"/>
      <c r="AA763" s="59"/>
      <c r="AB763" s="59"/>
      <c r="AC763" s="59"/>
      <c r="AD763" s="68"/>
    </row>
    <row r="764" spans="1:30" x14ac:dyDescent="0.2">
      <c r="A764" s="95">
        <v>756</v>
      </c>
      <c r="B764" s="95">
        <v>63</v>
      </c>
      <c r="C764" s="95">
        <v>0</v>
      </c>
      <c r="D764" s="95"/>
      <c r="E764" s="95">
        <v>272.20870201506682</v>
      </c>
      <c r="F764" s="95">
        <v>583.30436146085628</v>
      </c>
      <c r="G764" s="95">
        <v>369.42609559187559</v>
      </c>
      <c r="H764" s="95">
        <v>0.27224794426495869</v>
      </c>
      <c r="I764" s="95">
        <v>37.224745849901439</v>
      </c>
      <c r="J764" s="95">
        <v>1.7655498391027558</v>
      </c>
      <c r="K764" s="95">
        <v>8.6279074466985719</v>
      </c>
      <c r="L764" s="95">
        <v>3.2712375361816477</v>
      </c>
      <c r="M764" s="95">
        <v>3027.4003055048133</v>
      </c>
      <c r="N764" s="95">
        <v>5696.4988468112433</v>
      </c>
      <c r="O764" s="95">
        <v>10000.000000000005</v>
      </c>
      <c r="Q764" s="98"/>
      <c r="R764" s="95"/>
      <c r="S764" s="99"/>
      <c r="U764" s="121"/>
      <c r="V764" s="59"/>
      <c r="W764" s="59"/>
      <c r="X764" s="59"/>
      <c r="Y764" s="59"/>
      <c r="Z764" s="59"/>
      <c r="AA764" s="59"/>
      <c r="AB764" s="59"/>
      <c r="AC764" s="59"/>
      <c r="AD764" s="68"/>
    </row>
    <row r="765" spans="1:30" x14ac:dyDescent="0.2">
      <c r="A765" s="95">
        <v>757</v>
      </c>
      <c r="B765" s="95">
        <v>63</v>
      </c>
      <c r="C765" s="95">
        <v>1</v>
      </c>
      <c r="D765" s="95"/>
      <c r="E765" s="95">
        <v>268.1255714848408</v>
      </c>
      <c r="F765" s="95">
        <v>574.55479603894344</v>
      </c>
      <c r="G765" s="95">
        <v>363.88470415799748</v>
      </c>
      <c r="H765" s="95">
        <v>0.26553249497308973</v>
      </c>
      <c r="I765" s="95">
        <v>36.504597098110416</v>
      </c>
      <c r="J765" s="95">
        <v>1.7360908138891364</v>
      </c>
      <c r="K765" s="95">
        <v>8.4562441366222316</v>
      </c>
      <c r="L765" s="95">
        <v>3.2080925655875521</v>
      </c>
      <c r="M765" s="95">
        <v>3027.6240116825379</v>
      </c>
      <c r="N765" s="95">
        <v>5715.6403595265028</v>
      </c>
      <c r="O765" s="95">
        <v>10000.000000000005</v>
      </c>
      <c r="Q765" s="98"/>
      <c r="R765" s="95"/>
      <c r="S765" s="99"/>
      <c r="U765" s="121"/>
      <c r="V765" s="59"/>
      <c r="W765" s="59"/>
      <c r="X765" s="59"/>
      <c r="Y765" s="59"/>
      <c r="Z765" s="59"/>
      <c r="AA765" s="59"/>
      <c r="AB765" s="59"/>
      <c r="AC765" s="59"/>
      <c r="AD765" s="68"/>
    </row>
    <row r="766" spans="1:30" x14ac:dyDescent="0.2">
      <c r="A766" s="95">
        <v>758</v>
      </c>
      <c r="B766" s="95">
        <v>63</v>
      </c>
      <c r="C766" s="95">
        <v>2</v>
      </c>
      <c r="D766" s="95"/>
      <c r="E766" s="95">
        <v>264.1036879125682</v>
      </c>
      <c r="F766" s="95">
        <v>565.93647409835933</v>
      </c>
      <c r="G766" s="95">
        <v>358.42643359562749</v>
      </c>
      <c r="H766" s="95">
        <v>0.25898269343042019</v>
      </c>
      <c r="I766" s="95">
        <v>35.798366318573514</v>
      </c>
      <c r="J766" s="95">
        <v>1.7070329680758101</v>
      </c>
      <c r="K766" s="95">
        <v>8.2880446780747228</v>
      </c>
      <c r="L766" s="95">
        <v>3.1461618113122749</v>
      </c>
      <c r="M766" s="95">
        <v>3027.843421965616</v>
      </c>
      <c r="N766" s="95">
        <v>5734.4913939583676</v>
      </c>
      <c r="O766" s="95">
        <v>10000.000000000005</v>
      </c>
      <c r="Q766" s="98"/>
      <c r="R766" s="95"/>
      <c r="S766" s="99"/>
      <c r="U766" s="121"/>
      <c r="V766" s="59"/>
      <c r="W766" s="59"/>
      <c r="X766" s="59"/>
      <c r="Y766" s="59"/>
      <c r="Z766" s="59"/>
      <c r="AA766" s="59"/>
      <c r="AB766" s="59"/>
      <c r="AC766" s="59"/>
      <c r="AD766" s="68"/>
    </row>
    <row r="767" spans="1:30" x14ac:dyDescent="0.2">
      <c r="A767" s="95">
        <v>759</v>
      </c>
      <c r="B767" s="95">
        <v>63</v>
      </c>
      <c r="C767" s="95">
        <v>3</v>
      </c>
      <c r="D767" s="95"/>
      <c r="E767" s="95">
        <v>260.14213259387969</v>
      </c>
      <c r="F767" s="95">
        <v>557.4474269868839</v>
      </c>
      <c r="G767" s="95">
        <v>353.05003709169307</v>
      </c>
      <c r="H767" s="95">
        <v>0.25259445365913646</v>
      </c>
      <c r="I767" s="95">
        <v>35.105784871924371</v>
      </c>
      <c r="J767" s="95">
        <v>1.6783745843329001</v>
      </c>
      <c r="K767" s="95">
        <v>8.1232377306547061</v>
      </c>
      <c r="L767" s="95">
        <v>3.085421993723251</v>
      </c>
      <c r="M767" s="95">
        <v>3028.0586179737465</v>
      </c>
      <c r="N767" s="95">
        <v>5753.0563717195082</v>
      </c>
      <c r="O767" s="95">
        <v>10000.000000000005</v>
      </c>
      <c r="Q767" s="98"/>
      <c r="R767" s="95"/>
      <c r="S767" s="99"/>
      <c r="U767" s="121"/>
      <c r="V767" s="59"/>
      <c r="W767" s="59"/>
      <c r="X767" s="59"/>
      <c r="Y767" s="59"/>
      <c r="Z767" s="59"/>
      <c r="AA767" s="59"/>
      <c r="AB767" s="59"/>
      <c r="AC767" s="59"/>
      <c r="AD767" s="68"/>
    </row>
    <row r="768" spans="1:30" x14ac:dyDescent="0.2">
      <c r="A768" s="95">
        <v>760</v>
      </c>
      <c r="B768" s="95">
        <v>63</v>
      </c>
      <c r="C768" s="95">
        <v>4</v>
      </c>
      <c r="D768" s="95"/>
      <c r="E768" s="95">
        <v>256.2400006049715</v>
      </c>
      <c r="F768" s="95">
        <v>549.08571558208064</v>
      </c>
      <c r="G768" s="95">
        <v>347.75428653531765</v>
      </c>
      <c r="H768" s="95">
        <v>0.24636379046887777</v>
      </c>
      <c r="I768" s="95">
        <v>34.426589295379877</v>
      </c>
      <c r="J768" s="95">
        <v>1.6501137622879825</v>
      </c>
      <c r="K768" s="95">
        <v>7.961753465675141</v>
      </c>
      <c r="L768" s="95">
        <v>3.0258502833429248</v>
      </c>
      <c r="M768" s="95">
        <v>3028.2696798063716</v>
      </c>
      <c r="N768" s="95">
        <v>5771.3396468741093</v>
      </c>
      <c r="O768" s="95">
        <v>10000.000000000005</v>
      </c>
      <c r="Q768" s="98"/>
      <c r="R768" s="95"/>
      <c r="S768" s="99"/>
      <c r="U768" s="121"/>
      <c r="V768" s="59"/>
      <c r="W768" s="59"/>
      <c r="X768" s="59"/>
      <c r="Y768" s="59"/>
      <c r="Z768" s="59"/>
      <c r="AA768" s="59"/>
      <c r="AB768" s="59"/>
      <c r="AC768" s="59"/>
      <c r="AD768" s="68"/>
    </row>
    <row r="769" spans="1:30" x14ac:dyDescent="0.2">
      <c r="A769" s="95">
        <v>761</v>
      </c>
      <c r="B769" s="95">
        <v>63</v>
      </c>
      <c r="C769" s="95">
        <v>5</v>
      </c>
      <c r="D769" s="95"/>
      <c r="E769" s="95">
        <v>252.39640059589692</v>
      </c>
      <c r="F769" s="95">
        <v>540.84942984834947</v>
      </c>
      <c r="G769" s="95">
        <v>342.53797223728787</v>
      </c>
      <c r="H769" s="95">
        <v>0.24028681697064544</v>
      </c>
      <c r="I769" s="95">
        <v>33.760521203202451</v>
      </c>
      <c r="J769" s="95">
        <v>1.6222484298044162</v>
      </c>
      <c r="K769" s="95">
        <v>7.8035235329164516</v>
      </c>
      <c r="L769" s="95">
        <v>2.9674242916468963</v>
      </c>
      <c r="M769" s="95">
        <v>3028.4766860700283</v>
      </c>
      <c r="N769" s="95">
        <v>5789.345506973902</v>
      </c>
      <c r="O769" s="95">
        <v>10000.000000000005</v>
      </c>
      <c r="Q769" s="98"/>
      <c r="R769" s="95"/>
      <c r="S769" s="99"/>
      <c r="U769" s="121"/>
      <c r="V769" s="59"/>
      <c r="W769" s="59"/>
      <c r="X769" s="59"/>
      <c r="Y769" s="59"/>
      <c r="Z769" s="59"/>
      <c r="AA769" s="59"/>
      <c r="AB769" s="59"/>
      <c r="AC769" s="59"/>
      <c r="AD769" s="68"/>
    </row>
    <row r="770" spans="1:30" x14ac:dyDescent="0.2">
      <c r="A770" s="95">
        <v>762</v>
      </c>
      <c r="B770" s="95">
        <v>63</v>
      </c>
      <c r="C770" s="95">
        <v>6</v>
      </c>
      <c r="D770" s="95"/>
      <c r="E770" s="95">
        <v>248.61045458695847</v>
      </c>
      <c r="F770" s="95">
        <v>532.73668840062419</v>
      </c>
      <c r="G770" s="95">
        <v>337.39990265372853</v>
      </c>
      <c r="H770" s="95">
        <v>0.2343597421520362</v>
      </c>
      <c r="I770" s="95">
        <v>33.107327189070986</v>
      </c>
      <c r="J770" s="95">
        <v>1.5947763537646302</v>
      </c>
      <c r="K770" s="95">
        <v>7.6484810281444942</v>
      </c>
      <c r="L770" s="95">
        <v>2.9101220620869119</v>
      </c>
      <c r="M770" s="95">
        <v>3028.6797139052319</v>
      </c>
      <c r="N770" s="95">
        <v>5807.0781740782431</v>
      </c>
      <c r="O770" s="95">
        <v>10000.000000000005</v>
      </c>
      <c r="Q770" s="98"/>
      <c r="R770" s="95"/>
      <c r="S770" s="99"/>
      <c r="U770" s="121"/>
      <c r="V770" s="59"/>
      <c r="W770" s="59"/>
      <c r="X770" s="59"/>
      <c r="Y770" s="59"/>
      <c r="Z770" s="59"/>
      <c r="AA770" s="59"/>
      <c r="AB770" s="59"/>
      <c r="AC770" s="59"/>
      <c r="AD770" s="68"/>
    </row>
    <row r="771" spans="1:30" x14ac:dyDescent="0.2">
      <c r="A771" s="95">
        <v>763</v>
      </c>
      <c r="B771" s="95">
        <v>63</v>
      </c>
      <c r="C771" s="95">
        <v>7</v>
      </c>
      <c r="D771" s="95"/>
      <c r="E771" s="95">
        <v>244.8812977681541</v>
      </c>
      <c r="F771" s="95">
        <v>524.74563807461482</v>
      </c>
      <c r="G771" s="95">
        <v>332.33890411392258</v>
      </c>
      <c r="H771" s="95">
        <v>0.22857886851228598</v>
      </c>
      <c r="I771" s="95">
        <v>32.466758730323996</v>
      </c>
      <c r="J771" s="95">
        <v>1.5676951503778531</v>
      </c>
      <c r="K771" s="95">
        <v>7.4965604613748509</v>
      </c>
      <c r="L771" s="95">
        <v>2.8539220613310836</v>
      </c>
      <c r="M771" s="95">
        <v>3028.8788390129025</v>
      </c>
      <c r="N771" s="95">
        <v>5824.5418057584911</v>
      </c>
      <c r="O771" s="95">
        <v>10000.000000000005</v>
      </c>
      <c r="Q771" s="98"/>
      <c r="R771" s="95"/>
      <c r="S771" s="99"/>
      <c r="U771" s="121"/>
      <c r="V771" s="59"/>
      <c r="W771" s="59"/>
      <c r="X771" s="59"/>
      <c r="Y771" s="59"/>
      <c r="Z771" s="59"/>
      <c r="AA771" s="59"/>
      <c r="AB771" s="59"/>
      <c r="AC771" s="59"/>
      <c r="AD771" s="68"/>
    </row>
    <row r="772" spans="1:30" x14ac:dyDescent="0.2">
      <c r="A772" s="95">
        <v>764</v>
      </c>
      <c r="B772" s="95">
        <v>63</v>
      </c>
      <c r="C772" s="95">
        <v>8</v>
      </c>
      <c r="D772" s="95"/>
      <c r="E772" s="95">
        <v>241.20807830163179</v>
      </c>
      <c r="F772" s="95">
        <v>516.8744535034956</v>
      </c>
      <c r="G772" s="95">
        <v>327.35382055221373</v>
      </c>
      <c r="H772" s="95">
        <v>0.22294058975564959</v>
      </c>
      <c r="I772" s="95">
        <v>31.838572094039158</v>
      </c>
      <c r="J772" s="95">
        <v>1.5410022950310418</v>
      </c>
      <c r="K772" s="95">
        <v>7.3476977258654301</v>
      </c>
      <c r="L772" s="95">
        <v>2.7988031707140628</v>
      </c>
      <c r="M772" s="95">
        <v>3029.0741356803383</v>
      </c>
      <c r="N772" s="95">
        <v>5841.7404960869208</v>
      </c>
      <c r="O772" s="95">
        <v>10000.000000000005</v>
      </c>
      <c r="Q772" s="98"/>
      <c r="R772" s="95"/>
      <c r="S772" s="99"/>
      <c r="U772" s="121"/>
      <c r="V772" s="59"/>
      <c r="W772" s="59"/>
      <c r="X772" s="59"/>
      <c r="Y772" s="59"/>
      <c r="Z772" s="59"/>
      <c r="AA772" s="59"/>
      <c r="AB772" s="59"/>
      <c r="AC772" s="59"/>
      <c r="AD772" s="68"/>
    </row>
    <row r="773" spans="1:30" x14ac:dyDescent="0.2">
      <c r="A773" s="95">
        <v>765</v>
      </c>
      <c r="B773" s="95">
        <v>63</v>
      </c>
      <c r="C773" s="95">
        <v>9</v>
      </c>
      <c r="D773" s="95"/>
      <c r="E773" s="95">
        <v>237.58995712710731</v>
      </c>
      <c r="F773" s="95">
        <v>509.12133670094317</v>
      </c>
      <c r="G773" s="95">
        <v>322.44351324393051</v>
      </c>
      <c r="H773" s="95">
        <v>0.21744138854167691</v>
      </c>
      <c r="I773" s="95">
        <v>31.222528244914201</v>
      </c>
      <c r="J773" s="95">
        <v>1.5146951317010562</v>
      </c>
      <c r="K773" s="95">
        <v>7.2018300678198015</v>
      </c>
      <c r="L773" s="95">
        <v>2.7447446778902354</v>
      </c>
      <c r="M773" s="95">
        <v>3029.2656768067454</v>
      </c>
      <c r="N773" s="95">
        <v>5858.6782766104125</v>
      </c>
      <c r="O773" s="95">
        <v>10000.000000000005</v>
      </c>
      <c r="Q773" s="98"/>
      <c r="R773" s="95"/>
      <c r="S773" s="99"/>
      <c r="U773" s="121"/>
      <c r="V773" s="59"/>
      <c r="W773" s="59"/>
      <c r="X773" s="59"/>
      <c r="Y773" s="59"/>
      <c r="Z773" s="59"/>
      <c r="AA773" s="59"/>
      <c r="AB773" s="59"/>
      <c r="AC773" s="59"/>
      <c r="AD773" s="68"/>
    </row>
    <row r="774" spans="1:30" x14ac:dyDescent="0.2">
      <c r="A774" s="95">
        <v>766</v>
      </c>
      <c r="B774" s="95">
        <v>63</v>
      </c>
      <c r="C774" s="95">
        <v>10</v>
      </c>
      <c r="D774" s="95"/>
      <c r="E774" s="95">
        <v>234.0261077702007</v>
      </c>
      <c r="F774" s="95">
        <v>501.48451665042904</v>
      </c>
      <c r="G774" s="95">
        <v>317.60686054527156</v>
      </c>
      <c r="H774" s="95">
        <v>0.2120778342909822</v>
      </c>
      <c r="I774" s="95">
        <v>30.618392754914687</v>
      </c>
      <c r="J774" s="95">
        <v>1.4887708819454528</v>
      </c>
      <c r="K774" s="95">
        <v>7.0588960567841612</v>
      </c>
      <c r="L774" s="95">
        <v>2.6917262686833059</v>
      </c>
      <c r="M774" s="95">
        <v>3029.4535339283307</v>
      </c>
      <c r="N774" s="95">
        <v>5875.3591173091545</v>
      </c>
      <c r="O774" s="95">
        <v>10000.000000000005</v>
      </c>
      <c r="Q774" s="98"/>
      <c r="R774" s="95"/>
      <c r="S774" s="99"/>
      <c r="U774" s="121"/>
      <c r="V774" s="59"/>
      <c r="W774" s="59"/>
      <c r="X774" s="59"/>
      <c r="Y774" s="59"/>
      <c r="Z774" s="59"/>
      <c r="AA774" s="59"/>
      <c r="AB774" s="59"/>
      <c r="AC774" s="59"/>
      <c r="AD774" s="68"/>
    </row>
    <row r="775" spans="1:30" x14ac:dyDescent="0.2">
      <c r="A775" s="95">
        <v>767</v>
      </c>
      <c r="B775" s="95">
        <v>63</v>
      </c>
      <c r="C775" s="95">
        <v>11</v>
      </c>
      <c r="D775" s="95"/>
      <c r="E775" s="95">
        <v>230.51571615364767</v>
      </c>
      <c r="F775" s="95">
        <v>493.96224890067259</v>
      </c>
      <c r="G775" s="95">
        <v>312.84275763709246</v>
      </c>
      <c r="H775" s="95">
        <v>0.20684658104513798</v>
      </c>
      <c r="I775" s="95">
        <v>30.025935714654906</v>
      </c>
      <c r="J775" s="95">
        <v>1.4632266534886116</v>
      </c>
      <c r="K775" s="95">
        <v>6.9188355567212385</v>
      </c>
      <c r="L775" s="95">
        <v>2.6397280191259438</v>
      </c>
      <c r="M775" s="95">
        <v>3029.6377772429641</v>
      </c>
      <c r="N775" s="95">
        <v>5891.7869275405919</v>
      </c>
      <c r="O775" s="95">
        <v>10000.000000000005</v>
      </c>
      <c r="Q775" s="98"/>
      <c r="R775" s="95"/>
      <c r="S775" s="99"/>
      <c r="U775" s="121"/>
      <c r="V775" s="59"/>
      <c r="W775" s="59"/>
      <c r="X775" s="59"/>
      <c r="Y775" s="59"/>
      <c r="Z775" s="59"/>
      <c r="AA775" s="59"/>
      <c r="AB775" s="59"/>
      <c r="AC775" s="59"/>
      <c r="AD775" s="68"/>
    </row>
    <row r="776" spans="1:30" x14ac:dyDescent="0.2">
      <c r="A776" s="95">
        <v>768</v>
      </c>
      <c r="B776" s="95">
        <v>64</v>
      </c>
      <c r="C776" s="95">
        <v>0</v>
      </c>
      <c r="D776" s="95"/>
      <c r="E776" s="95">
        <v>227.05798041134295</v>
      </c>
      <c r="F776" s="95">
        <v>486.55281516716252</v>
      </c>
      <c r="G776" s="95">
        <v>308.15011627253608</v>
      </c>
      <c r="H776" s="95">
        <v>0.20174436537935792</v>
      </c>
      <c r="I776" s="95">
        <v>29.444931646478793</v>
      </c>
      <c r="J776" s="95">
        <v>1.4380594484192837</v>
      </c>
      <c r="K776" s="95">
        <v>6.7815896977448826</v>
      </c>
      <c r="L776" s="95">
        <v>2.5887303876834431</v>
      </c>
      <c r="M776" s="95">
        <v>3029.8184756344185</v>
      </c>
      <c r="N776" s="95">
        <v>5907.9655569688384</v>
      </c>
      <c r="O776" s="95">
        <v>10000.000000000004</v>
      </c>
      <c r="Q776" s="98"/>
      <c r="R776" s="95"/>
      <c r="S776" s="99"/>
      <c r="U776" s="121"/>
      <c r="V776" s="59"/>
      <c r="W776" s="59"/>
      <c r="X776" s="59"/>
      <c r="Y776" s="59"/>
      <c r="Z776" s="59"/>
      <c r="AA776" s="59"/>
      <c r="AB776" s="59"/>
      <c r="AC776" s="59"/>
      <c r="AD776" s="68"/>
    </row>
    <row r="777" spans="1:30" x14ac:dyDescent="0.2">
      <c r="A777" s="95">
        <v>769</v>
      </c>
      <c r="B777" s="95">
        <v>64</v>
      </c>
      <c r="C777" s="95">
        <v>1</v>
      </c>
      <c r="D777" s="95"/>
      <c r="E777" s="95">
        <v>223.65211070517282</v>
      </c>
      <c r="F777" s="95">
        <v>479.25452293965509</v>
      </c>
      <c r="G777" s="95">
        <v>303.52786452844805</v>
      </c>
      <c r="H777" s="95">
        <v>0.19676800436666708</v>
      </c>
      <c r="I777" s="95">
        <v>28.87515941920833</v>
      </c>
      <c r="J777" s="95">
        <v>1.4132661710150396</v>
      </c>
      <c r="K777" s="95">
        <v>6.6471008484994787</v>
      </c>
      <c r="L777" s="95">
        <v>2.5387142076556111</v>
      </c>
      <c r="M777" s="95">
        <v>3029.9956966961936</v>
      </c>
      <c r="N777" s="95">
        <v>5923.8987964797898</v>
      </c>
      <c r="O777" s="95">
        <v>10000.000000000004</v>
      </c>
      <c r="Q777" s="98"/>
      <c r="R777" s="95"/>
      <c r="S777" s="99"/>
      <c r="U777" s="121"/>
      <c r="V777" s="59"/>
      <c r="W777" s="59"/>
      <c r="X777" s="59"/>
      <c r="Y777" s="59"/>
      <c r="Z777" s="59"/>
      <c r="AA777" s="59"/>
      <c r="AB777" s="59"/>
      <c r="AC777" s="59"/>
      <c r="AD777" s="68"/>
    </row>
    <row r="778" spans="1:30" x14ac:dyDescent="0.2">
      <c r="A778" s="95">
        <v>770</v>
      </c>
      <c r="B778" s="95">
        <v>64</v>
      </c>
      <c r="C778" s="95">
        <v>2</v>
      </c>
      <c r="D778" s="95"/>
      <c r="E778" s="95">
        <v>220.29732904459522</v>
      </c>
      <c r="F778" s="95">
        <v>472.06570509556025</v>
      </c>
      <c r="G778" s="95">
        <v>298.97494656052135</v>
      </c>
      <c r="H778" s="95">
        <v>0.19191439359228929</v>
      </c>
      <c r="I778" s="95">
        <v>28.316402164527581</v>
      </c>
      <c r="J778" s="95">
        <v>1.3888436352085116</v>
      </c>
      <c r="K778" s="95">
        <v>6.5153125891687438</v>
      </c>
      <c r="L778" s="95">
        <v>2.4896606797513567</v>
      </c>
      <c r="M778" s="95">
        <v>3030.169506754929</v>
      </c>
      <c r="N778" s="95">
        <v>5939.5903790821503</v>
      </c>
      <c r="O778" s="95">
        <v>10000.000000000005</v>
      </c>
      <c r="Q778" s="98"/>
      <c r="R778" s="95"/>
      <c r="S778" s="99"/>
      <c r="U778" s="121"/>
      <c r="V778" s="59"/>
      <c r="W778" s="59"/>
      <c r="X778" s="59"/>
      <c r="Y778" s="59"/>
      <c r="Z778" s="59"/>
      <c r="AA778" s="59"/>
      <c r="AB778" s="59"/>
      <c r="AC778" s="59"/>
      <c r="AD778" s="68"/>
    </row>
    <row r="779" spans="1:30" x14ac:dyDescent="0.2">
      <c r="A779" s="95">
        <v>771</v>
      </c>
      <c r="B779" s="95">
        <v>64</v>
      </c>
      <c r="C779" s="95">
        <v>3</v>
      </c>
      <c r="D779" s="95"/>
      <c r="E779" s="95">
        <v>216.9928691089263</v>
      </c>
      <c r="F779" s="95">
        <v>464.98471951912683</v>
      </c>
      <c r="G779" s="95">
        <v>294.49032236211355</v>
      </c>
      <c r="H779" s="95">
        <v>0.18718050521701282</v>
      </c>
      <c r="I779" s="95">
        <v>27.768447194971063</v>
      </c>
      <c r="J779" s="95">
        <v>1.3647885717097639</v>
      </c>
      <c r="K779" s="95">
        <v>6.3861696850988388</v>
      </c>
      <c r="L779" s="95">
        <v>2.441551364830687</v>
      </c>
      <c r="M779" s="95">
        <v>3030.3399708934162</v>
      </c>
      <c r="N779" s="95">
        <v>5955.0439807945941</v>
      </c>
      <c r="O779" s="95">
        <v>10000.000000000004</v>
      </c>
      <c r="Q779" s="98"/>
      <c r="R779" s="95"/>
      <c r="S779" s="99"/>
      <c r="U779" s="121"/>
      <c r="V779" s="59"/>
      <c r="W779" s="59"/>
      <c r="X779" s="59"/>
      <c r="Y779" s="59"/>
      <c r="Z779" s="59"/>
      <c r="AA779" s="59"/>
      <c r="AB779" s="59"/>
      <c r="AC779" s="59"/>
      <c r="AD779" s="68"/>
    </row>
    <row r="780" spans="1:30" x14ac:dyDescent="0.2">
      <c r="A780" s="95">
        <v>772</v>
      </c>
      <c r="B780" s="95">
        <v>64</v>
      </c>
      <c r="C780" s="95">
        <v>4</v>
      </c>
      <c r="D780" s="95"/>
      <c r="E780" s="95">
        <v>213.73797607229241</v>
      </c>
      <c r="F780" s="95">
        <v>458.00994872633993</v>
      </c>
      <c r="G780" s="95">
        <v>290.07296752668185</v>
      </c>
      <c r="H780" s="95">
        <v>0.18256338608832651</v>
      </c>
      <c r="I780" s="95">
        <v>27.231085923485807</v>
      </c>
      <c r="J780" s="95">
        <v>1.3410976347985801</v>
      </c>
      <c r="K780" s="95">
        <v>6.2596180610211132</v>
      </c>
      <c r="L780" s="95">
        <v>2.3943681768090497</v>
      </c>
      <c r="M780" s="95">
        <v>3030.5071529732131</v>
      </c>
      <c r="N780" s="95">
        <v>5970.2632215192734</v>
      </c>
      <c r="O780" s="95">
        <v>10000.000000000004</v>
      </c>
      <c r="Q780" s="98"/>
      <c r="R780" s="95"/>
      <c r="S780" s="99"/>
      <c r="U780" s="121"/>
      <c r="V780" s="59"/>
      <c r="W780" s="59"/>
      <c r="X780" s="59"/>
      <c r="Y780" s="59"/>
      <c r="Z780" s="59"/>
      <c r="AA780" s="59"/>
      <c r="AB780" s="59"/>
      <c r="AC780" s="59"/>
      <c r="AD780" s="68"/>
    </row>
    <row r="781" spans="1:30" x14ac:dyDescent="0.2">
      <c r="A781" s="95">
        <v>773</v>
      </c>
      <c r="B781" s="95">
        <v>64</v>
      </c>
      <c r="C781" s="95">
        <v>5</v>
      </c>
      <c r="D781" s="95"/>
      <c r="E781" s="95">
        <v>210.53190643120803</v>
      </c>
      <c r="F781" s="95">
        <v>451.13979949544483</v>
      </c>
      <c r="G781" s="95">
        <v>285.72187301378165</v>
      </c>
      <c r="H781" s="95">
        <v>0.17806015589814778</v>
      </c>
      <c r="I781" s="95">
        <v>26.704113784536979</v>
      </c>
      <c r="J781" s="95">
        <v>1.3177674087999354</v>
      </c>
      <c r="K781" s="95">
        <v>6.1356047758601706</v>
      </c>
      <c r="L781" s="95">
        <v>2.3480933757191704</v>
      </c>
      <c r="M781" s="95">
        <v>3030.6711156568686</v>
      </c>
      <c r="N781" s="95">
        <v>5985.2516659018856</v>
      </c>
      <c r="O781" s="95">
        <v>10000.000000000004</v>
      </c>
      <c r="Q781" s="98"/>
      <c r="R781" s="95"/>
      <c r="S781" s="99"/>
      <c r="U781" s="121"/>
      <c r="V781" s="59"/>
      <c r="W781" s="59"/>
      <c r="X781" s="59"/>
      <c r="Y781" s="59"/>
      <c r="Z781" s="59"/>
      <c r="AA781" s="59"/>
      <c r="AB781" s="59"/>
      <c r="AC781" s="59"/>
      <c r="AD781" s="68"/>
    </row>
    <row r="782" spans="1:30" x14ac:dyDescent="0.2">
      <c r="A782" s="95">
        <v>774</v>
      </c>
      <c r="B782" s="95">
        <v>64</v>
      </c>
      <c r="C782" s="95">
        <v>6</v>
      </c>
      <c r="D782" s="95"/>
      <c r="E782" s="95">
        <v>207.3739278347399</v>
      </c>
      <c r="F782" s="95">
        <v>444.37270250301316</v>
      </c>
      <c r="G782" s="95">
        <v>281.43604491857491</v>
      </c>
      <c r="H782" s="95">
        <v>0.17366800538599347</v>
      </c>
      <c r="I782" s="95">
        <v>26.187330156727569</v>
      </c>
      <c r="J782" s="95">
        <v>1.2947944142554169</v>
      </c>
      <c r="K782" s="95">
        <v>6.0140779981132981</v>
      </c>
      <c r="L782" s="95">
        <v>2.3027095609257429</v>
      </c>
      <c r="M782" s="95">
        <v>3030.8319204297627</v>
      </c>
      <c r="N782" s="95">
        <v>6000.0128241785042</v>
      </c>
      <c r="O782" s="95">
        <v>10000.000000000004</v>
      </c>
      <c r="Q782" s="98"/>
      <c r="R782" s="95"/>
      <c r="S782" s="99"/>
      <c r="U782" s="121"/>
      <c r="V782" s="59"/>
      <c r="W782" s="59"/>
      <c r="X782" s="59"/>
      <c r="Y782" s="59"/>
      <c r="Z782" s="59"/>
      <c r="AA782" s="59"/>
      <c r="AB782" s="59"/>
      <c r="AC782" s="59"/>
      <c r="AD782" s="68"/>
    </row>
    <row r="783" spans="1:30" x14ac:dyDescent="0.2">
      <c r="A783" s="95">
        <v>775</v>
      </c>
      <c r="B783" s="95">
        <v>64</v>
      </c>
      <c r="C783" s="95">
        <v>7</v>
      </c>
      <c r="D783" s="95"/>
      <c r="E783" s="95">
        <v>204.26331891721881</v>
      </c>
      <c r="F783" s="95">
        <v>437.70711196546796</v>
      </c>
      <c r="G783" s="95">
        <v>277.21450424479627</v>
      </c>
      <c r="H783" s="95">
        <v>0.1693841945864723</v>
      </c>
      <c r="I783" s="95">
        <v>25.680538286903172</v>
      </c>
      <c r="J783" s="95">
        <v>1.272175113802875</v>
      </c>
      <c r="K783" s="95">
        <v>5.8949869817876532</v>
      </c>
      <c r="L783" s="95">
        <v>2.2581996644885205</v>
      </c>
      <c r="M783" s="95">
        <v>3030.9896276215709</v>
      </c>
      <c r="N783" s="95">
        <v>6014.5501530093798</v>
      </c>
      <c r="O783" s="95">
        <v>10000.000000000002</v>
      </c>
      <c r="Q783" s="98"/>
      <c r="R783" s="95"/>
      <c r="S783" s="99"/>
      <c r="U783" s="121"/>
      <c r="V783" s="59"/>
      <c r="W783" s="59"/>
      <c r="X783" s="59"/>
      <c r="Y783" s="59"/>
      <c r="Z783" s="59"/>
      <c r="AA783" s="59"/>
      <c r="AB783" s="59"/>
      <c r="AC783" s="59"/>
      <c r="AD783" s="68"/>
    </row>
    <row r="784" spans="1:30" x14ac:dyDescent="0.2">
      <c r="A784" s="95">
        <v>776</v>
      </c>
      <c r="B784" s="95">
        <v>64</v>
      </c>
      <c r="C784" s="95">
        <v>8</v>
      </c>
      <c r="D784" s="95"/>
      <c r="E784" s="95">
        <v>201.19936913346052</v>
      </c>
      <c r="F784" s="95">
        <v>431.14150528598594</v>
      </c>
      <c r="G784" s="95">
        <v>273.05628668112433</v>
      </c>
      <c r="H784" s="95">
        <v>0.165206051120006</v>
      </c>
      <c r="I784" s="95">
        <v>25.183545215713472</v>
      </c>
      <c r="J784" s="95">
        <v>1.2499059177761154</v>
      </c>
      <c r="K784" s="95">
        <v>5.7782820428819486</v>
      </c>
      <c r="L784" s="95">
        <v>2.2145469446695429</v>
      </c>
      <c r="M784" s="95">
        <v>3031.1442964273551</v>
      </c>
      <c r="N784" s="95">
        <v>6028.8670562999159</v>
      </c>
      <c r="O784" s="95">
        <v>10000.000000000004</v>
      </c>
      <c r="Q784" s="98"/>
      <c r="R784" s="95"/>
      <c r="S784" s="99"/>
      <c r="U784" s="121"/>
      <c r="V784" s="59"/>
      <c r="W784" s="59"/>
      <c r="X784" s="59"/>
      <c r="Y784" s="59"/>
      <c r="Z784" s="59"/>
      <c r="AA784" s="59"/>
      <c r="AB784" s="59"/>
      <c r="AC784" s="59"/>
      <c r="AD784" s="68"/>
    </row>
    <row r="785" spans="1:30" x14ac:dyDescent="0.2">
      <c r="A785" s="95">
        <v>777</v>
      </c>
      <c r="B785" s="95">
        <v>64</v>
      </c>
      <c r="C785" s="95">
        <v>9</v>
      </c>
      <c r="D785" s="95"/>
      <c r="E785" s="95">
        <v>198.18137859645861</v>
      </c>
      <c r="F785" s="95">
        <v>424.67438270669618</v>
      </c>
      <c r="G785" s="95">
        <v>268.96044238090747</v>
      </c>
      <c r="H785" s="95">
        <v>0.16113096852571251</v>
      </c>
      <c r="I785" s="95">
        <v>24.696161704602531</v>
      </c>
      <c r="J785" s="95">
        <v>1.2279831895359992</v>
      </c>
      <c r="K785" s="95">
        <v>5.6639145363996972</v>
      </c>
      <c r="L785" s="95">
        <v>2.1717349795804033</v>
      </c>
      <c r="M785" s="95">
        <v>3031.2959849282893</v>
      </c>
      <c r="N785" s="95">
        <v>6042.9668860090069</v>
      </c>
      <c r="O785" s="95">
        <v>10000.000000000004</v>
      </c>
      <c r="Q785" s="98"/>
      <c r="R785" s="95"/>
      <c r="S785" s="99"/>
      <c r="U785" s="121"/>
      <c r="V785" s="59"/>
      <c r="W785" s="59"/>
      <c r="X785" s="59"/>
      <c r="Y785" s="59"/>
      <c r="Z785" s="59"/>
      <c r="AA785" s="59"/>
      <c r="AB785" s="59"/>
      <c r="AC785" s="59"/>
      <c r="AD785" s="68"/>
    </row>
    <row r="786" spans="1:30" x14ac:dyDescent="0.2">
      <c r="A786" s="95">
        <v>778</v>
      </c>
      <c r="B786" s="95">
        <v>64</v>
      </c>
      <c r="C786" s="95">
        <v>10</v>
      </c>
      <c r="D786" s="95"/>
      <c r="E786" s="95">
        <v>195.20865791751174</v>
      </c>
      <c r="F786" s="95">
        <v>418.30426696609572</v>
      </c>
      <c r="G786" s="95">
        <v>264.92603574519387</v>
      </c>
      <c r="H786" s="95">
        <v>0.15715640463541161</v>
      </c>
      <c r="I786" s="95">
        <v>24.21820216420058</v>
      </c>
      <c r="J786" s="95">
        <v>1.2064032505438806</v>
      </c>
      <c r="K786" s="95">
        <v>5.5518368338814099</v>
      </c>
      <c r="L786" s="95">
        <v>2.1297476609656329</v>
      </c>
      <c r="M786" s="95">
        <v>3031.4447501120271</v>
      </c>
      <c r="N786" s="95">
        <v>6056.8529429449472</v>
      </c>
      <c r="O786" s="95">
        <v>10000.000000000002</v>
      </c>
      <c r="Q786" s="98"/>
      <c r="R786" s="95"/>
      <c r="S786" s="99"/>
      <c r="U786" s="121"/>
      <c r="V786" s="59"/>
      <c r="W786" s="59"/>
      <c r="X786" s="59"/>
      <c r="Y786" s="59"/>
      <c r="Z786" s="59"/>
      <c r="AA786" s="59"/>
      <c r="AB786" s="59"/>
      <c r="AC786" s="59"/>
      <c r="AD786" s="68"/>
    </row>
    <row r="787" spans="1:30" x14ac:dyDescent="0.2">
      <c r="A787" s="95">
        <v>779</v>
      </c>
      <c r="B787" s="95">
        <v>64</v>
      </c>
      <c r="C787" s="95">
        <v>11</v>
      </c>
      <c r="D787" s="95"/>
      <c r="E787" s="95">
        <v>192.28052804874906</v>
      </c>
      <c r="F787" s="95">
        <v>412.0297029616043</v>
      </c>
      <c r="G787" s="95">
        <v>260.95214520901595</v>
      </c>
      <c r="H787" s="95">
        <v>0.15327987998773812</v>
      </c>
      <c r="I787" s="95">
        <v>23.749484584090496</v>
      </c>
      <c r="J787" s="95">
        <v>1.1851623851878974</v>
      </c>
      <c r="K787" s="95">
        <v>5.4420023014434467</v>
      </c>
      <c r="L787" s="95">
        <v>2.0885691881184321</v>
      </c>
      <c r="M787" s="95">
        <v>3031.5906478927127</v>
      </c>
      <c r="N787" s="95">
        <v>6070.5284775490927</v>
      </c>
      <c r="O787" s="95">
        <v>10000.000000000004</v>
      </c>
      <c r="Q787" s="98"/>
      <c r="R787" s="95"/>
      <c r="S787" s="99"/>
      <c r="U787" s="121"/>
      <c r="V787" s="59"/>
      <c r="W787" s="59"/>
      <c r="X787" s="59"/>
      <c r="Y787" s="59"/>
      <c r="Z787" s="59"/>
      <c r="AA787" s="59"/>
      <c r="AB787" s="59"/>
      <c r="AC787" s="59"/>
      <c r="AD787" s="68"/>
    </row>
    <row r="788" spans="1:30" x14ac:dyDescent="0.2">
      <c r="A788" s="95">
        <v>780</v>
      </c>
      <c r="B788" s="95">
        <v>65</v>
      </c>
      <c r="C788" s="95">
        <v>0</v>
      </c>
      <c r="D788" s="95"/>
      <c r="E788" s="95">
        <v>189.39632012801783</v>
      </c>
      <c r="F788" s="95">
        <v>405.84925741718024</v>
      </c>
      <c r="G788" s="95">
        <v>257.03786303088071</v>
      </c>
      <c r="H788" s="95">
        <v>0.1494989762813739</v>
      </c>
      <c r="I788" s="95">
        <v>23.28983046392262</v>
      </c>
      <c r="J788" s="95">
        <v>1.1642568453722271</v>
      </c>
      <c r="K788" s="95">
        <v>5.3343652783115418</v>
      </c>
      <c r="L788" s="95">
        <v>2.0481840619251246</v>
      </c>
      <c r="M788" s="95">
        <v>3031.7337331306453</v>
      </c>
      <c r="N788" s="95">
        <v>6083.9966906674654</v>
      </c>
      <c r="O788" s="95">
        <v>10000.000000000002</v>
      </c>
      <c r="Q788" s="98"/>
      <c r="R788" s="95"/>
      <c r="S788" s="99"/>
      <c r="U788" s="121"/>
      <c r="V788" s="59"/>
      <c r="W788" s="59"/>
      <c r="X788" s="59"/>
      <c r="Y788" s="59"/>
      <c r="Z788" s="59"/>
      <c r="AA788" s="59"/>
      <c r="AB788" s="59"/>
      <c r="AC788" s="59"/>
      <c r="AD788" s="68"/>
    </row>
    <row r="789" spans="1:30" x14ac:dyDescent="0.2">
      <c r="A789" s="95">
        <v>781</v>
      </c>
      <c r="B789" s="95">
        <v>65</v>
      </c>
      <c r="C789" s="95">
        <v>1</v>
      </c>
      <c r="D789" s="95"/>
      <c r="E789" s="95">
        <v>186.55537532609756</v>
      </c>
      <c r="F789" s="95">
        <v>399.76151855592252</v>
      </c>
      <c r="G789" s="95">
        <v>253.18229508541751</v>
      </c>
      <c r="H789" s="95">
        <v>0.14581133486643336</v>
      </c>
      <c r="I789" s="95">
        <v>22.839064745852177</v>
      </c>
      <c r="J789" s="95">
        <v>1.1436828548790354</v>
      </c>
      <c r="K789" s="95">
        <v>5.2288810558372978</v>
      </c>
      <c r="L789" s="95">
        <v>2.0085770790348629</v>
      </c>
      <c r="M789" s="95">
        <v>3031.8740596516013</v>
      </c>
      <c r="N789" s="95">
        <v>6097.2607343104937</v>
      </c>
      <c r="O789" s="95">
        <v>10000.000000000002</v>
      </c>
      <c r="Q789" s="98"/>
      <c r="R789" s="95"/>
      <c r="S789" s="99"/>
      <c r="U789" s="121"/>
      <c r="V789" s="59"/>
      <c r="W789" s="59"/>
      <c r="X789" s="59"/>
      <c r="Y789" s="59"/>
      <c r="Z789" s="59"/>
      <c r="AA789" s="59"/>
      <c r="AB789" s="59"/>
      <c r="AC789" s="59"/>
      <c r="AD789" s="68"/>
    </row>
    <row r="790" spans="1:30" x14ac:dyDescent="0.2">
      <c r="A790" s="95">
        <v>782</v>
      </c>
      <c r="B790" s="95">
        <v>65</v>
      </c>
      <c r="C790" s="95">
        <v>2</v>
      </c>
      <c r="D790" s="95"/>
      <c r="E790" s="95">
        <v>183.75704469620609</v>
      </c>
      <c r="F790" s="95">
        <v>393.76509577758367</v>
      </c>
      <c r="G790" s="95">
        <v>249.38456065913624</v>
      </c>
      <c r="H790" s="95">
        <v>0.14221465527306135</v>
      </c>
      <c r="I790" s="95">
        <v>22.397015748273922</v>
      </c>
      <c r="J790" s="95">
        <v>1.1234366135124727</v>
      </c>
      <c r="K790" s="95">
        <v>5.1255058569862619</v>
      </c>
      <c r="L790" s="95">
        <v>1.9697333261512362</v>
      </c>
      <c r="M790" s="95">
        <v>3032.0116802658172</v>
      </c>
      <c r="N790" s="95">
        <v>6110.323712401062</v>
      </c>
      <c r="O790" s="95">
        <v>10000.000000000002</v>
      </c>
      <c r="Q790" s="98"/>
      <c r="R790" s="95"/>
      <c r="S790" s="99"/>
      <c r="U790" s="121"/>
      <c r="V790" s="59"/>
      <c r="W790" s="59"/>
      <c r="X790" s="59"/>
      <c r="Y790" s="59"/>
      <c r="Z790" s="59"/>
      <c r="AA790" s="59"/>
      <c r="AB790" s="59"/>
      <c r="AC790" s="59"/>
      <c r="AD790" s="68"/>
    </row>
    <row r="791" spans="1:30" x14ac:dyDescent="0.2">
      <c r="A791" s="95">
        <v>783</v>
      </c>
      <c r="B791" s="95">
        <v>65</v>
      </c>
      <c r="C791" s="95">
        <v>3</v>
      </c>
      <c r="D791" s="95"/>
      <c r="E791" s="95">
        <v>181.00068902576299</v>
      </c>
      <c r="F791" s="95">
        <v>387.85861934091992</v>
      </c>
      <c r="G791" s="95">
        <v>245.6437922492492</v>
      </c>
      <c r="H791" s="95">
        <v>0.13870669377632583</v>
      </c>
      <c r="I791" s="95">
        <v>21.963515100829245</v>
      </c>
      <c r="J791" s="95">
        <v>1.1035143010337118</v>
      </c>
      <c r="K791" s="95">
        <v>5.0241968162864614</v>
      </c>
      <c r="L791" s="95">
        <v>1.9316381744425652</v>
      </c>
      <c r="M791" s="95">
        <v>3032.146646786643</v>
      </c>
      <c r="N791" s="95">
        <v>6123.1886815110593</v>
      </c>
      <c r="O791" s="95">
        <v>10000.000000000002</v>
      </c>
      <c r="Q791" s="98"/>
      <c r="R791" s="95"/>
      <c r="S791" s="99"/>
      <c r="U791" s="121"/>
      <c r="V791" s="59"/>
      <c r="W791" s="59"/>
      <c r="X791" s="59"/>
      <c r="Y791" s="59"/>
      <c r="Z791" s="59"/>
      <c r="AA791" s="59"/>
      <c r="AB791" s="59"/>
      <c r="AC791" s="59"/>
      <c r="AD791" s="68"/>
    </row>
    <row r="792" spans="1:30" x14ac:dyDescent="0.2">
      <c r="A792" s="95">
        <v>784</v>
      </c>
      <c r="B792" s="95">
        <v>65</v>
      </c>
      <c r="C792" s="95">
        <v>4</v>
      </c>
      <c r="D792" s="95"/>
      <c r="E792" s="95">
        <v>178.28567869037656</v>
      </c>
      <c r="F792" s="95">
        <v>382.04074005080611</v>
      </c>
      <c r="G792" s="95">
        <v>241.95913536551046</v>
      </c>
      <c r="H792" s="95">
        <v>0.13528526199650978</v>
      </c>
      <c r="I792" s="95">
        <v>21.538397680661316</v>
      </c>
      <c r="J792" s="95">
        <v>1.0839120808956817</v>
      </c>
      <c r="K792" s="95">
        <v>4.9249119602265514</v>
      </c>
      <c r="L792" s="95">
        <v>1.894277274067794</v>
      </c>
      <c r="M792" s="95">
        <v>3032.2790100488678</v>
      </c>
      <c r="N792" s="95">
        <v>6135.8586515865936</v>
      </c>
      <c r="O792" s="95">
        <v>10000.000000000002</v>
      </c>
      <c r="Q792" s="98"/>
      <c r="R792" s="95"/>
      <c r="S792" s="99"/>
      <c r="U792" s="121"/>
      <c r="V792" s="59"/>
      <c r="W792" s="59"/>
      <c r="X792" s="59"/>
      <c r="Y792" s="59"/>
      <c r="Z792" s="59"/>
      <c r="AA792" s="59"/>
      <c r="AB792" s="59"/>
      <c r="AC792" s="59"/>
      <c r="AD792" s="68"/>
    </row>
    <row r="793" spans="1:30" x14ac:dyDescent="0.2">
      <c r="A793" s="95">
        <v>785</v>
      </c>
      <c r="B793" s="95">
        <v>65</v>
      </c>
      <c r="C793" s="95">
        <v>5</v>
      </c>
      <c r="D793" s="95"/>
      <c r="E793" s="95">
        <v>175.61139351002092</v>
      </c>
      <c r="F793" s="95">
        <v>376.31012895004403</v>
      </c>
      <c r="G793" s="95">
        <v>238.3297483350278</v>
      </c>
      <c r="H793" s="95">
        <v>0.13194822553392921</v>
      </c>
      <c r="I793" s="95">
        <v>21.12150154989444</v>
      </c>
      <c r="J793" s="95">
        <v>1.0646261037858116</v>
      </c>
      <c r="K793" s="95">
        <v>4.8276101880930122</v>
      </c>
      <c r="L793" s="95">
        <v>1.8576365488149955</v>
      </c>
      <c r="M793" s="95">
        <v>3032.4088199267258</v>
      </c>
      <c r="N793" s="95">
        <v>6148.3365866620616</v>
      </c>
      <c r="O793" s="95">
        <v>10000.000000000002</v>
      </c>
      <c r="Q793" s="98"/>
      <c r="R793" s="95"/>
      <c r="S793" s="99"/>
      <c r="U793" s="121"/>
      <c r="V793" s="59"/>
      <c r="W793" s="59"/>
      <c r="X793" s="59"/>
      <c r="Y793" s="59"/>
      <c r="Z793" s="59"/>
      <c r="AA793" s="59"/>
      <c r="AB793" s="59"/>
      <c r="AC793" s="59"/>
      <c r="AD793" s="68"/>
    </row>
    <row r="794" spans="1:30" x14ac:dyDescent="0.2">
      <c r="A794" s="95">
        <v>786</v>
      </c>
      <c r="B794" s="95">
        <v>65</v>
      </c>
      <c r="C794" s="95">
        <v>6</v>
      </c>
      <c r="D794" s="95"/>
      <c r="E794" s="95">
        <v>172.97722260737061</v>
      </c>
      <c r="F794" s="95">
        <v>370.66547701579339</v>
      </c>
      <c r="G794" s="95">
        <v>234.75480211000237</v>
      </c>
      <c r="H794" s="95">
        <v>0.12869350263742563</v>
      </c>
      <c r="I794" s="95">
        <v>20.712667894314151</v>
      </c>
      <c r="J794" s="95">
        <v>1.045652510984789</v>
      </c>
      <c r="K794" s="95">
        <v>4.7322512532360763</v>
      </c>
      <c r="L794" s="95">
        <v>1.8217021908496271</v>
      </c>
      <c r="M794" s="95">
        <v>3032.5361253515839</v>
      </c>
      <c r="N794" s="95">
        <v>6160.6254055632298</v>
      </c>
      <c r="O794" s="95">
        <v>10000.000000000002</v>
      </c>
      <c r="Q794" s="98"/>
      <c r="R794" s="95"/>
      <c r="S794" s="99"/>
      <c r="U794" s="121"/>
      <c r="V794" s="59"/>
      <c r="W794" s="59"/>
      <c r="X794" s="59"/>
      <c r="Y794" s="59"/>
      <c r="Z794" s="59"/>
      <c r="AA794" s="59"/>
      <c r="AB794" s="59"/>
      <c r="AC794" s="59"/>
      <c r="AD794" s="68"/>
    </row>
    <row r="795" spans="1:30" x14ac:dyDescent="0.2">
      <c r="A795" s="95">
        <v>787</v>
      </c>
      <c r="B795" s="95">
        <v>65</v>
      </c>
      <c r="C795" s="95">
        <v>7</v>
      </c>
      <c r="D795" s="95"/>
      <c r="E795" s="95">
        <v>170.38256426826004</v>
      </c>
      <c r="F795" s="95">
        <v>365.10549486055646</v>
      </c>
      <c r="G795" s="95">
        <v>231.23348007835233</v>
      </c>
      <c r="H795" s="95">
        <v>0.12551906290570247</v>
      </c>
      <c r="I795" s="95">
        <v>20.311740963225045</v>
      </c>
      <c r="J795" s="95">
        <v>1.0269874375490171</v>
      </c>
      <c r="K795" s="95">
        <v>4.638795744754332</v>
      </c>
      <c r="L795" s="95">
        <v>1.7864606555697682</v>
      </c>
      <c r="M795" s="95">
        <v>3032.6609743293216</v>
      </c>
      <c r="N795" s="95">
        <v>6172.7279825995083</v>
      </c>
      <c r="O795" s="95">
        <v>10000.000000000002</v>
      </c>
      <c r="Q795" s="98"/>
      <c r="R795" s="95"/>
      <c r="S795" s="99"/>
      <c r="U795" s="121"/>
      <c r="V795" s="59"/>
      <c r="W795" s="59"/>
      <c r="X795" s="59"/>
      <c r="Y795" s="59"/>
      <c r="Z795" s="59"/>
      <c r="AA795" s="59"/>
      <c r="AB795" s="59"/>
      <c r="AC795" s="59"/>
      <c r="AD795" s="68"/>
    </row>
    <row r="796" spans="1:30" x14ac:dyDescent="0.2">
      <c r="A796" s="95">
        <v>788</v>
      </c>
      <c r="B796" s="95">
        <v>65</v>
      </c>
      <c r="C796" s="95">
        <v>8</v>
      </c>
      <c r="D796" s="95"/>
      <c r="E796" s="95">
        <v>167.82682580423614</v>
      </c>
      <c r="F796" s="95">
        <v>359.62891243764813</v>
      </c>
      <c r="G796" s="95">
        <v>227.76497787717705</v>
      </c>
      <c r="H796" s="95">
        <v>0.12242292602069514</v>
      </c>
      <c r="I796" s="95">
        <v>19.918568010463847</v>
      </c>
      <c r="J796" s="95">
        <v>1.0086270153241705</v>
      </c>
      <c r="K796" s="95">
        <v>4.5472050695881903</v>
      </c>
      <c r="L796" s="95">
        <v>1.7518986565656789</v>
      </c>
      <c r="M796" s="95">
        <v>3032.7834139574029</v>
      </c>
      <c r="N796" s="95">
        <v>6184.6471482455754</v>
      </c>
      <c r="O796" s="95">
        <v>10000.000000000002</v>
      </c>
      <c r="Q796" s="98"/>
      <c r="R796" s="95"/>
      <c r="S796" s="99"/>
      <c r="U796" s="121"/>
      <c r="V796" s="59"/>
      <c r="W796" s="59"/>
      <c r="X796" s="59"/>
      <c r="Y796" s="59"/>
      <c r="Z796" s="59"/>
      <c r="AA796" s="59"/>
      <c r="AB796" s="59"/>
      <c r="AC796" s="59"/>
      <c r="AD796" s="68"/>
    </row>
    <row r="797" spans="1:30" x14ac:dyDescent="0.2">
      <c r="A797" s="95">
        <v>789</v>
      </c>
      <c r="B797" s="95">
        <v>65</v>
      </c>
      <c r="C797" s="95">
        <v>9</v>
      </c>
      <c r="D797" s="95"/>
      <c r="E797" s="95">
        <v>165.30942341717258</v>
      </c>
      <c r="F797" s="95">
        <v>354.23447875108343</v>
      </c>
      <c r="G797" s="95">
        <v>224.34850320901938</v>
      </c>
      <c r="H797" s="95">
        <v>0.11940316051218466</v>
      </c>
      <c r="I797" s="95">
        <v>19.532999236545542</v>
      </c>
      <c r="J797" s="95">
        <v>0.99056737579695275</v>
      </c>
      <c r="K797" s="95">
        <v>4.4574414350126537</v>
      </c>
      <c r="L797" s="95">
        <v>1.7180031606811095</v>
      </c>
      <c r="M797" s="95">
        <v>3032.9034904416476</v>
      </c>
      <c r="N797" s="95">
        <v>6196.3856898125314</v>
      </c>
      <c r="O797" s="95">
        <v>10000.000000000004</v>
      </c>
      <c r="Q797" s="98"/>
      <c r="R797" s="95"/>
      <c r="S797" s="99"/>
      <c r="U797" s="121"/>
      <c r="V797" s="59"/>
      <c r="W797" s="59"/>
      <c r="X797" s="59"/>
      <c r="Y797" s="59"/>
      <c r="Z797" s="59"/>
      <c r="AA797" s="59"/>
      <c r="AB797" s="59"/>
      <c r="AC797" s="59"/>
      <c r="AD797" s="68"/>
    </row>
    <row r="798" spans="1:30" x14ac:dyDescent="0.2">
      <c r="A798" s="95">
        <v>790</v>
      </c>
      <c r="B798" s="95">
        <v>65</v>
      </c>
      <c r="C798" s="95">
        <v>10</v>
      </c>
      <c r="D798" s="95"/>
      <c r="E798" s="95">
        <v>162.829782065915</v>
      </c>
      <c r="F798" s="95">
        <v>348.92096156981717</v>
      </c>
      <c r="G798" s="95">
        <v>220.98327566088409</v>
      </c>
      <c r="H798" s="95">
        <v>0.11645788255288411</v>
      </c>
      <c r="I798" s="95">
        <v>19.154887731920901</v>
      </c>
      <c r="J798" s="95">
        <v>0.97280465279189199</v>
      </c>
      <c r="K798" s="95">
        <v>4.3694678315200504</v>
      </c>
      <c r="L798" s="95">
        <v>1.684761383173881</v>
      </c>
      <c r="M798" s="95">
        <v>3033.0212491127081</v>
      </c>
      <c r="N798" s="95">
        <v>6207.9463521087191</v>
      </c>
      <c r="O798" s="95">
        <v>10000.000000000004</v>
      </c>
      <c r="Q798" s="98"/>
      <c r="R798" s="95"/>
      <c r="S798" s="99"/>
      <c r="U798" s="121"/>
      <c r="V798" s="59"/>
      <c r="W798" s="59"/>
      <c r="X798" s="59"/>
      <c r="Y798" s="59"/>
      <c r="Z798" s="59"/>
      <c r="AA798" s="59"/>
      <c r="AB798" s="59"/>
      <c r="AC798" s="59"/>
      <c r="AD798" s="68"/>
    </row>
    <row r="799" spans="1:30" x14ac:dyDescent="0.2">
      <c r="A799" s="95">
        <v>791</v>
      </c>
      <c r="B799" s="95">
        <v>65</v>
      </c>
      <c r="C799" s="95">
        <v>11</v>
      </c>
      <c r="D799" s="95"/>
      <c r="E799" s="95">
        <v>160.38733533492626</v>
      </c>
      <c r="F799" s="95">
        <v>343.68714714626992</v>
      </c>
      <c r="G799" s="95">
        <v>217.66852652597083</v>
      </c>
      <c r="H799" s="95">
        <v>0.1135852547832463</v>
      </c>
      <c r="I799" s="95">
        <v>18.784089421324115</v>
      </c>
      <c r="J799" s="95">
        <v>0.9553349850197439</v>
      </c>
      <c r="K799" s="95">
        <v>4.2832480160836308</v>
      </c>
      <c r="L799" s="95">
        <v>1.6521607829733442</v>
      </c>
      <c r="M799" s="95">
        <v>3033.1367344422542</v>
      </c>
      <c r="N799" s="95">
        <v>6219.3318380903975</v>
      </c>
      <c r="O799" s="95">
        <v>10000.000000000004</v>
      </c>
      <c r="Q799" s="98"/>
      <c r="R799" s="95"/>
      <c r="S799" s="99"/>
      <c r="U799" s="121"/>
      <c r="V799" s="59"/>
      <c r="W799" s="59"/>
      <c r="X799" s="59"/>
      <c r="Y799" s="59"/>
      <c r="Z799" s="59"/>
      <c r="AA799" s="59"/>
      <c r="AB799" s="59"/>
      <c r="AC799" s="59"/>
      <c r="AD799" s="68"/>
    </row>
    <row r="800" spans="1:30" x14ac:dyDescent="0.2">
      <c r="A800" s="95">
        <v>792</v>
      </c>
      <c r="B800" s="95">
        <v>66</v>
      </c>
      <c r="C800" s="95">
        <v>0</v>
      </c>
      <c r="D800" s="95"/>
      <c r="E800" s="95">
        <v>157.98152530490236</v>
      </c>
      <c r="F800" s="95">
        <v>338.53183993907589</v>
      </c>
      <c r="G800" s="95">
        <v>214.40349862808128</v>
      </c>
      <c r="H800" s="95">
        <v>0.11078348516525956</v>
      </c>
      <c r="I800" s="95">
        <v>18.420463009189643</v>
      </c>
      <c r="J800" s="95">
        <v>0.93815451848381204</v>
      </c>
      <c r="K800" s="95">
        <v>4.1987464957931495</v>
      </c>
      <c r="L800" s="95">
        <v>1.6201890580324065</v>
      </c>
      <c r="M800" s="95">
        <v>3033.2499900588714</v>
      </c>
      <c r="N800" s="95">
        <v>6230.5448095024076</v>
      </c>
      <c r="O800" s="95">
        <v>10000.000000000004</v>
      </c>
      <c r="Q800" s="98"/>
      <c r="R800" s="95"/>
      <c r="S800" s="99"/>
      <c r="U800" s="121"/>
      <c r="V800" s="59"/>
      <c r="W800" s="59"/>
      <c r="X800" s="59"/>
      <c r="Y800" s="59"/>
      <c r="Z800" s="59"/>
      <c r="AA800" s="59"/>
      <c r="AB800" s="59"/>
      <c r="AC800" s="59"/>
      <c r="AD800" s="68"/>
    </row>
    <row r="801" spans="1:30" x14ac:dyDescent="0.2">
      <c r="A801" s="95">
        <v>793</v>
      </c>
      <c r="B801" s="95">
        <v>66</v>
      </c>
      <c r="C801" s="95">
        <v>1</v>
      </c>
      <c r="D801" s="95"/>
      <c r="E801" s="95">
        <v>155.61180242532882</v>
      </c>
      <c r="F801" s="95">
        <v>333.45386233998977</v>
      </c>
      <c r="G801" s="95">
        <v>211.18744614866006</v>
      </c>
      <c r="H801" s="95">
        <v>0.10805082586451649</v>
      </c>
      <c r="I801" s="95">
        <v>18.063869926117807</v>
      </c>
      <c r="J801" s="95">
        <v>0.92125940875025847</v>
      </c>
      <c r="K801" s="95">
        <v>4.1159285118537721</v>
      </c>
      <c r="L801" s="95">
        <v>1.5888341407718913</v>
      </c>
      <c r="M801" s="95">
        <v>3033.3610587636776</v>
      </c>
      <c r="N801" s="95">
        <v>6241.5878875089893</v>
      </c>
      <c r="O801" s="95">
        <v>10000.000000000004</v>
      </c>
      <c r="Q801" s="98"/>
      <c r="R801" s="95"/>
      <c r="S801" s="99"/>
      <c r="U801" s="121"/>
      <c r="V801" s="59"/>
      <c r="W801" s="59"/>
      <c r="X801" s="59"/>
      <c r="Y801" s="59"/>
      <c r="Z801" s="59"/>
      <c r="AA801" s="59"/>
      <c r="AB801" s="59"/>
      <c r="AC801" s="59"/>
      <c r="AD801" s="68"/>
    </row>
    <row r="802" spans="1:30" x14ac:dyDescent="0.2">
      <c r="A802" s="95">
        <v>794</v>
      </c>
      <c r="B802" s="95">
        <v>66</v>
      </c>
      <c r="C802" s="95">
        <v>2</v>
      </c>
      <c r="D802" s="95"/>
      <c r="E802" s="95">
        <v>153.27762538894888</v>
      </c>
      <c r="F802" s="95">
        <v>328.45205440488991</v>
      </c>
      <c r="G802" s="95">
        <v>208.01963445643017</v>
      </c>
      <c r="H802" s="95">
        <v>0.10538557215985841</v>
      </c>
      <c r="I802" s="95">
        <v>17.714174276369043</v>
      </c>
      <c r="J802" s="95">
        <v>0.9046458230882326</v>
      </c>
      <c r="K802" s="95">
        <v>4.0347600239398504</v>
      </c>
      <c r="L802" s="95">
        <v>1.5580841936150736</v>
      </c>
      <c r="M802" s="95">
        <v>3033.4699825456632</v>
      </c>
      <c r="N802" s="95">
        <v>6252.4636533148996</v>
      </c>
      <c r="O802" s="95">
        <v>10000.000000000004</v>
      </c>
      <c r="Q802" s="98"/>
      <c r="R802" s="95"/>
      <c r="S802" s="99"/>
      <c r="U802" s="121"/>
      <c r="V802" s="59"/>
      <c r="W802" s="59"/>
      <c r="X802" s="59"/>
      <c r="Y802" s="59"/>
      <c r="Z802" s="59"/>
      <c r="AA802" s="59"/>
      <c r="AB802" s="59"/>
      <c r="AC802" s="59"/>
      <c r="AD802" s="68"/>
    </row>
    <row r="803" spans="1:30" x14ac:dyDescent="0.2">
      <c r="A803" s="95">
        <v>795</v>
      </c>
      <c r="B803" s="95">
        <v>66</v>
      </c>
      <c r="C803" s="95">
        <v>3</v>
      </c>
      <c r="D803" s="95"/>
      <c r="E803" s="95">
        <v>150.97846100811464</v>
      </c>
      <c r="F803" s="95">
        <v>323.52527358881656</v>
      </c>
      <c r="G803" s="95">
        <v>204.89933993958371</v>
      </c>
      <c r="H803" s="95">
        <v>0.10278606137991524</v>
      </c>
      <c r="I803" s="95">
        <v>17.371242786367091</v>
      </c>
      <c r="J803" s="95">
        <v>0.88830994248542616</v>
      </c>
      <c r="K803" s="95">
        <v>3.9552076948953325</v>
      </c>
      <c r="L803" s="95">
        <v>1.5279276046103007</v>
      </c>
      <c r="M803" s="95">
        <v>3033.5768025967595</v>
      </c>
      <c r="N803" s="95">
        <v>6263.1746487769915</v>
      </c>
      <c r="O803" s="95">
        <v>10000.000000000004</v>
      </c>
      <c r="Q803" s="98"/>
      <c r="R803" s="95"/>
      <c r="S803" s="99"/>
      <c r="U803" s="121"/>
      <c r="V803" s="59"/>
      <c r="W803" s="59"/>
      <c r="X803" s="59"/>
      <c r="Y803" s="59"/>
      <c r="Z803" s="59"/>
      <c r="AA803" s="59"/>
      <c r="AB803" s="59"/>
      <c r="AC803" s="59"/>
      <c r="AD803" s="68"/>
    </row>
    <row r="804" spans="1:30" x14ac:dyDescent="0.2">
      <c r="A804" s="95">
        <v>796</v>
      </c>
      <c r="B804" s="95">
        <v>66</v>
      </c>
      <c r="C804" s="95">
        <v>4</v>
      </c>
      <c r="D804" s="95"/>
      <c r="E804" s="95">
        <v>148.71378409299291</v>
      </c>
      <c r="F804" s="95">
        <v>318.6723944849843</v>
      </c>
      <c r="G804" s="95">
        <v>201.82584984048995</v>
      </c>
      <c r="H804" s="95">
        <v>0.10025067186587733</v>
      </c>
      <c r="I804" s="95">
        <v>17.034944754191802</v>
      </c>
      <c r="J804" s="95">
        <v>0.87224796354443868</v>
      </c>
      <c r="K804" s="95">
        <v>3.8772388757727589</v>
      </c>
      <c r="L804" s="95">
        <v>1.4983529831396822</v>
      </c>
      <c r="M804" s="95">
        <v>3033.6815593266369</v>
      </c>
      <c r="N804" s="95">
        <v>6273.7233770063858</v>
      </c>
      <c r="O804" s="95">
        <v>10000.000000000004</v>
      </c>
      <c r="Q804" s="98"/>
      <c r="R804" s="95"/>
      <c r="S804" s="99"/>
      <c r="U804" s="121"/>
      <c r="V804" s="59"/>
      <c r="W804" s="59"/>
      <c r="X804" s="59"/>
      <c r="Y804" s="59"/>
      <c r="Z804" s="59"/>
      <c r="AA804" s="59"/>
      <c r="AB804" s="59"/>
      <c r="AC804" s="59"/>
      <c r="AD804" s="68"/>
    </row>
    <row r="805" spans="1:30" x14ac:dyDescent="0.2">
      <c r="A805" s="95">
        <v>797</v>
      </c>
      <c r="B805" s="95">
        <v>66</v>
      </c>
      <c r="C805" s="95">
        <v>5</v>
      </c>
      <c r="D805" s="95"/>
      <c r="E805" s="95">
        <v>146.48307733159803</v>
      </c>
      <c r="F805" s="95">
        <v>313.89230856770951</v>
      </c>
      <c r="G805" s="95">
        <v>198.7984620928826</v>
      </c>
      <c r="H805" s="95">
        <v>9.7777821959852351E-2</v>
      </c>
      <c r="I805" s="95">
        <v>16.705152000042613</v>
      </c>
      <c r="J805" s="95">
        <v>0.85645610026512786</v>
      </c>
      <c r="K805" s="95">
        <v>3.8008215912030012</v>
      </c>
      <c r="L805" s="95">
        <v>1.4693491557118878</v>
      </c>
      <c r="M805" s="95">
        <v>3033.7842923772414</v>
      </c>
      <c r="N805" s="95">
        <v>6284.11230296139</v>
      </c>
      <c r="O805" s="95">
        <v>10000.000000000004</v>
      </c>
      <c r="Q805" s="98"/>
      <c r="R805" s="95"/>
      <c r="S805" s="99"/>
      <c r="U805" s="121"/>
      <c r="V805" s="59"/>
      <c r="W805" s="59"/>
      <c r="X805" s="59"/>
      <c r="Y805" s="59"/>
      <c r="Z805" s="59"/>
      <c r="AA805" s="59"/>
      <c r="AB805" s="59"/>
      <c r="AC805" s="59"/>
      <c r="AD805" s="68"/>
    </row>
    <row r="806" spans="1:30" x14ac:dyDescent="0.2">
      <c r="A806" s="95">
        <v>798</v>
      </c>
      <c r="B806" s="95">
        <v>66</v>
      </c>
      <c r="C806" s="95">
        <v>6</v>
      </c>
      <c r="D806" s="95"/>
      <c r="E806" s="95">
        <v>144.28583117162407</v>
      </c>
      <c r="F806" s="95">
        <v>309.18392393919385</v>
      </c>
      <c r="G806" s="95">
        <v>195.81648516148937</v>
      </c>
      <c r="H806" s="95">
        <v>9.5365969018175997E-2</v>
      </c>
      <c r="I806" s="95">
        <v>16.381738817654064</v>
      </c>
      <c r="J806" s="95">
        <v>0.84093058571791979</v>
      </c>
      <c r="K806" s="95">
        <v>3.7259245250880908</v>
      </c>
      <c r="L806" s="95">
        <v>1.440905161837164</v>
      </c>
      <c r="M806" s="95">
        <v>3033.8850406370707</v>
      </c>
      <c r="N806" s="95">
        <v>6294.3438540313109</v>
      </c>
      <c r="O806" s="95">
        <v>10000.000000000004</v>
      </c>
      <c r="Q806" s="98"/>
      <c r="R806" s="95"/>
      <c r="S806" s="99"/>
      <c r="U806" s="121"/>
      <c r="V806" s="59"/>
      <c r="W806" s="59"/>
      <c r="X806" s="59"/>
      <c r="Y806" s="59"/>
      <c r="Z806" s="59"/>
      <c r="AA806" s="59"/>
      <c r="AB806" s="59"/>
      <c r="AC806" s="59"/>
      <c r="AD806" s="68"/>
    </row>
    <row r="807" spans="1:30" x14ac:dyDescent="0.2">
      <c r="A807" s="95">
        <v>799</v>
      </c>
      <c r="B807" s="95">
        <v>66</v>
      </c>
      <c r="C807" s="95">
        <v>7</v>
      </c>
      <c r="D807" s="95"/>
      <c r="E807" s="95">
        <v>142.12154370404971</v>
      </c>
      <c r="F807" s="95">
        <v>304.54616508010594</v>
      </c>
      <c r="G807" s="95">
        <v>192.87923788406704</v>
      </c>
      <c r="H807" s="95">
        <v>9.3013608449060994E-2</v>
      </c>
      <c r="I807" s="95">
        <v>16.064581926645122</v>
      </c>
      <c r="J807" s="95">
        <v>0.82566767361285309</v>
      </c>
      <c r="K807" s="95">
        <v>3.6525170066096648</v>
      </c>
      <c r="L807" s="95">
        <v>1.4130102499827313</v>
      </c>
      <c r="M807" s="95">
        <v>3033.983842255197</v>
      </c>
      <c r="N807" s="95">
        <v>6304.4204206112854</v>
      </c>
      <c r="O807" s="95">
        <v>10000.000000000005</v>
      </c>
      <c r="Q807" s="98"/>
      <c r="R807" s="95"/>
      <c r="S807" s="99"/>
      <c r="U807" s="121"/>
      <c r="V807" s="59"/>
      <c r="W807" s="59"/>
      <c r="X807" s="59"/>
      <c r="Y807" s="59"/>
      <c r="Z807" s="59"/>
      <c r="AA807" s="59"/>
      <c r="AB807" s="59"/>
      <c r="AC807" s="59"/>
      <c r="AD807" s="68"/>
    </row>
    <row r="808" spans="1:30" x14ac:dyDescent="0.2">
      <c r="A808" s="95">
        <v>800</v>
      </c>
      <c r="B808" s="95">
        <v>66</v>
      </c>
      <c r="C808" s="95">
        <v>8</v>
      </c>
      <c r="D808" s="95"/>
      <c r="E808" s="95">
        <v>139.98972054848898</v>
      </c>
      <c r="F808" s="95">
        <v>299.97797260390433</v>
      </c>
      <c r="G808" s="95">
        <v>189.98604931580604</v>
      </c>
      <c r="H808" s="95">
        <v>9.0719272773984158E-2</v>
      </c>
      <c r="I808" s="95">
        <v>15.753560425784437</v>
      </c>
      <c r="J808" s="95">
        <v>0.81066363976894806</v>
      </c>
      <c r="K808" s="95">
        <v>3.5805689965457494</v>
      </c>
      <c r="L808" s="95">
        <v>1.3856538736067849</v>
      </c>
      <c r="M808" s="95">
        <v>3034.0807346550368</v>
      </c>
      <c r="N808" s="95">
        <v>6314.3443566682881</v>
      </c>
      <c r="O808" s="95">
        <v>10000.000000000004</v>
      </c>
      <c r="Q808" s="98"/>
      <c r="R808" s="95"/>
      <c r="S808" s="99"/>
      <c r="U808" s="121"/>
      <c r="V808" s="59"/>
      <c r="W808" s="59"/>
      <c r="X808" s="59"/>
      <c r="Y808" s="59"/>
      <c r="Z808" s="59"/>
      <c r="AA808" s="59"/>
      <c r="AB808" s="59"/>
      <c r="AC808" s="59"/>
      <c r="AD808" s="68"/>
    </row>
    <row r="809" spans="1:30" x14ac:dyDescent="0.2">
      <c r="A809" s="95">
        <v>801</v>
      </c>
      <c r="B809" s="95">
        <v>66</v>
      </c>
      <c r="C809" s="95">
        <v>9</v>
      </c>
      <c r="D809" s="95"/>
      <c r="E809" s="95">
        <v>137.88987474026163</v>
      </c>
      <c r="F809" s="95">
        <v>295.47830301484578</v>
      </c>
      <c r="G809" s="95">
        <v>187.13625857606894</v>
      </c>
      <c r="H809" s="95">
        <v>8.8481530712225878E-2</v>
      </c>
      <c r="I809" s="95">
        <v>15.448555747153938</v>
      </c>
      <c r="J809" s="95">
        <v>0.79591478348830924</v>
      </c>
      <c r="K809" s="95">
        <v>3.5100510738887611</v>
      </c>
      <c r="L809" s="95">
        <v>1.3588256872693736</v>
      </c>
      <c r="M809" s="95">
        <v>3034.1757545478767</v>
      </c>
      <c r="N809" s="95">
        <v>6324.1179802984379</v>
      </c>
      <c r="O809" s="95">
        <v>10000.000000000004</v>
      </c>
      <c r="Q809" s="98"/>
      <c r="R809" s="95"/>
      <c r="S809" s="99"/>
      <c r="U809" s="121"/>
      <c r="V809" s="59"/>
      <c r="W809" s="59"/>
      <c r="X809" s="59"/>
      <c r="Y809" s="59"/>
      <c r="Z809" s="59"/>
      <c r="AA809" s="59"/>
      <c r="AB809" s="59"/>
      <c r="AC809" s="59"/>
      <c r="AD809" s="68"/>
    </row>
    <row r="810" spans="1:30" x14ac:dyDescent="0.2">
      <c r="A810" s="95">
        <v>802</v>
      </c>
      <c r="B810" s="95">
        <v>66</v>
      </c>
      <c r="C810" s="95">
        <v>10</v>
      </c>
      <c r="D810" s="95"/>
      <c r="E810" s="95">
        <v>135.82152661915771</v>
      </c>
      <c r="F810" s="95">
        <v>291.04612846962311</v>
      </c>
      <c r="G810" s="95">
        <v>184.32921469742791</v>
      </c>
      <c r="H810" s="95">
        <v>8.6298986287990972E-2</v>
      </c>
      <c r="I810" s="95">
        <v>15.149451611193584</v>
      </c>
      <c r="J810" s="95">
        <v>0.78141742883919452</v>
      </c>
      <c r="K810" s="95">
        <v>3.4409344227577989</v>
      </c>
      <c r="L810" s="95">
        <v>1.3325155428184807</v>
      </c>
      <c r="M810" s="95">
        <v>3034.2689379461544</v>
      </c>
      <c r="N810" s="95">
        <v>6333.7435742757434</v>
      </c>
      <c r="O810" s="95">
        <v>10000.000000000004</v>
      </c>
      <c r="Q810" s="98"/>
      <c r="R810" s="95"/>
      <c r="S810" s="99"/>
      <c r="U810" s="121"/>
      <c r="V810" s="59"/>
      <c r="W810" s="59"/>
      <c r="X810" s="59"/>
      <c r="Y810" s="59"/>
      <c r="Z810" s="59"/>
      <c r="AA810" s="59"/>
      <c r="AB810" s="59"/>
      <c r="AC810" s="59"/>
      <c r="AD810" s="68"/>
    </row>
    <row r="811" spans="1:30" x14ac:dyDescent="0.2">
      <c r="A811" s="95">
        <v>803</v>
      </c>
      <c r="B811" s="95">
        <v>66</v>
      </c>
      <c r="C811" s="95">
        <v>11</v>
      </c>
      <c r="D811" s="95"/>
      <c r="E811" s="95">
        <v>133.78420371987033</v>
      </c>
      <c r="F811" s="95">
        <v>286.68043654257878</v>
      </c>
      <c r="G811" s="95">
        <v>181.56427647696648</v>
      </c>
      <c r="H811" s="95">
        <v>8.4170277959553869E-2</v>
      </c>
      <c r="I811" s="95">
        <v>14.856133982610359</v>
      </c>
      <c r="J811" s="95">
        <v>0.76716792585211901</v>
      </c>
      <c r="K811" s="95">
        <v>3.3731908195984484</v>
      </c>
      <c r="L811" s="95">
        <v>1.306713485649688</v>
      </c>
      <c r="M811" s="95">
        <v>3034.3603201765027</v>
      </c>
      <c r="N811" s="95">
        <v>6343.2233865924154</v>
      </c>
      <c r="O811" s="95">
        <v>10000.000000000004</v>
      </c>
      <c r="Q811" s="98"/>
      <c r="R811" s="95"/>
      <c r="S811" s="99"/>
      <c r="U811" s="121"/>
      <c r="V811" s="59"/>
      <c r="W811" s="59"/>
      <c r="X811" s="59"/>
      <c r="Y811" s="59"/>
      <c r="Z811" s="59"/>
      <c r="AA811" s="59"/>
      <c r="AB811" s="59"/>
      <c r="AC811" s="59"/>
      <c r="AD811" s="68"/>
    </row>
    <row r="812" spans="1:30" x14ac:dyDescent="0.2">
      <c r="A812" s="95">
        <v>804</v>
      </c>
      <c r="B812" s="95">
        <v>67</v>
      </c>
      <c r="C812" s="95">
        <v>0</v>
      </c>
      <c r="D812" s="95"/>
      <c r="E812" s="95">
        <v>131.77744066407229</v>
      </c>
      <c r="F812" s="95">
        <v>282.38022999444007</v>
      </c>
      <c r="G812" s="95">
        <v>178.840812329812</v>
      </c>
      <c r="H812" s="95">
        <v>8.2094077769884879E-2</v>
      </c>
      <c r="I812" s="95">
        <v>14.56849102713495</v>
      </c>
      <c r="J812" s="95">
        <v>0.75316265163289886</v>
      </c>
      <c r="K812" s="95">
        <v>3.3067926206634977</v>
      </c>
      <c r="L812" s="95">
        <v>1.2814097510378399</v>
      </c>
      <c r="M812" s="95">
        <v>3034.4499358925586</v>
      </c>
      <c r="N812" s="95">
        <v>6352.5596309908815</v>
      </c>
      <c r="O812" s="95">
        <v>10000.000000000004</v>
      </c>
      <c r="Q812" s="98"/>
      <c r="R812" s="95"/>
      <c r="S812" s="99"/>
      <c r="U812" s="121"/>
      <c r="V812" s="59"/>
      <c r="W812" s="59"/>
      <c r="X812" s="59"/>
      <c r="Y812" s="59"/>
      <c r="Z812" s="59"/>
      <c r="AA812" s="59"/>
      <c r="AB812" s="59"/>
      <c r="AC812" s="59"/>
      <c r="AD812" s="68"/>
    </row>
    <row r="813" spans="1:30" x14ac:dyDescent="0.2">
      <c r="A813" s="95">
        <v>805</v>
      </c>
      <c r="B813" s="95">
        <v>67</v>
      </c>
      <c r="C813" s="95">
        <v>1</v>
      </c>
      <c r="D813" s="95"/>
      <c r="E813" s="95">
        <v>129.80077905411122</v>
      </c>
      <c r="F813" s="95">
        <v>278.14452654452344</v>
      </c>
      <c r="G813" s="95">
        <v>176.15820014486482</v>
      </c>
      <c r="H813" s="95">
        <v>8.006909051822772E-2</v>
      </c>
      <c r="I813" s="95">
        <v>14.286413069109855</v>
      </c>
      <c r="J813" s="95">
        <v>0.73939801139638484</v>
      </c>
      <c r="K813" s="95">
        <v>3.2417127497681166</v>
      </c>
      <c r="L813" s="95">
        <v>1.2565947605391796</v>
      </c>
      <c r="M813" s="95">
        <v>3034.5378190875422</v>
      </c>
      <c r="N813" s="95">
        <v>6361.7544874876294</v>
      </c>
      <c r="O813" s="95">
        <v>10000.000000000004</v>
      </c>
      <c r="Q813" s="98"/>
      <c r="R813" s="95"/>
      <c r="S813" s="99"/>
      <c r="U813" s="121"/>
      <c r="V813" s="59"/>
      <c r="W813" s="59"/>
      <c r="X813" s="59"/>
      <c r="Y813" s="59"/>
      <c r="Z813" s="59"/>
      <c r="AA813" s="59"/>
      <c r="AB813" s="59"/>
      <c r="AC813" s="59"/>
      <c r="AD813" s="68"/>
    </row>
    <row r="814" spans="1:30" x14ac:dyDescent="0.2">
      <c r="A814" s="95">
        <v>806</v>
      </c>
      <c r="B814" s="95">
        <v>67</v>
      </c>
      <c r="C814" s="95">
        <v>2</v>
      </c>
      <c r="D814" s="95"/>
      <c r="E814" s="95">
        <v>127.85376736829954</v>
      </c>
      <c r="F814" s="95">
        <v>273.97235864635559</v>
      </c>
      <c r="G814" s="95">
        <v>173.51582714269185</v>
      </c>
      <c r="H814" s="95">
        <v>7.8094052952111442E-2</v>
      </c>
      <c r="I814" s="95">
        <v>14.009792549892982</v>
      </c>
      <c r="J814" s="95">
        <v>0.72587043942448815</v>
      </c>
      <c r="K814" s="95">
        <v>3.1779246863132062</v>
      </c>
      <c r="L814" s="95">
        <v>1.2322591184624665</v>
      </c>
      <c r="M814" s="95">
        <v>3034.6240031066086</v>
      </c>
      <c r="N814" s="95">
        <v>6370.8101028890023</v>
      </c>
      <c r="O814" s="95">
        <v>10000.000000000004</v>
      </c>
      <c r="Q814" s="98"/>
      <c r="R814" s="95"/>
      <c r="S814" s="99"/>
      <c r="U814" s="121"/>
      <c r="V814" s="59"/>
      <c r="W814" s="59"/>
      <c r="X814" s="59"/>
      <c r="Y814" s="59"/>
      <c r="Z814" s="59"/>
      <c r="AA814" s="59"/>
      <c r="AB814" s="59"/>
      <c r="AC814" s="59"/>
      <c r="AD814" s="68"/>
    </row>
    <row r="815" spans="1:30" x14ac:dyDescent="0.2">
      <c r="A815" s="95">
        <v>807</v>
      </c>
      <c r="B815" s="95">
        <v>67</v>
      </c>
      <c r="C815" s="95">
        <v>3</v>
      </c>
      <c r="D815" s="95"/>
      <c r="E815" s="95">
        <v>125.93596085777504</v>
      </c>
      <c r="F815" s="95">
        <v>269.86277326666027</v>
      </c>
      <c r="G815" s="95">
        <v>170.91308973555147</v>
      </c>
      <c r="H815" s="95">
        <v>7.616773297929269E-2</v>
      </c>
      <c r="I815" s="95">
        <v>13.738523987061097</v>
      </c>
      <c r="J815" s="95">
        <v>0.71257639995195587</v>
      </c>
      <c r="K815" s="95">
        <v>3.1154024535707836</v>
      </c>
      <c r="L815" s="95">
        <v>1.2083936084076288</v>
      </c>
      <c r="M815" s="95">
        <v>3034.7085206589772</v>
      </c>
      <c r="N815" s="95">
        <v>6379.7285912990683</v>
      </c>
      <c r="O815" s="95">
        <v>10000.000000000004</v>
      </c>
      <c r="Q815" s="98"/>
      <c r="R815" s="95"/>
      <c r="S815" s="99"/>
      <c r="U815" s="121"/>
      <c r="V815" s="59"/>
      <c r="W815" s="59"/>
      <c r="X815" s="59"/>
      <c r="Y815" s="59"/>
      <c r="Z815" s="59"/>
      <c r="AA815" s="59"/>
      <c r="AB815" s="59"/>
      <c r="AC815" s="59"/>
      <c r="AD815" s="68"/>
    </row>
    <row r="816" spans="1:30" x14ac:dyDescent="0.2">
      <c r="A816" s="95">
        <v>808</v>
      </c>
      <c r="B816" s="95">
        <v>67</v>
      </c>
      <c r="C816" s="95">
        <v>4</v>
      </c>
      <c r="D816" s="95"/>
      <c r="E816" s="95">
        <v>124.04692144490842</v>
      </c>
      <c r="F816" s="95">
        <v>265.81483166766037</v>
      </c>
      <c r="G816" s="95">
        <v>168.34939338951818</v>
      </c>
      <c r="H816" s="95">
        <v>7.4288928899136811E-2</v>
      </c>
      <c r="I816" s="95">
        <v>13.472503934397794</v>
      </c>
      <c r="J816" s="95">
        <v>0.69951238798321425</v>
      </c>
      <c r="K816" s="95">
        <v>3.0541206072254052</v>
      </c>
      <c r="L816" s="95">
        <v>1.1849891898705429</v>
      </c>
      <c r="M816" s="95">
        <v>3034.7914038298422</v>
      </c>
      <c r="N816" s="95">
        <v>6388.5120346196982</v>
      </c>
      <c r="O816" s="95">
        <v>10000.000000000004</v>
      </c>
      <c r="Q816" s="98"/>
      <c r="R816" s="95"/>
      <c r="S816" s="99"/>
      <c r="U816" s="121"/>
      <c r="V816" s="59"/>
      <c r="W816" s="59"/>
      <c r="X816" s="59"/>
      <c r="Y816" s="59"/>
      <c r="Z816" s="59"/>
      <c r="AA816" s="59"/>
      <c r="AB816" s="59"/>
      <c r="AC816" s="59"/>
      <c r="AD816" s="68"/>
    </row>
    <row r="817" spans="1:30" x14ac:dyDescent="0.2">
      <c r="A817" s="95">
        <v>809</v>
      </c>
      <c r="B817" s="95">
        <v>67</v>
      </c>
      <c r="C817" s="95">
        <v>5</v>
      </c>
      <c r="D817" s="95"/>
      <c r="E817" s="95">
        <v>122.1862176232348</v>
      </c>
      <c r="F817" s="95">
        <v>261.82760919264547</v>
      </c>
      <c r="G817" s="95">
        <v>165.82415248867542</v>
      </c>
      <c r="H817" s="95">
        <v>7.24564686529581E-2</v>
      </c>
      <c r="I817" s="95">
        <v>13.211630942650929</v>
      </c>
      <c r="J817" s="95">
        <v>0.68667493004346825</v>
      </c>
      <c r="K817" s="95">
        <v>2.9940542241657835</v>
      </c>
      <c r="L817" s="95">
        <v>1.1620369949125708</v>
      </c>
      <c r="M817" s="95">
        <v>3034.8726840920672</v>
      </c>
      <c r="N817" s="95">
        <v>6397.1624830429546</v>
      </c>
      <c r="O817" s="95">
        <v>10000.000000000004</v>
      </c>
      <c r="Q817" s="98"/>
      <c r="R817" s="95"/>
      <c r="S817" s="99"/>
      <c r="U817" s="121"/>
      <c r="V817" s="59"/>
      <c r="W817" s="59"/>
      <c r="X817" s="59"/>
      <c r="Y817" s="59"/>
      <c r="Z817" s="59"/>
      <c r="AA817" s="59"/>
      <c r="AB817" s="59"/>
      <c r="AC817" s="59"/>
      <c r="AD817" s="68"/>
    </row>
    <row r="818" spans="1:30" x14ac:dyDescent="0.2">
      <c r="A818" s="95">
        <v>810</v>
      </c>
      <c r="B818" s="95">
        <v>67</v>
      </c>
      <c r="C818" s="95">
        <v>6</v>
      </c>
      <c r="D818" s="95"/>
      <c r="E818" s="95">
        <v>120.35342435888627</v>
      </c>
      <c r="F818" s="95">
        <v>257.90019505475578</v>
      </c>
      <c r="G818" s="95">
        <v>163.33679020134528</v>
      </c>
      <c r="H818" s="95">
        <v>7.0669209092851806E-2</v>
      </c>
      <c r="I818" s="95">
        <v>12.95580552104477</v>
      </c>
      <c r="J818" s="95">
        <v>0.67406058486711384</v>
      </c>
      <c r="K818" s="95">
        <v>2.9351788915208887</v>
      </c>
      <c r="L818" s="95">
        <v>1.1395283248935217</v>
      </c>
      <c r="M818" s="95">
        <v>3034.9523923176675</v>
      </c>
      <c r="N818" s="95">
        <v>6405.6819555359289</v>
      </c>
      <c r="O818" s="95">
        <v>10000.000000000004</v>
      </c>
      <c r="Q818" s="98"/>
      <c r="R818" s="95"/>
      <c r="S818" s="99"/>
      <c r="U818" s="121"/>
      <c r="V818" s="59"/>
      <c r="W818" s="59"/>
      <c r="X818" s="59"/>
      <c r="Y818" s="59"/>
      <c r="Z818" s="59"/>
      <c r="AA818" s="59"/>
      <c r="AB818" s="59"/>
      <c r="AC818" s="59"/>
      <c r="AD818" s="68"/>
    </row>
    <row r="819" spans="1:30" x14ac:dyDescent="0.2">
      <c r="A819" s="95">
        <v>811</v>
      </c>
      <c r="B819" s="95">
        <v>67</v>
      </c>
      <c r="C819" s="95">
        <v>7</v>
      </c>
      <c r="D819" s="95"/>
      <c r="E819" s="95">
        <v>118.54812299350297</v>
      </c>
      <c r="F819" s="95">
        <v>254.03169212893445</v>
      </c>
      <c r="G819" s="95">
        <v>160.88673834832511</v>
      </c>
      <c r="H819" s="95">
        <v>6.8926035268561461E-2</v>
      </c>
      <c r="I819" s="95">
        <v>12.704930099532382</v>
      </c>
      <c r="J819" s="95">
        <v>0.66166594402640022</v>
      </c>
      <c r="K819" s="95">
        <v>2.8774706959349663</v>
      </c>
      <c r="L819" s="95">
        <v>1.1174546472667419</v>
      </c>
      <c r="M819" s="95">
        <v>3035.0305587890862</v>
      </c>
      <c r="N819" s="95">
        <v>6414.0724403181248</v>
      </c>
      <c r="O819" s="95">
        <v>10000.000000000002</v>
      </c>
      <c r="Q819" s="98"/>
      <c r="R819" s="95"/>
      <c r="S819" s="99"/>
      <c r="U819" s="121"/>
      <c r="V819" s="59"/>
      <c r="W819" s="59"/>
      <c r="X819" s="59"/>
      <c r="Y819" s="59"/>
      <c r="Z819" s="59"/>
      <c r="AA819" s="59"/>
      <c r="AB819" s="59"/>
      <c r="AC819" s="59"/>
      <c r="AD819" s="68"/>
    </row>
    <row r="820" spans="1:30" x14ac:dyDescent="0.2">
      <c r="A820" s="95">
        <v>812</v>
      </c>
      <c r="B820" s="95">
        <v>67</v>
      </c>
      <c r="C820" s="95">
        <v>8</v>
      </c>
      <c r="D820" s="95"/>
      <c r="E820" s="95">
        <v>116.76990114860043</v>
      </c>
      <c r="F820" s="95">
        <v>250.22121674700043</v>
      </c>
      <c r="G820" s="95">
        <v>158.47343727310025</v>
      </c>
      <c r="H820" s="95">
        <v>6.7225859731936941E-2</v>
      </c>
      <c r="I820" s="95">
        <v>12.458908991774058</v>
      </c>
      <c r="J820" s="95">
        <v>0.64948763250315766</v>
      </c>
      <c r="K820" s="95">
        <v>2.8209062130760274</v>
      </c>
      <c r="L820" s="95">
        <v>1.0958075924350681</v>
      </c>
      <c r="M820" s="95">
        <v>3035.1072132102645</v>
      </c>
      <c r="N820" s="95">
        <v>6422.3358953315173</v>
      </c>
      <c r="O820" s="95">
        <v>10000.000000000004</v>
      </c>
      <c r="Q820" s="98"/>
      <c r="R820" s="95"/>
      <c r="S820" s="99"/>
      <c r="U820" s="121"/>
      <c r="V820" s="59"/>
      <c r="W820" s="59"/>
      <c r="X820" s="59"/>
      <c r="Y820" s="59"/>
      <c r="Z820" s="59"/>
      <c r="AA820" s="59"/>
      <c r="AB820" s="59"/>
      <c r="AC820" s="59"/>
      <c r="AD820" s="68"/>
    </row>
    <row r="821" spans="1:30" x14ac:dyDescent="0.2">
      <c r="A821" s="95">
        <v>813</v>
      </c>
      <c r="B821" s="95">
        <v>67</v>
      </c>
      <c r="C821" s="95">
        <v>9</v>
      </c>
      <c r="D821" s="95"/>
      <c r="E821" s="95">
        <v>115.01835263137141</v>
      </c>
      <c r="F821" s="95">
        <v>246.46789849579542</v>
      </c>
      <c r="G821" s="95">
        <v>156.09633571400374</v>
      </c>
      <c r="H821" s="95">
        <v>6.5567621858549169E-2</v>
      </c>
      <c r="I821" s="95">
        <v>12.217648358827853</v>
      </c>
      <c r="J821" s="95">
        <v>0.63752230920629449</v>
      </c>
      <c r="K821" s="95">
        <v>2.7654624973725124</v>
      </c>
      <c r="L821" s="95">
        <v>1.0745789506664127</v>
      </c>
      <c r="M821" s="95">
        <v>3035.1823847175101</v>
      </c>
      <c r="N821" s="95">
        <v>6430.4742487033909</v>
      </c>
      <c r="O821" s="95">
        <v>10000.000000000004</v>
      </c>
      <c r="Q821" s="98"/>
      <c r="R821" s="95"/>
      <c r="S821" s="99"/>
      <c r="U821" s="121"/>
      <c r="V821" s="59"/>
      <c r="W821" s="59"/>
      <c r="X821" s="59"/>
      <c r="Y821" s="59"/>
      <c r="Z821" s="59"/>
      <c r="AA821" s="59"/>
      <c r="AB821" s="59"/>
      <c r="AC821" s="59"/>
      <c r="AD821" s="68"/>
    </row>
    <row r="822" spans="1:30" x14ac:dyDescent="0.2">
      <c r="A822" s="95">
        <v>814</v>
      </c>
      <c r="B822" s="95">
        <v>67</v>
      </c>
      <c r="C822" s="95">
        <v>10</v>
      </c>
      <c r="D822" s="95"/>
      <c r="E822" s="95">
        <v>113.29307734190084</v>
      </c>
      <c r="F822" s="95">
        <v>242.7708800183585</v>
      </c>
      <c r="G822" s="95">
        <v>153.75489067829369</v>
      </c>
      <c r="H822" s="95">
        <v>6.395028718603829E-2</v>
      </c>
      <c r="I822" s="95">
        <v>11.981056173538578</v>
      </c>
      <c r="J822" s="95">
        <v>0.62576666743765685</v>
      </c>
      <c r="K822" s="95">
        <v>2.7111170719729398</v>
      </c>
      <c r="L822" s="95">
        <v>1.0537606690677823</v>
      </c>
      <c r="M822" s="95">
        <v>3035.2561018901697</v>
      </c>
      <c r="N822" s="95">
        <v>6438.489399202077</v>
      </c>
      <c r="O822" s="95">
        <v>10000.000000000004</v>
      </c>
      <c r="Q822" s="98"/>
      <c r="R822" s="95"/>
      <c r="S822" s="99"/>
      <c r="U822" s="121"/>
      <c r="V822" s="59"/>
      <c r="W822" s="59"/>
      <c r="X822" s="59"/>
      <c r="Y822" s="59"/>
      <c r="Z822" s="59"/>
      <c r="AA822" s="59"/>
      <c r="AB822" s="59"/>
      <c r="AC822" s="59"/>
      <c r="AD822" s="68"/>
    </row>
    <row r="823" spans="1:30" x14ac:dyDescent="0.2">
      <c r="A823" s="95">
        <v>815</v>
      </c>
      <c r="B823" s="95">
        <v>67</v>
      </c>
      <c r="C823" s="95">
        <v>11</v>
      </c>
      <c r="D823" s="95"/>
      <c r="E823" s="95">
        <v>111.59368118177233</v>
      </c>
      <c r="F823" s="95">
        <v>239.12931681808311</v>
      </c>
      <c r="G823" s="95">
        <v>151.44856731811927</v>
      </c>
      <c r="H823" s="95">
        <v>6.2372846768782679E-2</v>
      </c>
      <c r="I823" s="95">
        <v>11.749042185611836</v>
      </c>
      <c r="J823" s="95">
        <v>0.6142174353087384</v>
      </c>
      <c r="K823" s="95">
        <v>2.6578479189234878</v>
      </c>
      <c r="L823" s="95">
        <v>1.0333448486165586</v>
      </c>
      <c r="M823" s="95">
        <v>3035.3283927611051</v>
      </c>
      <c r="N823" s="95">
        <v>6446.3832166856928</v>
      </c>
      <c r="O823" s="95">
        <v>10000.000000000002</v>
      </c>
      <c r="Q823" s="98"/>
      <c r="R823" s="95"/>
      <c r="S823" s="99"/>
      <c r="U823" s="121"/>
      <c r="V823" s="59"/>
      <c r="W823" s="59"/>
      <c r="X823" s="59"/>
      <c r="Y823" s="59"/>
      <c r="Z823" s="59"/>
      <c r="AA823" s="59"/>
      <c r="AB823" s="59"/>
      <c r="AC823" s="59"/>
      <c r="AD823" s="68"/>
    </row>
    <row r="824" spans="1:30" x14ac:dyDescent="0.2">
      <c r="A824" s="95">
        <v>816</v>
      </c>
      <c r="B824" s="95">
        <v>68</v>
      </c>
      <c r="C824" s="95">
        <v>0</v>
      </c>
      <c r="D824" s="95"/>
      <c r="E824" s="95">
        <v>109.91977596404574</v>
      </c>
      <c r="F824" s="95">
        <v>235.54237706581188</v>
      </c>
      <c r="G824" s="95">
        <v>149.1768388083475</v>
      </c>
      <c r="H824" s="95">
        <v>6.0834316548486041E-2</v>
      </c>
      <c r="I824" s="95">
        <v>11.521517887359972</v>
      </c>
      <c r="J824" s="95">
        <v>0.60287137611062802</v>
      </c>
      <c r="K824" s="95">
        <v>2.605633469558569</v>
      </c>
      <c r="L824" s="95">
        <v>1.0133237412479008</v>
      </c>
      <c r="M824" s="95">
        <v>3035.3992848269804</v>
      </c>
      <c r="N824" s="95">
        <v>6454.1575425439914</v>
      </c>
      <c r="O824" s="95">
        <v>10000.000000000002</v>
      </c>
      <c r="Q824" s="98"/>
      <c r="R824" s="95"/>
      <c r="S824" s="99"/>
      <c r="U824" s="121"/>
      <c r="V824" s="59"/>
      <c r="W824" s="59"/>
      <c r="X824" s="59"/>
      <c r="Y824" s="59"/>
      <c r="Z824" s="59"/>
      <c r="AA824" s="59"/>
      <c r="AB824" s="59"/>
      <c r="AC824" s="59"/>
      <c r="AD824" s="68"/>
    </row>
    <row r="825" spans="1:30" x14ac:dyDescent="0.2">
      <c r="A825" s="95">
        <v>817</v>
      </c>
      <c r="B825" s="95">
        <v>68</v>
      </c>
      <c r="C825" s="95">
        <v>1</v>
      </c>
      <c r="D825" s="95"/>
      <c r="E825" s="95">
        <v>108.27097932458506</v>
      </c>
      <c r="F825" s="95">
        <v>232.00924140982471</v>
      </c>
      <c r="G825" s="95">
        <v>146.93918622622229</v>
      </c>
      <c r="H825" s="95">
        <v>5.933373674029005E-2</v>
      </c>
      <c r="I825" s="95">
        <v>11.298396480107034</v>
      </c>
      <c r="J825" s="95">
        <v>0.59172528863948293</v>
      </c>
      <c r="K825" s="95">
        <v>2.5544525950995793</v>
      </c>
      <c r="L825" s="95">
        <v>0.99368974699715662</v>
      </c>
      <c r="M825" s="95">
        <v>3035.46880505836</v>
      </c>
      <c r="N825" s="95">
        <v>6461.8141901334266</v>
      </c>
      <c r="O825" s="95">
        <v>10000.000000000002</v>
      </c>
      <c r="Q825" s="98"/>
      <c r="R825" s="95"/>
      <c r="S825" s="99"/>
      <c r="U825" s="121"/>
      <c r="V825" s="59"/>
      <c r="W825" s="59"/>
      <c r="X825" s="59"/>
      <c r="Y825" s="59"/>
      <c r="Z825" s="59"/>
      <c r="AA825" s="59"/>
      <c r="AB825" s="59"/>
      <c r="AC825" s="59"/>
      <c r="AD825" s="68"/>
    </row>
    <row r="826" spans="1:30" x14ac:dyDescent="0.2">
      <c r="A826" s="95">
        <v>818</v>
      </c>
      <c r="B826" s="95">
        <v>68</v>
      </c>
      <c r="C826" s="95">
        <v>2</v>
      </c>
      <c r="D826" s="95"/>
      <c r="E826" s="95">
        <v>106.64691463471628</v>
      </c>
      <c r="F826" s="95">
        <v>228.52910278867733</v>
      </c>
      <c r="G826" s="95">
        <v>144.73509843282895</v>
      </c>
      <c r="H826" s="95">
        <v>5.7870171234029565E-2</v>
      </c>
      <c r="I826" s="95">
        <v>11.079592841240112</v>
      </c>
      <c r="J826" s="95">
        <v>0.58077600747972324</v>
      </c>
      <c r="K826" s="95">
        <v>2.5042845974571182</v>
      </c>
      <c r="L826" s="95">
        <v>0.9744354111961967</v>
      </c>
      <c r="M826" s="95">
        <v>3035.5369799096225</v>
      </c>
      <c r="N826" s="95">
        <v>6469.3549452055504</v>
      </c>
      <c r="O826" s="95">
        <v>10000.000000000002</v>
      </c>
      <c r="Q826" s="98"/>
      <c r="R826" s="95"/>
      <c r="S826" s="99"/>
      <c r="U826" s="121"/>
      <c r="V826" s="59"/>
      <c r="W826" s="59"/>
      <c r="X826" s="59"/>
      <c r="Y826" s="59"/>
      <c r="Z826" s="59"/>
      <c r="AA826" s="59"/>
      <c r="AB826" s="59"/>
      <c r="AC826" s="59"/>
      <c r="AD826" s="68"/>
    </row>
    <row r="827" spans="1:30" x14ac:dyDescent="0.2">
      <c r="A827" s="95">
        <v>819</v>
      </c>
      <c r="B827" s="95">
        <v>68</v>
      </c>
      <c r="C827" s="95">
        <v>3</v>
      </c>
      <c r="D827" s="95"/>
      <c r="E827" s="95">
        <v>105.04721091519554</v>
      </c>
      <c r="F827" s="95">
        <v>225.10116624684719</v>
      </c>
      <c r="G827" s="95">
        <v>142.56407195633651</v>
      </c>
      <c r="H827" s="95">
        <v>5.6442707010256839E-2</v>
      </c>
      <c r="I827" s="95">
        <v>10.865023491894629</v>
      </c>
      <c r="J827" s="95">
        <v>0.5700204032470535</v>
      </c>
      <c r="K827" s="95">
        <v>2.4551092002320813</v>
      </c>
      <c r="L827" s="95">
        <v>0.95555342172261126</v>
      </c>
      <c r="M827" s="95">
        <v>3035.603835328694</v>
      </c>
      <c r="N827" s="95">
        <v>6476.7815663288229</v>
      </c>
      <c r="O827" s="95">
        <v>10000.000000000004</v>
      </c>
      <c r="Q827" s="98"/>
      <c r="R827" s="95"/>
      <c r="S827" s="99"/>
      <c r="U827" s="121"/>
      <c r="V827" s="59"/>
      <c r="W827" s="59"/>
      <c r="X827" s="59"/>
      <c r="Y827" s="59"/>
      <c r="Z827" s="59"/>
      <c r="AA827" s="59"/>
      <c r="AB827" s="59"/>
      <c r="AC827" s="59"/>
      <c r="AD827" s="68"/>
    </row>
    <row r="828" spans="1:30" x14ac:dyDescent="0.2">
      <c r="A828" s="95">
        <v>820</v>
      </c>
      <c r="B828" s="95">
        <v>68</v>
      </c>
      <c r="C828" s="95">
        <v>4</v>
      </c>
      <c r="D828" s="95"/>
      <c r="E828" s="95">
        <v>103.4715027514676</v>
      </c>
      <c r="F828" s="95">
        <v>221.72464875314446</v>
      </c>
      <c r="G828" s="95">
        <v>140.42561087699147</v>
      </c>
      <c r="H828" s="95">
        <v>5.5050453570670503E-2</v>
      </c>
      <c r="I828" s="95">
        <v>10.654606565261441</v>
      </c>
      <c r="J828" s="95">
        <v>0.55945538279332763</v>
      </c>
      <c r="K828" s="95">
        <v>2.4069065399111498</v>
      </c>
      <c r="L828" s="95">
        <v>0.93703660630073471</v>
      </c>
      <c r="M828" s="95">
        <v>3035.6693967666015</v>
      </c>
      <c r="N828" s="95">
        <v>6484.0957853039599</v>
      </c>
      <c r="O828" s="95">
        <v>10000.000000000002</v>
      </c>
      <c r="Q828" s="98"/>
      <c r="R828" s="95"/>
      <c r="S828" s="99"/>
      <c r="U828" s="121"/>
      <c r="V828" s="59"/>
      <c r="W828" s="59"/>
      <c r="X828" s="59"/>
      <c r="Y828" s="59"/>
      <c r="Z828" s="59"/>
      <c r="AA828" s="59"/>
      <c r="AB828" s="59"/>
      <c r="AC828" s="59"/>
      <c r="AD828" s="68"/>
    </row>
    <row r="829" spans="1:30" x14ac:dyDescent="0.2">
      <c r="A829" s="95">
        <v>821</v>
      </c>
      <c r="B829" s="95">
        <v>68</v>
      </c>
      <c r="C829" s="95">
        <v>5</v>
      </c>
      <c r="D829" s="95"/>
      <c r="E829" s="95">
        <v>101.91943021019559</v>
      </c>
      <c r="F829" s="95">
        <v>218.3987790218473</v>
      </c>
      <c r="G829" s="95">
        <v>138.3192267138366</v>
      </c>
      <c r="H829" s="95">
        <v>5.3692542382593966E-2</v>
      </c>
      <c r="I829" s="95">
        <v>10.448261775503797</v>
      </c>
      <c r="J829" s="95">
        <v>0.54907788937519453</v>
      </c>
      <c r="K829" s="95">
        <v>2.3596571572522871</v>
      </c>
      <c r="L829" s="95">
        <v>0.91887792985348626</v>
      </c>
      <c r="M829" s="95">
        <v>3035.733689186854</v>
      </c>
      <c r="N829" s="95">
        <v>6491.2993075729009</v>
      </c>
      <c r="O829" s="95">
        <v>10000.000000000002</v>
      </c>
      <c r="Q829" s="98"/>
      <c r="R829" s="95"/>
      <c r="S829" s="99"/>
      <c r="U829" s="121"/>
      <c r="V829" s="59"/>
      <c r="W829" s="59"/>
      <c r="X829" s="59"/>
      <c r="Y829" s="59"/>
      <c r="Z829" s="59"/>
      <c r="AA829" s="59"/>
      <c r="AB829" s="59"/>
      <c r="AC829" s="59"/>
      <c r="AD829" s="68"/>
    </row>
    <row r="830" spans="1:30" x14ac:dyDescent="0.2">
      <c r="A830" s="95">
        <v>822</v>
      </c>
      <c r="B830" s="95">
        <v>68</v>
      </c>
      <c r="C830" s="95">
        <v>6</v>
      </c>
      <c r="D830" s="95"/>
      <c r="E830" s="95">
        <v>100.39063875704265</v>
      </c>
      <c r="F830" s="95">
        <v>215.1227973365196</v>
      </c>
      <c r="G830" s="95">
        <v>136.24443831312905</v>
      </c>
      <c r="H830" s="95">
        <v>5.2368126337156651E-2</v>
      </c>
      <c r="I830" s="95">
        <v>10.245910387272463</v>
      </c>
      <c r="J830" s="95">
        <v>0.53888490278837653</v>
      </c>
      <c r="K830" s="95">
        <v>2.3133419888559792</v>
      </c>
      <c r="L830" s="95">
        <v>0.90107049190404087</v>
      </c>
      <c r="M830" s="95">
        <v>3035.7967370746478</v>
      </c>
      <c r="N830" s="95">
        <v>6498.3938126215044</v>
      </c>
      <c r="O830" s="95">
        <v>10000.000000000002</v>
      </c>
      <c r="Q830" s="98"/>
      <c r="R830" s="95"/>
      <c r="S830" s="99"/>
      <c r="U830" s="121"/>
      <c r="V830" s="59"/>
      <c r="W830" s="59"/>
      <c r="X830" s="59"/>
      <c r="Y830" s="59"/>
      <c r="Z830" s="59"/>
      <c r="AA830" s="59"/>
      <c r="AB830" s="59"/>
      <c r="AC830" s="59"/>
      <c r="AD830" s="68"/>
    </row>
    <row r="831" spans="1:30" x14ac:dyDescent="0.2">
      <c r="A831" s="95">
        <v>823</v>
      </c>
      <c r="B831" s="95">
        <v>68</v>
      </c>
      <c r="C831" s="95">
        <v>7</v>
      </c>
      <c r="D831" s="95"/>
      <c r="E831" s="95">
        <v>98.884779175687015</v>
      </c>
      <c r="F831" s="95">
        <v>211.89595537647179</v>
      </c>
      <c r="G831" s="95">
        <v>134.20077173843211</v>
      </c>
      <c r="H831" s="95">
        <v>5.1076379220840122E-2</v>
      </c>
      <c r="I831" s="95">
        <v>10.047475185807516</v>
      </c>
      <c r="J831" s="95">
        <v>0.52887343946935983</v>
      </c>
      <c r="K831" s="95">
        <v>2.2679423589180354</v>
      </c>
      <c r="L831" s="95">
        <v>0.883607524026364</v>
      </c>
      <c r="M831" s="95">
        <v>3035.8585644459063</v>
      </c>
      <c r="N831" s="95">
        <v>6505.3809543760626</v>
      </c>
      <c r="O831" s="95">
        <v>10000.000000000002</v>
      </c>
      <c r="Q831" s="98"/>
      <c r="R831" s="95"/>
      <c r="S831" s="99"/>
      <c r="U831" s="121"/>
      <c r="V831" s="59"/>
      <c r="W831" s="59"/>
      <c r="X831" s="59"/>
      <c r="Y831" s="59"/>
      <c r="Z831" s="59"/>
      <c r="AA831" s="59"/>
      <c r="AB831" s="59"/>
      <c r="AC831" s="59"/>
      <c r="AD831" s="68"/>
    </row>
    <row r="832" spans="1:30" x14ac:dyDescent="0.2">
      <c r="A832" s="95">
        <v>824</v>
      </c>
      <c r="B832" s="95">
        <v>68</v>
      </c>
      <c r="C832" s="95">
        <v>8</v>
      </c>
      <c r="D832" s="95"/>
      <c r="E832" s="95">
        <v>97.401507488051706</v>
      </c>
      <c r="F832" s="95">
        <v>208.71751604582471</v>
      </c>
      <c r="G832" s="95">
        <v>132.18776016235563</v>
      </c>
      <c r="H832" s="95">
        <v>4.9816495200059402E-2</v>
      </c>
      <c r="I832" s="95">
        <v>9.8528804476155543</v>
      </c>
      <c r="J832" s="95">
        <v>0.51904055256619852</v>
      </c>
      <c r="K832" s="95">
        <v>2.2234399711598782</v>
      </c>
      <c r="L832" s="95">
        <v>0.86648238734366778</v>
      </c>
      <c r="M832" s="95">
        <v>3035.9191948561515</v>
      </c>
      <c r="N832" s="95">
        <v>6512.2623615937327</v>
      </c>
      <c r="O832" s="95">
        <v>10000.000000000002</v>
      </c>
      <c r="Q832" s="98"/>
      <c r="R832" s="95"/>
      <c r="S832" s="99"/>
      <c r="U832" s="121"/>
      <c r="V832" s="59"/>
      <c r="W832" s="59"/>
      <c r="X832" s="59"/>
      <c r="Y832" s="59"/>
      <c r="Z832" s="59"/>
      <c r="AA832" s="59"/>
      <c r="AB832" s="59"/>
      <c r="AC832" s="59"/>
      <c r="AD832" s="68"/>
    </row>
    <row r="833" spans="1:30" x14ac:dyDescent="0.2">
      <c r="A833" s="95">
        <v>825</v>
      </c>
      <c r="B833" s="95">
        <v>68</v>
      </c>
      <c r="C833" s="95">
        <v>9</v>
      </c>
      <c r="D833" s="95"/>
      <c r="E833" s="95">
        <v>95.940484875730931</v>
      </c>
      <c r="F833" s="95">
        <v>205.58675330513734</v>
      </c>
      <c r="G833" s="95">
        <v>130.2049437599203</v>
      </c>
      <c r="H833" s="95">
        <v>4.8587688318457938E-2</v>
      </c>
      <c r="I833" s="95">
        <v>9.662051911711286</v>
      </c>
      <c r="J833" s="95">
        <v>0.50938333198006558</v>
      </c>
      <c r="K833" s="95">
        <v>2.1798169009323431</v>
      </c>
      <c r="L833" s="95">
        <v>0.84968857007386656</v>
      </c>
      <c r="M833" s="95">
        <v>3035.9786514092125</v>
      </c>
      <c r="N833" s="95">
        <v>6519.0396382469844</v>
      </c>
      <c r="O833" s="95">
        <v>10000.000000000002</v>
      </c>
      <c r="Q833" s="98"/>
      <c r="R833" s="95"/>
      <c r="S833" s="99"/>
      <c r="U833" s="121"/>
      <c r="V833" s="59"/>
      <c r="W833" s="59"/>
      <c r="X833" s="59"/>
      <c r="Y833" s="59"/>
      <c r="Z833" s="59"/>
      <c r="AA833" s="59"/>
      <c r="AB833" s="59"/>
      <c r="AC833" s="59"/>
      <c r="AD833" s="68"/>
    </row>
    <row r="834" spans="1:30" x14ac:dyDescent="0.2">
      <c r="A834" s="95">
        <v>826</v>
      </c>
      <c r="B834" s="95">
        <v>68</v>
      </c>
      <c r="C834" s="95">
        <v>10</v>
      </c>
      <c r="D834" s="95"/>
      <c r="E834" s="95">
        <v>94.501377602594971</v>
      </c>
      <c r="F834" s="95">
        <v>202.50295200556027</v>
      </c>
      <c r="G834" s="95">
        <v>128.2518696035215</v>
      </c>
      <c r="H834" s="95">
        <v>4.7389192006602639E-2</v>
      </c>
      <c r="I834" s="95">
        <v>9.4749167514126373</v>
      </c>
      <c r="J834" s="95">
        <v>0.499898904379113</v>
      </c>
      <c r="K834" s="95">
        <v>2.1370555874891015</v>
      </c>
      <c r="L834" s="95">
        <v>0.83321968512113032</v>
      </c>
      <c r="M834" s="95">
        <v>3036.0369567657749</v>
      </c>
      <c r="N834" s="95">
        <v>6525.7143639021415</v>
      </c>
      <c r="O834" s="95">
        <v>10000.000000000002</v>
      </c>
      <c r="Q834" s="98"/>
      <c r="R834" s="95"/>
      <c r="S834" s="99"/>
      <c r="U834" s="121"/>
      <c r="V834" s="59"/>
      <c r="W834" s="59"/>
      <c r="X834" s="59"/>
      <c r="Y834" s="59"/>
      <c r="Z834" s="59"/>
      <c r="AA834" s="59"/>
      <c r="AB834" s="59"/>
      <c r="AC834" s="59"/>
      <c r="AD834" s="68"/>
    </row>
    <row r="835" spans="1:30" x14ac:dyDescent="0.2">
      <c r="A835" s="95">
        <v>827</v>
      </c>
      <c r="B835" s="95">
        <v>68</v>
      </c>
      <c r="C835" s="95">
        <v>11</v>
      </c>
      <c r="D835" s="95"/>
      <c r="E835" s="95">
        <v>93.083856938556053</v>
      </c>
      <c r="F835" s="95">
        <v>199.46540772547687</v>
      </c>
      <c r="G835" s="95">
        <v>126.32809155946867</v>
      </c>
      <c r="H835" s="95">
        <v>4.6220258603773108E-2</v>
      </c>
      <c r="I835" s="95">
        <v>9.2914035466787723</v>
      </c>
      <c r="J835" s="95">
        <v>0.49058443318613892</v>
      </c>
      <c r="K835" s="95">
        <v>2.0951388264259085</v>
      </c>
      <c r="L835" s="95">
        <v>0.81706946771265443</v>
      </c>
      <c r="M835" s="95">
        <v>3036.0941331517702</v>
      </c>
      <c r="N835" s="95">
        <v>6532.2880940921223</v>
      </c>
      <c r="O835" s="95">
        <v>10000.000000000002</v>
      </c>
      <c r="Q835" s="98"/>
      <c r="R835" s="95"/>
      <c r="S835" s="99"/>
      <c r="U835" s="121"/>
      <c r="V835" s="59"/>
      <c r="W835" s="59"/>
      <c r="X835" s="59"/>
      <c r="Y835" s="59"/>
      <c r="Z835" s="59"/>
      <c r="AA835" s="59"/>
      <c r="AB835" s="59"/>
      <c r="AC835" s="59"/>
      <c r="AD835" s="68"/>
    </row>
    <row r="836" spans="1:30" x14ac:dyDescent="0.2">
      <c r="A836" s="95">
        <v>828</v>
      </c>
      <c r="B836" s="95">
        <v>69</v>
      </c>
      <c r="C836" s="95">
        <v>0</v>
      </c>
      <c r="D836" s="95"/>
      <c r="E836" s="95">
        <v>91.687599084477711</v>
      </c>
      <c r="F836" s="95">
        <v>196.47342660959472</v>
      </c>
      <c r="G836" s="95">
        <v>124.43317018607665</v>
      </c>
      <c r="H836" s="95">
        <v>4.5080158891546707E-2</v>
      </c>
      <c r="I836" s="95">
        <v>9.1114422569805953</v>
      </c>
      <c r="J836" s="95">
        <v>0.48143711854149568</v>
      </c>
      <c r="K836" s="95">
        <v>2.0540497622819771</v>
      </c>
      <c r="L836" s="95">
        <v>0.80123177307978288</v>
      </c>
      <c r="M836" s="95">
        <v>3036.150202366613</v>
      </c>
      <c r="N836" s="95">
        <v>6538.7623606834641</v>
      </c>
      <c r="O836" s="95">
        <v>10000.000000000002</v>
      </c>
      <c r="Q836" s="98"/>
      <c r="R836" s="95"/>
      <c r="S836" s="99"/>
      <c r="U836" s="121"/>
      <c r="V836" s="59"/>
      <c r="W836" s="59"/>
      <c r="X836" s="59"/>
      <c r="Y836" s="59"/>
      <c r="Z836" s="59"/>
      <c r="AA836" s="59"/>
      <c r="AB836" s="59"/>
      <c r="AC836" s="59"/>
      <c r="AD836" s="68"/>
    </row>
    <row r="837" spans="1:30" x14ac:dyDescent="0.2">
      <c r="A837" s="95">
        <v>829</v>
      </c>
      <c r="B837" s="95">
        <v>69</v>
      </c>
      <c r="C837" s="95">
        <v>1</v>
      </c>
      <c r="D837" s="95"/>
      <c r="E837" s="95">
        <v>90.312285098210552</v>
      </c>
      <c r="F837" s="95">
        <v>193.52632521045081</v>
      </c>
      <c r="G837" s="95">
        <v>122.56667263328551</v>
      </c>
      <c r="H837" s="95">
        <v>4.3968181638888555E-2</v>
      </c>
      <c r="I837" s="95">
        <v>8.9349641946935066</v>
      </c>
      <c r="J837" s="95">
        <v>0.47245419724261134</v>
      </c>
      <c r="K837" s="95">
        <v>2.013771881299852</v>
      </c>
      <c r="L837" s="95">
        <v>0.78570057418264094</v>
      </c>
      <c r="M837" s="95">
        <v>3036.2051857912843</v>
      </c>
      <c r="N837" s="95">
        <v>6545.1386722377129</v>
      </c>
      <c r="O837" s="95">
        <v>10000.000000000002</v>
      </c>
      <c r="Q837" s="98"/>
      <c r="R837" s="95"/>
      <c r="S837" s="99"/>
      <c r="U837" s="121"/>
      <c r="V837" s="59"/>
      <c r="W837" s="59"/>
      <c r="X837" s="59"/>
      <c r="Y837" s="59"/>
      <c r="Z837" s="59"/>
      <c r="AA837" s="59"/>
      <c r="AB837" s="59"/>
      <c r="AC837" s="59"/>
      <c r="AD837" s="68"/>
    </row>
    <row r="838" spans="1:30" x14ac:dyDescent="0.2">
      <c r="A838" s="95">
        <v>830</v>
      </c>
      <c r="B838" s="95">
        <v>69</v>
      </c>
      <c r="C838" s="95">
        <v>2</v>
      </c>
      <c r="D838" s="95"/>
      <c r="E838" s="95">
        <v>88.957600821737387</v>
      </c>
      <c r="F838" s="95">
        <v>190.62343033229405</v>
      </c>
      <c r="G838" s="95">
        <v>120.72817254378623</v>
      </c>
      <c r="H838" s="95">
        <v>4.2883633158462636E-2</v>
      </c>
      <c r="I838" s="95">
        <v>8.761901999002383</v>
      </c>
      <c r="J838" s="95">
        <v>0.46363294266144006</v>
      </c>
      <c r="K838" s="95">
        <v>1.9742890043402548</v>
      </c>
      <c r="L838" s="95">
        <v>0.77046995947745212</v>
      </c>
      <c r="M838" s="95">
        <v>3036.2591043962661</v>
      </c>
      <c r="N838" s="95">
        <v>6551.4185143672785</v>
      </c>
      <c r="O838" s="95">
        <v>10000.000000000002</v>
      </c>
      <c r="Q838" s="98"/>
      <c r="R838" s="95"/>
      <c r="S838" s="99"/>
      <c r="U838" s="121"/>
      <c r="V838" s="59"/>
      <c r="W838" s="59"/>
      <c r="X838" s="59"/>
      <c r="Y838" s="59"/>
      <c r="Z838" s="59"/>
      <c r="AA838" s="59"/>
      <c r="AB838" s="59"/>
      <c r="AC838" s="59"/>
      <c r="AD838" s="68"/>
    </row>
    <row r="839" spans="1:30" x14ac:dyDescent="0.2">
      <c r="A839" s="95">
        <v>831</v>
      </c>
      <c r="B839" s="95">
        <v>69</v>
      </c>
      <c r="C839" s="95">
        <v>3</v>
      </c>
      <c r="D839" s="95"/>
      <c r="E839" s="95">
        <v>87.623236809411324</v>
      </c>
      <c r="F839" s="95">
        <v>187.76407887730963</v>
      </c>
      <c r="G839" s="95">
        <v>118.91724995562943</v>
      </c>
      <c r="H839" s="95">
        <v>4.1825836873887225E-2</v>
      </c>
      <c r="I839" s="95">
        <v>8.5921896103089512</v>
      </c>
      <c r="J839" s="95">
        <v>0.45497066464109892</v>
      </c>
      <c r="K839" s="95">
        <v>1.9355852799484445</v>
      </c>
      <c r="L839" s="95">
        <v>0.75553413072573006</v>
      </c>
      <c r="M839" s="95">
        <v>3036.3119787493283</v>
      </c>
      <c r="N839" s="95">
        <v>6557.6033500858257</v>
      </c>
      <c r="O839" s="95">
        <v>10000.000000000002</v>
      </c>
      <c r="Q839" s="98"/>
      <c r="R839" s="95"/>
      <c r="S839" s="99"/>
      <c r="U839" s="121"/>
      <c r="V839" s="59"/>
      <c r="W839" s="59"/>
      <c r="X839" s="59"/>
      <c r="Y839" s="59"/>
      <c r="Z839" s="59"/>
      <c r="AA839" s="59"/>
      <c r="AB839" s="59"/>
      <c r="AC839" s="59"/>
      <c r="AD839" s="68"/>
    </row>
    <row r="840" spans="1:30" x14ac:dyDescent="0.2">
      <c r="A840" s="95">
        <v>832</v>
      </c>
      <c r="B840" s="95">
        <v>69</v>
      </c>
      <c r="C840" s="95">
        <v>4</v>
      </c>
      <c r="D840" s="95"/>
      <c r="E840" s="95">
        <v>86.308888257270155</v>
      </c>
      <c r="F840" s="95">
        <v>184.94761769414998</v>
      </c>
      <c r="G840" s="95">
        <v>117.13349120629499</v>
      </c>
      <c r="H840" s="95">
        <v>4.0794132897664676E-2</v>
      </c>
      <c r="I840" s="95">
        <v>8.4257622451318994</v>
      </c>
      <c r="J840" s="95">
        <v>0.44646470937289551</v>
      </c>
      <c r="K840" s="95">
        <v>1.897645177568726</v>
      </c>
      <c r="L840" s="95">
        <v>0.74088740084455473</v>
      </c>
      <c r="M840" s="95">
        <v>3036.3638290231734</v>
      </c>
      <c r="N840" s="95">
        <v>6563.6946201532992</v>
      </c>
      <c r="O840" s="95">
        <v>10000.000000000004</v>
      </c>
      <c r="Q840" s="98"/>
      <c r="R840" s="95"/>
      <c r="S840" s="99"/>
      <c r="U840" s="121"/>
      <c r="V840" s="59"/>
      <c r="W840" s="59"/>
      <c r="X840" s="59"/>
      <c r="Y840" s="59"/>
      <c r="Z840" s="59"/>
      <c r="AA840" s="59"/>
      <c r="AB840" s="59"/>
      <c r="AC840" s="59"/>
      <c r="AD840" s="68"/>
    </row>
    <row r="841" spans="1:30" x14ac:dyDescent="0.2">
      <c r="A841" s="95">
        <v>833</v>
      </c>
      <c r="B841" s="95">
        <v>69</v>
      </c>
      <c r="C841" s="95">
        <v>5</v>
      </c>
      <c r="D841" s="95"/>
      <c r="E841" s="95">
        <v>85.01425493341111</v>
      </c>
      <c r="F841" s="95">
        <v>182.17340342873774</v>
      </c>
      <c r="G841" s="95">
        <v>115.37648883820057</v>
      </c>
      <c r="H841" s="95">
        <v>3.978787761952228E-2</v>
      </c>
      <c r="I841" s="95">
        <v>8.2625563714902661</v>
      </c>
      <c r="J841" s="95">
        <v>0.43811245925489861</v>
      </c>
      <c r="K841" s="95">
        <v>1.8604534809038109</v>
      </c>
      <c r="L841" s="95">
        <v>0.72652419179715744</v>
      </c>
      <c r="M841" s="95">
        <v>3036.4146750029363</v>
      </c>
      <c r="N841" s="95">
        <v>6569.6937434156525</v>
      </c>
      <c r="O841" s="95">
        <v>10000.000000000004</v>
      </c>
      <c r="Q841" s="98"/>
      <c r="R841" s="95"/>
      <c r="S841" s="99"/>
      <c r="U841" s="121"/>
      <c r="V841" s="59"/>
      <c r="W841" s="59"/>
      <c r="X841" s="59"/>
      <c r="Y841" s="59"/>
      <c r="Z841" s="59"/>
      <c r="AA841" s="59"/>
      <c r="AB841" s="59"/>
      <c r="AC841" s="59"/>
      <c r="AD841" s="68"/>
    </row>
    <row r="842" spans="1:30" x14ac:dyDescent="0.2">
      <c r="A842" s="95">
        <v>834</v>
      </c>
      <c r="B842" s="95">
        <v>69</v>
      </c>
      <c r="C842" s="95">
        <v>6</v>
      </c>
      <c r="D842" s="95"/>
      <c r="E842" s="95">
        <v>83.739041109409939</v>
      </c>
      <c r="F842" s="95">
        <v>179.44080237730668</v>
      </c>
      <c r="G842" s="95">
        <v>113.64584150562756</v>
      </c>
      <c r="H842" s="95">
        <v>3.8806443304907394E-2</v>
      </c>
      <c r="I842" s="95">
        <v>8.1025096847608182</v>
      </c>
      <c r="J842" s="95">
        <v>0.42991133273315396</v>
      </c>
      <c r="K842" s="95">
        <v>1.8239952814158173</v>
      </c>
      <c r="L842" s="95">
        <v>0.71243903252305585</v>
      </c>
      <c r="M842" s="95">
        <v>3036.4645360935483</v>
      </c>
      <c r="N842" s="95">
        <v>6575.6021171393731</v>
      </c>
      <c r="O842" s="95">
        <v>10000.000000000004</v>
      </c>
      <c r="Q842" s="98"/>
      <c r="R842" s="95"/>
      <c r="S842" s="99"/>
      <c r="U842" s="121"/>
      <c r="V842" s="59"/>
      <c r="W842" s="59"/>
      <c r="X842" s="59"/>
      <c r="Y842" s="59"/>
      <c r="Z842" s="59"/>
      <c r="AA842" s="59"/>
      <c r="AB842" s="59"/>
      <c r="AC842" s="59"/>
      <c r="AD842" s="68"/>
    </row>
    <row r="843" spans="1:30" x14ac:dyDescent="0.2">
      <c r="A843" s="95">
        <v>835</v>
      </c>
      <c r="B843" s="95">
        <v>69</v>
      </c>
      <c r="C843" s="95">
        <v>7</v>
      </c>
      <c r="D843" s="95"/>
      <c r="E843" s="95">
        <v>82.482955492768795</v>
      </c>
      <c r="F843" s="95">
        <v>176.74919034164708</v>
      </c>
      <c r="G843" s="95">
        <v>111.94115388304314</v>
      </c>
      <c r="H843" s="95">
        <v>3.7849217703386347E-2</v>
      </c>
      <c r="I843" s="95">
        <v>7.9455610840003263</v>
      </c>
      <c r="J843" s="95">
        <v>0.42185878412659972</v>
      </c>
      <c r="K843" s="95">
        <v>1.7882559719657651</v>
      </c>
      <c r="L843" s="95">
        <v>0.69862655690699638</v>
      </c>
      <c r="M843" s="95">
        <v>3036.5134313269618</v>
      </c>
      <c r="N843" s="95">
        <v>6581.4211173408794</v>
      </c>
      <c r="O843" s="95">
        <v>10000.000000000004</v>
      </c>
      <c r="Q843" s="98"/>
      <c r="R843" s="95"/>
      <c r="S843" s="99"/>
      <c r="U843" s="121"/>
      <c r="V843" s="59"/>
      <c r="W843" s="59"/>
      <c r="X843" s="59"/>
      <c r="Y843" s="59"/>
      <c r="Z843" s="59"/>
      <c r="AA843" s="59"/>
      <c r="AB843" s="59"/>
      <c r="AC843" s="59"/>
      <c r="AD843" s="68"/>
    </row>
    <row r="844" spans="1:30" x14ac:dyDescent="0.2">
      <c r="A844" s="95">
        <v>836</v>
      </c>
      <c r="B844" s="95">
        <v>69</v>
      </c>
      <c r="C844" s="95">
        <v>8</v>
      </c>
      <c r="D844" s="95"/>
      <c r="E844" s="95">
        <v>81.245711160377269</v>
      </c>
      <c r="F844" s="95">
        <v>174.09795248652236</v>
      </c>
      <c r="G844" s="95">
        <v>110.26203657479749</v>
      </c>
      <c r="H844" s="95">
        <v>3.6915603666702816E-2</v>
      </c>
      <c r="I844" s="95">
        <v>7.7916506487237864</v>
      </c>
      <c r="J844" s="95">
        <v>0.41395230343668921</v>
      </c>
      <c r="K844" s="95">
        <v>1.7532212405885006</v>
      </c>
      <c r="L844" s="95">
        <v>0.6850815017859746</v>
      </c>
      <c r="M844" s="95">
        <v>3036.5613793692428</v>
      </c>
      <c r="N844" s="95">
        <v>6587.1520991108619</v>
      </c>
      <c r="O844" s="95">
        <v>10000.000000000004</v>
      </c>
      <c r="Q844" s="98"/>
      <c r="R844" s="95"/>
      <c r="S844" s="99"/>
      <c r="U844" s="121"/>
      <c r="V844" s="59"/>
      <c r="W844" s="59"/>
      <c r="X844" s="59"/>
      <c r="Y844" s="59"/>
      <c r="Z844" s="59"/>
      <c r="AA844" s="59"/>
      <c r="AB844" s="59"/>
      <c r="AC844" s="59"/>
      <c r="AD844" s="68"/>
    </row>
    <row r="845" spans="1:30" x14ac:dyDescent="0.2">
      <c r="A845" s="95">
        <v>837</v>
      </c>
      <c r="B845" s="95">
        <v>69</v>
      </c>
      <c r="C845" s="95">
        <v>9</v>
      </c>
      <c r="D845" s="95"/>
      <c r="E845" s="95">
        <v>80.027025492971603</v>
      </c>
      <c r="F845" s="95">
        <v>171.48648319922452</v>
      </c>
      <c r="G845" s="95">
        <v>108.60810602617553</v>
      </c>
      <c r="H845" s="95">
        <v>3.6005018776257482E-2</v>
      </c>
      <c r="I845" s="95">
        <v>7.6407196161298447</v>
      </c>
      <c r="J845" s="95">
        <v>0.40618941614268567</v>
      </c>
      <c r="K845" s="95">
        <v>1.7188770644000535</v>
      </c>
      <c r="L845" s="95">
        <v>0.67179870499362127</v>
      </c>
      <c r="M845" s="95">
        <v>3036.6083985275291</v>
      </c>
      <c r="N845" s="95">
        <v>6592.7963969336606</v>
      </c>
      <c r="O845" s="95">
        <v>10000.000000000004</v>
      </c>
      <c r="Q845" s="98"/>
      <c r="R845" s="95"/>
      <c r="S845" s="99"/>
      <c r="U845" s="121"/>
      <c r="V845" s="59"/>
      <c r="W845" s="59"/>
      <c r="X845" s="59"/>
      <c r="Y845" s="59"/>
      <c r="Z845" s="59"/>
      <c r="AA845" s="59"/>
      <c r="AB845" s="59"/>
      <c r="AC845" s="59"/>
      <c r="AD845" s="68"/>
    </row>
    <row r="846" spans="1:30" x14ac:dyDescent="0.2">
      <c r="A846" s="95">
        <v>838</v>
      </c>
      <c r="B846" s="95">
        <v>69</v>
      </c>
      <c r="C846" s="95">
        <v>10</v>
      </c>
      <c r="D846" s="95"/>
      <c r="E846" s="95">
        <v>78.826620110577025</v>
      </c>
      <c r="F846" s="95">
        <v>168.91418595123616</v>
      </c>
      <c r="G846" s="95">
        <v>106.97898443578291</v>
      </c>
      <c r="H846" s="95">
        <v>3.5116894979776464E-2</v>
      </c>
      <c r="I846" s="95">
        <v>7.4927103587648274</v>
      </c>
      <c r="J846" s="95">
        <v>0.39856768298354961</v>
      </c>
      <c r="K846" s="95">
        <v>1.6852097036344971</v>
      </c>
      <c r="L846" s="95">
        <v>0.65877310344125428</v>
      </c>
      <c r="M846" s="95">
        <v>3036.6545067568609</v>
      </c>
      <c r="N846" s="95">
        <v>6598.3553250017421</v>
      </c>
      <c r="O846" s="95">
        <v>10000.000000000004</v>
      </c>
      <c r="Q846" s="98"/>
      <c r="R846" s="95"/>
      <c r="S846" s="99"/>
      <c r="U846" s="121"/>
      <c r="V846" s="59"/>
      <c r="W846" s="59"/>
      <c r="X846" s="59"/>
      <c r="Y846" s="59"/>
      <c r="Z846" s="59"/>
      <c r="AA846" s="59"/>
      <c r="AB846" s="59"/>
      <c r="AC846" s="59"/>
      <c r="AD846" s="68"/>
    </row>
    <row r="847" spans="1:30" x14ac:dyDescent="0.2">
      <c r="A847" s="95">
        <v>839</v>
      </c>
      <c r="B847" s="95">
        <v>69</v>
      </c>
      <c r="C847" s="95">
        <v>11</v>
      </c>
      <c r="D847" s="95"/>
      <c r="E847" s="95">
        <v>77.644220808918377</v>
      </c>
      <c r="F847" s="95">
        <v>166.38047316196761</v>
      </c>
      <c r="G847" s="95">
        <v>105.37429966924616</v>
      </c>
      <c r="H847" s="95">
        <v>3.425067823694198E-2</v>
      </c>
      <c r="I847" s="95">
        <v>7.3475663626169485</v>
      </c>
      <c r="J847" s="95">
        <v>0.39108469972729948</v>
      </c>
      <c r="K847" s="95">
        <v>1.652205695807454</v>
      </c>
      <c r="L847" s="95">
        <v>0.64599973123491206</v>
      </c>
      <c r="M847" s="95">
        <v>3036.6997216668842</v>
      </c>
      <c r="N847" s="95">
        <v>6603.8301775253631</v>
      </c>
      <c r="O847" s="95">
        <v>10000.000000000004</v>
      </c>
      <c r="Q847" s="98"/>
      <c r="R847" s="95"/>
      <c r="S847" s="99"/>
      <c r="U847" s="121"/>
      <c r="V847" s="59"/>
      <c r="W847" s="59"/>
      <c r="X847" s="59"/>
      <c r="Y847" s="59"/>
      <c r="Z847" s="59"/>
      <c r="AA847" s="59"/>
      <c r="AB847" s="59"/>
      <c r="AC847" s="59"/>
      <c r="AD847" s="68"/>
    </row>
    <row r="848" spans="1:30" x14ac:dyDescent="0.2">
      <c r="A848" s="95">
        <v>840</v>
      </c>
      <c r="B848" s="95">
        <v>70</v>
      </c>
      <c r="C848" s="95">
        <v>0</v>
      </c>
      <c r="D848" s="95"/>
      <c r="E848" s="95">
        <v>76.479557496784608</v>
      </c>
      <c r="F848" s="95">
        <v>163.8847660645381</v>
      </c>
      <c r="G848" s="95">
        <v>103.79368517420747</v>
      </c>
      <c r="H848" s="95">
        <v>3.3405828173764078E-2</v>
      </c>
      <c r="I848" s="95">
        <v>7.2052322056324263</v>
      </c>
      <c r="J848" s="95">
        <v>0.38373809692868727</v>
      </c>
      <c r="K848" s="95">
        <v>1.6198518500034529</v>
      </c>
      <c r="L848" s="95">
        <v>0.63347371782769613</v>
      </c>
      <c r="M848" s="95">
        <v>3036.7440605284273</v>
      </c>
      <c r="N848" s="95">
        <v>6609.2222290374793</v>
      </c>
      <c r="O848" s="95">
        <v>10000.000000000004</v>
      </c>
      <c r="Q848" s="98"/>
      <c r="R848" s="95"/>
      <c r="S848" s="99"/>
      <c r="U848" s="121"/>
      <c r="V848" s="59"/>
      <c r="W848" s="59"/>
      <c r="X848" s="59"/>
      <c r="Y848" s="59"/>
      <c r="Z848" s="59"/>
      <c r="AA848" s="59"/>
      <c r="AB848" s="59"/>
      <c r="AC848" s="59"/>
      <c r="AD848" s="68"/>
    </row>
    <row r="849" spans="1:30" x14ac:dyDescent="0.2">
      <c r="A849" s="95">
        <v>841</v>
      </c>
      <c r="B849" s="95">
        <v>70</v>
      </c>
      <c r="C849" s="95">
        <v>1</v>
      </c>
      <c r="D849" s="95"/>
      <c r="E849" s="95">
        <v>75.332364134332835</v>
      </c>
      <c r="F849" s="95">
        <v>161.42649457357004</v>
      </c>
      <c r="G849" s="95">
        <v>102.23677989659436</v>
      </c>
      <c r="H849" s="95">
        <v>3.2581817745477901E-2</v>
      </c>
      <c r="I849" s="95">
        <v>7.0656535366454101</v>
      </c>
      <c r="J849" s="95">
        <v>0.37652553967599145</v>
      </c>
      <c r="K849" s="95">
        <v>1.5881352412844059</v>
      </c>
      <c r="L849" s="95">
        <v>0.62119028620676509</v>
      </c>
      <c r="M849" s="95">
        <v>3036.7875402799568</v>
      </c>
      <c r="N849" s="95">
        <v>6614.5327346939912</v>
      </c>
      <c r="O849" s="95">
        <v>10000.000000000004</v>
      </c>
      <c r="Q849" s="98"/>
      <c r="R849" s="95"/>
      <c r="S849" s="99"/>
      <c r="U849" s="121"/>
      <c r="V849" s="59"/>
      <c r="W849" s="59"/>
      <c r="X849" s="59"/>
      <c r="Y849" s="59"/>
      <c r="Z849" s="59"/>
      <c r="AA849" s="59"/>
      <c r="AB849" s="59"/>
      <c r="AC849" s="59"/>
      <c r="AD849" s="68"/>
    </row>
    <row r="850" spans="1:30" x14ac:dyDescent="0.2">
      <c r="A850" s="95">
        <v>842</v>
      </c>
      <c r="B850" s="95">
        <v>70</v>
      </c>
      <c r="C850" s="95">
        <v>2</v>
      </c>
      <c r="D850" s="95"/>
      <c r="E850" s="95">
        <v>74.202378672317849</v>
      </c>
      <c r="F850" s="95">
        <v>159.00509715496648</v>
      </c>
      <c r="G850" s="95">
        <v>100.70322819814544</v>
      </c>
      <c r="H850" s="95">
        <v>3.1778132907756114E-2</v>
      </c>
      <c r="I850" s="95">
        <v>6.928777054713751</v>
      </c>
      <c r="J850" s="95">
        <v>0.36944472732769629</v>
      </c>
      <c r="K850" s="95">
        <v>1.5570432052165435</v>
      </c>
      <c r="L850" s="95">
        <v>0.60914475111433475</v>
      </c>
      <c r="M850" s="95">
        <v>3036.8301775339114</v>
      </c>
      <c r="N850" s="95">
        <v>6619.7629305693827</v>
      </c>
      <c r="O850" s="95">
        <v>10000.000000000004</v>
      </c>
      <c r="Q850" s="98"/>
      <c r="R850" s="95"/>
      <c r="S850" s="99"/>
      <c r="U850" s="121"/>
      <c r="V850" s="59"/>
      <c r="W850" s="59"/>
      <c r="X850" s="59"/>
      <c r="Y850" s="59"/>
      <c r="Z850" s="59"/>
      <c r="AA850" s="59"/>
      <c r="AB850" s="59"/>
      <c r="AC850" s="59"/>
      <c r="AD850" s="68"/>
    </row>
    <row r="851" spans="1:30" x14ac:dyDescent="0.2">
      <c r="A851" s="95">
        <v>843</v>
      </c>
      <c r="B851" s="95">
        <v>70</v>
      </c>
      <c r="C851" s="95">
        <v>3</v>
      </c>
      <c r="D851" s="95"/>
      <c r="E851" s="95">
        <v>73.089342992233085</v>
      </c>
      <c r="F851" s="95">
        <v>156.62002069764199</v>
      </c>
      <c r="G851" s="95">
        <v>99.192679775173261</v>
      </c>
      <c r="H851" s="95">
        <v>3.0994272296031463E-2</v>
      </c>
      <c r="I851" s="95">
        <v>6.7945504888528339</v>
      </c>
      <c r="J851" s="95">
        <v>0.36249339323978824</v>
      </c>
      <c r="K851" s="95">
        <v>1.5265633325131991</v>
      </c>
      <c r="L851" s="95">
        <v>0.59733251730205139</v>
      </c>
      <c r="M851" s="95">
        <v>3036.8719885829182</v>
      </c>
      <c r="N851" s="95">
        <v>6624.9140339478336</v>
      </c>
      <c r="O851" s="95">
        <v>10000.000000000004</v>
      </c>
      <c r="Q851" s="98"/>
      <c r="R851" s="95"/>
      <c r="S851" s="99"/>
      <c r="U851" s="121"/>
      <c r="V851" s="59"/>
      <c r="W851" s="59"/>
      <c r="X851" s="59"/>
      <c r="Y851" s="59"/>
      <c r="Z851" s="59"/>
      <c r="AA851" s="59"/>
      <c r="AB851" s="59"/>
      <c r="AC851" s="59"/>
      <c r="AD851" s="68"/>
    </row>
    <row r="852" spans="1:30" x14ac:dyDescent="0.2">
      <c r="A852" s="95">
        <v>844</v>
      </c>
      <c r="B852" s="95">
        <v>70</v>
      </c>
      <c r="C852" s="95">
        <v>4</v>
      </c>
      <c r="D852" s="95"/>
      <c r="E852" s="95">
        <v>71.993002847349587</v>
      </c>
      <c r="F852" s="95">
        <v>154.27072038717736</v>
      </c>
      <c r="G852" s="95">
        <v>97.704789578545657</v>
      </c>
      <c r="H852" s="95">
        <v>3.0229746912729352E-2</v>
      </c>
      <c r="I852" s="95">
        <v>6.6629225781598027</v>
      </c>
      <c r="J852" s="95">
        <v>0.35566930448437017</v>
      </c>
      <c r="K852" s="95">
        <v>1.4966834637909006</v>
      </c>
      <c r="L852" s="95">
        <v>0.58574907781811791</v>
      </c>
      <c r="M852" s="95">
        <v>3036.9129894058933</v>
      </c>
      <c r="N852" s="95">
        <v>6629.9872436098722</v>
      </c>
      <c r="O852" s="95">
        <v>10000.000000000004</v>
      </c>
      <c r="Q852" s="98"/>
      <c r="R852" s="95"/>
      <c r="S852" s="99"/>
      <c r="U852" s="121"/>
      <c r="V852" s="59"/>
      <c r="W852" s="59"/>
      <c r="X852" s="59"/>
      <c r="Y852" s="59"/>
      <c r="Z852" s="59"/>
      <c r="AA852" s="59"/>
      <c r="AB852" s="59"/>
      <c r="AC852" s="59"/>
      <c r="AD852" s="68"/>
    </row>
    <row r="853" spans="1:30" x14ac:dyDescent="0.2">
      <c r="A853" s="95">
        <v>845</v>
      </c>
      <c r="B853" s="95">
        <v>70</v>
      </c>
      <c r="C853" s="95">
        <v>5</v>
      </c>
      <c r="D853" s="95"/>
      <c r="E853" s="95">
        <v>70.913107804639338</v>
      </c>
      <c r="F853" s="95">
        <v>151.95665958136971</v>
      </c>
      <c r="G853" s="95">
        <v>96.239217734867466</v>
      </c>
      <c r="H853" s="95">
        <v>2.9484079822215362E-2</v>
      </c>
      <c r="I853" s="95">
        <v>6.5338430523206892</v>
      </c>
      <c r="J853" s="95">
        <v>0.34897026156025945</v>
      </c>
      <c r="K853" s="95">
        <v>1.4673916844362804</v>
      </c>
      <c r="L853" s="95">
        <v>0.57439001232656439</v>
      </c>
      <c r="M853" s="95">
        <v>3036.9531956740257</v>
      </c>
      <c r="N853" s="95">
        <v>6634.9837401146351</v>
      </c>
      <c r="O853" s="95">
        <v>10000.000000000004</v>
      </c>
      <c r="Q853" s="98"/>
      <c r="R853" s="95"/>
      <c r="S853" s="99"/>
      <c r="U853" s="121"/>
      <c r="V853" s="59"/>
      <c r="W853" s="59"/>
      <c r="X853" s="59"/>
      <c r="Y853" s="59"/>
      <c r="Z853" s="59"/>
      <c r="AA853" s="59"/>
      <c r="AB853" s="59"/>
      <c r="AC853" s="59"/>
      <c r="AD853" s="68"/>
    </row>
    <row r="854" spans="1:30" x14ac:dyDescent="0.2">
      <c r="A854" s="95">
        <v>846</v>
      </c>
      <c r="B854" s="95">
        <v>70</v>
      </c>
      <c r="C854" s="95">
        <v>6</v>
      </c>
      <c r="D854" s="95"/>
      <c r="E854" s="95">
        <v>69.849411187569743</v>
      </c>
      <c r="F854" s="95">
        <v>149.67730968764917</v>
      </c>
      <c r="G854" s="95">
        <v>94.795629468844453</v>
      </c>
      <c r="H854" s="95">
        <v>2.8756805853267384E-2</v>
      </c>
      <c r="I854" s="95">
        <v>6.4072626124930769</v>
      </c>
      <c r="J854" s="95">
        <v>0.34239409809620669</v>
      </c>
      <c r="K854" s="95">
        <v>1.4386763195813776</v>
      </c>
      <c r="L854" s="95">
        <v>0.56325098545806684</v>
      </c>
      <c r="M854" s="95">
        <v>3036.9926227566525</v>
      </c>
      <c r="N854" s="95">
        <v>6639.9046860778053</v>
      </c>
      <c r="O854" s="95">
        <v>10000.000000000004</v>
      </c>
      <c r="Q854" s="98"/>
      <c r="R854" s="95"/>
      <c r="S854" s="99"/>
      <c r="U854" s="121"/>
      <c r="V854" s="59"/>
      <c r="W854" s="59"/>
      <c r="X854" s="59"/>
      <c r="Y854" s="59"/>
      <c r="Z854" s="59"/>
      <c r="AA854" s="59"/>
      <c r="AB854" s="59"/>
      <c r="AC854" s="59"/>
      <c r="AD854" s="68"/>
    </row>
    <row r="855" spans="1:30" x14ac:dyDescent="0.2">
      <c r="A855" s="95">
        <v>847</v>
      </c>
      <c r="B855" s="95">
        <v>70</v>
      </c>
      <c r="C855" s="95">
        <v>7</v>
      </c>
      <c r="D855" s="95"/>
      <c r="E855" s="95">
        <v>68.801670019756202</v>
      </c>
      <c r="F855" s="95">
        <v>147.43215004233443</v>
      </c>
      <c r="G855" s="95">
        <v>93.373695026811788</v>
      </c>
      <c r="H855" s="95">
        <v>2.8047471308886789E-2</v>
      </c>
      <c r="I855" s="95">
        <v>6.2831329125570843</v>
      </c>
      <c r="J855" s="95">
        <v>0.33593868054734238</v>
      </c>
      <c r="K855" s="95">
        <v>1.4105259291849557</v>
      </c>
      <c r="L855" s="95">
        <v>0.55232774519172789</v>
      </c>
      <c r="M855" s="95">
        <v>3037.0312857270224</v>
      </c>
      <c r="N855" s="95">
        <v>6644.7512264452889</v>
      </c>
      <c r="O855" s="95">
        <v>10000.000000000004</v>
      </c>
      <c r="Q855" s="98"/>
      <c r="R855" s="95"/>
      <c r="S855" s="99"/>
      <c r="U855" s="121"/>
      <c r="V855" s="59"/>
      <c r="W855" s="59"/>
      <c r="X855" s="59"/>
      <c r="Y855" s="59"/>
      <c r="Z855" s="59"/>
      <c r="AA855" s="59"/>
      <c r="AB855" s="59"/>
      <c r="AC855" s="59"/>
      <c r="AD855" s="68"/>
    </row>
    <row r="856" spans="1:30" x14ac:dyDescent="0.2">
      <c r="A856" s="95">
        <v>848</v>
      </c>
      <c r="B856" s="95">
        <v>70</v>
      </c>
      <c r="C856" s="95">
        <v>8</v>
      </c>
      <c r="D856" s="95"/>
      <c r="E856" s="95">
        <v>67.769644969459861</v>
      </c>
      <c r="F856" s="95">
        <v>145.22066779169941</v>
      </c>
      <c r="G856" s="95">
        <v>91.973089601409612</v>
      </c>
      <c r="H856" s="95">
        <v>2.7355633683267582E-2</v>
      </c>
      <c r="I856" s="95">
        <v>6.1614065407275866</v>
      </c>
      <c r="J856" s="95">
        <v>0.3296019078854292</v>
      </c>
      <c r="K856" s="95">
        <v>1.3829293032175176</v>
      </c>
      <c r="L856" s="95">
        <v>0.5416161212672459</v>
      </c>
      <c r="M856" s="95">
        <v>3037.0691993679493</v>
      </c>
      <c r="N856" s="95">
        <v>6649.5244887627041</v>
      </c>
      <c r="O856" s="95">
        <v>10000.000000000004</v>
      </c>
      <c r="Q856" s="98"/>
      <c r="R856" s="95"/>
      <c r="S856" s="99"/>
      <c r="U856" s="121"/>
      <c r="V856" s="59"/>
      <c r="W856" s="59"/>
      <c r="X856" s="59"/>
      <c r="Y856" s="59"/>
      <c r="Z856" s="59"/>
      <c r="AA856" s="59"/>
      <c r="AB856" s="59"/>
      <c r="AC856" s="59"/>
      <c r="AD856" s="68"/>
    </row>
    <row r="857" spans="1:30" x14ac:dyDescent="0.2">
      <c r="A857" s="95">
        <v>849</v>
      </c>
      <c r="B857" s="95">
        <v>70</v>
      </c>
      <c r="C857" s="95">
        <v>9</v>
      </c>
      <c r="D857" s="95"/>
      <c r="E857" s="95">
        <v>66.753100294917957</v>
      </c>
      <c r="F857" s="95">
        <v>143.04235777482393</v>
      </c>
      <c r="G857" s="95">
        <v>90.593493257388474</v>
      </c>
      <c r="H857" s="95">
        <v>2.6680861385746983E-2</v>
      </c>
      <c r="I857" s="95">
        <v>6.0420370015207308</v>
      </c>
      <c r="J857" s="95">
        <v>0.32338171128347182</v>
      </c>
      <c r="K857" s="95">
        <v>1.3558754569477529</v>
      </c>
      <c r="L857" s="95">
        <v>0.5311120236269099</v>
      </c>
      <c r="M857" s="95">
        <v>3037.1063781773641</v>
      </c>
      <c r="N857" s="95">
        <v>6654.2255834407442</v>
      </c>
      <c r="O857" s="95">
        <v>10000.000000000004</v>
      </c>
      <c r="Q857" s="98"/>
      <c r="R857" s="95"/>
      <c r="S857" s="99"/>
      <c r="U857" s="121"/>
      <c r="V857" s="59"/>
      <c r="W857" s="59"/>
      <c r="X857" s="59"/>
      <c r="Y857" s="59"/>
      <c r="Z857" s="59"/>
      <c r="AA857" s="59"/>
      <c r="AB857" s="59"/>
      <c r="AC857" s="59"/>
      <c r="AD857" s="68"/>
    </row>
    <row r="858" spans="1:30" x14ac:dyDescent="0.2">
      <c r="A858" s="95">
        <v>850</v>
      </c>
      <c r="B858" s="95">
        <v>70</v>
      </c>
      <c r="C858" s="95">
        <v>10</v>
      </c>
      <c r="D858" s="95"/>
      <c r="E858" s="95">
        <v>65.751803790494193</v>
      </c>
      <c r="F858" s="95">
        <v>140.89672240820155</v>
      </c>
      <c r="G858" s="95">
        <v>89.234590858527653</v>
      </c>
      <c r="H858" s="95">
        <v>2.6022733471565224E-2</v>
      </c>
      <c r="I858" s="95">
        <v>5.9249786980679318</v>
      </c>
      <c r="J858" s="95">
        <v>0.31727605379520923</v>
      </c>
      <c r="K858" s="95">
        <v>1.3293536263282009</v>
      </c>
      <c r="L858" s="95">
        <v>0.52081144088686648</v>
      </c>
      <c r="M858" s="95">
        <v>3037.1428363737577</v>
      </c>
      <c r="N858" s="95">
        <v>6658.8556040164731</v>
      </c>
      <c r="O858" s="95">
        <v>10000.000000000004</v>
      </c>
      <c r="Q858" s="98"/>
      <c r="R858" s="95"/>
      <c r="S858" s="99"/>
      <c r="U858" s="121"/>
      <c r="V858" s="59"/>
      <c r="W858" s="59"/>
      <c r="X858" s="59"/>
      <c r="Y858" s="59"/>
      <c r="Z858" s="59"/>
      <c r="AA858" s="59"/>
      <c r="AB858" s="59"/>
      <c r="AC858" s="59"/>
      <c r="AD858" s="68"/>
    </row>
    <row r="859" spans="1:30" x14ac:dyDescent="0.2">
      <c r="A859" s="95">
        <v>851</v>
      </c>
      <c r="B859" s="95">
        <v>70</v>
      </c>
      <c r="C859" s="95">
        <v>11</v>
      </c>
      <c r="D859" s="95"/>
      <c r="E859" s="95">
        <v>64.765526733636776</v>
      </c>
      <c r="F859" s="95">
        <v>138.78327157207852</v>
      </c>
      <c r="G859" s="95">
        <v>87.896071995649734</v>
      </c>
      <c r="H859" s="95">
        <v>2.5380839379266613E-2</v>
      </c>
      <c r="I859" s="95">
        <v>5.8101869147706715</v>
      </c>
      <c r="J859" s="95">
        <v>0.31128293002998986</v>
      </c>
      <c r="K859" s="95">
        <v>1.3033532634779668</v>
      </c>
      <c r="L859" s="95">
        <v>0.51071043883711775</v>
      </c>
      <c r="M859" s="95">
        <v>3037.1785879015242</v>
      </c>
      <c r="N859" s="95">
        <v>6663.4156274106199</v>
      </c>
      <c r="O859" s="95">
        <v>10000.000000000004</v>
      </c>
      <c r="Q859" s="98"/>
      <c r="R859" s="95"/>
      <c r="S859" s="99"/>
      <c r="U859" s="121"/>
      <c r="V859" s="59"/>
      <c r="W859" s="59"/>
      <c r="X859" s="59"/>
      <c r="Y859" s="59"/>
      <c r="Z859" s="59"/>
      <c r="AA859" s="59"/>
      <c r="AB859" s="59"/>
      <c r="AC859" s="59"/>
      <c r="AD859" s="68"/>
    </row>
    <row r="860" spans="1:30" x14ac:dyDescent="0.2">
      <c r="A860" s="95">
        <v>852</v>
      </c>
      <c r="B860" s="95">
        <v>71</v>
      </c>
      <c r="C860" s="95">
        <v>0</v>
      </c>
      <c r="D860" s="95"/>
      <c r="E860" s="95">
        <v>63.794043832632227</v>
      </c>
      <c r="F860" s="95">
        <v>136.70152249849735</v>
      </c>
      <c r="G860" s="95">
        <v>86.577630915714991</v>
      </c>
      <c r="H860" s="95">
        <v>2.4754778674578037E-2</v>
      </c>
      <c r="I860" s="95">
        <v>5.6976178002895406</v>
      </c>
      <c r="J860" s="95">
        <v>0.30540036582350533</v>
      </c>
      <c r="K860" s="95">
        <v>1.2778640322603756</v>
      </c>
      <c r="L860" s="95">
        <v>0.50080515896971778</v>
      </c>
      <c r="M860" s="95">
        <v>3037.2136464362043</v>
      </c>
      <c r="N860" s="95">
        <v>6667.9067141809383</v>
      </c>
      <c r="O860" s="95">
        <v>10000.000000000005</v>
      </c>
      <c r="Q860" s="98"/>
      <c r="R860" s="95"/>
      <c r="S860" s="99"/>
      <c r="U860" s="121"/>
      <c r="V860" s="59"/>
      <c r="W860" s="59"/>
      <c r="X860" s="59"/>
      <c r="Y860" s="59"/>
      <c r="Z860" s="59"/>
      <c r="AA860" s="59"/>
      <c r="AB860" s="59"/>
      <c r="AC860" s="59"/>
      <c r="AD860" s="68"/>
    </row>
    <row r="861" spans="1:30" x14ac:dyDescent="0.2">
      <c r="A861" s="95">
        <v>853</v>
      </c>
      <c r="B861" s="95">
        <v>71</v>
      </c>
      <c r="C861" s="95">
        <v>1</v>
      </c>
      <c r="D861" s="95"/>
      <c r="E861" s="95">
        <v>62.837133175142746</v>
      </c>
      <c r="F861" s="95">
        <v>134.65099966101988</v>
      </c>
      <c r="G861" s="95">
        <v>85.278966451979272</v>
      </c>
      <c r="H861" s="95">
        <v>2.4144160800605111E-2</v>
      </c>
      <c r="I861" s="95">
        <v>5.587228350861106</v>
      </c>
      <c r="J861" s="95">
        <v>0.29962641790483668</v>
      </c>
      <c r="K861" s="95">
        <v>1.2528758039534984</v>
      </c>
      <c r="L861" s="95">
        <v>0.49109181703464599</v>
      </c>
      <c r="M861" s="95">
        <v>3037.2480253896269</v>
      </c>
      <c r="N861" s="95">
        <v>6672.3299087716814</v>
      </c>
      <c r="O861" s="95">
        <v>10000.000000000005</v>
      </c>
      <c r="Q861" s="98"/>
      <c r="R861" s="95"/>
      <c r="S861" s="99"/>
      <c r="U861" s="121"/>
      <c r="V861" s="59"/>
      <c r="W861" s="59"/>
      <c r="X861" s="59"/>
      <c r="Y861" s="59"/>
      <c r="Z861" s="59"/>
      <c r="AA861" s="59"/>
      <c r="AB861" s="59"/>
      <c r="AC861" s="59"/>
      <c r="AD861" s="68"/>
    </row>
    <row r="862" spans="1:30" x14ac:dyDescent="0.2">
      <c r="A862" s="95">
        <v>854</v>
      </c>
      <c r="B862" s="95">
        <v>71</v>
      </c>
      <c r="C862" s="95">
        <v>2</v>
      </c>
      <c r="D862" s="95"/>
      <c r="E862" s="95">
        <v>61.894576177515603</v>
      </c>
      <c r="F862" s="95">
        <v>132.63123466610458</v>
      </c>
      <c r="G862" s="95">
        <v>83.99978195519958</v>
      </c>
      <c r="H862" s="95">
        <v>2.3548604834190186E-2</v>
      </c>
      <c r="I862" s="95">
        <v>5.4789763939362919</v>
      </c>
      <c r="J862" s="95">
        <v>0.29395917356024298</v>
      </c>
      <c r="K862" s="95">
        <v>1.228378653011529</v>
      </c>
      <c r="L862" s="95">
        <v>0.48156670162284532</v>
      </c>
      <c r="M862" s="95">
        <v>3037.2817379149583</v>
      </c>
      <c r="N862" s="95">
        <v>6676.6862397592613</v>
      </c>
      <c r="O862" s="95">
        <v>10000.000000000004</v>
      </c>
      <c r="Q862" s="98"/>
      <c r="R862" s="95"/>
      <c r="S862" s="99"/>
      <c r="U862" s="121"/>
      <c r="V862" s="59"/>
      <c r="W862" s="59"/>
      <c r="X862" s="59"/>
      <c r="Y862" s="59"/>
      <c r="Z862" s="59"/>
      <c r="AA862" s="59"/>
      <c r="AB862" s="59"/>
      <c r="AC862" s="59"/>
      <c r="AD862" s="68"/>
    </row>
    <row r="863" spans="1:30" x14ac:dyDescent="0.2">
      <c r="A863" s="95">
        <v>855</v>
      </c>
      <c r="B863" s="95">
        <v>71</v>
      </c>
      <c r="C863" s="95">
        <v>3</v>
      </c>
      <c r="D863" s="95"/>
      <c r="E863" s="95">
        <v>60.966157534852869</v>
      </c>
      <c r="F863" s="95">
        <v>130.64176614611301</v>
      </c>
      <c r="G863" s="95">
        <v>82.739785225871586</v>
      </c>
      <c r="H863" s="95">
        <v>2.2967739248280161E-2</v>
      </c>
      <c r="I863" s="95">
        <v>5.3728205721340929</v>
      </c>
      <c r="J863" s="95">
        <v>0.28839675029410333</v>
      </c>
      <c r="K863" s="95">
        <v>1.2043628529150403</v>
      </c>
      <c r="L863" s="95">
        <v>0.4722261727759221</v>
      </c>
      <c r="M863" s="95">
        <v>3037.3147969116517</v>
      </c>
      <c r="N863" s="95">
        <v>6680.9767200941487</v>
      </c>
      <c r="O863" s="95">
        <v>10000.000000000005</v>
      </c>
      <c r="Q863" s="98"/>
      <c r="R863" s="95"/>
      <c r="S863" s="99"/>
      <c r="U863" s="121"/>
      <c r="V863" s="59"/>
      <c r="W863" s="59"/>
      <c r="X863" s="59"/>
      <c r="Y863" s="59"/>
      <c r="Z863" s="59"/>
      <c r="AA863" s="59"/>
      <c r="AB863" s="59"/>
      <c r="AC863" s="59"/>
      <c r="AD863" s="68"/>
    </row>
    <row r="864" spans="1:30" x14ac:dyDescent="0.2">
      <c r="A864" s="95">
        <v>856</v>
      </c>
      <c r="B864" s="95">
        <v>71</v>
      </c>
      <c r="C864" s="95">
        <v>4</v>
      </c>
      <c r="D864" s="95"/>
      <c r="E864" s="95">
        <v>60.051665171830074</v>
      </c>
      <c r="F864" s="95">
        <v>128.68213965392133</v>
      </c>
      <c r="G864" s="95">
        <v>81.498688447483516</v>
      </c>
      <c r="H864" s="95">
        <v>2.2401201680155917E-2</v>
      </c>
      <c r="I864" s="95">
        <v>5.268720327504556</v>
      </c>
      <c r="J864" s="95">
        <v>0.28293729548740054</v>
      </c>
      <c r="K864" s="95">
        <v>1.1808188721081889</v>
      </c>
      <c r="L864" s="95">
        <v>0.46306666062201496</v>
      </c>
      <c r="M864" s="95">
        <v>3037.3472150303064</v>
      </c>
      <c r="N864" s="95">
        <v>6685.2023473390618</v>
      </c>
      <c r="O864" s="95">
        <v>10000.000000000005</v>
      </c>
      <c r="Q864" s="98"/>
      <c r="R864" s="95"/>
      <c r="S864" s="99"/>
      <c r="U864" s="121"/>
      <c r="V864" s="59"/>
      <c r="W864" s="59"/>
      <c r="X864" s="59"/>
      <c r="Y864" s="59"/>
      <c r="Z864" s="59"/>
      <c r="AA864" s="59"/>
      <c r="AB864" s="59"/>
      <c r="AC864" s="59"/>
      <c r="AD864" s="68"/>
    </row>
    <row r="865" spans="1:30" x14ac:dyDescent="0.2">
      <c r="A865" s="95">
        <v>857</v>
      </c>
      <c r="B865" s="95">
        <v>71</v>
      </c>
      <c r="C865" s="95">
        <v>5</v>
      </c>
      <c r="D865" s="95"/>
      <c r="E865" s="95">
        <v>59.150890194252625</v>
      </c>
      <c r="F865" s="95">
        <v>126.75190755911251</v>
      </c>
      <c r="G865" s="95">
        <v>80.276208120771258</v>
      </c>
      <c r="H865" s="95">
        <v>2.1848638705378738E-2</v>
      </c>
      <c r="I865" s="95">
        <v>5.1666358860950838</v>
      </c>
      <c r="J865" s="95">
        <v>0.27757898605411746</v>
      </c>
      <c r="K865" s="95">
        <v>1.1577373700209843</v>
      </c>
      <c r="L865" s="95">
        <v>0.45408466403734837</v>
      </c>
      <c r="M865" s="95">
        <v>3037.3790046774348</v>
      </c>
      <c r="N865" s="95">
        <v>6689.364103903521</v>
      </c>
      <c r="O865" s="95">
        <v>10000.000000000005</v>
      </c>
      <c r="Q865" s="98"/>
      <c r="R865" s="95"/>
      <c r="S865" s="99"/>
      <c r="U865" s="121"/>
      <c r="V865" s="59"/>
      <c r="W865" s="59"/>
      <c r="X865" s="59"/>
      <c r="Y865" s="59"/>
      <c r="Z865" s="59"/>
      <c r="AA865" s="59"/>
      <c r="AB865" s="59"/>
      <c r="AC865" s="59"/>
      <c r="AD865" s="68"/>
    </row>
    <row r="866" spans="1:30" x14ac:dyDescent="0.2">
      <c r="A866" s="95">
        <v>858</v>
      </c>
      <c r="B866" s="95">
        <v>71</v>
      </c>
      <c r="C866" s="95">
        <v>6</v>
      </c>
      <c r="D866" s="95"/>
      <c r="E866" s="95">
        <v>58.263626841338834</v>
      </c>
      <c r="F866" s="95">
        <v>124.85062894572582</v>
      </c>
      <c r="G866" s="95">
        <v>79.072064998959689</v>
      </c>
      <c r="H866" s="95">
        <v>2.130970561731273E-2</v>
      </c>
      <c r="I866" s="95">
        <v>5.0665282428142229</v>
      </c>
      <c r="J866" s="95">
        <v>0.27232002809589656</v>
      </c>
      <c r="K866" s="95">
        <v>1.1351091931747788</v>
      </c>
      <c r="L866" s="95">
        <v>0.44527674933299566</v>
      </c>
      <c r="M866" s="95">
        <v>3037.4101780201386</v>
      </c>
      <c r="N866" s="95">
        <v>6693.4629572748063</v>
      </c>
      <c r="O866" s="95">
        <v>10000.000000000004</v>
      </c>
      <c r="Q866" s="98"/>
      <c r="R866" s="95"/>
      <c r="S866" s="99"/>
      <c r="U866" s="121"/>
      <c r="V866" s="59"/>
      <c r="W866" s="59"/>
      <c r="X866" s="59"/>
      <c r="Y866" s="59"/>
      <c r="Z866" s="59"/>
      <c r="AA866" s="59"/>
      <c r="AB866" s="59"/>
      <c r="AC866" s="59"/>
      <c r="AD866" s="68"/>
    </row>
    <row r="867" spans="1:30" x14ac:dyDescent="0.2">
      <c r="A867" s="95">
        <v>859</v>
      </c>
      <c r="B867" s="95">
        <v>71</v>
      </c>
      <c r="C867" s="95">
        <v>7</v>
      </c>
      <c r="D867" s="95"/>
      <c r="E867" s="95">
        <v>57.389672438718755</v>
      </c>
      <c r="F867" s="95">
        <v>122.97786951153994</v>
      </c>
      <c r="G867" s="95">
        <v>77.885984023975297</v>
      </c>
      <c r="H867" s="95">
        <v>2.0784066212085683E-2</v>
      </c>
      <c r="I867" s="95">
        <v>4.9683591465872139</v>
      </c>
      <c r="J867" s="95">
        <v>0.26715865655529636</v>
      </c>
      <c r="K867" s="95">
        <v>1.1129253713691789</v>
      </c>
      <c r="L867" s="95">
        <v>0.4366395489663854</v>
      </c>
      <c r="M867" s="95">
        <v>3037.4407469906982</v>
      </c>
      <c r="N867" s="95">
        <v>6697.4998602453825</v>
      </c>
      <c r="O867" s="95">
        <v>10000.000000000005</v>
      </c>
      <c r="Q867" s="98"/>
      <c r="R867" s="95"/>
      <c r="S867" s="99"/>
      <c r="U867" s="121"/>
      <c r="V867" s="59"/>
      <c r="W867" s="59"/>
      <c r="X867" s="59"/>
      <c r="Y867" s="59"/>
      <c r="Z867" s="59"/>
      <c r="AA867" s="59"/>
      <c r="AB867" s="59"/>
      <c r="AC867" s="59"/>
      <c r="AD867" s="68"/>
    </row>
    <row r="868" spans="1:30" x14ac:dyDescent="0.2">
      <c r="A868" s="95">
        <v>860</v>
      </c>
      <c r="B868" s="95">
        <v>71</v>
      </c>
      <c r="C868" s="95">
        <v>8</v>
      </c>
      <c r="D868" s="95"/>
      <c r="E868" s="95">
        <v>56.528827352137974</v>
      </c>
      <c r="F868" s="95">
        <v>121.13320146886684</v>
      </c>
      <c r="G868" s="95">
        <v>76.71769426361567</v>
      </c>
      <c r="H868" s="95">
        <v>2.0271392578854235E-2</v>
      </c>
      <c r="I868" s="95">
        <v>4.8720910857976953</v>
      </c>
      <c r="J868" s="95">
        <v>0.26209313486796137</v>
      </c>
      <c r="K868" s="95">
        <v>1.0911771139486155</v>
      </c>
      <c r="L868" s="95">
        <v>0.42816976027709286</v>
      </c>
      <c r="M868" s="95">
        <v>3037.4707232910728</v>
      </c>
      <c r="N868" s="95">
        <v>6701.4757511368416</v>
      </c>
      <c r="O868" s="95">
        <v>10000.000000000005</v>
      </c>
      <c r="Q868" s="98"/>
      <c r="R868" s="95"/>
      <c r="S868" s="99"/>
      <c r="U868" s="121"/>
      <c r="V868" s="59"/>
      <c r="W868" s="59"/>
      <c r="X868" s="59"/>
      <c r="Y868" s="59"/>
      <c r="Z868" s="59"/>
      <c r="AA868" s="59"/>
      <c r="AB868" s="59"/>
      <c r="AC868" s="59"/>
      <c r="AD868" s="68"/>
    </row>
    <row r="869" spans="1:30" x14ac:dyDescent="0.2">
      <c r="A869" s="95">
        <v>861</v>
      </c>
      <c r="B869" s="95">
        <v>71</v>
      </c>
      <c r="C869" s="95">
        <v>9</v>
      </c>
      <c r="D869" s="95"/>
      <c r="E869" s="95">
        <v>55.680894941855904</v>
      </c>
      <c r="F869" s="95">
        <v>119.31620344683384</v>
      </c>
      <c r="G869" s="95">
        <v>75.566928849661437</v>
      </c>
      <c r="H869" s="95">
        <v>1.9771364895242498E-2</v>
      </c>
      <c r="I869" s="95">
        <v>4.7776872740100522</v>
      </c>
      <c r="J869" s="95">
        <v>0.25712175461400405</v>
      </c>
      <c r="K869" s="95">
        <v>1.0698558061468548</v>
      </c>
      <c r="L869" s="95">
        <v>0.41986414424646784</v>
      </c>
      <c r="M869" s="95">
        <v>3037.5001183973181</v>
      </c>
      <c r="N869" s="95">
        <v>6705.3915540204234</v>
      </c>
      <c r="O869" s="95">
        <v>10000.000000000005</v>
      </c>
      <c r="Q869" s="98"/>
      <c r="R869" s="95"/>
      <c r="S869" s="99"/>
      <c r="U869" s="121"/>
      <c r="V869" s="59"/>
      <c r="W869" s="59"/>
      <c r="X869" s="59"/>
      <c r="Y869" s="59"/>
      <c r="Z869" s="59"/>
      <c r="AA869" s="59"/>
      <c r="AB869" s="59"/>
      <c r="AC869" s="59"/>
      <c r="AD869" s="68"/>
    </row>
    <row r="870" spans="1:30" x14ac:dyDescent="0.2">
      <c r="A870" s="95">
        <v>862</v>
      </c>
      <c r="B870" s="95">
        <v>71</v>
      </c>
      <c r="C870" s="95">
        <v>10</v>
      </c>
      <c r="D870" s="95"/>
      <c r="E870" s="95">
        <v>54.845681517728067</v>
      </c>
      <c r="F870" s="95">
        <v>117.52646039513134</v>
      </c>
      <c r="G870" s="95">
        <v>74.433424916916522</v>
      </c>
      <c r="H870" s="95">
        <v>1.9283671227826517E-2</v>
      </c>
      <c r="I870" s="95">
        <v>4.6851116359670106</v>
      </c>
      <c r="J870" s="95">
        <v>0.25224283516888441</v>
      </c>
      <c r="K870" s="95">
        <v>1.0489530055077663</v>
      </c>
      <c r="L870" s="95">
        <v>0.41171952428065728</v>
      </c>
      <c r="M870" s="95">
        <v>3037.5289435639197</v>
      </c>
      <c r="N870" s="95">
        <v>6709.2481789341573</v>
      </c>
      <c r="O870" s="95">
        <v>10000.000000000005</v>
      </c>
      <c r="Q870" s="98"/>
      <c r="R870" s="95"/>
      <c r="S870" s="99"/>
      <c r="U870" s="121"/>
      <c r="V870" s="59"/>
      <c r="W870" s="59"/>
      <c r="X870" s="59"/>
      <c r="Y870" s="59"/>
      <c r="Z870" s="59"/>
      <c r="AA870" s="59"/>
      <c r="AB870" s="59"/>
      <c r="AC870" s="59"/>
      <c r="AD870" s="68"/>
    </row>
    <row r="871" spans="1:30" x14ac:dyDescent="0.2">
      <c r="A871" s="95">
        <v>863</v>
      </c>
      <c r="B871" s="95">
        <v>71</v>
      </c>
      <c r="C871" s="95">
        <v>11</v>
      </c>
      <c r="D871" s="95"/>
      <c r="E871" s="95">
        <v>54.022996294962148</v>
      </c>
      <c r="F871" s="95">
        <v>115.76356348920437</v>
      </c>
      <c r="G871" s="95">
        <v>73.316923543162773</v>
      </c>
      <c r="H871" s="95">
        <v>1.8808007337540129E-2</v>
      </c>
      <c r="I871" s="95">
        <v>4.5943287938571871</v>
      </c>
      <c r="J871" s="95">
        <v>0.24745472335405466</v>
      </c>
      <c r="K871" s="95">
        <v>1.0284604383807041</v>
      </c>
      <c r="L871" s="95">
        <v>0.40373278501658988</v>
      </c>
      <c r="M871" s="95">
        <v>3037.5572098280436</v>
      </c>
      <c r="N871" s="95">
        <v>6713.0465220966871</v>
      </c>
      <c r="O871" s="95">
        <v>10000.000000000005</v>
      </c>
      <c r="Q871" s="98"/>
      <c r="R871" s="95"/>
      <c r="S871" s="99"/>
      <c r="U871" s="121"/>
      <c r="V871" s="59"/>
      <c r="W871" s="59"/>
      <c r="X871" s="59"/>
      <c r="Y871" s="59"/>
      <c r="Z871" s="59"/>
      <c r="AA871" s="59"/>
      <c r="AB871" s="59"/>
      <c r="AC871" s="59"/>
      <c r="AD871" s="68"/>
    </row>
    <row r="872" spans="1:30" x14ac:dyDescent="0.2">
      <c r="A872" s="95">
        <v>864</v>
      </c>
      <c r="B872" s="95">
        <v>72</v>
      </c>
      <c r="C872" s="95">
        <v>0</v>
      </c>
      <c r="D872" s="95"/>
      <c r="E872" s="95">
        <v>53.212651350537719</v>
      </c>
      <c r="F872" s="95">
        <v>114.0271100368663</v>
      </c>
      <c r="G872" s="95">
        <v>72.217169690015325</v>
      </c>
      <c r="H872" s="95">
        <v>1.8344076489880807E-2</v>
      </c>
      <c r="I872" s="95">
        <v>4.5053040538473894</v>
      </c>
      <c r="J872" s="95">
        <v>0.24275579308762421</v>
      </c>
      <c r="K872" s="95">
        <v>1.0083699964888957</v>
      </c>
      <c r="L872" s="95">
        <v>0.39590087115049771</v>
      </c>
      <c r="M872" s="95">
        <v>3037.5849280137063</v>
      </c>
      <c r="N872" s="95">
        <v>6716.7874661178157</v>
      </c>
      <c r="O872" s="95">
        <v>10000.000000000005</v>
      </c>
      <c r="Q872" s="98"/>
      <c r="R872" s="95"/>
      <c r="S872" s="99"/>
      <c r="U872" s="121"/>
      <c r="V872" s="59"/>
      <c r="W872" s="59"/>
      <c r="X872" s="59"/>
      <c r="Y872" s="59"/>
      <c r="Z872" s="59"/>
      <c r="AA872" s="59"/>
      <c r="AB872" s="59"/>
      <c r="AC872" s="59"/>
      <c r="AD872" s="68"/>
    </row>
    <row r="873" spans="1:30" x14ac:dyDescent="0.2">
      <c r="A873" s="95">
        <v>865</v>
      </c>
      <c r="B873" s="95">
        <v>72</v>
      </c>
      <c r="C873" s="95">
        <v>1</v>
      </c>
      <c r="D873" s="95"/>
      <c r="E873" s="95">
        <v>52.414461580279657</v>
      </c>
      <c r="F873" s="95">
        <v>112.31670338631331</v>
      </c>
      <c r="G873" s="95">
        <v>71.133912144665089</v>
      </c>
      <c r="H873" s="95">
        <v>1.789158926979708E-2</v>
      </c>
      <c r="I873" s="95">
        <v>4.4180033928745885</v>
      </c>
      <c r="J873" s="95">
        <v>0.23814444503528531</v>
      </c>
      <c r="K873" s="95">
        <v>0.98867373356926525</v>
      </c>
      <c r="L873" s="95">
        <v>0.38822078628855727</v>
      </c>
      <c r="M873" s="95">
        <v>3037.612108735867</v>
      </c>
      <c r="N873" s="95">
        <v>6720.4718802058433</v>
      </c>
      <c r="O873" s="95">
        <v>10000.000000000005</v>
      </c>
      <c r="Q873" s="98"/>
      <c r="R873" s="95"/>
      <c r="S873" s="99"/>
      <c r="U873" s="121"/>
      <c r="V873" s="59"/>
      <c r="W873" s="59"/>
      <c r="X873" s="59"/>
      <c r="Y873" s="59"/>
      <c r="Z873" s="59"/>
      <c r="AA873" s="59"/>
      <c r="AB873" s="59"/>
      <c r="AC873" s="59"/>
      <c r="AD873" s="68"/>
    </row>
    <row r="874" spans="1:30" x14ac:dyDescent="0.2">
      <c r="A874" s="95">
        <v>866</v>
      </c>
      <c r="B874" s="95">
        <v>72</v>
      </c>
      <c r="C874" s="95">
        <v>2</v>
      </c>
      <c r="D874" s="95"/>
      <c r="E874" s="95">
        <v>51.628244656575461</v>
      </c>
      <c r="F874" s="95">
        <v>110.6319528355186</v>
      </c>
      <c r="G874" s="95">
        <v>70.066903462495119</v>
      </c>
      <c r="H874" s="95">
        <v>1.7450263401142085E-2</v>
      </c>
      <c r="I874" s="95">
        <v>4.3323934456925484</v>
      </c>
      <c r="J874" s="95">
        <v>0.23361910626172647</v>
      </c>
      <c r="K874" s="95">
        <v>0.96936386208215752</v>
      </c>
      <c r="L874" s="95">
        <v>0.38068959181924056</v>
      </c>
      <c r="M874" s="95">
        <v>3037.6387624044419</v>
      </c>
      <c r="N874" s="95">
        <v>6724.1006203717179</v>
      </c>
      <c r="O874" s="95">
        <v>10000.000000000005</v>
      </c>
      <c r="Q874" s="98"/>
      <c r="R874" s="95"/>
      <c r="S874" s="99"/>
      <c r="U874" s="121"/>
      <c r="V874" s="59"/>
      <c r="W874" s="59"/>
      <c r="X874" s="59"/>
      <c r="Y874" s="59"/>
      <c r="Z874" s="59"/>
      <c r="AA874" s="59"/>
      <c r="AB874" s="59"/>
      <c r="AC874" s="59"/>
      <c r="AD874" s="68"/>
    </row>
    <row r="875" spans="1:30" x14ac:dyDescent="0.2">
      <c r="A875" s="95">
        <v>867</v>
      </c>
      <c r="B875" s="95">
        <v>72</v>
      </c>
      <c r="C875" s="95">
        <v>3</v>
      </c>
      <c r="D875" s="95"/>
      <c r="E875" s="95">
        <v>50.853820986726831</v>
      </c>
      <c r="F875" s="95">
        <v>108.97247354298582</v>
      </c>
      <c r="G875" s="95">
        <v>69.015899910557692</v>
      </c>
      <c r="H875" s="95">
        <v>1.7019823570580579E-2</v>
      </c>
      <c r="I875" s="95">
        <v>4.2484414921682294</v>
      </c>
      <c r="J875" s="95">
        <v>0.22917822988274839</v>
      </c>
      <c r="K875" s="95">
        <v>0.95043274998945981</v>
      </c>
      <c r="L875" s="95">
        <v>0.37330440580697394</v>
      </c>
      <c r="M875" s="95">
        <v>3037.6648992282417</v>
      </c>
      <c r="N875" s="95">
        <v>6727.6745296300751</v>
      </c>
      <c r="O875" s="95">
        <v>10000.000000000005</v>
      </c>
      <c r="Q875" s="98"/>
      <c r="R875" s="95"/>
      <c r="S875" s="99"/>
      <c r="U875" s="121"/>
      <c r="V875" s="59"/>
      <c r="W875" s="59"/>
      <c r="X875" s="59"/>
      <c r="Y875" s="59"/>
      <c r="Z875" s="59"/>
      <c r="AA875" s="59"/>
      <c r="AB875" s="59"/>
      <c r="AC875" s="59"/>
      <c r="AD875" s="68"/>
    </row>
    <row r="876" spans="1:30" x14ac:dyDescent="0.2">
      <c r="A876" s="95">
        <v>868</v>
      </c>
      <c r="B876" s="95">
        <v>72</v>
      </c>
      <c r="C876" s="95">
        <v>4</v>
      </c>
      <c r="D876" s="95"/>
      <c r="E876" s="95">
        <v>50.091013671925928</v>
      </c>
      <c r="F876" s="95">
        <v>107.33788643984104</v>
      </c>
      <c r="G876" s="95">
        <v>67.980661411899334</v>
      </c>
      <c r="H876" s="95">
        <v>1.6600001255839592E-2</v>
      </c>
      <c r="I876" s="95">
        <v>4.166115444823145</v>
      </c>
      <c r="J876" s="95">
        <v>0.22482029471828491</v>
      </c>
      <c r="K876" s="95">
        <v>0.9318729175996544</v>
      </c>
      <c r="L876" s="95">
        <v>0.36606240190670997</v>
      </c>
      <c r="M876" s="95">
        <v>3037.6905292188349</v>
      </c>
      <c r="N876" s="95">
        <v>6731.1944381972007</v>
      </c>
      <c r="O876" s="95">
        <v>10000.000000000005</v>
      </c>
      <c r="Q876" s="98"/>
      <c r="R876" s="95"/>
      <c r="S876" s="99"/>
      <c r="U876" s="121"/>
      <c r="V876" s="59"/>
      <c r="W876" s="59"/>
      <c r="X876" s="59"/>
      <c r="Y876" s="59"/>
      <c r="Z876" s="59"/>
      <c r="AA876" s="59"/>
      <c r="AB876" s="59"/>
      <c r="AC876" s="59"/>
      <c r="AD876" s="68"/>
    </row>
    <row r="877" spans="1:30" x14ac:dyDescent="0.2">
      <c r="A877" s="95">
        <v>869</v>
      </c>
      <c r="B877" s="95">
        <v>72</v>
      </c>
      <c r="C877" s="95">
        <v>5</v>
      </c>
      <c r="D877" s="95"/>
      <c r="E877" s="95">
        <v>49.339648466847038</v>
      </c>
      <c r="F877" s="95">
        <v>105.72781814324343</v>
      </c>
      <c r="G877" s="95">
        <v>66.960951490720845</v>
      </c>
      <c r="H877" s="95">
        <v>1.6190534558195548E-2</v>
      </c>
      <c r="I877" s="95">
        <v>4.0853838366149686</v>
      </c>
      <c r="J877" s="95">
        <v>0.2205438049465194</v>
      </c>
      <c r="K877" s="95">
        <v>0.91367703447836701</v>
      </c>
      <c r="L877" s="95">
        <v>0.35896080829902421</v>
      </c>
      <c r="M877" s="95">
        <v>3037.7156621943368</v>
      </c>
      <c r="N877" s="95">
        <v>6734.6611636859607</v>
      </c>
      <c r="O877" s="95">
        <v>10000.000000000005</v>
      </c>
      <c r="Q877" s="98"/>
      <c r="R877" s="95"/>
      <c r="S877" s="99"/>
      <c r="U877" s="121"/>
      <c r="V877" s="59"/>
      <c r="W877" s="59"/>
      <c r="X877" s="59"/>
      <c r="Y877" s="59"/>
      <c r="Z877" s="59"/>
      <c r="AA877" s="59"/>
      <c r="AB877" s="59"/>
      <c r="AC877" s="59"/>
      <c r="AD877" s="68"/>
    </row>
    <row r="878" spans="1:30" x14ac:dyDescent="0.2">
      <c r="A878" s="95">
        <v>870</v>
      </c>
      <c r="B878" s="95">
        <v>72</v>
      </c>
      <c r="C878" s="95">
        <v>6</v>
      </c>
      <c r="D878" s="95"/>
      <c r="E878" s="95">
        <v>48.599553739844332</v>
      </c>
      <c r="F878" s="95">
        <v>104.14190087109478</v>
      </c>
      <c r="G878" s="95">
        <v>65.956537218360026</v>
      </c>
      <c r="H878" s="95">
        <v>1.5791168039093393E-2</v>
      </c>
      <c r="I878" s="95">
        <v>4.0062158089547575</v>
      </c>
      <c r="J878" s="95">
        <v>0.21634728975927664</v>
      </c>
      <c r="K878" s="95">
        <v>0.89583791642300714</v>
      </c>
      <c r="L878" s="95">
        <v>0.35199690664535704</v>
      </c>
      <c r="M878" s="95">
        <v>3037.7403077831291</v>
      </c>
      <c r="N878" s="95">
        <v>6738.0755112977567</v>
      </c>
      <c r="O878" s="95">
        <v>10000.000000000007</v>
      </c>
      <c r="Q878" s="98"/>
      <c r="R878" s="95"/>
      <c r="S878" s="99"/>
      <c r="U878" s="121"/>
      <c r="V878" s="59"/>
      <c r="W878" s="59"/>
      <c r="X878" s="59"/>
      <c r="Y878" s="59"/>
      <c r="Z878" s="59"/>
      <c r="AA878" s="59"/>
      <c r="AB878" s="59"/>
      <c r="AC878" s="59"/>
      <c r="AD878" s="68"/>
    </row>
    <row r="879" spans="1:30" x14ac:dyDescent="0.2">
      <c r="A879" s="95">
        <v>871</v>
      </c>
      <c r="B879" s="95">
        <v>72</v>
      </c>
      <c r="C879" s="95">
        <v>7</v>
      </c>
      <c r="D879" s="95"/>
      <c r="E879" s="95">
        <v>47.870560433746668</v>
      </c>
      <c r="F879" s="95">
        <v>102.57977235802835</v>
      </c>
      <c r="G879" s="95">
        <v>64.967189160084629</v>
      </c>
      <c r="H879" s="95">
        <v>1.5401652560795755E-2</v>
      </c>
      <c r="I879" s="95">
        <v>3.9285810999552639</v>
      </c>
      <c r="J879" s="95">
        <v>0.21222930301885884</v>
      </c>
      <c r="K879" s="95">
        <v>0.87834852250013029</v>
      </c>
      <c r="L879" s="95">
        <v>0.34516803106302624</v>
      </c>
      <c r="M879" s="95">
        <v>3037.7644754275052</v>
      </c>
      <c r="N879" s="95">
        <v>6741.4382740115443</v>
      </c>
      <c r="O879" s="95">
        <v>10000.000000000007</v>
      </c>
      <c r="Q879" s="98"/>
      <c r="R879" s="95"/>
      <c r="S879" s="99"/>
      <c r="U879" s="121"/>
      <c r="V879" s="59"/>
      <c r="W879" s="59"/>
      <c r="X879" s="59"/>
      <c r="Y879" s="59"/>
      <c r="Z879" s="59"/>
      <c r="AA879" s="59"/>
      <c r="AB879" s="59"/>
      <c r="AC879" s="59"/>
      <c r="AD879" s="68"/>
    </row>
    <row r="880" spans="1:30" x14ac:dyDescent="0.2">
      <c r="A880" s="95">
        <v>872</v>
      </c>
      <c r="B880" s="95">
        <v>72</v>
      </c>
      <c r="C880" s="95">
        <v>8</v>
      </c>
      <c r="D880" s="95"/>
      <c r="E880" s="95">
        <v>47.152502027240466</v>
      </c>
      <c r="F880" s="95">
        <v>101.04107577265792</v>
      </c>
      <c r="G880" s="95">
        <v>63.99268132268336</v>
      </c>
      <c r="H880" s="95">
        <v>1.5021745130962794E-2</v>
      </c>
      <c r="I880" s="95">
        <v>3.8524500329058871</v>
      </c>
      <c r="J880" s="95">
        <v>0.20818842291648487</v>
      </c>
      <c r="K880" s="95">
        <v>0.86120195214417916</v>
      </c>
      <c r="L880" s="95">
        <v>0.33847156711964355</v>
      </c>
      <c r="M880" s="95">
        <v>3037.7881743872495</v>
      </c>
      <c r="N880" s="95">
        <v>6744.7502327699594</v>
      </c>
      <c r="O880" s="95">
        <v>10000.000000000007</v>
      </c>
      <c r="Q880" s="98"/>
      <c r="R880" s="95"/>
      <c r="S880" s="99"/>
      <c r="U880" s="121"/>
      <c r="V880" s="59"/>
      <c r="W880" s="59"/>
      <c r="X880" s="59"/>
      <c r="Y880" s="59"/>
      <c r="Z880" s="59"/>
      <c r="AA880" s="59"/>
      <c r="AB880" s="59"/>
      <c r="AC880" s="59"/>
      <c r="AD880" s="68"/>
    </row>
    <row r="881" spans="1:30" x14ac:dyDescent="0.2">
      <c r="A881" s="95">
        <v>873</v>
      </c>
      <c r="B881" s="95">
        <v>72</v>
      </c>
      <c r="C881" s="95">
        <v>9</v>
      </c>
      <c r="D881" s="95"/>
      <c r="E881" s="95">
        <v>46.445214496831859</v>
      </c>
      <c r="F881" s="95">
        <v>99.525459636068049</v>
      </c>
      <c r="G881" s="95">
        <v>63.032791102843113</v>
      </c>
      <c r="H881" s="95">
        <v>1.4651208751065712E-2</v>
      </c>
      <c r="I881" s="95">
        <v>3.777793504969897</v>
      </c>
      <c r="J881" s="95">
        <v>0.2042232516324814</v>
      </c>
      <c r="K881" s="95">
        <v>0.84439144231629404</v>
      </c>
      <c r="L881" s="95">
        <v>0.33190495084657556</v>
      </c>
      <c r="M881" s="95">
        <v>3037.8114137431471</v>
      </c>
      <c r="N881" s="95">
        <v>6748.0121566626012</v>
      </c>
      <c r="O881" s="95">
        <v>10000.000000000007</v>
      </c>
      <c r="Q881" s="98"/>
      <c r="R881" s="95"/>
      <c r="S881" s="99"/>
      <c r="U881" s="121"/>
      <c r="V881" s="59"/>
      <c r="W881" s="59"/>
      <c r="X881" s="59"/>
      <c r="Y881" s="59"/>
      <c r="Z881" s="59"/>
      <c r="AA881" s="59"/>
      <c r="AB881" s="59"/>
      <c r="AC881" s="59"/>
      <c r="AD881" s="68"/>
    </row>
    <row r="882" spans="1:30" x14ac:dyDescent="0.2">
      <c r="A882" s="95">
        <v>874</v>
      </c>
      <c r="B882" s="95">
        <v>72</v>
      </c>
      <c r="C882" s="95">
        <v>10</v>
      </c>
      <c r="D882" s="95"/>
      <c r="E882" s="95">
        <v>45.74853627937938</v>
      </c>
      <c r="F882" s="95">
        <v>98.032577741527035</v>
      </c>
      <c r="G882" s="95">
        <v>62.087299236300467</v>
      </c>
      <c r="H882" s="95">
        <v>1.4289812268539424E-2</v>
      </c>
      <c r="I882" s="95">
        <v>3.7045829760996583</v>
      </c>
      <c r="J882" s="95">
        <v>0.20033241499836602</v>
      </c>
      <c r="K882" s="95">
        <v>0.82791036472190882</v>
      </c>
      <c r="L882" s="95">
        <v>0.3254656677710942</v>
      </c>
      <c r="M882" s="95">
        <v>3037.834202400426</v>
      </c>
      <c r="N882" s="95">
        <v>6751.2248031065146</v>
      </c>
      <c r="O882" s="95">
        <v>10000.000000000007</v>
      </c>
      <c r="Q882" s="98"/>
      <c r="R882" s="95"/>
      <c r="S882" s="99"/>
      <c r="U882" s="121"/>
      <c r="V882" s="59"/>
      <c r="W882" s="59"/>
      <c r="X882" s="59"/>
      <c r="Y882" s="59"/>
      <c r="Z882" s="59"/>
      <c r="AA882" s="59"/>
      <c r="AB882" s="59"/>
      <c r="AC882" s="59"/>
      <c r="AD882" s="68"/>
    </row>
    <row r="883" spans="1:30" x14ac:dyDescent="0.2">
      <c r="A883" s="95">
        <v>875</v>
      </c>
      <c r="B883" s="95">
        <v>72</v>
      </c>
      <c r="C883" s="95">
        <v>11</v>
      </c>
      <c r="D883" s="95"/>
      <c r="E883" s="95">
        <v>45.062308235188688</v>
      </c>
      <c r="F883" s="95">
        <v>96.562089075404131</v>
      </c>
      <c r="G883" s="95">
        <v>61.15598974775596</v>
      </c>
      <c r="H883" s="95">
        <v>1.3937330232582118E-2</v>
      </c>
      <c r="I883" s="95">
        <v>3.6327904581656525</v>
      </c>
      <c r="J883" s="95">
        <v>0.19651456216095289</v>
      </c>
      <c r="K883" s="95">
        <v>0.81175222308588046</v>
      </c>
      <c r="L883" s="95">
        <v>0.31915125196687083</v>
      </c>
      <c r="M883" s="95">
        <v>3037.8565490921355</v>
      </c>
      <c r="N883" s="95">
        <v>6754.3889180239112</v>
      </c>
      <c r="O883" s="95">
        <v>10000.000000000007</v>
      </c>
      <c r="Q883" s="98"/>
      <c r="R883" s="95"/>
      <c r="S883" s="99"/>
      <c r="U883" s="121"/>
      <c r="V883" s="59"/>
      <c r="W883" s="59"/>
      <c r="X883" s="59"/>
      <c r="Y883" s="59"/>
      <c r="Z883" s="59"/>
      <c r="AA883" s="59"/>
      <c r="AB883" s="59"/>
      <c r="AC883" s="59"/>
      <c r="AD883" s="68"/>
    </row>
    <row r="884" spans="1:30" x14ac:dyDescent="0.2">
      <c r="A884" s="95">
        <v>876</v>
      </c>
      <c r="B884" s="95">
        <v>73</v>
      </c>
      <c r="C884" s="95">
        <v>0</v>
      </c>
      <c r="D884" s="95"/>
      <c r="E884" s="95">
        <v>44.386373611660858</v>
      </c>
      <c r="F884" s="95">
        <v>95.113657739273066</v>
      </c>
      <c r="G884" s="95">
        <v>60.238649901539624</v>
      </c>
      <c r="H884" s="95">
        <v>1.3593542753511758E-2</v>
      </c>
      <c r="I884" s="95">
        <v>3.5623885042951842</v>
      </c>
      <c r="J884" s="95">
        <v>0.19276836524860333</v>
      </c>
      <c r="K884" s="95">
        <v>0.79591065048392451</v>
      </c>
      <c r="L884" s="95">
        <v>0.31295928512247195</v>
      </c>
      <c r="M884" s="95">
        <v>3037.8784623824595</v>
      </c>
      <c r="N884" s="95">
        <v>6757.5052360171712</v>
      </c>
      <c r="O884" s="95">
        <v>10000.000000000007</v>
      </c>
      <c r="Q884" s="98"/>
      <c r="R884" s="95"/>
      <c r="S884" s="99"/>
      <c r="U884" s="121"/>
      <c r="V884" s="59"/>
      <c r="W884" s="59"/>
      <c r="X884" s="59"/>
      <c r="Y884" s="59"/>
      <c r="Z884" s="59"/>
      <c r="AA884" s="59"/>
      <c r="AB884" s="59"/>
      <c r="AC884" s="59"/>
      <c r="AD884" s="68"/>
    </row>
    <row r="885" spans="1:30" x14ac:dyDescent="0.2">
      <c r="A885" s="95">
        <v>877</v>
      </c>
      <c r="B885" s="95">
        <v>73</v>
      </c>
      <c r="C885" s="95">
        <v>1</v>
      </c>
      <c r="D885" s="95"/>
      <c r="E885" s="95">
        <v>43.720578007485948</v>
      </c>
      <c r="F885" s="95">
        <v>93.686952873183969</v>
      </c>
      <c r="G885" s="95">
        <v>59.335070153016531</v>
      </c>
      <c r="H885" s="95">
        <v>1.3258235365591802E-2</v>
      </c>
      <c r="I885" s="95">
        <v>3.4933501984167368</v>
      </c>
      <c r="J885" s="95">
        <v>0.18909251903973542</v>
      </c>
      <c r="K885" s="95">
        <v>0.78037940672915906</v>
      </c>
      <c r="L885" s="95">
        <v>0.30688739562752226</v>
      </c>
      <c r="M885" s="95">
        <v>3037.8999506699661</v>
      </c>
      <c r="N885" s="95">
        <v>6760.5744805411769</v>
      </c>
      <c r="O885" s="95">
        <v>10000.000000000007</v>
      </c>
      <c r="Q885" s="98"/>
      <c r="R885" s="95"/>
      <c r="S885" s="99"/>
      <c r="U885" s="121"/>
      <c r="V885" s="59"/>
      <c r="W885" s="59"/>
      <c r="X885" s="59"/>
      <c r="Y885" s="59"/>
      <c r="Z885" s="59"/>
      <c r="AA885" s="59"/>
      <c r="AB885" s="59"/>
      <c r="AC885" s="59"/>
      <c r="AD885" s="68"/>
    </row>
    <row r="886" spans="1:30" x14ac:dyDescent="0.2">
      <c r="A886" s="95">
        <v>878</v>
      </c>
      <c r="B886" s="95">
        <v>73</v>
      </c>
      <c r="C886" s="95">
        <v>2</v>
      </c>
      <c r="D886" s="95"/>
      <c r="E886" s="95">
        <v>43.064769337373662</v>
      </c>
      <c r="F886" s="95">
        <v>92.281648580086213</v>
      </c>
      <c r="G886" s="95">
        <v>58.445044100721283</v>
      </c>
      <c r="H886" s="95">
        <v>1.2931198893240537E-2</v>
      </c>
      <c r="I886" s="95">
        <v>3.4256491450060125</v>
      </c>
      <c r="J886" s="95">
        <v>0.18548574063369913</v>
      </c>
      <c r="K886" s="95">
        <v>0.76515237581258444</v>
      </c>
      <c r="L886" s="95">
        <v>0.30093325767620671</v>
      </c>
      <c r="M886" s="95">
        <v>3037.9210221907956</v>
      </c>
      <c r="N886" s="95">
        <v>6763.5973640730099</v>
      </c>
      <c r="O886" s="95">
        <v>10000.000000000009</v>
      </c>
      <c r="Q886" s="98"/>
      <c r="R886" s="95"/>
      <c r="S886" s="99"/>
      <c r="U886" s="121"/>
      <c r="V886" s="59"/>
      <c r="W886" s="59"/>
      <c r="X886" s="59"/>
      <c r="Y886" s="59"/>
      <c r="Z886" s="59"/>
      <c r="AA886" s="59"/>
      <c r="AB886" s="59"/>
      <c r="AC886" s="59"/>
      <c r="AD886" s="68"/>
    </row>
    <row r="887" spans="1:30" x14ac:dyDescent="0.2">
      <c r="A887" s="95">
        <v>879</v>
      </c>
      <c r="B887" s="95">
        <v>73</v>
      </c>
      <c r="C887" s="95">
        <v>3</v>
      </c>
      <c r="D887" s="95"/>
      <c r="E887" s="95">
        <v>42.418797797313054</v>
      </c>
      <c r="F887" s="95">
        <v>90.897423851384914</v>
      </c>
      <c r="G887" s="95">
        <v>57.568368439210467</v>
      </c>
      <c r="H887" s="95">
        <v>1.2612229320540604E-2</v>
      </c>
      <c r="I887" s="95">
        <v>3.3592594590297802</v>
      </c>
      <c r="J887" s="95">
        <v>0.18194676912411567</v>
      </c>
      <c r="K887" s="95">
        <v>0.75022356339635232</v>
      </c>
      <c r="L887" s="95">
        <v>0.2950945903877879</v>
      </c>
      <c r="M887" s="95">
        <v>3037.9416850217885</v>
      </c>
      <c r="N887" s="95">
        <v>6766.5745882790534</v>
      </c>
      <c r="O887" s="95">
        <v>10000.000000000009</v>
      </c>
      <c r="Q887" s="98"/>
      <c r="R887" s="95"/>
      <c r="S887" s="99"/>
      <c r="U887" s="121"/>
      <c r="V887" s="59"/>
      <c r="W887" s="59"/>
      <c r="X887" s="59"/>
      <c r="Y887" s="59"/>
      <c r="Z887" s="59"/>
      <c r="AA887" s="59"/>
      <c r="AB887" s="59"/>
      <c r="AC887" s="59"/>
      <c r="AD887" s="68"/>
    </row>
    <row r="888" spans="1:30" x14ac:dyDescent="0.2">
      <c r="A888" s="95">
        <v>880</v>
      </c>
      <c r="B888" s="95">
        <v>73</v>
      </c>
      <c r="C888" s="95">
        <v>4</v>
      </c>
      <c r="D888" s="95"/>
      <c r="E888" s="95">
        <v>41.782515830353361</v>
      </c>
      <c r="F888" s="95">
        <v>89.53396249361414</v>
      </c>
      <c r="G888" s="95">
        <v>56.704842912622311</v>
      </c>
      <c r="H888" s="95">
        <v>1.2301127663967269E-2</v>
      </c>
      <c r="I888" s="95">
        <v>3.2941557560837174</v>
      </c>
      <c r="J888" s="95">
        <v>0.17847436527477331</v>
      </c>
      <c r="K888" s="95">
        <v>0.7355870943587034</v>
      </c>
      <c r="L888" s="95">
        <v>0.28936915694382304</v>
      </c>
      <c r="M888" s="95">
        <v>3037.9619470835532</v>
      </c>
      <c r="N888" s="95">
        <v>6769.5068441795402</v>
      </c>
      <c r="O888" s="95">
        <v>10000.000000000009</v>
      </c>
      <c r="Q888" s="98"/>
      <c r="R888" s="95"/>
      <c r="S888" s="99"/>
      <c r="U888" s="121"/>
      <c r="V888" s="59"/>
      <c r="W888" s="59"/>
      <c r="X888" s="59"/>
      <c r="Y888" s="59"/>
      <c r="Z888" s="59"/>
      <c r="AA888" s="59"/>
      <c r="AB888" s="59"/>
      <c r="AC888" s="59"/>
      <c r="AD888" s="68"/>
    </row>
    <row r="889" spans="1:30" x14ac:dyDescent="0.2">
      <c r="A889" s="95">
        <v>881</v>
      </c>
      <c r="B889" s="95">
        <v>73</v>
      </c>
      <c r="C889" s="95">
        <v>5</v>
      </c>
      <c r="D889" s="95"/>
      <c r="E889" s="95">
        <v>41.155778092898061</v>
      </c>
      <c r="F889" s="95">
        <v>88.190953056209935</v>
      </c>
      <c r="G889" s="95">
        <v>55.854270268932979</v>
      </c>
      <c r="H889" s="95">
        <v>1.1997699848256075E-2</v>
      </c>
      <c r="I889" s="95">
        <v>3.2303131427205103</v>
      </c>
      <c r="J889" s="95">
        <v>0.17506731119816446</v>
      </c>
      <c r="K889" s="95">
        <v>0.72123721038947719</v>
      </c>
      <c r="L889" s="95">
        <v>0.28375476374176867</v>
      </c>
      <c r="M889" s="95">
        <v>3037.981816143475</v>
      </c>
      <c r="N889" s="95">
        <v>6772.3948123105938</v>
      </c>
      <c r="O889" s="95">
        <v>10000.000000000007</v>
      </c>
      <c r="Q889" s="98"/>
      <c r="R889" s="95"/>
      <c r="S889" s="99"/>
      <c r="U889" s="121"/>
      <c r="V889" s="59"/>
      <c r="W889" s="59"/>
      <c r="X889" s="59"/>
      <c r="Y889" s="59"/>
      <c r="Z889" s="59"/>
      <c r="AA889" s="59"/>
      <c r="AB889" s="59"/>
      <c r="AC889" s="59"/>
      <c r="AD889" s="68"/>
    </row>
    <row r="890" spans="1:30" x14ac:dyDescent="0.2">
      <c r="A890" s="95">
        <v>882</v>
      </c>
      <c r="B890" s="95">
        <v>73</v>
      </c>
      <c r="C890" s="95">
        <v>6</v>
      </c>
      <c r="D890" s="95"/>
      <c r="E890" s="95">
        <v>40.538441421504587</v>
      </c>
      <c r="F890" s="95">
        <v>86.868088760366788</v>
      </c>
      <c r="G890" s="95">
        <v>55.016456214898987</v>
      </c>
      <c r="H890" s="95">
        <v>1.1701756585332426E-2</v>
      </c>
      <c r="I890" s="95">
        <v>3.1677072069645535</v>
      </c>
      <c r="J890" s="95">
        <v>0.17172441003674266</v>
      </c>
      <c r="K890" s="95">
        <v>0.70716826763512208</v>
      </c>
      <c r="L890" s="95">
        <v>0.27824925956466812</v>
      </c>
      <c r="M890" s="95">
        <v>3038.0012998186685</v>
      </c>
      <c r="N890" s="95">
        <v>6775.2391628837822</v>
      </c>
      <c r="O890" s="95">
        <v>10000.000000000007</v>
      </c>
      <c r="Q890" s="98"/>
      <c r="R890" s="95"/>
      <c r="S890" s="99"/>
      <c r="U890" s="121"/>
      <c r="V890" s="59"/>
      <c r="W890" s="59"/>
      <c r="X890" s="59"/>
      <c r="Y890" s="59"/>
      <c r="Z890" s="59"/>
      <c r="AA890" s="59"/>
      <c r="AB890" s="59"/>
      <c r="AC890" s="59"/>
      <c r="AD890" s="68"/>
    </row>
    <row r="891" spans="1:30" x14ac:dyDescent="0.2">
      <c r="A891" s="95">
        <v>883</v>
      </c>
      <c r="B891" s="95">
        <v>73</v>
      </c>
      <c r="C891" s="95">
        <v>7</v>
      </c>
      <c r="D891" s="95"/>
      <c r="E891" s="95">
        <v>39.930364800182019</v>
      </c>
      <c r="F891" s="95">
        <v>85.565067428961285</v>
      </c>
      <c r="G891" s="95">
        <v>54.191209371675505</v>
      </c>
      <c r="H891" s="95">
        <v>1.1413113256227559E-2</v>
      </c>
      <c r="I891" s="95">
        <v>3.1063140090096502</v>
      </c>
      <c r="J891" s="95">
        <v>0.16844448564697215</v>
      </c>
      <c r="K891" s="95">
        <v>0.69337473439215713</v>
      </c>
      <c r="L891" s="95">
        <v>0.27285053476662119</v>
      </c>
      <c r="M891" s="95">
        <v>3038.0204055788713</v>
      </c>
      <c r="N891" s="95">
        <v>6778.0405559432456</v>
      </c>
      <c r="O891" s="95">
        <v>10000.000000000007</v>
      </c>
      <c r="Q891" s="98"/>
      <c r="R891" s="95"/>
      <c r="S891" s="99"/>
      <c r="U891" s="121"/>
      <c r="V891" s="59"/>
      <c r="W891" s="59"/>
      <c r="X891" s="59"/>
      <c r="Y891" s="59"/>
      <c r="Z891" s="59"/>
      <c r="AA891" s="59"/>
      <c r="AB891" s="59"/>
      <c r="AC891" s="59"/>
      <c r="AD891" s="68"/>
    </row>
    <row r="892" spans="1:30" x14ac:dyDescent="0.2">
      <c r="A892" s="95">
        <v>884</v>
      </c>
      <c r="B892" s="95">
        <v>73</v>
      </c>
      <c r="C892" s="95">
        <v>8</v>
      </c>
      <c r="D892" s="95"/>
      <c r="E892" s="95">
        <v>39.331409328179291</v>
      </c>
      <c r="F892" s="95">
        <v>84.281591417526869</v>
      </c>
      <c r="G892" s="95">
        <v>53.378341231100372</v>
      </c>
      <c r="H892" s="95">
        <v>1.113158979590728E-2</v>
      </c>
      <c r="I892" s="95">
        <v>3.0461100720961896</v>
      </c>
      <c r="J892" s="95">
        <v>0.16522638228623654</v>
      </c>
      <c r="K892" s="95">
        <v>0.67985118884805951</v>
      </c>
      <c r="L892" s="95">
        <v>0.26755652047374257</v>
      </c>
      <c r="M892" s="95">
        <v>3038.0391407492866</v>
      </c>
      <c r="N892" s="95">
        <v>6780.7996415204134</v>
      </c>
      <c r="O892" s="95">
        <v>10000.000000000007</v>
      </c>
      <c r="Q892" s="98"/>
      <c r="R892" s="95"/>
      <c r="S892" s="99"/>
      <c r="U892" s="121"/>
      <c r="V892" s="59"/>
      <c r="W892" s="59"/>
      <c r="X892" s="59"/>
      <c r="Y892" s="59"/>
      <c r="Z892" s="59"/>
      <c r="AA892" s="59"/>
      <c r="AB892" s="59"/>
      <c r="AC892" s="59"/>
      <c r="AD892" s="68"/>
    </row>
    <row r="893" spans="1:30" x14ac:dyDescent="0.2">
      <c r="A893" s="95">
        <v>885</v>
      </c>
      <c r="B893" s="95">
        <v>73</v>
      </c>
      <c r="C893" s="95">
        <v>9</v>
      </c>
      <c r="D893" s="95"/>
      <c r="E893" s="95">
        <v>38.741438188256602</v>
      </c>
      <c r="F893" s="95">
        <v>83.017367546263969</v>
      </c>
      <c r="G893" s="95">
        <v>52.577666112633864</v>
      </c>
      <c r="H893" s="95">
        <v>1.0857010580941568E-2</v>
      </c>
      <c r="I893" s="95">
        <v>2.9870723735643492</v>
      </c>
      <c r="J893" s="95">
        <v>0.16206896430266751</v>
      </c>
      <c r="K893" s="95">
        <v>0.6665923168685759</v>
      </c>
      <c r="L893" s="95">
        <v>0.26236518780031898</v>
      </c>
      <c r="M893" s="95">
        <v>3038.0575125133673</v>
      </c>
      <c r="N893" s="95">
        <v>6783.517059786368</v>
      </c>
      <c r="O893" s="95">
        <v>10000.000000000007</v>
      </c>
      <c r="Q893" s="98"/>
      <c r="R893" s="95"/>
      <c r="S893" s="99"/>
      <c r="U893" s="121"/>
      <c r="V893" s="59"/>
      <c r="W893" s="59"/>
      <c r="X893" s="59"/>
      <c r="Y893" s="59"/>
      <c r="Z893" s="59"/>
      <c r="AA893" s="59"/>
      <c r="AB893" s="59"/>
      <c r="AC893" s="59"/>
      <c r="AD893" s="68"/>
    </row>
    <row r="894" spans="1:30" x14ac:dyDescent="0.2">
      <c r="A894" s="95">
        <v>886</v>
      </c>
      <c r="B894" s="95">
        <v>73</v>
      </c>
      <c r="C894" s="95">
        <v>10</v>
      </c>
      <c r="D894" s="95"/>
      <c r="E894" s="95">
        <v>38.160316615432755</v>
      </c>
      <c r="F894" s="95">
        <v>81.772107033070014</v>
      </c>
      <c r="G894" s="95">
        <v>51.789001120944356</v>
      </c>
      <c r="H894" s="95">
        <v>1.0589204319945009E-2</v>
      </c>
      <c r="I894" s="95">
        <v>2.9291783360799237</v>
      </c>
      <c r="J894" s="95">
        <v>0.15897111582794932</v>
      </c>
      <c r="K894" s="95">
        <v>0.65359290983047535</v>
      </c>
      <c r="L894" s="95">
        <v>0.25727454707988162</v>
      </c>
      <c r="M894" s="95">
        <v>3038.0755279155492</v>
      </c>
      <c r="N894" s="95">
        <v>6786.1934412018727</v>
      </c>
      <c r="O894" s="95">
        <v>10000.000000000007</v>
      </c>
      <c r="Q894" s="98"/>
      <c r="R894" s="95"/>
      <c r="S894" s="99"/>
      <c r="U894" s="121"/>
      <c r="V894" s="59"/>
      <c r="W894" s="59"/>
      <c r="X894" s="59"/>
      <c r="Y894" s="59"/>
      <c r="Z894" s="59"/>
      <c r="AA894" s="59"/>
      <c r="AB894" s="59"/>
      <c r="AC894" s="59"/>
      <c r="AD894" s="68"/>
    </row>
    <row r="895" spans="1:30" x14ac:dyDescent="0.2">
      <c r="A895" s="95">
        <v>887</v>
      </c>
      <c r="B895" s="95">
        <v>73</v>
      </c>
      <c r="C895" s="95">
        <v>11</v>
      </c>
      <c r="D895" s="95"/>
      <c r="E895" s="95">
        <v>37.587911866201267</v>
      </c>
      <c r="F895" s="95">
        <v>80.545525427573963</v>
      </c>
      <c r="G895" s="95">
        <v>51.012166104130188</v>
      </c>
      <c r="H895" s="95">
        <v>1.03280039467197E-2</v>
      </c>
      <c r="I895" s="95">
        <v>2.8724058190294648</v>
      </c>
      <c r="J895" s="95">
        <v>0.15593174047314959</v>
      </c>
      <c r="K895" s="95">
        <v>0.64084786249878567</v>
      </c>
      <c r="L895" s="95">
        <v>0.25228264711091525</v>
      </c>
      <c r="M895" s="95">
        <v>3038.0931938639314</v>
      </c>
      <c r="N895" s="95">
        <v>6788.8294066651115</v>
      </c>
      <c r="O895" s="95">
        <v>10000.000000000007</v>
      </c>
      <c r="Q895" s="98"/>
      <c r="R895" s="95"/>
      <c r="S895" s="99"/>
      <c r="U895" s="121"/>
      <c r="V895" s="59"/>
      <c r="W895" s="59"/>
      <c r="X895" s="59"/>
      <c r="Y895" s="59"/>
      <c r="Z895" s="59"/>
      <c r="AA895" s="59"/>
      <c r="AB895" s="59"/>
      <c r="AC895" s="59"/>
      <c r="AD895" s="68"/>
    </row>
    <row r="896" spans="1:30" x14ac:dyDescent="0.2">
      <c r="A896" s="95">
        <v>888</v>
      </c>
      <c r="B896" s="95">
        <v>74</v>
      </c>
      <c r="C896" s="95">
        <v>0</v>
      </c>
      <c r="D896" s="95"/>
      <c r="E896" s="95">
        <v>37.024093188208248</v>
      </c>
      <c r="F896" s="95">
        <v>79.337342546160357</v>
      </c>
      <c r="G896" s="95">
        <v>50.246983612568236</v>
      </c>
      <c r="H896" s="95">
        <v>1.0073246516033947E-2</v>
      </c>
      <c r="I896" s="95">
        <v>2.816733110081461</v>
      </c>
      <c r="J896" s="95">
        <v>0.15294976102762228</v>
      </c>
      <c r="K896" s="95">
        <v>0.62835217094757401</v>
      </c>
      <c r="L896" s="95">
        <v>0.24738757441693013</v>
      </c>
      <c r="M896" s="95">
        <v>3038.110517132905</v>
      </c>
      <c r="N896" s="95">
        <v>6791.4255676571756</v>
      </c>
      <c r="O896" s="95">
        <v>10000.000000000007</v>
      </c>
      <c r="Q896" s="98"/>
      <c r="R896" s="95"/>
      <c r="S896" s="99"/>
      <c r="U896" s="121"/>
      <c r="V896" s="59"/>
      <c r="W896" s="59"/>
      <c r="X896" s="59"/>
      <c r="Y896" s="59"/>
      <c r="Z896" s="59"/>
      <c r="AA896" s="59"/>
      <c r="AB896" s="59"/>
      <c r="AC896" s="59"/>
      <c r="AD896" s="68"/>
    </row>
    <row r="897" spans="1:30" x14ac:dyDescent="0.2">
      <c r="A897" s="95">
        <v>889</v>
      </c>
      <c r="B897" s="95">
        <v>74</v>
      </c>
      <c r="C897" s="95">
        <v>1</v>
      </c>
      <c r="D897" s="95"/>
      <c r="E897" s="95">
        <v>36.468731790385121</v>
      </c>
      <c r="F897" s="95">
        <v>78.14728240796795</v>
      </c>
      <c r="G897" s="95">
        <v>49.493278858379711</v>
      </c>
      <c r="H897" s="95">
        <v>9.8247731019717767E-3</v>
      </c>
      <c r="I897" s="95">
        <v>2.7621389169103678</v>
      </c>
      <c r="J897" s="95">
        <v>0.15002411916102373</v>
      </c>
      <c r="K897" s="95">
        <v>0.61610093052335357</v>
      </c>
      <c r="L897" s="95">
        <v>0.24258745252062822</v>
      </c>
      <c r="M897" s="95">
        <v>3038.1275043657324</v>
      </c>
      <c r="N897" s="95">
        <v>6793.9825263853245</v>
      </c>
      <c r="O897" s="95">
        <v>10000.000000000007</v>
      </c>
      <c r="Q897" s="98"/>
      <c r="R897" s="95"/>
      <c r="S897" s="99"/>
      <c r="U897" s="121"/>
      <c r="V897" s="59"/>
      <c r="W897" s="59"/>
      <c r="X897" s="59"/>
      <c r="Y897" s="59"/>
      <c r="Z897" s="59"/>
      <c r="AA897" s="59"/>
      <c r="AB897" s="59"/>
      <c r="AC897" s="59"/>
      <c r="AD897" s="68"/>
    </row>
    <row r="898" spans="1:30" x14ac:dyDescent="0.2">
      <c r="A898" s="95">
        <v>890</v>
      </c>
      <c r="B898" s="95">
        <v>74</v>
      </c>
      <c r="C898" s="95">
        <v>2</v>
      </c>
      <c r="D898" s="95"/>
      <c r="E898" s="95">
        <v>35.921700813529341</v>
      </c>
      <c r="F898" s="95">
        <v>76.975073171848436</v>
      </c>
      <c r="G898" s="95">
        <v>48.750879675504017</v>
      </c>
      <c r="H898" s="95">
        <v>9.582428698789806E-3</v>
      </c>
      <c r="I898" s="95">
        <v>2.7086023590803441</v>
      </c>
      <c r="J898" s="95">
        <v>0.14715377512847874</v>
      </c>
      <c r="K898" s="95">
        <v>0.60408933385022001</v>
      </c>
      <c r="L898" s="95">
        <v>0.2378804412319</v>
      </c>
      <c r="M898" s="95">
        <v>3038.144162077077</v>
      </c>
      <c r="N898" s="95">
        <v>6796.5008759240591</v>
      </c>
      <c r="O898" s="95">
        <v>10000.000000000007</v>
      </c>
      <c r="Q898" s="98"/>
      <c r="R898" s="95"/>
      <c r="S898" s="99"/>
      <c r="U898" s="121"/>
      <c r="V898" s="59"/>
      <c r="W898" s="59"/>
      <c r="X898" s="59"/>
      <c r="Y898" s="59"/>
      <c r="Z898" s="59"/>
      <c r="AA898" s="59"/>
      <c r="AB898" s="59"/>
      <c r="AC898" s="59"/>
      <c r="AD898" s="68"/>
    </row>
    <row r="899" spans="1:30" x14ac:dyDescent="0.2">
      <c r="A899" s="95">
        <v>891</v>
      </c>
      <c r="B899" s="95">
        <v>74</v>
      </c>
      <c r="C899" s="95">
        <v>3</v>
      </c>
      <c r="D899" s="95"/>
      <c r="E899" s="95">
        <v>35.382875301326401</v>
      </c>
      <c r="F899" s="95">
        <v>75.820447074270703</v>
      </c>
      <c r="G899" s="95">
        <v>48.019616480371454</v>
      </c>
      <c r="H899" s="95">
        <v>9.3460621242196576E-3</v>
      </c>
      <c r="I899" s="95">
        <v>2.6561029600856223</v>
      </c>
      <c r="J899" s="95">
        <v>0.14433770747892907</v>
      </c>
      <c r="K899" s="95">
        <v>0.592312668875837</v>
      </c>
      <c r="L899" s="95">
        <v>0.23326473594939276</v>
      </c>
      <c r="M899" s="95">
        <v>3038.1604966554828</v>
      </c>
      <c r="N899" s="95">
        <v>6798.9812003540419</v>
      </c>
      <c r="O899" s="95">
        <v>10000.000000000007</v>
      </c>
      <c r="Q899" s="98"/>
      <c r="R899" s="95"/>
      <c r="S899" s="99"/>
      <c r="U899" s="121"/>
      <c r="V899" s="59"/>
      <c r="W899" s="59"/>
      <c r="X899" s="59"/>
      <c r="Y899" s="59"/>
      <c r="Z899" s="59"/>
      <c r="AA899" s="59"/>
      <c r="AB899" s="59"/>
      <c r="AC899" s="59"/>
      <c r="AD899" s="68"/>
    </row>
    <row r="900" spans="1:30" x14ac:dyDescent="0.2">
      <c r="A900" s="95">
        <v>892</v>
      </c>
      <c r="B900" s="95">
        <v>74</v>
      </c>
      <c r="C900" s="95">
        <v>4</v>
      </c>
      <c r="D900" s="95"/>
      <c r="E900" s="95">
        <v>34.852132171806502</v>
      </c>
      <c r="F900" s="95">
        <v>74.683140368156643</v>
      </c>
      <c r="G900" s="95">
        <v>47.299322233165881</v>
      </c>
      <c r="H900" s="95">
        <v>9.115525925155573E-3</v>
      </c>
      <c r="I900" s="95">
        <v>2.604620639544494</v>
      </c>
      <c r="J900" s="95">
        <v>0.14157491276669304</v>
      </c>
      <c r="K900" s="95">
        <v>0.58076631695741454</v>
      </c>
      <c r="L900" s="95">
        <v>0.22873856697539621</v>
      </c>
      <c r="M900" s="95">
        <v>3038.1765143658099</v>
      </c>
      <c r="N900" s="95">
        <v>6801.4240748988996</v>
      </c>
      <c r="O900" s="95">
        <v>10000.000000000007</v>
      </c>
      <c r="Q900" s="98"/>
      <c r="R900" s="95"/>
      <c r="S900" s="99"/>
      <c r="U900" s="121"/>
      <c r="V900" s="59"/>
      <c r="W900" s="59"/>
      <c r="X900" s="59"/>
      <c r="Y900" s="59"/>
      <c r="Z900" s="59"/>
      <c r="AA900" s="59"/>
      <c r="AB900" s="59"/>
      <c r="AC900" s="59"/>
      <c r="AD900" s="68"/>
    </row>
    <row r="901" spans="1:30" x14ac:dyDescent="0.2">
      <c r="A901" s="95">
        <v>893</v>
      </c>
      <c r="B901" s="95">
        <v>74</v>
      </c>
      <c r="C901" s="95">
        <v>5</v>
      </c>
      <c r="D901" s="95"/>
      <c r="E901" s="95">
        <v>34.329350189229402</v>
      </c>
      <c r="F901" s="95">
        <v>73.56289326263429</v>
      </c>
      <c r="G901" s="95">
        <v>46.589832399668396</v>
      </c>
      <c r="H901" s="95">
        <v>8.8906762856684023E-3</v>
      </c>
      <c r="I901" s="95">
        <v>2.5541357055439482</v>
      </c>
      <c r="J901" s="95">
        <v>0.13886440526626107</v>
      </c>
      <c r="K901" s="95">
        <v>0.56944575098683714</v>
      </c>
      <c r="L901" s="95">
        <v>0.22430019884379593</v>
      </c>
      <c r="M901" s="95">
        <v>3038.19222135162</v>
      </c>
      <c r="N901" s="95">
        <v>6803.8300660599289</v>
      </c>
      <c r="O901" s="95">
        <v>10000.000000000007</v>
      </c>
      <c r="Q901" s="98"/>
      <c r="R901" s="95"/>
      <c r="S901" s="99"/>
      <c r="U901" s="121"/>
      <c r="V901" s="59"/>
      <c r="W901" s="59"/>
      <c r="X901" s="59"/>
      <c r="Y901" s="59"/>
      <c r="Z901" s="59"/>
      <c r="AA901" s="59"/>
      <c r="AB901" s="59"/>
      <c r="AC901" s="59"/>
      <c r="AD901" s="68"/>
    </row>
    <row r="902" spans="1:30" x14ac:dyDescent="0.2">
      <c r="A902" s="95">
        <v>894</v>
      </c>
      <c r="B902" s="95">
        <v>74</v>
      </c>
      <c r="C902" s="95">
        <v>6</v>
      </c>
      <c r="D902" s="95"/>
      <c r="E902" s="95">
        <v>33.814409936390959</v>
      </c>
      <c r="F902" s="95">
        <v>72.459449863694772</v>
      </c>
      <c r="G902" s="95">
        <v>45.890984913673371</v>
      </c>
      <c r="H902" s="95">
        <v>8.6713729372885819E-3</v>
      </c>
      <c r="I902" s="95">
        <v>2.5046288471320648</v>
      </c>
      <c r="J902" s="95">
        <v>0.13620521669034813</v>
      </c>
      <c r="K902" s="95">
        <v>0.55834653355412178</v>
      </c>
      <c r="L902" s="95">
        <v>0.21994792966084942</v>
      </c>
      <c r="M902" s="95">
        <v>3038.2076236375178</v>
      </c>
      <c r="N902" s="95">
        <v>6806.1997317487558</v>
      </c>
      <c r="O902" s="95">
        <v>10000.000000000007</v>
      </c>
      <c r="Q902" s="98"/>
      <c r="R902" s="95"/>
      <c r="S902" s="99"/>
      <c r="U902" s="121"/>
      <c r="V902" s="59"/>
      <c r="W902" s="59"/>
      <c r="X902" s="59"/>
      <c r="Y902" s="59"/>
      <c r="Z902" s="59"/>
      <c r="AA902" s="59"/>
      <c r="AB902" s="59"/>
      <c r="AC902" s="59"/>
      <c r="AD902" s="68"/>
    </row>
    <row r="903" spans="1:30" x14ac:dyDescent="0.2">
      <c r="A903" s="95">
        <v>895</v>
      </c>
      <c r="B903" s="95">
        <v>74</v>
      </c>
      <c r="C903" s="95">
        <v>7</v>
      </c>
      <c r="D903" s="95"/>
      <c r="E903" s="95">
        <v>33.307193787345092</v>
      </c>
      <c r="F903" s="95">
        <v>71.372558115739352</v>
      </c>
      <c r="G903" s="95">
        <v>45.202620139968268</v>
      </c>
      <c r="H903" s="95">
        <v>8.457479071502131E-3</v>
      </c>
      <c r="I903" s="95">
        <v>2.4560811269553109</v>
      </c>
      <c r="J903" s="95">
        <v>0.13359639591122136</v>
      </c>
      <c r="K903" s="95">
        <v>0.54746431514839999</v>
      </c>
      <c r="L903" s="95">
        <v>0.21568009045854419</v>
      </c>
      <c r="M903" s="95">
        <v>3038.2227271314478</v>
      </c>
      <c r="N903" s="95">
        <v>6808.5336214179615</v>
      </c>
      <c r="O903" s="95">
        <v>10000.000000000007</v>
      </c>
      <c r="Q903" s="98"/>
      <c r="R903" s="95"/>
      <c r="S903" s="99"/>
      <c r="U903" s="121"/>
      <c r="V903" s="59"/>
      <c r="W903" s="59"/>
      <c r="X903" s="59"/>
      <c r="Y903" s="59"/>
      <c r="Z903" s="59"/>
      <c r="AA903" s="59"/>
      <c r="AB903" s="59"/>
      <c r="AC903" s="59"/>
      <c r="AD903" s="68"/>
    </row>
    <row r="904" spans="1:30" x14ac:dyDescent="0.2">
      <c r="A904" s="95">
        <v>896</v>
      </c>
      <c r="B904" s="95">
        <v>74</v>
      </c>
      <c r="C904" s="95">
        <v>8</v>
      </c>
      <c r="D904" s="95"/>
      <c r="E904" s="95">
        <v>32.807585880534916</v>
      </c>
      <c r="F904" s="95">
        <v>70.301969744003259</v>
      </c>
      <c r="G904" s="95">
        <v>44.524580837868747</v>
      </c>
      <c r="H904" s="95">
        <v>8.2488612544050783E-3</v>
      </c>
      <c r="I904" s="95">
        <v>2.4084739740379533</v>
      </c>
      <c r="J904" s="95">
        <v>0.13103700868531698</v>
      </c>
      <c r="K904" s="95">
        <v>0.53679483239563841</v>
      </c>
      <c r="L904" s="95">
        <v>0.21149504456030188</v>
      </c>
      <c r="M904" s="95">
        <v>3038.2375376269461</v>
      </c>
      <c r="N904" s="95">
        <v>6810.8322761897207</v>
      </c>
      <c r="O904" s="95">
        <v>10000.000000000007</v>
      </c>
      <c r="Q904" s="98"/>
      <c r="R904" s="95"/>
      <c r="S904" s="99"/>
      <c r="U904" s="121"/>
      <c r="V904" s="59"/>
      <c r="W904" s="59"/>
      <c r="X904" s="59"/>
      <c r="Y904" s="59"/>
      <c r="Z904" s="59"/>
      <c r="AA904" s="59"/>
      <c r="AB904" s="59"/>
      <c r="AC904" s="59"/>
      <c r="AD904" s="68"/>
    </row>
    <row r="905" spans="1:30" x14ac:dyDescent="0.2">
      <c r="A905" s="95">
        <v>897</v>
      </c>
      <c r="B905" s="95">
        <v>74</v>
      </c>
      <c r="C905" s="95">
        <v>9</v>
      </c>
      <c r="D905" s="95"/>
      <c r="E905" s="95">
        <v>32.315472092326893</v>
      </c>
      <c r="F905" s="95">
        <v>69.247440197843204</v>
      </c>
      <c r="G905" s="95">
        <v>43.856712125300717</v>
      </c>
      <c r="H905" s="95">
        <v>8.0453893434630861E-3</v>
      </c>
      <c r="I905" s="95">
        <v>2.3617891767008423</v>
      </c>
      <c r="J905" s="95">
        <v>0.12852613738115828</v>
      </c>
      <c r="K905" s="95">
        <v>0.52633390633232746</v>
      </c>
      <c r="L905" s="95">
        <v>0.2073911869587963</v>
      </c>
      <c r="M905" s="95">
        <v>3038.2520608053492</v>
      </c>
      <c r="N905" s="95">
        <v>6813.0962289824711</v>
      </c>
      <c r="O905" s="95">
        <v>10000.000000000007</v>
      </c>
      <c r="Q905" s="98"/>
      <c r="R905" s="95"/>
      <c r="S905" s="99"/>
      <c r="U905" s="121"/>
      <c r="V905" s="59"/>
      <c r="W905" s="59"/>
      <c r="X905" s="59"/>
      <c r="Y905" s="59"/>
      <c r="Z905" s="59"/>
      <c r="AA905" s="59"/>
      <c r="AB905" s="59"/>
      <c r="AC905" s="59"/>
      <c r="AD905" s="68"/>
    </row>
    <row r="906" spans="1:30" x14ac:dyDescent="0.2">
      <c r="A906" s="95">
        <v>898</v>
      </c>
      <c r="B906" s="95">
        <v>74</v>
      </c>
      <c r="C906" s="95">
        <v>10</v>
      </c>
      <c r="D906" s="95"/>
      <c r="E906" s="95">
        <v>31.830740010941991</v>
      </c>
      <c r="F906" s="95">
        <v>68.208728594875552</v>
      </c>
      <c r="G906" s="95">
        <v>43.198861443421208</v>
      </c>
      <c r="H906" s="95">
        <v>7.8469364063243306E-3</v>
      </c>
      <c r="I906" s="95">
        <v>2.316008875616888</v>
      </c>
      <c r="J906" s="95">
        <v>0.12606288071058322</v>
      </c>
      <c r="K906" s="95">
        <v>0.51607744071438555</v>
      </c>
      <c r="L906" s="95">
        <v>0.20336694370565792</v>
      </c>
      <c r="M906" s="95">
        <v>3038.2663022379611</v>
      </c>
      <c r="N906" s="95">
        <v>6815.3260046356545</v>
      </c>
      <c r="O906" s="95">
        <v>10000.000000000009</v>
      </c>
      <c r="Q906" s="98"/>
      <c r="R906" s="95"/>
      <c r="S906" s="99"/>
      <c r="U906" s="121"/>
      <c r="V906" s="59"/>
      <c r="W906" s="59"/>
      <c r="X906" s="59"/>
      <c r="Y906" s="59"/>
      <c r="Z906" s="59"/>
      <c r="AA906" s="59"/>
      <c r="AB906" s="59"/>
      <c r="AC906" s="59"/>
      <c r="AD906" s="68"/>
    </row>
    <row r="907" spans="1:30" x14ac:dyDescent="0.2">
      <c r="A907" s="95">
        <v>899</v>
      </c>
      <c r="B907" s="95">
        <v>74</v>
      </c>
      <c r="C907" s="95">
        <v>11</v>
      </c>
      <c r="D907" s="95"/>
      <c r="E907" s="95">
        <v>31.35327891077786</v>
      </c>
      <c r="F907" s="95">
        <v>67.185597665952415</v>
      </c>
      <c r="G907" s="95">
        <v>42.550878521769889</v>
      </c>
      <c r="H907" s="95">
        <v>7.6533786416349975E-3</v>
      </c>
      <c r="I907" s="95">
        <v>2.2711155570005879</v>
      </c>
      <c r="J907" s="95">
        <v>0.12364635346328746</v>
      </c>
      <c r="K907" s="95">
        <v>0.5060214203605421</v>
      </c>
      <c r="L907" s="95">
        <v>0.19942077131284125</v>
      </c>
      <c r="M907" s="95">
        <v>3038.2802673881788</v>
      </c>
      <c r="N907" s="95">
        <v>6817.5221200325504</v>
      </c>
      <c r="O907" s="95">
        <v>10000.000000000009</v>
      </c>
      <c r="Q907" s="98"/>
      <c r="R907" s="95"/>
      <c r="S907" s="99"/>
      <c r="U907" s="121"/>
      <c r="V907" s="59"/>
      <c r="W907" s="59"/>
      <c r="X907" s="59"/>
      <c r="Y907" s="59"/>
      <c r="Z907" s="59"/>
      <c r="AA907" s="59"/>
      <c r="AB907" s="59"/>
      <c r="AC907" s="59"/>
      <c r="AD907" s="68"/>
    </row>
    <row r="908" spans="1:30" ht="13.5" thickBot="1" x14ac:dyDescent="0.25">
      <c r="A908" s="95">
        <v>900</v>
      </c>
      <c r="B908" s="95">
        <v>75</v>
      </c>
      <c r="C908" s="95">
        <v>0</v>
      </c>
      <c r="D908" s="95"/>
      <c r="E908" s="95">
        <v>30.882979727116194</v>
      </c>
      <c r="F908" s="95">
        <v>66.177813700963128</v>
      </c>
      <c r="G908" s="95">
        <v>41.912615343943344</v>
      </c>
      <c r="H908" s="95">
        <v>7.4645953018080006E-3</v>
      </c>
      <c r="I908" s="95">
        <v>2.2270920459290289</v>
      </c>
      <c r="J908" s="95">
        <v>0.12127568624468614</v>
      </c>
      <c r="K908" s="95">
        <v>0.49616190952947792</v>
      </c>
      <c r="L908" s="95">
        <v>0.19555115616543575</v>
      </c>
      <c r="M908" s="95">
        <v>3038.2939616135754</v>
      </c>
      <c r="N908" s="95">
        <v>6819.6850842212398</v>
      </c>
      <c r="O908" s="95">
        <v>10000.000000000009</v>
      </c>
      <c r="Q908" s="100"/>
      <c r="R908" s="101"/>
      <c r="S908" s="102"/>
      <c r="U908" s="122"/>
      <c r="V908" s="123"/>
      <c r="W908" s="123"/>
      <c r="X908" s="123"/>
      <c r="Y908" s="123"/>
      <c r="Z908" s="123"/>
      <c r="AA908" s="123"/>
      <c r="AB908" s="123"/>
      <c r="AC908" s="123"/>
      <c r="AD908" s="74"/>
    </row>
  </sheetData>
  <mergeCells count="4">
    <mergeCell ref="E6:N6"/>
    <mergeCell ref="A6:D6"/>
    <mergeCell ref="Q6:S6"/>
    <mergeCell ref="U6:AD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ejecutarModelo_SinTratamiento">
                <anchor moveWithCells="1" sizeWithCells="1">
                  <from>
                    <xdr:col>0</xdr:col>
                    <xdr:colOff>0</xdr:colOff>
                    <xdr:row>0</xdr:row>
                    <xdr:rowOff>142875</xdr:rowOff>
                  </from>
                  <to>
                    <xdr:col>4</xdr:col>
                    <xdr:colOff>85725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Check Box 2">
              <controlPr defaultSize="0" autoFill="0" autoLine="0" autoPict="0" macro="[0]!Casilla2_Haga_clic_en">
                <anchor moveWithCells="1">
                  <from>
                    <xdr:col>4</xdr:col>
                    <xdr:colOff>752475</xdr:colOff>
                    <xdr:row>0</xdr:row>
                    <xdr:rowOff>142875</xdr:rowOff>
                  </from>
                  <to>
                    <xdr:col>6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Check Box 3">
              <controlPr defaultSize="0" autoFill="0" autoLine="0" autoPict="0">
                <anchor moveWithCells="1">
                  <from>
                    <xdr:col>4</xdr:col>
                    <xdr:colOff>752475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50146-160E-42C4-AC0B-3A15448AC55D}">
  <sheetPr codeName="Hoja19"/>
  <dimension ref="A1:AB734"/>
  <sheetViews>
    <sheetView topLeftCell="A51" zoomScale="115" zoomScaleNormal="115" workbookViewId="0">
      <pane xSplit="1" topLeftCell="N1" activePane="topRight" state="frozen"/>
      <selection pane="topRight" activeCell="A77" sqref="A77"/>
    </sheetView>
  </sheetViews>
  <sheetFormatPr baseColWidth="10" defaultRowHeight="12.75" x14ac:dyDescent="0.2"/>
  <cols>
    <col min="1" max="1" width="11.5703125" style="116" customWidth="1"/>
    <col min="2" max="3" width="12.28515625" style="116" bestFit="1" customWidth="1"/>
    <col min="4" max="4" width="11.7109375" style="116" customWidth="1"/>
    <col min="5" max="16384" width="11.42578125" style="116"/>
  </cols>
  <sheetData>
    <row r="1" spans="1:28" ht="13.5" thickBot="1" x14ac:dyDescent="0.25">
      <c r="A1" s="165"/>
      <c r="B1" s="225">
        <v>30</v>
      </c>
      <c r="C1" s="226"/>
      <c r="D1" s="227"/>
      <c r="E1" s="228">
        <v>35</v>
      </c>
      <c r="F1" s="223"/>
      <c r="G1" s="223"/>
      <c r="H1" s="223">
        <v>40</v>
      </c>
      <c r="I1" s="223"/>
      <c r="J1" s="223"/>
      <c r="K1" s="223">
        <v>45</v>
      </c>
      <c r="L1" s="223"/>
      <c r="M1" s="223"/>
      <c r="N1" s="223">
        <v>50</v>
      </c>
      <c r="O1" s="223"/>
      <c r="P1" s="223"/>
      <c r="Q1" s="223">
        <v>55</v>
      </c>
      <c r="R1" s="223"/>
      <c r="S1" s="223"/>
      <c r="T1" s="223">
        <v>60</v>
      </c>
      <c r="U1" s="223"/>
      <c r="V1" s="223"/>
      <c r="W1" s="223">
        <v>65</v>
      </c>
      <c r="X1" s="223"/>
      <c r="Y1" s="223"/>
      <c r="Z1" s="223">
        <v>70</v>
      </c>
      <c r="AA1" s="223"/>
      <c r="AB1" s="224"/>
    </row>
    <row r="2" spans="1:28" ht="13.5" thickBot="1" x14ac:dyDescent="0.25">
      <c r="A2" s="165"/>
      <c r="B2" s="159" t="s">
        <v>243</v>
      </c>
      <c r="C2" s="160" t="s">
        <v>242</v>
      </c>
      <c r="D2" s="161" t="s">
        <v>244</v>
      </c>
      <c r="E2" s="159" t="s">
        <v>243</v>
      </c>
      <c r="F2" s="160" t="s">
        <v>242</v>
      </c>
      <c r="G2" s="161" t="s">
        <v>244</v>
      </c>
      <c r="H2" s="159" t="s">
        <v>243</v>
      </c>
      <c r="I2" s="160" t="s">
        <v>242</v>
      </c>
      <c r="J2" s="161" t="s">
        <v>244</v>
      </c>
      <c r="K2" s="159" t="s">
        <v>243</v>
      </c>
      <c r="L2" s="160" t="s">
        <v>242</v>
      </c>
      <c r="M2" s="161" t="s">
        <v>244</v>
      </c>
      <c r="N2" s="159" t="s">
        <v>243</v>
      </c>
      <c r="O2" s="160" t="s">
        <v>242</v>
      </c>
      <c r="P2" s="161" t="s">
        <v>244</v>
      </c>
      <c r="Q2" s="159" t="s">
        <v>243</v>
      </c>
      <c r="R2" s="160" t="s">
        <v>242</v>
      </c>
      <c r="S2" s="161" t="s">
        <v>244</v>
      </c>
      <c r="T2" s="159" t="s">
        <v>243</v>
      </c>
      <c r="U2" s="160" t="s">
        <v>242</v>
      </c>
      <c r="V2" s="161" t="s">
        <v>244</v>
      </c>
      <c r="W2" s="159" t="s">
        <v>243</v>
      </c>
      <c r="X2" s="160" t="s">
        <v>242</v>
      </c>
      <c r="Y2" s="161" t="s">
        <v>244</v>
      </c>
      <c r="Z2" s="159" t="s">
        <v>243</v>
      </c>
      <c r="AA2" s="160" t="s">
        <v>242</v>
      </c>
      <c r="AB2" s="161" t="s">
        <v>244</v>
      </c>
    </row>
    <row r="3" spans="1:28" x14ac:dyDescent="0.2">
      <c r="A3" s="189" t="s">
        <v>40</v>
      </c>
      <c r="B3" s="190" cm="1">
        <f t="array" aca="1" ref="B3" ca="1">INDIRECT("COMPARACION_" &amp; inputPais &amp; "!B" &amp;  3)</f>
        <v>6183</v>
      </c>
      <c r="C3" s="119">
        <v>6280.304559023366</v>
      </c>
      <c r="D3" s="191">
        <f>ObservadoEsperado!D3</f>
        <v>2.2733905411566413</v>
      </c>
      <c r="E3" s="190" cm="1">
        <f t="array" aca="1" ref="E3" ca="1">INDIRECT("COMPARACION_" &amp; inputPais &amp; "!B" &amp; (35 - 30) / 5 * 5 + 3)</f>
        <v>5576</v>
      </c>
      <c r="F3" s="119">
        <v>5657.8057797939937</v>
      </c>
      <c r="G3" s="191">
        <f t="shared" ref="G3:G10" ca="1" si="0">ABS(E3-F3) / E3</f>
        <v>1.467105089562297E-2</v>
      </c>
      <c r="H3" s="190" cm="1">
        <f t="array" aca="1" ref="H3" ca="1">INDIRECT("COMPARACION_" &amp; inputPais &amp; "!B" &amp; (40 - 30) / 5 * 5 + 3)</f>
        <v>4924</v>
      </c>
      <c r="I3" s="119">
        <v>4978.1063292129184</v>
      </c>
      <c r="J3" s="191">
        <f t="shared" ref="J3:J10" ca="1" si="1">ABS(H3-I3) / H3</f>
        <v>1.0988287817408276E-2</v>
      </c>
      <c r="K3" s="190" cm="1">
        <f t="array" aca="1" ref="K3" ca="1">INDIRECT("COMPARACION_" &amp; inputPais &amp; "!B" &amp; (45 - 30) / 5 * 5 + 3)</f>
        <v>4218</v>
      </c>
      <c r="L3" s="119">
        <v>4272.7755649899009</v>
      </c>
      <c r="M3" s="191">
        <f t="shared" ref="M3:M10" ca="1" si="2">ABS(K3-L3) / K3</f>
        <v>1.2986146275462514E-2</v>
      </c>
      <c r="N3" s="190" cm="1">
        <f t="array" aca="1" ref="N3" ca="1">INDIRECT("COMPARACION_" &amp; inputPais &amp; "!B" &amp; (50 - 30) / 5 * 5 + 3)</f>
        <v>3505</v>
      </c>
      <c r="O3" s="119">
        <v>3550.2046310092801</v>
      </c>
      <c r="P3" s="191">
        <f t="shared" ref="P3:P10" ca="1" si="3">ABS(N3-O3) / N3</f>
        <v>1.2897184310778914E-2</v>
      </c>
      <c r="Q3" s="190" cm="1">
        <f t="array" aca="1" ref="Q3" ca="1">INDIRECT("COMPARACION_" &amp; inputPais &amp; "!B" &amp; (55 - 30) / 5 * 5 + 3)</f>
        <v>2743</v>
      </c>
      <c r="R3" s="119">
        <v>2824.8580022057918</v>
      </c>
      <c r="S3" s="191">
        <f t="shared" ref="S3:S10" ca="1" si="4">ABS(Q3-R3) / Q3</f>
        <v>2.9842509006850808E-2</v>
      </c>
      <c r="T3" s="190" cm="1">
        <f t="array" aca="1" ref="T3" ca="1">INDIRECT("COMPARACION_" &amp; inputPais &amp; "!B" &amp; (60 - 30) / 5 * 5 + 3)</f>
        <v>2078</v>
      </c>
      <c r="U3" s="119">
        <v>2128.8814659421005</v>
      </c>
      <c r="V3" s="191">
        <f t="shared" ref="V3:V10" ca="1" si="5">ABS(T3-U3) / T3</f>
        <v>2.4485787267613319E-2</v>
      </c>
      <c r="W3" s="190" cm="1">
        <f t="array" aca="1" ref="W3" ca="1">INDIRECT("COMPARACION_" &amp; inputPais &amp; "!B" &amp; (65 - 30) / 5 * 5 + 3)</f>
        <v>1449</v>
      </c>
      <c r="X3" s="119">
        <v>1488.1960797463112</v>
      </c>
      <c r="Y3" s="191">
        <f t="shared" ref="Y3:Y10" ca="1" si="6">ABS(W3-X3) / W3</f>
        <v>2.7050434607530139E-2</v>
      </c>
      <c r="Z3" s="190" cm="1">
        <f t="array" aca="1" ref="Z3" ca="1">INDIRECT("COMPARACION_" &amp; inputPais &amp; "!B" &amp; (70 - 30) / 5 * 5 + 3)</f>
        <v>922</v>
      </c>
      <c r="AA3" s="119">
        <v>929.96532848058996</v>
      </c>
      <c r="AB3" s="192">
        <f ca="1">ABS(Z3-AA3) / Z3</f>
        <v>8.6391849030259867E-3</v>
      </c>
    </row>
    <row r="4" spans="1:28" x14ac:dyDescent="0.2">
      <c r="A4" s="193" t="s">
        <v>13</v>
      </c>
      <c r="B4" s="163" cm="1">
        <f t="array" aca="1" ref="B4" ca="1">INDIRECT("COMPARACION_" &amp; inputPais &amp; "!B" &amp;  4)</f>
        <v>5013</v>
      </c>
      <c r="C4" s="59">
        <v>5080.5453183127984</v>
      </c>
      <c r="D4" s="49">
        <f t="shared" ref="D3:D10" ca="1" si="7">ABS(B4-C4) / B4</f>
        <v>1.3474031181487807E-2</v>
      </c>
      <c r="E4" s="163" cm="1">
        <f t="array" aca="1" ref="E4" ca="1">INDIRECT("COMPARACION_" &amp; inputPais &amp; "!B" &amp; (35 - 30) / 5 * 5 + 4)</f>
        <v>4600</v>
      </c>
      <c r="F4" s="59">
        <v>4667.4344238000613</v>
      </c>
      <c r="G4" s="49">
        <f t="shared" ca="1" si="0"/>
        <v>1.4659657347839406E-2</v>
      </c>
      <c r="H4" s="163" cm="1">
        <f t="array" aca="1" ref="H4" ca="1">INDIRECT("COMPARACION_" &amp; inputPais &amp; "!B" &amp; (40 - 30) / 5 * 5 + 4)</f>
        <v>4148</v>
      </c>
      <c r="I4" s="59">
        <v>4204.3471873976905</v>
      </c>
      <c r="J4" s="49">
        <f t="shared" ca="1" si="1"/>
        <v>1.3584182111304365E-2</v>
      </c>
      <c r="K4" s="163" cm="1">
        <f t="array" aca="1" ref="K4" ca="1">INDIRECT("COMPARACION_" &amp; inputPais &amp; "!B" &amp; (45 - 30) / 5 * 5 +4)</f>
        <v>3649</v>
      </c>
      <c r="L4" s="59">
        <v>3712.6031866694402</v>
      </c>
      <c r="M4" s="49">
        <f t="shared" ca="1" si="2"/>
        <v>1.7430306020674219E-2</v>
      </c>
      <c r="N4" s="163" cm="1">
        <f t="array" aca="1" ref="N4" ca="1">INDIRECT("COMPARACION_" &amp; inputPais &amp; "!B" &amp; (50 - 30) / 5 * 5 + 4)</f>
        <v>3126</v>
      </c>
      <c r="O4" s="59">
        <v>3194.1664006623191</v>
      </c>
      <c r="P4" s="49">
        <f t="shared" ca="1" si="3"/>
        <v>2.1806270205476364E-2</v>
      </c>
      <c r="Q4" s="163" cm="1">
        <f t="array" aca="1" ref="Q4" ca="1">INDIRECT("COMPARACION_" &amp; inputPais &amp; "!B" &amp; (55 - 30) / 5 * 5 +4)</f>
        <v>2594</v>
      </c>
      <c r="R4" s="59">
        <v>2654.7757253759837</v>
      </c>
      <c r="S4" s="49">
        <f t="shared" ca="1" si="4"/>
        <v>2.3429346713949001E-2</v>
      </c>
      <c r="T4" s="163" cm="1">
        <f t="array" aca="1" ref="T4" ca="1">INDIRECT("COMPARACION_" &amp; inputPais &amp; "!B" &amp; (60 - 30) / 5 * 5 + 4)</f>
        <v>2013</v>
      </c>
      <c r="U4" s="59">
        <v>2116.0484249425285</v>
      </c>
      <c r="V4" s="49">
        <f t="shared" ca="1" si="5"/>
        <v>5.1191467929721075E-2</v>
      </c>
      <c r="W4" s="163" cm="1">
        <f t="array" aca="1" ref="W4" ca="1">INDIRECT("COMPARACION_" &amp; inputPais &amp; "!B" &amp; (65 - 30) / 5 * 5 + 4)</f>
        <v>1514</v>
      </c>
      <c r="X4" s="59">
        <v>1595.0900273169909</v>
      </c>
      <c r="Y4" s="49">
        <f t="shared" ca="1" si="6"/>
        <v>5.3560123723243674E-2</v>
      </c>
      <c r="Z4" s="163" cm="1">
        <f t="array" aca="1" ref="Z4" ca="1">INDIRECT("COMPARACION_" &amp; inputPais &amp; "!B" &amp; (70 - 30) / 5 * 5 + 4)</f>
        <v>1075</v>
      </c>
      <c r="AA4" s="59">
        <v>1111.454675469575</v>
      </c>
      <c r="AB4" s="172">
        <f ca="1">ABS(Z4-AA4) / Z4</f>
        <v>3.3911326018209322E-2</v>
      </c>
    </row>
    <row r="5" spans="1:28" x14ac:dyDescent="0.2">
      <c r="A5" s="193" t="s">
        <v>39</v>
      </c>
      <c r="B5" s="163" cm="1">
        <f t="array" aca="1" ref="B5" ca="1">INDIRECT("COMPARACION_" &amp; inputPais &amp; "!B" &amp;  5)</f>
        <v>3302</v>
      </c>
      <c r="C5" s="59">
        <v>3431.4623889000759</v>
      </c>
      <c r="D5" s="49">
        <f t="shared" ca="1" si="7"/>
        <v>3.9207264960652903E-2</v>
      </c>
      <c r="E5" s="163" cm="1">
        <f t="array" aca="1" ref="E5" ca="1">INDIRECT("COMPARACION_" &amp; inputPais &amp; "!B" &amp; (35 - 30) / 5 * 5 + 5)</f>
        <v>3009</v>
      </c>
      <c r="F5" s="59">
        <v>3120.8327226181709</v>
      </c>
      <c r="G5" s="49">
        <f t="shared" ca="1" si="0"/>
        <v>3.7166075978122604E-2</v>
      </c>
      <c r="H5" s="163" cm="1">
        <f t="array" aca="1" ref="H5" ca="1">INDIRECT("COMPARACION_" &amp; inputPais &amp; "!B" &amp; (40 - 30) / 5 * 5 + 5)</f>
        <v>2679</v>
      </c>
      <c r="I5" s="59">
        <v>2777.793707395007</v>
      </c>
      <c r="J5" s="49">
        <f t="shared" ca="1" si="1"/>
        <v>3.6877083760734231E-2</v>
      </c>
      <c r="K5" s="163" cm="1">
        <f t="array" aca="1" ref="K5" ca="1">INDIRECT("COMPARACION_" &amp; inputPais &amp; "!B" &amp; (45 - 30) / 5 * 5 + 5)</f>
        <v>2338</v>
      </c>
      <c r="L5" s="59">
        <v>2418.2289267209908</v>
      </c>
      <c r="M5" s="49">
        <f t="shared" ca="1" si="2"/>
        <v>3.4315195346873731E-2</v>
      </c>
      <c r="N5" s="163" cm="1">
        <f t="array" aca="1" ref="N5" ca="1">INDIRECT("COMPARACION_" &amp; inputPais &amp; "!B" &amp; (50 - 30) / 5 * 5 + 5)</f>
        <v>1974</v>
      </c>
      <c r="O5" s="59">
        <v>2045.1542159027945</v>
      </c>
      <c r="P5" s="49">
        <f t="shared" ca="1" si="3"/>
        <v>3.6045702078416654E-2</v>
      </c>
      <c r="Q5" s="163" cm="1">
        <f t="array" aca="1" ref="Q5" ca="1">INDIRECT("COMPARACION_" &amp; inputPais &amp; "!B" &amp; (55 - 30) / 5 * 5 + 5)</f>
        <v>1604</v>
      </c>
      <c r="R5" s="59">
        <v>1664.5225725801133</v>
      </c>
      <c r="S5" s="49">
        <f t="shared" ca="1" si="4"/>
        <v>3.7732277169646708E-2</v>
      </c>
      <c r="T5" s="163" cm="1">
        <f t="array" aca="1" ref="T5" ca="1">INDIRECT("COMPARACION_" &amp; inputPais &amp; "!B" &amp; (60 - 30) / 5 * 5 +5)</f>
        <v>1234</v>
      </c>
      <c r="U5" s="59">
        <v>1292.4596881064767</v>
      </c>
      <c r="V5" s="49">
        <f t="shared" ca="1" si="5"/>
        <v>4.7374139470402539E-2</v>
      </c>
      <c r="W5" s="163" cm="1">
        <f t="array" aca="1" ref="W5" ca="1">INDIRECT("COMPARACION_" &amp; inputPais &amp; "!B" &amp; (65 - 30) / 5 * 5 + 5)</f>
        <v>903</v>
      </c>
      <c r="X5" s="59">
        <v>941.85333036474481</v>
      </c>
      <c r="Y5" s="49">
        <f t="shared" ca="1" si="6"/>
        <v>4.302694392552027E-2</v>
      </c>
      <c r="Z5" s="163" cm="1">
        <f t="array" aca="1" ref="Z5" ca="1">INDIRECT("COMPARACION_" &amp; inputPais &amp; "!B" &amp; (70 - 30) / 5 * 5 + 5)</f>
        <v>613</v>
      </c>
      <c r="AA5" s="59">
        <v>626.73869546111757</v>
      </c>
      <c r="AB5" s="172">
        <f ca="1">ABS(Z5-AA5) / Z5</f>
        <v>2.2412227505901425E-2</v>
      </c>
    </row>
    <row r="6" spans="1:28" ht="13.5" thickBot="1" x14ac:dyDescent="0.25">
      <c r="A6" s="194" t="s">
        <v>241</v>
      </c>
      <c r="B6" s="195" cm="1">
        <f t="array" aca="1" ref="B6" ca="1">INDIRECT("COMPARACION_" &amp; inputPais &amp; "!B" &amp;  6)</f>
        <v>15007</v>
      </c>
      <c r="C6" s="123">
        <v>16153.681205418185</v>
      </c>
      <c r="D6" s="196">
        <f t="shared" ca="1" si="7"/>
        <v>7.6409755808501678E-2</v>
      </c>
      <c r="E6" s="195" cm="1">
        <f t="array" aca="1" ref="E6" ca="1">INDIRECT("COMPARACION_" &amp; inputPais &amp; "!B" &amp; (35 - 30) / 5 * 5 + 6)</f>
        <v>14294</v>
      </c>
      <c r="F6" s="123">
        <v>15400.06737211608</v>
      </c>
      <c r="G6" s="196">
        <f t="shared" ca="1" si="0"/>
        <v>7.7379835743394437E-2</v>
      </c>
      <c r="H6" s="195" cm="1">
        <f t="array" aca="1" ref="H6" ca="1">INDIRECT("COMPARACION_" &amp; inputPais &amp; "!B" &amp; (40 - 30) / 5 * 5 + 6)</f>
        <v>13421</v>
      </c>
      <c r="I6" s="123">
        <v>14454.079716441825</v>
      </c>
      <c r="J6" s="196">
        <f t="shared" ca="1" si="1"/>
        <v>7.6974868969661381E-2</v>
      </c>
      <c r="K6" s="195" cm="1">
        <f t="array" aca="1" ref="K6" ca="1">INDIRECT("COMPARACION_" &amp; inputPais &amp; "!B" &amp; (45 - 30) / 5 * 5 + 6)</f>
        <v>12359</v>
      </c>
      <c r="L6" s="123">
        <v>13353.474381194199</v>
      </c>
      <c r="M6" s="196">
        <f t="shared" ca="1" si="2"/>
        <v>8.0465602491641627E-2</v>
      </c>
      <c r="N6" s="195" cm="1">
        <f t="array" aca="1" ref="N6" ca="1">INDIRECT("COMPARACION_" &amp; inputPais &amp; "!B" &amp; (50 - 30) / 5 * 5 + 6)</f>
        <v>11129</v>
      </c>
      <c r="O6" s="123">
        <v>12068.218080430255</v>
      </c>
      <c r="P6" s="196">
        <f t="shared" ca="1" si="3"/>
        <v>8.4393753295916543E-2</v>
      </c>
      <c r="Q6" s="195" cm="1">
        <f t="array" aca="1" ref="Q6" ca="1">INDIRECT("COMPARACION_" &amp; inputPais &amp; "!B" &amp; (55 - 30) / 5 * 5 + 6)</f>
        <v>1248</v>
      </c>
      <c r="R6" s="197">
        <v>10575.058221839425</v>
      </c>
      <c r="S6" s="196">
        <f t="shared" ca="1" si="4"/>
        <v>7.4736043444226157</v>
      </c>
      <c r="T6" s="195" cm="1">
        <f t="array" aca="1" ref="T6" ca="1">INDIRECT("COMPARACION_" &amp; inputPais &amp; "!B" &amp; (60 - 30) / 5 * 5 +6)</f>
        <v>8154</v>
      </c>
      <c r="U6" s="123">
        <v>8914.2786088102566</v>
      </c>
      <c r="V6" s="196">
        <f t="shared" ca="1" si="5"/>
        <v>9.3239956930372403E-2</v>
      </c>
      <c r="W6" s="195" cm="1">
        <f t="array" aca="1" ref="W6" ca="1">INDIRECT("COMPARACION_" &amp; inputPais &amp; "!B" &amp; (65 - 30) / 5 * 5 +6)</f>
        <v>6540</v>
      </c>
      <c r="X6" s="198">
        <v>7120.9647581217632</v>
      </c>
      <c r="Y6" s="196">
        <f t="shared" ca="1" si="6"/>
        <v>8.8832531822899574E-2</v>
      </c>
      <c r="Z6" s="195" cm="1">
        <f t="array" aca="1" ref="Z6" ca="1">INDIRECT("COMPARACION_" &amp; inputPais &amp; "!B" &amp; (70 - 30) / 5 * 5 + 6)</f>
        <v>4909</v>
      </c>
      <c r="AA6" s="123">
        <v>5259.3253426517385</v>
      </c>
      <c r="AB6" s="199">
        <f ca="1">ABS(Z6-AA6) / Z6</f>
        <v>7.1363891352971789E-2</v>
      </c>
    </row>
    <row r="7" spans="1:28" x14ac:dyDescent="0.2">
      <c r="A7" s="185" t="s">
        <v>268</v>
      </c>
      <c r="B7" s="186">
        <v>777</v>
      </c>
      <c r="C7" s="187">
        <v>846.6913795481089</v>
      </c>
      <c r="D7" s="188">
        <f t="shared" si="7"/>
        <v>8.9692895171311321E-2</v>
      </c>
      <c r="E7" s="186">
        <v>701</v>
      </c>
      <c r="F7" s="186">
        <v>775.66761883522349</v>
      </c>
      <c r="G7" s="188">
        <f t="shared" si="0"/>
        <v>0.106515861391189</v>
      </c>
      <c r="H7" s="186">
        <v>630</v>
      </c>
      <c r="I7" s="186">
        <v>699.00918618366939</v>
      </c>
      <c r="J7" s="188">
        <f t="shared" si="1"/>
        <v>0.10953839076772919</v>
      </c>
      <c r="K7" s="186">
        <v>556</v>
      </c>
      <c r="L7" s="186">
        <v>619.79469130521773</v>
      </c>
      <c r="M7" s="188">
        <f t="shared" si="2"/>
        <v>0.11473865342665059</v>
      </c>
      <c r="N7" s="186">
        <v>480</v>
      </c>
      <c r="O7" s="186">
        <v>537.46908057154508</v>
      </c>
      <c r="P7" s="188">
        <f t="shared" si="3"/>
        <v>0.11972725119071891</v>
      </c>
      <c r="Q7" s="186">
        <v>401</v>
      </c>
      <c r="R7" s="186">
        <v>451.73702386553845</v>
      </c>
      <c r="S7" s="188">
        <f t="shared" si="4"/>
        <v>0.12652624405371185</v>
      </c>
      <c r="T7" s="186">
        <v>323</v>
      </c>
      <c r="U7" s="186">
        <v>364.75120847094496</v>
      </c>
      <c r="V7" s="188">
        <f t="shared" si="5"/>
        <v>0.12926070734038686</v>
      </c>
      <c r="W7" s="186">
        <v>246</v>
      </c>
      <c r="X7" s="186">
        <v>277.84709695032097</v>
      </c>
      <c r="Y7" s="188">
        <f t="shared" si="6"/>
        <v>0.12945974370049176</v>
      </c>
      <c r="Z7" s="186">
        <v>174</v>
      </c>
      <c r="AA7" s="186">
        <v>193.15504551736248</v>
      </c>
      <c r="AB7" s="188">
        <f>ABS(Z7-AA7) / Z7</f>
        <v>0.11008646849058898</v>
      </c>
    </row>
    <row r="8" spans="1:28" x14ac:dyDescent="0.2">
      <c r="A8" s="162" t="s">
        <v>269</v>
      </c>
      <c r="B8" s="59">
        <v>545</v>
      </c>
      <c r="C8" s="156">
        <v>598.95776944440092</v>
      </c>
      <c r="D8" s="49">
        <f t="shared" si="7"/>
        <v>9.9005081549359497E-2</v>
      </c>
      <c r="E8" s="59">
        <v>502</v>
      </c>
      <c r="F8" s="59">
        <v>556.30489401265197</v>
      </c>
      <c r="G8" s="49">
        <f t="shared" si="0"/>
        <v>0.10817707970647802</v>
      </c>
      <c r="H8" s="59">
        <v>459</v>
      </c>
      <c r="I8" s="59">
        <v>509.71760736259358</v>
      </c>
      <c r="J8" s="49">
        <f t="shared" si="1"/>
        <v>0.1104958766069577</v>
      </c>
      <c r="K8" s="59">
        <v>418</v>
      </c>
      <c r="L8" s="59">
        <v>461.22289329109145</v>
      </c>
      <c r="M8" s="49">
        <f t="shared" si="2"/>
        <v>0.10340405093562548</v>
      </c>
      <c r="N8" s="59">
        <v>370</v>
      </c>
      <c r="O8" s="59">
        <v>410.32919886786021</v>
      </c>
      <c r="P8" s="49">
        <f t="shared" si="3"/>
        <v>0.10899783477800058</v>
      </c>
      <c r="Q8" s="59">
        <v>317</v>
      </c>
      <c r="R8" s="59">
        <v>356.54188946773377</v>
      </c>
      <c r="S8" s="49">
        <f t="shared" si="4"/>
        <v>0.12473782166477529</v>
      </c>
      <c r="T8" s="59">
        <v>264</v>
      </c>
      <c r="U8" s="59">
        <v>301.06693609954198</v>
      </c>
      <c r="V8" s="49">
        <f t="shared" si="5"/>
        <v>0.14040506098311356</v>
      </c>
      <c r="W8" s="59">
        <v>209</v>
      </c>
      <c r="X8" s="59">
        <v>244.34786272393413</v>
      </c>
      <c r="Y8" s="49">
        <f t="shared" si="6"/>
        <v>0.16912852977958912</v>
      </c>
      <c r="Z8" s="59">
        <v>161</v>
      </c>
      <c r="AA8" s="59">
        <v>187.07533839895854</v>
      </c>
      <c r="AB8" s="49">
        <f t="shared" ref="AB8:AB10" si="8">ABS(Z8-AA8) / Z8</f>
        <v>0.16195862359601576</v>
      </c>
    </row>
    <row r="9" spans="1:28" x14ac:dyDescent="0.2">
      <c r="A9" s="162" t="s">
        <v>270</v>
      </c>
      <c r="B9" s="59">
        <v>469</v>
      </c>
      <c r="C9" s="156">
        <v>507.99852012130611</v>
      </c>
      <c r="D9" s="49">
        <f t="shared" si="7"/>
        <v>8.315249492815803E-2</v>
      </c>
      <c r="E9" s="59">
        <v>427</v>
      </c>
      <c r="F9" s="59">
        <v>468.62479561369071</v>
      </c>
      <c r="G9" s="49">
        <f t="shared" si="0"/>
        <v>9.7481956940727657E-2</v>
      </c>
      <c r="H9" s="59">
        <v>384</v>
      </c>
      <c r="I9" s="59">
        <v>426.01897537695282</v>
      </c>
      <c r="J9" s="49">
        <f t="shared" si="1"/>
        <v>0.10942441504414797</v>
      </c>
      <c r="K9" s="59">
        <v>340</v>
      </c>
      <c r="L9" s="59">
        <v>381.95323071822395</v>
      </c>
      <c r="M9" s="49">
        <f t="shared" si="2"/>
        <v>0.12339185505359986</v>
      </c>
      <c r="N9" s="59">
        <v>297</v>
      </c>
      <c r="O9" s="59">
        <v>336.04134990342249</v>
      </c>
      <c r="P9" s="49">
        <f t="shared" si="3"/>
        <v>0.13145235657718007</v>
      </c>
      <c r="Q9" s="59">
        <v>252</v>
      </c>
      <c r="R9" s="59">
        <v>287.95739435437866</v>
      </c>
      <c r="S9" s="49">
        <f t="shared" si="4"/>
        <v>0.14268807283483598</v>
      </c>
      <c r="T9" s="59">
        <v>211</v>
      </c>
      <c r="U9" s="59">
        <v>238.82014150632412</v>
      </c>
      <c r="V9" s="49">
        <f t="shared" si="5"/>
        <v>0.13184901187831335</v>
      </c>
      <c r="W9" s="59">
        <v>164</v>
      </c>
      <c r="X9" s="59">
        <v>189.17187513875268</v>
      </c>
      <c r="Y9" s="49">
        <f t="shared" si="6"/>
        <v>0.15348704352897977</v>
      </c>
      <c r="Z9" s="59">
        <v>122</v>
      </c>
      <c r="AA9" s="59">
        <v>139.889327283044</v>
      </c>
      <c r="AB9" s="49">
        <f t="shared" si="8"/>
        <v>0.14663383018888523</v>
      </c>
    </row>
    <row r="10" spans="1:28" x14ac:dyDescent="0.2">
      <c r="A10" s="162" t="s">
        <v>271</v>
      </c>
      <c r="B10" s="164">
        <v>1796</v>
      </c>
      <c r="C10" s="157">
        <v>2113.467004489597</v>
      </c>
      <c r="D10" s="49">
        <f t="shared" si="7"/>
        <v>0.17676336552872884</v>
      </c>
      <c r="E10" s="164">
        <v>1723</v>
      </c>
      <c r="F10" s="59">
        <v>2044.4479944286318</v>
      </c>
      <c r="G10" s="49">
        <f t="shared" si="0"/>
        <v>0.18656296832770272</v>
      </c>
      <c r="H10" s="59">
        <v>1648</v>
      </c>
      <c r="I10" s="59">
        <v>1958.5978165190511</v>
      </c>
      <c r="J10" s="49">
        <f t="shared" si="1"/>
        <v>0.1884695488586475</v>
      </c>
      <c r="K10" s="164">
        <v>1568</v>
      </c>
      <c r="L10" s="59">
        <v>1859.6142769674957</v>
      </c>
      <c r="M10" s="49">
        <f t="shared" si="2"/>
        <v>0.1859784929639641</v>
      </c>
      <c r="N10" s="59">
        <v>1469</v>
      </c>
      <c r="O10" s="59">
        <v>1743.5267826133304</v>
      </c>
      <c r="P10" s="49">
        <f t="shared" si="3"/>
        <v>0.18688004262309763</v>
      </c>
      <c r="Q10" s="164">
        <v>1350</v>
      </c>
      <c r="R10" s="59">
        <v>1605.9914806864174</v>
      </c>
      <c r="S10" s="49">
        <f t="shared" si="4"/>
        <v>0.18962331902697585</v>
      </c>
      <c r="T10" s="59">
        <v>1225</v>
      </c>
      <c r="U10" s="59">
        <v>1448.3218831340166</v>
      </c>
      <c r="V10" s="49">
        <f t="shared" si="5"/>
        <v>0.18230357806858499</v>
      </c>
      <c r="W10" s="164">
        <v>1088</v>
      </c>
      <c r="X10" s="59">
        <v>1270.2311357694384</v>
      </c>
      <c r="Y10" s="49">
        <f t="shared" si="6"/>
        <v>0.16749185272926326</v>
      </c>
      <c r="Z10" s="59">
        <v>930</v>
      </c>
      <c r="AA10" s="59">
        <v>1073.996027672807</v>
      </c>
      <c r="AB10" s="49">
        <f t="shared" si="8"/>
        <v>0.15483443835785701</v>
      </c>
    </row>
    <row r="11" spans="1:28" x14ac:dyDescent="0.2">
      <c r="F11" s="155"/>
    </row>
    <row r="12" spans="1:28" x14ac:dyDescent="0.2">
      <c r="F12" s="156"/>
    </row>
    <row r="13" spans="1:28" x14ac:dyDescent="0.2">
      <c r="F13" s="156"/>
    </row>
    <row r="14" spans="1:28" x14ac:dyDescent="0.2">
      <c r="F14" s="157"/>
    </row>
    <row r="15" spans="1:28" x14ac:dyDescent="0.2">
      <c r="A15" s="116">
        <v>9211.5198095142987</v>
      </c>
      <c r="B15" s="116">
        <v>9949.8026795107653</v>
      </c>
      <c r="C15" s="251">
        <v>9209.6768380806698</v>
      </c>
      <c r="D15" s="116">
        <v>9947.8124643271476</v>
      </c>
      <c r="E15" s="116">
        <v>9205.991909164497</v>
      </c>
      <c r="F15" s="116">
        <v>9943.8331286732009</v>
      </c>
      <c r="G15" s="116">
        <v>9200.4670498227497</v>
      </c>
      <c r="H15" s="116">
        <v>9937.8668610632012</v>
      </c>
      <c r="I15" s="116">
        <v>9191.2657045849919</v>
      </c>
      <c r="J15" s="116">
        <v>9927.9303733158958</v>
      </c>
      <c r="K15" s="116">
        <v>9174.7245371092504</v>
      </c>
      <c r="L15" s="116">
        <v>9910.0676422304932</v>
      </c>
      <c r="M15" s="116">
        <v>6797.464751878857</v>
      </c>
      <c r="N15" s="116">
        <v>9742.6910400770921</v>
      </c>
      <c r="O15" s="116">
        <v>9116.13224309814</v>
      </c>
      <c r="P15" s="116">
        <v>9846.794038242595</v>
      </c>
      <c r="Q15" s="116">
        <v>9063.329457271002</v>
      </c>
      <c r="R15" s="116">
        <v>9789.7724308007382</v>
      </c>
      <c r="S15" s="116">
        <v>8989.1555267594085</v>
      </c>
      <c r="T15" s="116">
        <v>9709.6720567423035</v>
      </c>
    </row>
    <row r="16" spans="1:28" x14ac:dyDescent="0.2">
      <c r="A16" s="116">
        <v>9155.0773583776554</v>
      </c>
      <c r="B16" s="208">
        <v>9922.2536906806308</v>
      </c>
      <c r="C16" s="116">
        <v>9151.4138790044672</v>
      </c>
      <c r="D16" s="116">
        <v>9918.2845734606708</v>
      </c>
      <c r="E16" s="116">
        <v>9144.0911342344498</v>
      </c>
      <c r="F16" s="116">
        <v>9910.350903212784</v>
      </c>
      <c r="G16" s="116">
        <v>9133.1175442936601</v>
      </c>
      <c r="H16" s="116">
        <v>9898.4617999546645</v>
      </c>
      <c r="I16" s="116">
        <v>9114.8562659893269</v>
      </c>
      <c r="J16" s="116">
        <v>9878.6769963461556</v>
      </c>
      <c r="K16" s="116">
        <v>9082.0741021599333</v>
      </c>
      <c r="L16" s="116">
        <v>9843.1598119911378</v>
      </c>
      <c r="M16" s="116">
        <v>6712.7238355983764</v>
      </c>
      <c r="N16" s="116">
        <v>9658.6818503410741</v>
      </c>
      <c r="O16" s="116">
        <v>8966.4278970419273</v>
      </c>
      <c r="P16" s="116">
        <v>9717.8649366446753</v>
      </c>
      <c r="Q16" s="116">
        <v>8862.8435141561331</v>
      </c>
      <c r="R16" s="116">
        <v>9605.6378444303937</v>
      </c>
      <c r="S16" s="116">
        <v>8718.3513669895765</v>
      </c>
      <c r="T16" s="116">
        <v>9449.0891678631378</v>
      </c>
    </row>
    <row r="17" spans="1:20" x14ac:dyDescent="0.2">
      <c r="A17" s="116">
        <v>9088.1250909076498</v>
      </c>
      <c r="B17" s="208">
        <v>9892.7565130401872</v>
      </c>
      <c r="C17" s="116">
        <v>9082.6699023789497</v>
      </c>
      <c r="D17" s="116">
        <v>9886.8210002981778</v>
      </c>
      <c r="E17" s="116">
        <v>9071.7690734405624</v>
      </c>
      <c r="F17" s="116">
        <v>9874.9603597256646</v>
      </c>
      <c r="G17" s="116">
        <v>9055.4416732783793</v>
      </c>
      <c r="H17" s="116">
        <v>9857.1953317329153</v>
      </c>
      <c r="I17" s="116">
        <v>9028.2928016124661</v>
      </c>
      <c r="J17" s="116">
        <v>9827.6559755284889</v>
      </c>
      <c r="K17" s="116">
        <v>8979.6240965280867</v>
      </c>
      <c r="L17" s="116">
        <v>9774.7018621361913</v>
      </c>
      <c r="M17" s="116">
        <v>6612.2813888372912</v>
      </c>
      <c r="N17" s="116">
        <v>9570.0334071422876</v>
      </c>
      <c r="O17" s="116">
        <v>8808.6367422314834</v>
      </c>
      <c r="P17" s="116">
        <v>9588.6577804849021</v>
      </c>
      <c r="Q17" s="116">
        <v>8656.4164184109904</v>
      </c>
      <c r="R17" s="116">
        <v>9423.0321929399634</v>
      </c>
      <c r="S17" s="116">
        <v>8445.5639454241045</v>
      </c>
      <c r="T17" s="116">
        <v>9193.6092487000442</v>
      </c>
    </row>
    <row r="18" spans="1:20" x14ac:dyDescent="0.2">
      <c r="A18" s="116">
        <v>9011.503846491225</v>
      </c>
      <c r="B18" s="208">
        <v>9861.7670965539219</v>
      </c>
      <c r="C18" s="116">
        <v>9004.2914409687583</v>
      </c>
      <c r="D18" s="116">
        <v>9853.8785236455096</v>
      </c>
      <c r="E18" s="116">
        <v>8989.8835807902797</v>
      </c>
      <c r="F18" s="116">
        <v>9838.1199091819853</v>
      </c>
      <c r="G18" s="116">
        <v>8968.3141027220372</v>
      </c>
      <c r="H18" s="116">
        <v>9814.5282448757625</v>
      </c>
      <c r="I18" s="116">
        <v>8932.4775169946624</v>
      </c>
      <c r="J18" s="116">
        <v>9775.3318425231337</v>
      </c>
      <c r="K18" s="116">
        <v>8868.3246399722011</v>
      </c>
      <c r="L18" s="116">
        <v>9705.1642083004153</v>
      </c>
      <c r="M18" s="116">
        <v>6499.7679781192701</v>
      </c>
      <c r="N18" s="116">
        <v>9478.205755076573</v>
      </c>
      <c r="O18" s="116">
        <v>8643.858042853064</v>
      </c>
      <c r="P18" s="116">
        <v>9459.6505352732765</v>
      </c>
      <c r="Q18" s="116">
        <v>8445.2461578096481</v>
      </c>
      <c r="R18" s="116">
        <v>9242.4133933874891</v>
      </c>
      <c r="S18" s="116">
        <v>8172.0542153203687</v>
      </c>
      <c r="T18" s="116">
        <v>8943.5984238132369</v>
      </c>
    </row>
    <row r="19" spans="1:20" x14ac:dyDescent="0.2">
      <c r="A19" s="116">
        <v>8925.9626883505698</v>
      </c>
      <c r="B19" s="208">
        <v>9829.6358764729903</v>
      </c>
      <c r="C19" s="116">
        <v>8917.0326567724805</v>
      </c>
      <c r="D19" s="116">
        <v>9819.8081396782127</v>
      </c>
      <c r="E19" s="116">
        <v>8899.1989383070704</v>
      </c>
      <c r="F19" s="116">
        <v>9800.1816428524016</v>
      </c>
      <c r="G19" s="116">
        <v>8872.5140950436726</v>
      </c>
      <c r="H19" s="116">
        <v>9770.8141995837541</v>
      </c>
      <c r="I19" s="116">
        <v>8828.2140838308424</v>
      </c>
      <c r="J19" s="116">
        <v>9722.0606457264839</v>
      </c>
      <c r="K19" s="116">
        <v>8749.0214474224158</v>
      </c>
      <c r="L19" s="116">
        <v>9634.9063243817254</v>
      </c>
      <c r="M19" s="116">
        <v>6377.9980365069914</v>
      </c>
      <c r="N19" s="116">
        <v>9384.2608456678536</v>
      </c>
      <c r="O19" s="116">
        <v>8473.0635976607209</v>
      </c>
      <c r="P19" s="116">
        <v>9331.2014268658095</v>
      </c>
      <c r="Q19" s="116">
        <v>8230.380082270678</v>
      </c>
      <c r="R19" s="116">
        <v>9064.1120020072358</v>
      </c>
      <c r="S19" s="116">
        <v>7898.8979859821011</v>
      </c>
      <c r="T19" s="116">
        <v>8699.2866835765344</v>
      </c>
    </row>
    <row r="20" spans="1:20" x14ac:dyDescent="0.2">
      <c r="A20" s="116">
        <v>8830.4119725755409</v>
      </c>
      <c r="B20" s="208">
        <v>9794.6759733613962</v>
      </c>
      <c r="C20" s="116">
        <v>8818.0451764072823</v>
      </c>
      <c r="D20" s="116">
        <v>9780.9686437343935</v>
      </c>
      <c r="E20" s="116">
        <v>8795.1232928312875</v>
      </c>
      <c r="F20" s="116">
        <v>9755.5622947040083</v>
      </c>
      <c r="G20" s="116">
        <v>8759.973575208578</v>
      </c>
      <c r="H20" s="116">
        <v>9716.6025397193298</v>
      </c>
      <c r="I20" s="116">
        <v>8700.5365128893682</v>
      </c>
      <c r="J20" s="116">
        <v>9650.7224210843106</v>
      </c>
      <c r="K20" s="116">
        <v>8600.0594930652223</v>
      </c>
      <c r="L20" s="116">
        <v>9539.3537073874177</v>
      </c>
      <c r="M20" s="116">
        <v>6249.1761705978506</v>
      </c>
      <c r="N20" s="116">
        <v>9288.9812693840286</v>
      </c>
      <c r="O20" s="116">
        <v>8249.0440712488762</v>
      </c>
      <c r="P20" s="116">
        <v>9150.2811156177668</v>
      </c>
      <c r="Q20" s="116">
        <v>7947.1400373803281</v>
      </c>
      <c r="R20" s="116">
        <v>8815.636622542137</v>
      </c>
      <c r="S20" s="116">
        <v>7520.6169382593498</v>
      </c>
      <c r="T20" s="116">
        <v>8342.8413018152896</v>
      </c>
    </row>
    <row r="21" spans="1:20" x14ac:dyDescent="0.2">
      <c r="A21" s="116">
        <v>8727.2825509524009</v>
      </c>
      <c r="B21" s="208">
        <v>9759.075734747852</v>
      </c>
      <c r="C21" s="116">
        <v>8711.5698981147434</v>
      </c>
      <c r="D21" s="116">
        <v>9741.5194390196521</v>
      </c>
      <c r="E21" s="116">
        <v>8683.7047521906061</v>
      </c>
      <c r="F21" s="116">
        <v>9710.3851704969911</v>
      </c>
      <c r="G21" s="116">
        <v>8640.3417888434742</v>
      </c>
      <c r="H21" s="116">
        <v>9661.9344707218552</v>
      </c>
      <c r="I21" s="116">
        <v>8566.2571834877217</v>
      </c>
      <c r="J21" s="116">
        <v>9579.1568287400023</v>
      </c>
      <c r="K21" s="116">
        <v>8445.3011054899252</v>
      </c>
      <c r="L21" s="116">
        <v>9444.0083306698998</v>
      </c>
      <c r="M21" s="116">
        <v>6095.3276386969319</v>
      </c>
      <c r="N21" s="116">
        <v>9163.3333775127012</v>
      </c>
      <c r="O21" s="116">
        <v>8023.0183332075394</v>
      </c>
      <c r="P21" s="116">
        <v>8972.1646683900981</v>
      </c>
      <c r="Q21" s="116">
        <v>7666.0603307745632</v>
      </c>
      <c r="R21" s="116">
        <v>8573.2996179584788</v>
      </c>
      <c r="S21" s="116">
        <v>7153.3546760392055</v>
      </c>
      <c r="T21" s="116">
        <v>8000.3719421159012</v>
      </c>
    </row>
    <row r="22" spans="1:20" x14ac:dyDescent="0.2">
      <c r="A22" s="116">
        <v>8617.1562182101989</v>
      </c>
      <c r="B22" s="208">
        <v>9723.0063026003481</v>
      </c>
      <c r="C22" s="116">
        <v>8598.196197656096</v>
      </c>
      <c r="D22" s="116">
        <v>9701.6320169614046</v>
      </c>
      <c r="E22" s="116">
        <v>8565.5436480671779</v>
      </c>
      <c r="F22" s="116">
        <v>9664.8221439514255</v>
      </c>
      <c r="G22" s="116">
        <v>8514.2367705897868</v>
      </c>
      <c r="H22" s="116">
        <v>9606.9823188338924</v>
      </c>
      <c r="I22" s="116">
        <v>8426.0239225619407</v>
      </c>
      <c r="J22" s="116">
        <v>9507.5361872434351</v>
      </c>
      <c r="K22" s="116">
        <v>8285.4308924209345</v>
      </c>
      <c r="L22" s="116">
        <v>9349.0397317646457</v>
      </c>
      <c r="M22" s="116">
        <v>5938.5147470219554</v>
      </c>
      <c r="N22" s="116">
        <v>9038.0910646042594</v>
      </c>
      <c r="O22" s="116">
        <v>7795.7403586374721</v>
      </c>
      <c r="P22" s="116">
        <v>8796.9723969642619</v>
      </c>
      <c r="Q22" s="116">
        <v>7387.8539062227219</v>
      </c>
      <c r="R22" s="116">
        <v>8337.1091304407801</v>
      </c>
      <c r="S22" s="116">
        <v>6797.5025220631505</v>
      </c>
      <c r="T22" s="116">
        <v>7671.4853377843137</v>
      </c>
    </row>
    <row r="23" spans="1:20" x14ac:dyDescent="0.2">
      <c r="A23" s="116">
        <v>8500.5784831721321</v>
      </c>
      <c r="B23" s="208">
        <v>9686.6050068624572</v>
      </c>
      <c r="C23" s="116">
        <v>8478.4766309674997</v>
      </c>
      <c r="D23" s="116">
        <v>9661.4439195348205</v>
      </c>
      <c r="E23" s="116">
        <v>8441.2025319332115</v>
      </c>
      <c r="F23" s="116">
        <v>9619.0109234619358</v>
      </c>
      <c r="G23" s="116">
        <v>8382.2372173690783</v>
      </c>
      <c r="H23" s="116">
        <v>9551.8838915132565</v>
      </c>
      <c r="I23" s="116">
        <v>8280.4423775402684</v>
      </c>
      <c r="J23" s="116">
        <v>9435.9976706948273</v>
      </c>
      <c r="K23" s="116">
        <v>8121.0864080585043</v>
      </c>
      <c r="L23" s="116">
        <v>9254.5813948987798</v>
      </c>
      <c r="M23" s="116">
        <v>5779.8789230231268</v>
      </c>
      <c r="N23" s="116">
        <v>8913.5868540336924</v>
      </c>
      <c r="O23" s="116">
        <v>7567.8977747437457</v>
      </c>
      <c r="P23" s="116">
        <v>8624.7861191389766</v>
      </c>
      <c r="Q23" s="116">
        <v>7113.1510419856313</v>
      </c>
      <c r="R23" s="116">
        <v>8107.0353905455077</v>
      </c>
      <c r="S23" s="116">
        <v>6453.3536096329826</v>
      </c>
      <c r="T23" s="116">
        <v>7355.7641863960362</v>
      </c>
    </row>
    <row r="24" spans="1:20" x14ac:dyDescent="0.2">
      <c r="A24" s="116">
        <v>8378.0647205087316</v>
      </c>
      <c r="B24" s="208">
        <v>9649.9828423456165</v>
      </c>
      <c r="C24" s="116">
        <v>8352.9328090209165</v>
      </c>
      <c r="D24" s="116">
        <v>9621.0662061212388</v>
      </c>
      <c r="E24" s="116">
        <v>8311.2118018728761</v>
      </c>
      <c r="F24" s="116">
        <v>9573.0625289951167</v>
      </c>
      <c r="G24" s="116">
        <v>8244.8876021959986</v>
      </c>
      <c r="H24" s="116">
        <v>9496.7499561585209</v>
      </c>
      <c r="I24" s="116">
        <v>8130.0801065914156</v>
      </c>
      <c r="J24" s="116">
        <v>9364.6507758167609</v>
      </c>
      <c r="K24" s="116">
        <v>7952.861417582757</v>
      </c>
      <c r="L24" s="116">
        <v>9160.7382975630408</v>
      </c>
      <c r="M24" s="116">
        <v>5620.3433382696194</v>
      </c>
      <c r="N24" s="116">
        <v>8790.0736754489353</v>
      </c>
      <c r="O24" s="116">
        <v>7340.1124205358756</v>
      </c>
      <c r="P24" s="116">
        <v>8455.657018133079</v>
      </c>
      <c r="Q24" s="116">
        <v>6842.499032859927</v>
      </c>
      <c r="R24" s="116">
        <v>7883.0189484614029</v>
      </c>
      <c r="S24" s="116">
        <v>6121.0998564550819</v>
      </c>
      <c r="T24" s="116">
        <v>7052.7752183062566</v>
      </c>
    </row>
    <row r="25" spans="1:20" x14ac:dyDescent="0.2">
      <c r="A25" s="116">
        <v>8246.8016115943137</v>
      </c>
      <c r="B25" s="208">
        <v>9609.3843190343723</v>
      </c>
      <c r="C25" s="116">
        <v>8217.1222350169082</v>
      </c>
      <c r="D25" s="116">
        <v>9574.8403689839397</v>
      </c>
      <c r="E25" s="116">
        <v>8167.8915869606572</v>
      </c>
      <c r="F25" s="116">
        <v>9517.540550607202</v>
      </c>
      <c r="G25" s="116">
        <v>8088.1099144834661</v>
      </c>
      <c r="H25" s="116">
        <v>9424.6809362270305</v>
      </c>
      <c r="I25" s="116">
        <v>7954.7280682933606</v>
      </c>
      <c r="J25" s="116">
        <v>9269.4335921155835</v>
      </c>
      <c r="K25" s="116">
        <v>7751.7415935924264</v>
      </c>
      <c r="L25" s="116">
        <v>9033.1671607474909</v>
      </c>
      <c r="M25" s="116">
        <v>5460.6548728862517</v>
      </c>
      <c r="N25" s="116">
        <v>8667.743561397876</v>
      </c>
      <c r="O25" s="116">
        <v>7054.690838069786</v>
      </c>
      <c r="P25" s="116">
        <v>8221.7816126493944</v>
      </c>
      <c r="Q25" s="116">
        <v>6484.5937453072847</v>
      </c>
      <c r="R25" s="116">
        <v>7558.1074056861371</v>
      </c>
      <c r="S25" s="116">
        <v>5662.5415167415804</v>
      </c>
      <c r="T25" s="116">
        <v>6601.0044190272329</v>
      </c>
    </row>
    <row r="26" spans="1:20" x14ac:dyDescent="0.2">
      <c r="A26" s="116">
        <v>8110.669026819377</v>
      </c>
      <c r="B26" s="208">
        <v>9568.7600648425159</v>
      </c>
      <c r="C26" s="116">
        <v>8076.6221381609157</v>
      </c>
      <c r="D26" s="116">
        <v>9528.6409238276246</v>
      </c>
      <c r="E26" s="116">
        <v>8020.1921929226628</v>
      </c>
      <c r="F26" s="116">
        <v>9462.1462552039975</v>
      </c>
      <c r="G26" s="116">
        <v>7927.5398290118892</v>
      </c>
      <c r="H26" s="116">
        <v>9352.9667446007879</v>
      </c>
      <c r="I26" s="116">
        <v>7776.5106218100273</v>
      </c>
      <c r="J26" s="116">
        <v>9174.9961333867686</v>
      </c>
      <c r="K26" s="116">
        <v>7549.2505830460013</v>
      </c>
      <c r="L26" s="116">
        <v>8907.1896880868426</v>
      </c>
      <c r="M26" s="116">
        <v>5270.4199813814039</v>
      </c>
      <c r="N26" s="116">
        <v>8496.8264903033833</v>
      </c>
      <c r="O26" s="116">
        <v>6774.5593420053174</v>
      </c>
      <c r="P26" s="116">
        <v>7994.2109599848782</v>
      </c>
      <c r="Q26" s="116">
        <v>6140.1314697732896</v>
      </c>
      <c r="R26" s="116">
        <v>7246.4389525139723</v>
      </c>
      <c r="S26" s="116">
        <v>5233.8168236647662</v>
      </c>
      <c r="T26" s="116">
        <v>6178.0452193780748</v>
      </c>
    </row>
    <row r="27" spans="1:20" x14ac:dyDescent="0.2">
      <c r="A27" s="116">
        <v>7970.1225585304792</v>
      </c>
      <c r="B27" s="208">
        <v>9528.170723514575</v>
      </c>
      <c r="C27" s="116">
        <v>7931.89431579952</v>
      </c>
      <c r="D27" s="116">
        <v>9482.5281963195412</v>
      </c>
      <c r="E27" s="116">
        <v>7868.5848561008379</v>
      </c>
      <c r="F27" s="116">
        <v>9406.9392006730504</v>
      </c>
      <c r="G27" s="116">
        <v>7763.6633689000382</v>
      </c>
      <c r="H27" s="116">
        <v>9281.6647544093885</v>
      </c>
      <c r="I27" s="116">
        <v>7595.9283161505409</v>
      </c>
      <c r="J27" s="116">
        <v>9081.39011317923</v>
      </c>
      <c r="K27" s="116">
        <v>7345.8952484428637</v>
      </c>
      <c r="L27" s="116">
        <v>8782.8425896145654</v>
      </c>
      <c r="M27" s="116">
        <v>5083.1584632106333</v>
      </c>
      <c r="N27" s="116">
        <v>8329.0319597917787</v>
      </c>
      <c r="O27" s="116">
        <v>6500.0881634962616</v>
      </c>
      <c r="P27" s="116">
        <v>7772.8268314091365</v>
      </c>
      <c r="Q27" s="116">
        <v>5809.0663172685827</v>
      </c>
      <c r="R27" s="116">
        <v>6947.5213975481465</v>
      </c>
      <c r="S27" s="116">
        <v>4833.4467541778386</v>
      </c>
      <c r="T27" s="116">
        <v>5782.1017705851309</v>
      </c>
    </row>
    <row r="28" spans="1:20" x14ac:dyDescent="0.2">
      <c r="A28" s="116">
        <v>7825.6018934116737</v>
      </c>
      <c r="B28" s="208">
        <v>9487.6663780330291</v>
      </c>
      <c r="C28" s="116">
        <v>7783.3840225758449</v>
      </c>
      <c r="D28" s="116">
        <v>9436.5519110098867</v>
      </c>
      <c r="E28" s="116">
        <v>7713.5233147209456</v>
      </c>
      <c r="F28" s="116">
        <v>9351.9682963339146</v>
      </c>
      <c r="G28" s="116">
        <v>7596.9473987042265</v>
      </c>
      <c r="H28" s="116">
        <v>9210.8216239247668</v>
      </c>
      <c r="I28" s="116">
        <v>7413.4593902833885</v>
      </c>
      <c r="J28" s="116">
        <v>8988.6564108494695</v>
      </c>
      <c r="K28" s="116">
        <v>7142.1555775337911</v>
      </c>
      <c r="L28" s="116">
        <v>8660.1517422992529</v>
      </c>
      <c r="M28" s="116">
        <v>4899.2291508092339</v>
      </c>
      <c r="N28" s="116">
        <v>8164.4003012984476</v>
      </c>
      <c r="O28" s="116">
        <v>6231.6072429166779</v>
      </c>
      <c r="P28" s="116">
        <v>7557.503910900291</v>
      </c>
      <c r="Q28" s="116">
        <v>5491.3162922958572</v>
      </c>
      <c r="R28" s="116">
        <v>6660.8726748896715</v>
      </c>
      <c r="S28" s="116">
        <v>4459.9986166259951</v>
      </c>
      <c r="T28" s="116">
        <v>5411.4833618558696</v>
      </c>
    </row>
    <row r="29" spans="1:20" x14ac:dyDescent="0.2">
      <c r="A29" s="116">
        <v>7677.5317130903295</v>
      </c>
      <c r="B29" s="208">
        <v>9447.2884687223195</v>
      </c>
      <c r="C29" s="116">
        <v>7631.5205059354757</v>
      </c>
      <c r="D29" s="116">
        <v>9390.7530764456205</v>
      </c>
      <c r="E29" s="116">
        <v>7555.4436089341234</v>
      </c>
      <c r="F29" s="116">
        <v>9297.2736158382268</v>
      </c>
      <c r="G29" s="116">
        <v>7427.8379721364799</v>
      </c>
      <c r="H29" s="116">
        <v>9140.4749629000416</v>
      </c>
      <c r="I29" s="116">
        <v>7229.5568266344044</v>
      </c>
      <c r="J29" s="116">
        <v>8896.8266231185135</v>
      </c>
      <c r="K29" s="116">
        <v>6938.4799429495688</v>
      </c>
      <c r="L29" s="116">
        <v>8539.1335728264603</v>
      </c>
      <c r="M29" s="116">
        <v>4718.9205718160947</v>
      </c>
      <c r="N29" s="116">
        <v>8002.9513183485706</v>
      </c>
      <c r="O29" s="116">
        <v>5969.3963799849207</v>
      </c>
      <c r="P29" s="116">
        <v>7348.1105669863773</v>
      </c>
      <c r="Q29" s="116">
        <v>5186.7472203833149</v>
      </c>
      <c r="R29" s="116">
        <v>6386.0201857039401</v>
      </c>
      <c r="S29" s="116">
        <v>4112.0577160241764</v>
      </c>
      <c r="T29" s="116">
        <v>5064.5963793348983</v>
      </c>
    </row>
    <row r="30" spans="1:20" x14ac:dyDescent="0.2">
      <c r="A30" s="116">
        <v>7521.8011233850621</v>
      </c>
      <c r="B30" s="208">
        <v>9401.4267428631647</v>
      </c>
      <c r="C30" s="116">
        <v>7469.2326010961469</v>
      </c>
      <c r="D30" s="116">
        <v>9335.8210036237233</v>
      </c>
      <c r="E30" s="116">
        <v>7381.4426680164079</v>
      </c>
      <c r="F30" s="116">
        <v>9226.2565634501425</v>
      </c>
      <c r="G30" s="116">
        <v>7237.8810840967135</v>
      </c>
      <c r="H30" s="116">
        <v>9047.0845451898531</v>
      </c>
      <c r="I30" s="116">
        <v>7017.8706997051722</v>
      </c>
      <c r="J30" s="116">
        <v>8772.4922314936521</v>
      </c>
      <c r="K30" s="116">
        <v>6696.2319306927593</v>
      </c>
      <c r="L30" s="116">
        <v>8371.0350671906017</v>
      </c>
      <c r="M30" s="116">
        <v>4542.456510881887</v>
      </c>
      <c r="N30" s="116">
        <v>7844.6870052191562</v>
      </c>
      <c r="O30" s="116">
        <v>5633.924865722408</v>
      </c>
      <c r="P30" s="116">
        <v>7044.8964104856204</v>
      </c>
      <c r="Q30" s="116">
        <v>4778.4301561863067</v>
      </c>
      <c r="R30" s="116">
        <v>5976.6636200800967</v>
      </c>
    </row>
    <row r="31" spans="1:20" x14ac:dyDescent="0.2">
      <c r="A31" s="116">
        <v>7363.517044998086</v>
      </c>
      <c r="B31" s="208">
        <v>9355.8059176987226</v>
      </c>
      <c r="C31" s="116">
        <v>7304.7281614578469</v>
      </c>
      <c r="D31" s="116">
        <v>9281.2284056224144</v>
      </c>
      <c r="E31" s="116">
        <v>7205.8562752047728</v>
      </c>
      <c r="F31" s="116">
        <v>9155.7999095082396</v>
      </c>
      <c r="G31" s="116">
        <v>7047.3099986817379</v>
      </c>
      <c r="H31" s="116">
        <v>8954.6659206250442</v>
      </c>
      <c r="I31" s="116">
        <v>6807.0939197870212</v>
      </c>
      <c r="J31" s="116">
        <v>8649.9125299117932</v>
      </c>
      <c r="K31" s="116">
        <v>6457.4194259033629</v>
      </c>
      <c r="L31" s="116">
        <v>8206.2620437100431</v>
      </c>
      <c r="M31" s="116">
        <v>4336.8802277882605</v>
      </c>
      <c r="N31" s="116">
        <v>7631.3898292020522</v>
      </c>
      <c r="O31" s="116">
        <v>5313.1576575876006</v>
      </c>
      <c r="P31" s="116">
        <v>6754.2079493903266</v>
      </c>
      <c r="Q31" s="116">
        <v>4398.8062435582615</v>
      </c>
      <c r="R31" s="116">
        <v>5593.5591786843006</v>
      </c>
    </row>
    <row r="32" spans="1:20" x14ac:dyDescent="0.2">
      <c r="A32" s="116">
        <v>7203.0683409065641</v>
      </c>
      <c r="B32" s="208">
        <v>9310.4493878193407</v>
      </c>
      <c r="C32" s="116">
        <v>7138.3991826668098</v>
      </c>
      <c r="D32" s="116">
        <v>9226.9975417155129</v>
      </c>
      <c r="E32" s="116">
        <v>7029.0796129277596</v>
      </c>
      <c r="F32" s="116">
        <v>9085.9230593741522</v>
      </c>
      <c r="G32" s="116">
        <v>6856.5178396938172</v>
      </c>
      <c r="H32" s="116">
        <v>8863.2320606313569</v>
      </c>
      <c r="I32" s="116">
        <v>6597.6018581927192</v>
      </c>
      <c r="J32" s="116">
        <v>8529.0847307678978</v>
      </c>
      <c r="K32" s="116">
        <v>6222.3576547755656</v>
      </c>
      <c r="L32" s="116">
        <v>8044.769070932256</v>
      </c>
      <c r="M32" s="116">
        <v>4138.238599707418</v>
      </c>
      <c r="N32" s="116">
        <v>7423.9749356841985</v>
      </c>
      <c r="O32" s="116">
        <v>5006.7939817643601</v>
      </c>
      <c r="P32" s="116">
        <v>6475.5428913570831</v>
      </c>
      <c r="Q32" s="116">
        <v>4046.198934480572</v>
      </c>
      <c r="R32" s="116">
        <v>5235.0343166576758</v>
      </c>
    </row>
    <row r="33" spans="1:18" x14ac:dyDescent="0.2">
      <c r="A33" s="116">
        <v>7040.8321954272205</v>
      </c>
      <c r="B33" s="208">
        <v>9265.3767460949912</v>
      </c>
      <c r="C33" s="116">
        <v>6970.6253845503634</v>
      </c>
      <c r="D33" s="116">
        <v>9173.1469092337029</v>
      </c>
      <c r="E33" s="116">
        <v>6851.4946524639799</v>
      </c>
      <c r="F33" s="116">
        <v>9016.6417555432072</v>
      </c>
      <c r="G33" s="116">
        <v>6665.8824482268419</v>
      </c>
      <c r="H33" s="116">
        <v>8772.7923831384342</v>
      </c>
      <c r="I33" s="116">
        <v>6389.7518816187439</v>
      </c>
      <c r="J33" s="116">
        <v>8410.0028188650613</v>
      </c>
      <c r="K33" s="116">
        <v>5991.3409587054421</v>
      </c>
      <c r="L33" s="116">
        <v>7886.5086169826618</v>
      </c>
      <c r="M33" s="116">
        <v>3946.4916049805906</v>
      </c>
      <c r="N33" s="116">
        <v>7222.3098371695551</v>
      </c>
      <c r="O33" s="116">
        <v>4714.5262644639279</v>
      </c>
      <c r="P33" s="116">
        <v>6208.4177528683913</v>
      </c>
      <c r="Q33" s="116">
        <v>3719.0227298677332</v>
      </c>
      <c r="R33" s="116">
        <v>4899.5229479342788</v>
      </c>
    </row>
    <row r="34" spans="1:18" x14ac:dyDescent="0.2">
      <c r="A34" s="116">
        <v>6877.1728601022623</v>
      </c>
      <c r="B34" s="208">
        <v>9220.6043099265717</v>
      </c>
      <c r="C34" s="116">
        <v>6801.7721197996761</v>
      </c>
      <c r="D34" s="116">
        <v>9119.6916815232507</v>
      </c>
      <c r="E34" s="116">
        <v>6673.4664097530795</v>
      </c>
      <c r="F34" s="116">
        <v>8947.9683394223175</v>
      </c>
      <c r="G34" s="116">
        <v>6475.7611484971776</v>
      </c>
      <c r="H34" s="116">
        <v>8683.3528547096739</v>
      </c>
      <c r="I34" s="116">
        <v>6183.8760409554015</v>
      </c>
      <c r="J34" s="116">
        <v>8292.6574207005979</v>
      </c>
      <c r="K34" s="116">
        <v>5764.6323018274406</v>
      </c>
      <c r="L34" s="116">
        <v>7731.4305344483173</v>
      </c>
      <c r="M34" s="116">
        <v>3761.5813016360335</v>
      </c>
      <c r="N34" s="116">
        <v>7026.2605799797711</v>
      </c>
      <c r="O34" s="116">
        <v>4436.0189507083069</v>
      </c>
      <c r="P34" s="116">
        <v>5952.3652402365215</v>
      </c>
      <c r="Q34" s="116">
        <v>3415.7466818426587</v>
      </c>
      <c r="R34" s="116">
        <v>4585.555567969709</v>
      </c>
    </row>
    <row r="35" spans="1:18" x14ac:dyDescent="0.2">
      <c r="A35" s="116">
        <v>6705.7191375680086</v>
      </c>
      <c r="B35" s="208">
        <v>9166.9701057266429</v>
      </c>
      <c r="C35" s="116">
        <v>6620.2379980074093</v>
      </c>
      <c r="D35" s="116">
        <v>9050.3299644878498</v>
      </c>
      <c r="E35" s="116">
        <v>6478.4384417883948</v>
      </c>
      <c r="F35" s="116">
        <v>8856.837565720416</v>
      </c>
      <c r="G35" s="116">
        <v>6262.5867364307869</v>
      </c>
      <c r="H35" s="116">
        <v>8562.2852052302078</v>
      </c>
      <c r="I35" s="116">
        <v>5945.5942474734375</v>
      </c>
      <c r="J35" s="116">
        <v>8129.6806322613475</v>
      </c>
      <c r="K35" s="116">
        <v>5497.0421289946353</v>
      </c>
      <c r="L35" s="116">
        <v>7517.4623888235355</v>
      </c>
      <c r="M35" s="116">
        <v>3583.4261185238743</v>
      </c>
      <c r="N35" s="116">
        <v>6835.6906789277136</v>
      </c>
      <c r="O35" s="116">
        <v>4071.4075102864567</v>
      </c>
      <c r="P35" s="116">
        <v>5570.994635242464</v>
      </c>
    </row>
    <row r="36" spans="1:18" x14ac:dyDescent="0.2">
      <c r="A36" s="116">
        <v>6533.8689611607997</v>
      </c>
      <c r="B36" s="208">
        <v>9113.7584317037708</v>
      </c>
      <c r="C36" s="116">
        <v>6438.9443853385874</v>
      </c>
      <c r="D36" s="116">
        <v>8981.6047921056506</v>
      </c>
      <c r="E36" s="116">
        <v>6284.613869259937</v>
      </c>
      <c r="F36" s="116">
        <v>8766.7413827776854</v>
      </c>
      <c r="G36" s="116">
        <v>6052.0971707252784</v>
      </c>
      <c r="H36" s="116">
        <v>8443.0081952811197</v>
      </c>
      <c r="I36" s="116">
        <v>5712.4006112780871</v>
      </c>
      <c r="J36" s="116">
        <v>7970.0039114690553</v>
      </c>
      <c r="K36" s="116">
        <v>5238.1142456766147</v>
      </c>
      <c r="L36" s="116">
        <v>7309.5050522962374</v>
      </c>
      <c r="M36" s="116">
        <v>3365.4638898290023</v>
      </c>
      <c r="N36" s="116">
        <v>6560.0559728689204</v>
      </c>
      <c r="O36" s="116">
        <v>3734.0651822361319</v>
      </c>
      <c r="P36" s="116">
        <v>5214.1226928454043</v>
      </c>
    </row>
    <row r="37" spans="1:18" x14ac:dyDescent="0.2">
      <c r="A37" s="116">
        <v>6361.9464708023061</v>
      </c>
      <c r="B37" s="208">
        <v>9060.9773975130993</v>
      </c>
      <c r="C37" s="116">
        <v>6258.2094754754007</v>
      </c>
      <c r="D37" s="116">
        <v>8913.5212065016221</v>
      </c>
      <c r="E37" s="116">
        <v>6092.2959592130983</v>
      </c>
      <c r="F37" s="116">
        <v>8677.6782119670461</v>
      </c>
      <c r="G37" s="116">
        <v>5844.5602359379618</v>
      </c>
      <c r="H37" s="116">
        <v>8325.5045068743602</v>
      </c>
      <c r="I37" s="116">
        <v>5484.4784595155033</v>
      </c>
      <c r="J37" s="116">
        <v>7813.5681881452529</v>
      </c>
      <c r="K37" s="116">
        <v>4987.8508390162388</v>
      </c>
      <c r="L37" s="116">
        <v>7107.3956885601801</v>
      </c>
      <c r="M37" s="116">
        <v>3159.1316963226154</v>
      </c>
      <c r="N37" s="116">
        <v>6295.7155403089637</v>
      </c>
      <c r="O37" s="116">
        <v>3422.2184292810621</v>
      </c>
      <c r="P37" s="116">
        <v>4880.1759963592231</v>
      </c>
    </row>
    <row r="38" spans="1:18" x14ac:dyDescent="0.2">
      <c r="A38" s="116">
        <v>6190.2632765719327</v>
      </c>
      <c r="B38" s="208">
        <v>9008.6336967777843</v>
      </c>
      <c r="C38" s="116">
        <v>6078.3386027883353</v>
      </c>
      <c r="D38" s="116">
        <v>8846.0829862572991</v>
      </c>
      <c r="E38" s="116">
        <v>5901.7739871642707</v>
      </c>
      <c r="F38" s="116">
        <v>8589.6453969962731</v>
      </c>
      <c r="G38" s="116">
        <v>5640.2285581561873</v>
      </c>
      <c r="H38" s="116">
        <v>8209.7561728687215</v>
      </c>
      <c r="I38" s="116">
        <v>5261.9958177309845</v>
      </c>
      <c r="J38" s="116">
        <v>7660.3150038794229</v>
      </c>
      <c r="K38" s="116">
        <v>4746.2416931355665</v>
      </c>
      <c r="L38" s="116">
        <v>6910.9758053225587</v>
      </c>
      <c r="M38" s="116">
        <v>2963.9334408909094</v>
      </c>
      <c r="N38" s="116">
        <v>6042.2099587465891</v>
      </c>
      <c r="O38" s="116">
        <v>3134.2104161499333</v>
      </c>
      <c r="P38" s="116">
        <v>4567.6840447220211</v>
      </c>
    </row>
    <row r="39" spans="1:18" x14ac:dyDescent="0.2">
      <c r="A39" s="116">
        <v>6019.1158776165003</v>
      </c>
      <c r="B39" s="208">
        <v>8956.7326157739881</v>
      </c>
      <c r="C39" s="116">
        <v>5899.6199376552522</v>
      </c>
      <c r="D39" s="116">
        <v>8779.2924771137368</v>
      </c>
      <c r="E39" s="116">
        <v>5713.3173802082465</v>
      </c>
      <c r="F39" s="116">
        <v>8502.6388682114812</v>
      </c>
      <c r="G39" s="116">
        <v>5439.331572717676</v>
      </c>
      <c r="H39" s="116">
        <v>8095.7439997267811</v>
      </c>
      <c r="I39" s="116">
        <v>5045.0940172761912</v>
      </c>
      <c r="J39" s="116">
        <v>7510.185539648437</v>
      </c>
      <c r="K39" s="116">
        <v>4513.2495798838245</v>
      </c>
      <c r="L39" s="116">
        <v>6720.0897971167915</v>
      </c>
      <c r="M39" s="116">
        <v>2779.3964118543627</v>
      </c>
      <c r="N39" s="116">
        <v>5799.099706641965</v>
      </c>
      <c r="O39" s="116">
        <v>2868.4611565408968</v>
      </c>
      <c r="P39" s="116">
        <v>4275.26930523177</v>
      </c>
    </row>
    <row r="40" spans="1:18" x14ac:dyDescent="0.2">
      <c r="A40" s="116">
        <v>5838.2420173592154</v>
      </c>
      <c r="B40" s="208">
        <v>8889.2543853206844</v>
      </c>
      <c r="C40" s="116">
        <v>5707.4275460368681</v>
      </c>
      <c r="D40" s="116">
        <v>8690.5095080125229</v>
      </c>
      <c r="E40" s="116">
        <v>5506.1530588188261</v>
      </c>
      <c r="F40" s="116">
        <v>8384.6989565547865</v>
      </c>
      <c r="G40" s="116">
        <v>5211.6620211714726</v>
      </c>
      <c r="H40" s="116">
        <v>7937.2133984213106</v>
      </c>
      <c r="I40" s="116">
        <v>4794.2625122317795</v>
      </c>
      <c r="J40" s="116">
        <v>7302.8712796569944</v>
      </c>
      <c r="K40" s="116">
        <v>4228.9052652191313</v>
      </c>
      <c r="L40" s="116">
        <v>6443.475423059951</v>
      </c>
      <c r="M40" s="116">
        <v>2605.0553648284308</v>
      </c>
      <c r="N40" s="116">
        <v>5565.9609488265005</v>
      </c>
    </row>
    <row r="41" spans="1:18" x14ac:dyDescent="0.2">
      <c r="A41" s="116">
        <v>5659.0785258169299</v>
      </c>
      <c r="B41" s="208">
        <v>8822.4381744060265</v>
      </c>
      <c r="C41" s="116">
        <v>5517.8626468087323</v>
      </c>
      <c r="D41" s="116">
        <v>8602.7742916800598</v>
      </c>
      <c r="E41" s="116">
        <v>5303.0061912890105</v>
      </c>
      <c r="F41" s="116">
        <v>8268.5392021366915</v>
      </c>
      <c r="G41" s="116">
        <v>4990.2303778592777</v>
      </c>
      <c r="H41" s="116">
        <v>7781.9230408361636</v>
      </c>
      <c r="I41" s="116">
        <v>4552.8944669267157</v>
      </c>
      <c r="J41" s="116">
        <v>7101.4040451694045</v>
      </c>
      <c r="K41" s="116">
        <v>3959.8528840358649</v>
      </c>
      <c r="L41" s="116">
        <v>6178.3555058989468</v>
      </c>
      <c r="M41" s="116">
        <v>2381.8253157846275</v>
      </c>
      <c r="N41" s="116">
        <v>5214.288450955004</v>
      </c>
    </row>
    <row r="42" spans="1:18" x14ac:dyDescent="0.2">
      <c r="A42" s="116">
        <v>5481.8641219127867</v>
      </c>
      <c r="B42" s="208">
        <v>8756.2828955954483</v>
      </c>
      <c r="C42" s="116">
        <v>5331.1397240220276</v>
      </c>
      <c r="D42" s="116">
        <v>8516.0791414912492</v>
      </c>
      <c r="E42" s="116">
        <v>5104.0435226423497</v>
      </c>
      <c r="F42" s="116">
        <v>8154.1364445812032</v>
      </c>
      <c r="G42" s="116">
        <v>4775.1036994584911</v>
      </c>
      <c r="H42" s="116">
        <v>7629.8090843826512</v>
      </c>
      <c r="I42" s="116">
        <v>4320.8632464354905</v>
      </c>
      <c r="J42" s="116">
        <v>6905.6197713927768</v>
      </c>
      <c r="K42" s="116">
        <v>3705.4917258465625</v>
      </c>
      <c r="L42" s="116">
        <v>5924.251005390287</v>
      </c>
      <c r="M42" s="116">
        <v>2176.6653179126984</v>
      </c>
      <c r="N42" s="116">
        <v>4885.0166339795105</v>
      </c>
    </row>
    <row r="43" spans="1:18" x14ac:dyDescent="0.2">
      <c r="A43" s="116">
        <v>5306.8242435802813</v>
      </c>
      <c r="B43" s="208">
        <v>8690.7870563432425</v>
      </c>
      <c r="C43" s="116">
        <v>5147.4597223116989</v>
      </c>
      <c r="D43" s="116">
        <v>8430.4161791358765</v>
      </c>
      <c r="E43" s="116">
        <v>4909.4184884111155</v>
      </c>
      <c r="F43" s="116">
        <v>8041.467794219735</v>
      </c>
      <c r="G43" s="116">
        <v>4566.3379054430789</v>
      </c>
      <c r="H43" s="116">
        <v>7480.8092480203841</v>
      </c>
      <c r="I43" s="116">
        <v>4098.0374017444219</v>
      </c>
      <c r="J43" s="116">
        <v>6715.3596475101149</v>
      </c>
      <c r="K43" s="116">
        <v>3465.2449050613222</v>
      </c>
      <c r="L43" s="116">
        <v>5680.7042662930126</v>
      </c>
      <c r="M43" s="116">
        <v>1988.2059043456945</v>
      </c>
      <c r="N43" s="116">
        <v>4576.7090929049018</v>
      </c>
    </row>
    <row r="44" spans="1:18" x14ac:dyDescent="0.2">
      <c r="A44" s="116">
        <v>5134.1669377847547</v>
      </c>
      <c r="B44" s="208">
        <v>8625.9484575718743</v>
      </c>
      <c r="C44" s="116">
        <v>4967.0043949028577</v>
      </c>
      <c r="D44" s="116">
        <v>8345.776872164688</v>
      </c>
      <c r="E44" s="116">
        <v>4719.2633904127297</v>
      </c>
      <c r="F44" s="116">
        <v>7930.5099364999405</v>
      </c>
      <c r="G44" s="116">
        <v>4363.9665666357696</v>
      </c>
      <c r="H44" s="116">
        <v>7334.8617362952009</v>
      </c>
      <c r="I44" s="116">
        <v>3884.2661261233325</v>
      </c>
      <c r="J44" s="116">
        <v>6530.4685722365348</v>
      </c>
      <c r="K44" s="116">
        <v>3238.5360950799422</v>
      </c>
      <c r="L44" s="116">
        <v>5447.2759352466555</v>
      </c>
      <c r="M44" s="116">
        <v>1815.1908988596858</v>
      </c>
      <c r="N44" s="116">
        <v>4288.0258656851411</v>
      </c>
    </row>
    <row r="45" spans="1:18" x14ac:dyDescent="0.2">
      <c r="A45" s="116">
        <v>4951.1568267402326</v>
      </c>
      <c r="B45" s="208">
        <v>8539.5165298119045</v>
      </c>
      <c r="C45" s="116">
        <v>4771.7134119618022</v>
      </c>
      <c r="D45" s="116">
        <v>8230.7845253644045</v>
      </c>
      <c r="E45" s="116">
        <v>4507.3794763831111</v>
      </c>
      <c r="F45" s="116">
        <v>7775.9445585473095</v>
      </c>
      <c r="G45" s="116">
        <v>4133.82593573138</v>
      </c>
      <c r="H45" s="116">
        <v>7133.0571832961241</v>
      </c>
      <c r="I45" s="116">
        <v>3627.9739267349973</v>
      </c>
      <c r="J45" s="116">
        <v>6262.2486548724291</v>
      </c>
      <c r="K45" s="116">
        <v>2952.5919068806215</v>
      </c>
      <c r="L45" s="116">
        <v>5099.120683968622</v>
      </c>
      <c r="M45" s="116">
        <v>1656.4472751609271</v>
      </c>
      <c r="N45" s="116">
        <v>4017.7119328596668</v>
      </c>
    </row>
    <row r="46" spans="1:18" x14ac:dyDescent="0.2">
      <c r="A46" s="116">
        <v>4771.7969591352621</v>
      </c>
      <c r="B46" s="208">
        <v>8454.1232955184987</v>
      </c>
      <c r="C46" s="116">
        <v>4581.3405170045135</v>
      </c>
      <c r="D46" s="116">
        <v>8117.542508491556</v>
      </c>
      <c r="E46" s="116">
        <v>4302.4138679266762</v>
      </c>
      <c r="F46" s="116">
        <v>7624.5476683680517</v>
      </c>
      <c r="G46" s="116">
        <v>3913.4585062382266</v>
      </c>
      <c r="H46" s="116">
        <v>6936.9470651924603</v>
      </c>
      <c r="I46" s="116">
        <v>3386.5417617100275</v>
      </c>
      <c r="J46" s="116">
        <v>6005.1684641245583</v>
      </c>
      <c r="K46" s="116">
        <v>2690.2575894994752</v>
      </c>
      <c r="L46" s="116">
        <v>4773.3156967533296</v>
      </c>
    </row>
    <row r="47" spans="1:18" x14ac:dyDescent="0.2">
      <c r="A47" s="116">
        <v>4596.2151020134434</v>
      </c>
      <c r="B47" s="208">
        <v>8369.7580976122663</v>
      </c>
      <c r="C47" s="116">
        <v>4395.9585825924396</v>
      </c>
      <c r="D47" s="116">
        <v>8006.0250580972679</v>
      </c>
      <c r="E47" s="116">
        <v>4104.3324062117354</v>
      </c>
      <c r="F47" s="116">
        <v>7476.2539324314548</v>
      </c>
      <c r="G47" s="116">
        <v>3702.6347417545207</v>
      </c>
      <c r="H47" s="116">
        <v>6746.3688987445385</v>
      </c>
      <c r="I47" s="116">
        <v>3159.285150162887</v>
      </c>
      <c r="J47" s="116">
        <v>5758.7615135509559</v>
      </c>
      <c r="K47" s="116">
        <v>2449.7494190505558</v>
      </c>
      <c r="L47" s="116">
        <v>4468.420098287359</v>
      </c>
    </row>
    <row r="48" spans="1:18" x14ac:dyDescent="0.2">
      <c r="A48" s="116">
        <v>4424.5268956726331</v>
      </c>
      <c r="B48" s="208">
        <v>8286.41041886528</v>
      </c>
      <c r="C48" s="116">
        <v>4215.6297594821335</v>
      </c>
      <c r="D48" s="116">
        <v>7896.2070221764816</v>
      </c>
      <c r="E48" s="116">
        <v>3913.0942273612591</v>
      </c>
      <c r="F48" s="116">
        <v>7330.9999131587274</v>
      </c>
      <c r="G48" s="116">
        <v>3501.1272663929299</v>
      </c>
      <c r="H48" s="116">
        <v>6561.1657162897691</v>
      </c>
      <c r="I48" s="116">
        <v>2945.5537011436654</v>
      </c>
      <c r="J48" s="116">
        <v>5522.5824569424367</v>
      </c>
      <c r="K48" s="116">
        <v>2229.4259757791442</v>
      </c>
      <c r="L48" s="116">
        <v>4183.0884467265878</v>
      </c>
    </row>
    <row r="49" spans="1:12" x14ac:dyDescent="0.2">
      <c r="A49" s="116">
        <v>4256.8307404075813</v>
      </c>
      <c r="B49" s="208">
        <v>8204.0694026896454</v>
      </c>
      <c r="C49" s="116">
        <v>4040.3982577682109</v>
      </c>
      <c r="D49" s="116">
        <v>7788.0631615352677</v>
      </c>
      <c r="E49" s="116">
        <v>3728.6412348821805</v>
      </c>
      <c r="F49" s="116">
        <v>7188.7230125741044</v>
      </c>
      <c r="G49" s="116">
        <v>3308.6969866347758</v>
      </c>
      <c r="H49" s="116">
        <v>6381.184565778738</v>
      </c>
      <c r="I49" s="116">
        <v>2744.7084909721061</v>
      </c>
      <c r="J49" s="116">
        <v>5296.2041293436496</v>
      </c>
      <c r="K49" s="116">
        <v>2027.7479176363602</v>
      </c>
      <c r="L49" s="116">
        <v>3916.0615728203293</v>
      </c>
    </row>
    <row r="50" spans="1:12" x14ac:dyDescent="0.2">
      <c r="A50" s="116">
        <v>4077.6323009078246</v>
      </c>
      <c r="B50" s="208">
        <v>8091.8859042901686</v>
      </c>
      <c r="C50" s="116">
        <v>3847.8254382006276</v>
      </c>
      <c r="D50" s="116">
        <v>7637.0827712949986</v>
      </c>
      <c r="E50" s="116">
        <v>3521.7765917921579</v>
      </c>
      <c r="F50" s="116">
        <v>6991.6802207223773</v>
      </c>
      <c r="G50" s="116">
        <v>3081.4219563248848</v>
      </c>
      <c r="H50" s="116">
        <v>6119.7456446825154</v>
      </c>
      <c r="I50" s="116">
        <v>2495.0966520110028</v>
      </c>
      <c r="J50" s="116">
        <v>4958.2320777728555</v>
      </c>
    </row>
    <row r="51" spans="1:12" x14ac:dyDescent="0.2">
      <c r="A51" s="116">
        <v>3903.843396600686</v>
      </c>
      <c r="B51" s="208">
        <v>7981.412736016222</v>
      </c>
      <c r="C51" s="116">
        <v>3662.4268935488226</v>
      </c>
      <c r="D51" s="116">
        <v>7489.1949351557123</v>
      </c>
      <c r="E51" s="116">
        <v>3324.5669193866647</v>
      </c>
      <c r="F51" s="116">
        <v>6800.188989854104</v>
      </c>
      <c r="G51" s="116">
        <v>2868.1826344102446</v>
      </c>
      <c r="H51" s="116">
        <v>5869.1482554547056</v>
      </c>
      <c r="I51" s="116">
        <v>2266.9331683169657</v>
      </c>
      <c r="J51" s="116">
        <v>4641.9307792732861</v>
      </c>
    </row>
    <row r="52" spans="1:12" x14ac:dyDescent="0.2">
      <c r="A52" s="116">
        <v>3735.4558285691869</v>
      </c>
      <c r="B52" s="208">
        <v>7872.6229062805469</v>
      </c>
      <c r="C52" s="116">
        <v>3484.0866181645092</v>
      </c>
      <c r="D52" s="116">
        <v>7344.3342014218197</v>
      </c>
      <c r="E52" s="116">
        <v>3136.7077085114474</v>
      </c>
      <c r="F52" s="116">
        <v>6614.0894980501953</v>
      </c>
      <c r="G52" s="116">
        <v>2668.2507466064026</v>
      </c>
      <c r="H52" s="116">
        <v>5628.9375596882619</v>
      </c>
      <c r="I52" s="116">
        <v>2058.5028915293069</v>
      </c>
      <c r="J52" s="116">
        <v>4345.9034895305749</v>
      </c>
    </row>
    <row r="53" spans="1:12" x14ac:dyDescent="0.2">
      <c r="A53" s="116">
        <v>3572.4540889794648</v>
      </c>
      <c r="B53" s="208">
        <v>7765.4901748667999</v>
      </c>
      <c r="C53" s="116">
        <v>3312.6866177553206</v>
      </c>
      <c r="D53" s="116">
        <v>7202.4371315650951</v>
      </c>
      <c r="E53" s="116">
        <v>2957.9029620696483</v>
      </c>
      <c r="F53" s="116">
        <v>6433.2274697161429</v>
      </c>
      <c r="G53" s="116">
        <v>2480.9398206722403</v>
      </c>
      <c r="H53" s="116">
        <v>5398.6794324625698</v>
      </c>
      <c r="I53" s="116">
        <v>1868.2366034916818</v>
      </c>
      <c r="J53" s="116">
        <v>4068.845999706798</v>
      </c>
    </row>
    <row r="54" spans="1:12" x14ac:dyDescent="0.2">
      <c r="A54" s="116">
        <v>3414.8088681807144</v>
      </c>
      <c r="B54" s="208">
        <v>7659.9883914175107</v>
      </c>
      <c r="C54" s="116">
        <v>3148.0972652518331</v>
      </c>
      <c r="D54" s="116">
        <v>7063.4413055262548</v>
      </c>
      <c r="E54" s="116">
        <v>2787.8522734597423</v>
      </c>
      <c r="F54" s="116">
        <v>6257.4527641801851</v>
      </c>
      <c r="G54" s="116">
        <v>2305.5837577644861</v>
      </c>
      <c r="H54" s="116">
        <v>5177.9576702311588</v>
      </c>
      <c r="I54" s="116">
        <v>1694.672386313516</v>
      </c>
      <c r="J54" s="116">
        <v>3809.5378953319882</v>
      </c>
    </row>
    <row r="55" spans="1:12" x14ac:dyDescent="0.2">
      <c r="A55" s="116">
        <v>3243.5364678730421</v>
      </c>
      <c r="B55" s="208">
        <v>7512.333148493678</v>
      </c>
      <c r="C55" s="116">
        <v>2965.6494328058852</v>
      </c>
      <c r="D55" s="116">
        <v>6870.6034401018469</v>
      </c>
      <c r="E55" s="116">
        <v>2589.5430840304421</v>
      </c>
      <c r="F55" s="116">
        <v>6001.7575561982276</v>
      </c>
      <c r="G55" s="116">
        <v>2090.3982900765836</v>
      </c>
      <c r="H55" s="116">
        <v>4848.0774397440209</v>
      </c>
    </row>
    <row r="56" spans="1:12" x14ac:dyDescent="0.2">
      <c r="A56" s="116">
        <v>3079.3363448570731</v>
      </c>
      <c r="B56" s="208">
        <v>7367.6921583135327</v>
      </c>
      <c r="C56" s="116">
        <v>2792.3967799803177</v>
      </c>
      <c r="D56" s="116">
        <v>6683.1828489885647</v>
      </c>
      <c r="E56" s="116">
        <v>2404.1502570637895</v>
      </c>
      <c r="F56" s="116">
        <v>5756.642475530216</v>
      </c>
      <c r="G56" s="116">
        <v>1894.3537671427816</v>
      </c>
      <c r="H56" s="116">
        <v>4539.3176580072777</v>
      </c>
    </row>
    <row r="57" spans="1:12" x14ac:dyDescent="0.2">
      <c r="A57" s="116">
        <v>2922.0331009535548</v>
      </c>
      <c r="B57" s="208">
        <v>7226.0005987726354</v>
      </c>
      <c r="C57" s="116">
        <v>2627.9883426684491</v>
      </c>
      <c r="D57" s="116">
        <v>6501.0228751656168</v>
      </c>
      <c r="E57" s="116">
        <v>2230.9383659051027</v>
      </c>
      <c r="F57" s="116">
        <v>5521.6636070436853</v>
      </c>
      <c r="G57" s="116">
        <v>1715.8440778605241</v>
      </c>
      <c r="H57" s="116">
        <v>4250.3182533373856</v>
      </c>
    </row>
    <row r="58" spans="1:12" x14ac:dyDescent="0.2">
      <c r="A58" s="116">
        <v>2771.453823277725</v>
      </c>
      <c r="B58" s="208">
        <v>7087.1956957143575</v>
      </c>
      <c r="C58" s="116">
        <v>2472.0869289476273</v>
      </c>
      <c r="D58" s="116">
        <v>6323.9723488740547</v>
      </c>
      <c r="E58" s="116">
        <v>2069.21874114518</v>
      </c>
      <c r="F58" s="116">
        <v>5296.3972627981748</v>
      </c>
      <c r="G58" s="116">
        <v>1553.4071960781655</v>
      </c>
      <c r="H58" s="116">
        <v>3979.8091616447441</v>
      </c>
    </row>
    <row r="59" spans="1:12" x14ac:dyDescent="0.2">
      <c r="A59" s="116">
        <v>2627.4193868509897</v>
      </c>
      <c r="B59" s="208">
        <v>6951.2158019826484</v>
      </c>
      <c r="C59" s="116">
        <v>2324.3572966378138</v>
      </c>
      <c r="D59" s="116">
        <v>6151.8842765595427</v>
      </c>
      <c r="E59" s="116">
        <v>1918.3296041671981</v>
      </c>
      <c r="F59" s="116">
        <v>5080.4373660416013</v>
      </c>
      <c r="G59" s="116">
        <v>1405.6889808594553</v>
      </c>
      <c r="H59" s="116">
        <v>3726.6019821438963</v>
      </c>
    </row>
    <row r="60" spans="1:12" x14ac:dyDescent="0.2">
      <c r="A60" s="116">
        <v>2469.3177657953056</v>
      </c>
      <c r="B60" s="208">
        <v>6762.2132234982701</v>
      </c>
      <c r="C60" s="116">
        <v>2153.9275208119857</v>
      </c>
      <c r="D60" s="116">
        <v>5901.1769304342324</v>
      </c>
      <c r="E60" s="116">
        <v>1735.1787936732328</v>
      </c>
      <c r="F60" s="116">
        <v>4757.3146309348776</v>
      </c>
    </row>
    <row r="61" spans="1:12" x14ac:dyDescent="0.2">
      <c r="A61" s="116">
        <v>2319.7041520528396</v>
      </c>
      <c r="B61" s="208">
        <v>6578.49945105809</v>
      </c>
      <c r="C61" s="116">
        <v>1995.1098274303542</v>
      </c>
      <c r="D61" s="116">
        <v>5660.8158835195136</v>
      </c>
      <c r="E61" s="116">
        <v>1568.8147379345869</v>
      </c>
      <c r="F61" s="116">
        <v>4454.844978576607</v>
      </c>
    </row>
    <row r="62" spans="1:12" x14ac:dyDescent="0.2">
      <c r="A62" s="116">
        <v>2178.2075187502505</v>
      </c>
      <c r="B62" s="208">
        <v>6399.9213435313368</v>
      </c>
      <c r="C62" s="116">
        <v>1847.1921486305303</v>
      </c>
      <c r="D62" s="116">
        <v>5430.3675368325494</v>
      </c>
      <c r="E62" s="116">
        <v>1417.7700899948779</v>
      </c>
      <c r="F62" s="116">
        <v>4171.7002188997267</v>
      </c>
    </row>
    <row r="63" spans="1:12" x14ac:dyDescent="0.2">
      <c r="A63" s="116">
        <v>2044.4744080719033</v>
      </c>
      <c r="B63" s="208">
        <v>6226.3311416094175</v>
      </c>
      <c r="C63" s="116">
        <v>1709.5113776098399</v>
      </c>
      <c r="D63" s="116">
        <v>5209.4180112505474</v>
      </c>
      <c r="E63" s="116">
        <v>1280.7150806045343</v>
      </c>
      <c r="F63" s="116">
        <v>3906.6398892284778</v>
      </c>
    </row>
    <row r="64" spans="1:12" x14ac:dyDescent="0.2">
      <c r="A64" s="116">
        <v>1918.1582801475836</v>
      </c>
      <c r="B64" s="208">
        <v>6057.585257501928</v>
      </c>
      <c r="C64" s="116">
        <v>1581.4353026543481</v>
      </c>
      <c r="D64" s="116">
        <v>4997.5707044474857</v>
      </c>
      <c r="E64" s="116">
        <v>1156.4243563113366</v>
      </c>
      <c r="F64" s="116">
        <v>3658.5032828088029</v>
      </c>
    </row>
    <row r="65" spans="1:20" x14ac:dyDescent="0.2">
      <c r="A65" s="116">
        <v>1773.7663789835358</v>
      </c>
      <c r="B65" s="208">
        <v>5811.3758265600954</v>
      </c>
      <c r="C65" s="116">
        <v>1427.428966589609</v>
      </c>
      <c r="D65" s="116">
        <v>4680.2469867267082</v>
      </c>
    </row>
    <row r="66" spans="1:20" x14ac:dyDescent="0.2">
      <c r="A66" s="116">
        <v>1639.5960280015765</v>
      </c>
      <c r="B66" s="208">
        <v>5575.2972653576526</v>
      </c>
      <c r="C66" s="116">
        <v>1287.9085167691655</v>
      </c>
      <c r="D66" s="116">
        <v>4383.1695160444151</v>
      </c>
    </row>
    <row r="67" spans="1:20" x14ac:dyDescent="0.2">
      <c r="A67" s="116">
        <v>1514.9815612399448</v>
      </c>
      <c r="B67" s="208">
        <v>5348.925910781677</v>
      </c>
      <c r="C67" s="116">
        <v>1161.5629307263955</v>
      </c>
      <c r="D67" s="116">
        <v>4105.0384388681932</v>
      </c>
    </row>
    <row r="68" spans="1:20" x14ac:dyDescent="0.2">
      <c r="A68" s="116">
        <v>1399.3060072070025</v>
      </c>
      <c r="B68" s="208">
        <v>5131.8572972671118</v>
      </c>
      <c r="C68" s="116">
        <v>1047.2087432531719</v>
      </c>
      <c r="D68" s="116">
        <v>3844.6395392852119</v>
      </c>
    </row>
    <row r="69" spans="1:20" x14ac:dyDescent="0.2">
      <c r="A69" s="116">
        <v>1291.9849595586704</v>
      </c>
      <c r="B69" s="208">
        <v>4923.7038796897668</v>
      </c>
      <c r="C69" s="116">
        <v>943.76029325606885</v>
      </c>
      <c r="D69" s="116">
        <v>3600.836616032921</v>
      </c>
    </row>
    <row r="70" spans="1:20" x14ac:dyDescent="0.2">
      <c r="A70" s="116">
        <v>1163.9755683693052</v>
      </c>
      <c r="B70" s="208">
        <v>4611.5723872985427</v>
      </c>
    </row>
    <row r="71" spans="1:20" x14ac:dyDescent="0.2">
      <c r="A71" s="116">
        <v>1048.2793397362825</v>
      </c>
      <c r="B71" s="208">
        <v>4319.3196581222919</v>
      </c>
    </row>
    <row r="72" spans="1:20" x14ac:dyDescent="0.2">
      <c r="A72" s="116">
        <v>943.74839687923622</v>
      </c>
      <c r="B72" s="208">
        <v>4045.6718365974257</v>
      </c>
    </row>
    <row r="73" spans="1:20" x14ac:dyDescent="0.2">
      <c r="A73" s="116">
        <v>849.35008419880364</v>
      </c>
      <c r="B73" s="208">
        <v>3789.4387425034834</v>
      </c>
    </row>
    <row r="74" spans="1:20" x14ac:dyDescent="0.2">
      <c r="A74" s="116">
        <v>764.14078402503162</v>
      </c>
      <c r="B74" s="208">
        <v>3549.5065750034728</v>
      </c>
    </row>
    <row r="75" spans="1:20" x14ac:dyDescent="0.2">
      <c r="A75" s="251">
        <f>(NPV(0.03,A16:A74)+A15)/10000</f>
        <v>18.152279536197153</v>
      </c>
      <c r="B75" s="251">
        <f>(NPV(0.03,B16:B74)+B15)/10000</f>
        <v>24.882033023075202</v>
      </c>
      <c r="C75" s="251">
        <f>(NPV(0.03,C16:C74)+C15)/10000</f>
        <v>17.758792181196966</v>
      </c>
      <c r="D75" s="251">
        <f>(NPV(0.03,D16:D74)+D15)/10000</f>
        <v>23.844112125482042</v>
      </c>
      <c r="E75" s="251">
        <f>(NPV(0.03,E16:E74)+E15)/10000</f>
        <v>17.241316770635024</v>
      </c>
      <c r="F75" s="251">
        <f>(NPV(0.03,F16:F74)+F15)/10000</f>
        <v>22.647605408343217</v>
      </c>
      <c r="G75" s="251">
        <f>(NPV(0.03,G16:G74)+G15)/10000</f>
        <v>16.578870298531651</v>
      </c>
      <c r="H75" s="251">
        <f>(NPV(0.03,H16:H74)+H15)/10000</f>
        <v>21.285421354584194</v>
      </c>
      <c r="I75" s="251">
        <f>(NPV(0.03,I16:I74)+I15)/10000</f>
        <v>15.74284499217536</v>
      </c>
      <c r="J75" s="251">
        <f>(NPV(0.03,J16:J74)+J15)/10000</f>
        <v>19.743805287964609</v>
      </c>
      <c r="K75" s="251">
        <f>(NPV(0.03,K16:K74)+K15)/10000</f>
        <v>14.712500737803731</v>
      </c>
      <c r="L75" s="251">
        <f>(NPV(0.03,L16:L74)+L15)/10000</f>
        <v>18.021100636048718</v>
      </c>
      <c r="M75" s="251">
        <f>(NPV(0.03,M16:M74)+M15)/10000</f>
        <v>9.979475832655142</v>
      </c>
      <c r="N75" s="251">
        <f>(NPV(0.03,N16:N74)+N15)/10000</f>
        <v>16.303509252842971</v>
      </c>
      <c r="O75" s="251">
        <f>(NPV(0.03,O16:O74)+O15)/10000</f>
        <v>12.053071785819906</v>
      </c>
      <c r="P75" s="251">
        <f>(NPV(0.03,P16:P74)+P15)/10000</f>
        <v>14.100714966392415</v>
      </c>
      <c r="Q75" s="251">
        <f>(NPV(0.03,Q16:Q74)+Q15)/10000</f>
        <v>10.390301633361787</v>
      </c>
      <c r="R75" s="251">
        <f>(NPV(0.03,R16:R74)+R15)/10000</f>
        <v>11.898558213516985</v>
      </c>
      <c r="S75" s="251">
        <f>(NPV(0.03,S16:S74)+S15)/10000</f>
        <v>8.4841960433948778</v>
      </c>
      <c r="T75" s="251">
        <f>(NPV(0.03,T16:T74)+T15)/10000</f>
        <v>9.5273373085224655</v>
      </c>
    </row>
    <row r="76" spans="1:20" x14ac:dyDescent="0.2">
      <c r="B76" s="251">
        <f>B75-A75</f>
        <v>6.7297534868780495</v>
      </c>
      <c r="D76" s="251">
        <f>D75-C75</f>
        <v>6.0853199442850752</v>
      </c>
      <c r="F76" s="251">
        <f>F75-E75</f>
        <v>5.4062886377081938</v>
      </c>
      <c r="H76" s="251">
        <f>H75-G75</f>
        <v>4.7065510560525432</v>
      </c>
      <c r="J76" s="251">
        <f>J75-I75</f>
        <v>4.0009602957892483</v>
      </c>
      <c r="L76" s="251">
        <f>L75-K75</f>
        <v>3.3085998982449869</v>
      </c>
      <c r="N76" s="251">
        <f>N75-M75</f>
        <v>6.3240334201878294</v>
      </c>
      <c r="P76" s="251">
        <f>P75-O75</f>
        <v>2.0476431805725088</v>
      </c>
      <c r="R76" s="251">
        <f>R75-Q75</f>
        <v>1.5082565801551979</v>
      </c>
      <c r="T76" s="251">
        <f>T75-S75</f>
        <v>1.0431412651275878</v>
      </c>
    </row>
    <row r="77" spans="1:20" x14ac:dyDescent="0.2">
      <c r="A77" s="116">
        <f>SUM(A15:A74)/10000</f>
        <v>30.318138204153588</v>
      </c>
      <c r="B77" s="208">
        <f>SUM(B15:B74)/10000</f>
        <v>47.785721304848458</v>
      </c>
      <c r="C77" s="208">
        <f t="shared" ref="C77:T77" si="9">SUM(C15:C74)/10000</f>
        <v>28.941353830028046</v>
      </c>
      <c r="D77" s="208">
        <f t="shared" si="9"/>
        <v>43.575888093779724</v>
      </c>
      <c r="E77" s="208">
        <f t="shared" si="9"/>
        <v>27.324277090886021</v>
      </c>
      <c r="F77" s="208">
        <f t="shared" si="9"/>
        <v>39.343064960653813</v>
      </c>
      <c r="G77" s="208">
        <f t="shared" si="9"/>
        <v>25.462890193088345</v>
      </c>
      <c r="H77" s="208">
        <f t="shared" si="9"/>
        <v>35.114298747514859</v>
      </c>
      <c r="I77" s="208">
        <f t="shared" si="9"/>
        <v>23.351221573863587</v>
      </c>
      <c r="J77" s="208">
        <f t="shared" si="9"/>
        <v>30.904406437322685</v>
      </c>
      <c r="K77" s="208">
        <f t="shared" si="9"/>
        <v>21.004831552807421</v>
      </c>
      <c r="L77" s="208">
        <f t="shared" si="9"/>
        <v>26.745770876472665</v>
      </c>
      <c r="M77" s="208">
        <f t="shared" si="9"/>
        <v>13.731624972796091</v>
      </c>
      <c r="N77" s="208">
        <f t="shared" si="9"/>
        <v>23.191799974038826</v>
      </c>
      <c r="O77" s="208">
        <f t="shared" si="9"/>
        <v>15.78490578624729</v>
      </c>
      <c r="P77" s="208">
        <f t="shared" si="9"/>
        <v>18.778214083642439</v>
      </c>
      <c r="Q77" s="208">
        <f t="shared" si="9"/>
        <v>12.96849797701055</v>
      </c>
      <c r="R77" s="208">
        <f t="shared" si="9"/>
        <v>14.993036382118207</v>
      </c>
      <c r="S77" s="208">
        <f t="shared" si="9"/>
        <v>10.057181207015967</v>
      </c>
      <c r="T77" s="208">
        <f t="shared" si="9"/>
        <v>11.345572471729424</v>
      </c>
    </row>
    <row r="326" spans="1:1" x14ac:dyDescent="0.2">
      <c r="A326" s="116">
        <v>6339.516562240402</v>
      </c>
    </row>
    <row r="338" spans="1:1" x14ac:dyDescent="0.2">
      <c r="A338" s="116">
        <v>6145.2925392661191</v>
      </c>
    </row>
    <row r="350" spans="1:1" x14ac:dyDescent="0.2">
      <c r="A350" s="116">
        <v>5953.1349242174474</v>
      </c>
    </row>
    <row r="362" spans="1:1" x14ac:dyDescent="0.2">
      <c r="A362" s="116">
        <v>5763.2922491939844</v>
      </c>
    </row>
    <row r="374" spans="1:1" x14ac:dyDescent="0.2">
      <c r="A374" s="116">
        <v>5575.9941654280774</v>
      </c>
    </row>
    <row r="386" spans="1:1" x14ac:dyDescent="0.2">
      <c r="A386" s="116">
        <v>5377.2993415487881</v>
      </c>
    </row>
    <row r="398" spans="1:1" x14ac:dyDescent="0.2">
      <c r="A398" s="116">
        <v>5182.5405537789247</v>
      </c>
    </row>
    <row r="410" spans="1:1" x14ac:dyDescent="0.2">
      <c r="A410" s="116">
        <v>4991.8603317344523</v>
      </c>
    </row>
    <row r="422" spans="1:1" x14ac:dyDescent="0.2">
      <c r="A422" s="116">
        <v>4805.3874403873624</v>
      </c>
    </row>
    <row r="434" spans="1:1" x14ac:dyDescent="0.2">
      <c r="A434" s="116">
        <v>4623.2317545168044</v>
      </c>
    </row>
    <row r="446" spans="1:1" x14ac:dyDescent="0.2">
      <c r="A446" s="116">
        <v>4428.438038044691</v>
      </c>
    </row>
    <row r="458" spans="1:1" x14ac:dyDescent="0.2">
      <c r="A458" s="116">
        <v>4239.5179680164092</v>
      </c>
    </row>
    <row r="470" spans="1:1" x14ac:dyDescent="0.2">
      <c r="A470" s="116">
        <v>4056.4650550866354</v>
      </c>
    </row>
    <row r="482" spans="1:1" x14ac:dyDescent="0.2">
      <c r="A482" s="116">
        <v>3879.2640933517437</v>
      </c>
    </row>
    <row r="494" spans="1:1" x14ac:dyDescent="0.2">
      <c r="A494" s="116">
        <v>3707.8847022964264</v>
      </c>
    </row>
    <row r="506" spans="1:1" x14ac:dyDescent="0.2">
      <c r="A506" s="116">
        <v>3522.0523335850448</v>
      </c>
    </row>
    <row r="518" spans="1:1" x14ac:dyDescent="0.2">
      <c r="A518" s="116">
        <v>3343.875074977464</v>
      </c>
    </row>
    <row r="530" spans="1:1" x14ac:dyDescent="0.2">
      <c r="A530" s="116">
        <v>3173.1659894026102</v>
      </c>
    </row>
    <row r="542" spans="1:1" x14ac:dyDescent="0.2">
      <c r="A542" s="116">
        <v>3009.7396568683594</v>
      </c>
    </row>
    <row r="554" spans="1:1" x14ac:dyDescent="0.2">
      <c r="A554" s="116">
        <v>2853.4037517410006</v>
      </c>
    </row>
    <row r="566" spans="1:1" x14ac:dyDescent="0.2">
      <c r="A566" s="116">
        <v>2678.9339841825699</v>
      </c>
    </row>
    <row r="578" spans="1:1" x14ac:dyDescent="0.2">
      <c r="A578" s="116">
        <v>2514.0146353043488</v>
      </c>
    </row>
    <row r="590" spans="1:1" x14ac:dyDescent="0.2">
      <c r="A590" s="116">
        <v>2358.2160142933203</v>
      </c>
    </row>
    <row r="602" spans="1:1" x14ac:dyDescent="0.2">
      <c r="A602" s="116">
        <v>2211.129423766396</v>
      </c>
    </row>
    <row r="614" spans="1:1" x14ac:dyDescent="0.2">
      <c r="A614" s="116">
        <v>2072.3550596660048</v>
      </c>
    </row>
    <row r="626" spans="1:1" x14ac:dyDescent="0.2">
      <c r="A626" s="116">
        <v>1912.4835491744345</v>
      </c>
    </row>
    <row r="638" spans="1:1" x14ac:dyDescent="0.2">
      <c r="A638" s="116">
        <v>1764.2449123897961</v>
      </c>
    </row>
    <row r="650" spans="1:1" x14ac:dyDescent="0.2">
      <c r="A650" s="116">
        <v>1626.8568461999319</v>
      </c>
    </row>
    <row r="662" spans="1:1" x14ac:dyDescent="0.2">
      <c r="A662" s="116">
        <v>1499.5949128261529</v>
      </c>
    </row>
    <row r="674" spans="1:1" x14ac:dyDescent="0.2">
      <c r="A674" s="116">
        <v>1381.7749603441516</v>
      </c>
    </row>
    <row r="686" spans="1:1" x14ac:dyDescent="0.2">
      <c r="A686" s="116">
        <v>1241.8764853716841</v>
      </c>
    </row>
    <row r="698" spans="1:1" x14ac:dyDescent="0.2">
      <c r="A698" s="116">
        <v>1115.7467983543279</v>
      </c>
    </row>
    <row r="710" spans="1:1" x14ac:dyDescent="0.2">
      <c r="A710" s="116">
        <v>1002.0714031368096</v>
      </c>
    </row>
    <row r="722" spans="1:1" x14ac:dyDescent="0.2">
      <c r="A722" s="116">
        <v>899.66884564893314</v>
      </c>
    </row>
    <row r="734" spans="1:1" x14ac:dyDescent="0.2">
      <c r="A734" s="116">
        <v>807.46273352745106</v>
      </c>
    </row>
  </sheetData>
  <mergeCells count="9">
    <mergeCell ref="T1:V1"/>
    <mergeCell ref="W1:Y1"/>
    <mergeCell ref="Z1:AB1"/>
    <mergeCell ref="B1:D1"/>
    <mergeCell ref="E1:G1"/>
    <mergeCell ref="H1:J1"/>
    <mergeCell ref="K1:M1"/>
    <mergeCell ref="N1:P1"/>
    <mergeCell ref="Q1:S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outlinePr summaryBelow="0" summaryRight="0"/>
  </sheetPr>
  <dimension ref="A1:BT128"/>
  <sheetViews>
    <sheetView topLeftCell="M13" workbookViewId="0">
      <selection sqref="A1:B1"/>
    </sheetView>
  </sheetViews>
  <sheetFormatPr baseColWidth="10" defaultColWidth="12.5703125" defaultRowHeight="15.75" customHeight="1" x14ac:dyDescent="0.2"/>
  <sheetData>
    <row r="1" spans="1:72" ht="15" x14ac:dyDescent="0.2">
      <c r="A1" s="231"/>
      <c r="B1" s="230"/>
      <c r="C1" s="231"/>
      <c r="D1" s="230"/>
      <c r="E1" s="230"/>
      <c r="F1" s="230"/>
      <c r="G1" s="230"/>
      <c r="H1" s="230"/>
      <c r="I1" s="230"/>
      <c r="J1" s="230"/>
      <c r="K1" s="230"/>
      <c r="L1" s="230"/>
      <c r="M1" s="231"/>
      <c r="N1" s="230"/>
      <c r="O1" s="230"/>
      <c r="P1" s="230"/>
      <c r="Q1" s="230"/>
      <c r="R1" s="230"/>
      <c r="S1" s="230"/>
      <c r="T1" s="230"/>
      <c r="U1" s="230"/>
      <c r="V1" s="230"/>
      <c r="W1" s="231"/>
      <c r="X1" s="230"/>
      <c r="Y1" s="230"/>
      <c r="Z1" s="230"/>
      <c r="AA1" s="230"/>
      <c r="AB1" s="230"/>
      <c r="AC1" s="230"/>
      <c r="AD1" s="230"/>
      <c r="AE1" s="230"/>
      <c r="AF1" s="230"/>
      <c r="AG1" s="231"/>
      <c r="AH1" s="230"/>
      <c r="AI1" s="230"/>
      <c r="AJ1" s="230"/>
      <c r="AK1" s="230"/>
      <c r="AL1" s="230"/>
      <c r="AM1" s="230"/>
      <c r="AN1" s="230"/>
      <c r="AO1" s="230"/>
      <c r="AP1" s="230"/>
      <c r="AQ1" s="231"/>
      <c r="AR1" s="230"/>
      <c r="AS1" s="230"/>
      <c r="AT1" s="230"/>
      <c r="AU1" s="230"/>
      <c r="AV1" s="230"/>
      <c r="AW1" s="230"/>
      <c r="AX1" s="230"/>
      <c r="AY1" s="230"/>
      <c r="AZ1" s="230"/>
      <c r="BA1" s="231"/>
      <c r="BB1" s="230"/>
      <c r="BC1" s="230"/>
      <c r="BD1" s="230"/>
      <c r="BE1" s="230"/>
      <c r="BF1" s="230"/>
      <c r="BG1" s="230"/>
      <c r="BH1" s="230"/>
      <c r="BI1" s="230"/>
      <c r="BJ1" s="230"/>
      <c r="BK1" s="231"/>
      <c r="BL1" s="230"/>
      <c r="BM1" s="230"/>
      <c r="BN1" s="230"/>
      <c r="BO1" s="230"/>
      <c r="BP1" s="230"/>
      <c r="BQ1" s="230"/>
      <c r="BR1" s="230"/>
      <c r="BS1" s="230"/>
      <c r="BT1" s="230"/>
    </row>
    <row r="2" spans="1:72" ht="15" x14ac:dyDescent="0.2">
      <c r="A2" s="10"/>
      <c r="B2" s="10"/>
      <c r="C2" s="10"/>
      <c r="D2" s="10"/>
      <c r="E2" s="231"/>
      <c r="F2" s="230"/>
      <c r="G2" s="231"/>
      <c r="H2" s="230"/>
      <c r="I2" s="231"/>
      <c r="J2" s="230"/>
      <c r="K2" s="231"/>
      <c r="L2" s="230"/>
      <c r="M2" s="231"/>
      <c r="N2" s="230"/>
      <c r="O2" s="231"/>
      <c r="P2" s="230"/>
      <c r="Q2" s="231"/>
      <c r="R2" s="230"/>
      <c r="S2" s="231"/>
      <c r="T2" s="230"/>
      <c r="U2" s="231"/>
      <c r="V2" s="230"/>
      <c r="W2" s="231"/>
      <c r="X2" s="230"/>
      <c r="Y2" s="231"/>
      <c r="Z2" s="230"/>
      <c r="AA2" s="231"/>
      <c r="AB2" s="230"/>
      <c r="AC2" s="231"/>
      <c r="AD2" s="230"/>
      <c r="AE2" s="231"/>
      <c r="AF2" s="230"/>
      <c r="AG2" s="231"/>
      <c r="AH2" s="230"/>
      <c r="AI2" s="231"/>
      <c r="AJ2" s="230"/>
      <c r="AK2" s="231"/>
      <c r="AL2" s="230"/>
      <c r="AM2" s="231"/>
      <c r="AN2" s="230"/>
      <c r="AO2" s="231"/>
      <c r="AP2" s="230"/>
      <c r="AQ2" s="231"/>
      <c r="AR2" s="230"/>
      <c r="AS2" s="231"/>
      <c r="AT2" s="230"/>
      <c r="AU2" s="231"/>
      <c r="AV2" s="230"/>
      <c r="AW2" s="231"/>
      <c r="AX2" s="230"/>
      <c r="AY2" s="231"/>
      <c r="AZ2" s="230"/>
      <c r="BA2" s="231"/>
      <c r="BB2" s="230"/>
      <c r="BC2" s="231"/>
      <c r="BD2" s="230"/>
      <c r="BE2" s="231"/>
      <c r="BF2" s="230"/>
      <c r="BG2" s="231"/>
      <c r="BH2" s="230"/>
      <c r="BI2" s="231"/>
      <c r="BJ2" s="230"/>
      <c r="BK2" s="231"/>
      <c r="BL2" s="230"/>
      <c r="BM2" s="231"/>
      <c r="BN2" s="230"/>
      <c r="BO2" s="231"/>
      <c r="BP2" s="230"/>
      <c r="BQ2" s="231"/>
      <c r="BR2" s="230"/>
      <c r="BS2" s="231"/>
      <c r="BT2" s="230"/>
    </row>
    <row r="3" spans="1:72" ht="15" x14ac:dyDescent="0.2">
      <c r="A3" s="10"/>
      <c r="B3" s="11">
        <v>2019</v>
      </c>
      <c r="C3" s="11">
        <v>2019</v>
      </c>
      <c r="D3" s="11">
        <v>2015</v>
      </c>
      <c r="E3" s="11">
        <v>2015</v>
      </c>
      <c r="F3" s="229">
        <v>2010</v>
      </c>
      <c r="G3" s="230"/>
      <c r="H3" s="229">
        <v>2005</v>
      </c>
      <c r="I3" s="230"/>
      <c r="J3" s="11">
        <v>2000</v>
      </c>
      <c r="K3" s="11">
        <v>2000</v>
      </c>
      <c r="L3" s="229">
        <v>2019</v>
      </c>
      <c r="M3" s="230"/>
      <c r="N3" s="229">
        <v>2015</v>
      </c>
      <c r="O3" s="230"/>
      <c r="P3" s="229">
        <v>2010</v>
      </c>
      <c r="Q3" s="230"/>
      <c r="R3" s="229">
        <v>2005</v>
      </c>
      <c r="S3" s="230"/>
      <c r="T3" s="229">
        <v>2000</v>
      </c>
      <c r="U3" s="23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</row>
    <row r="4" spans="1:72" ht="15.75" customHeight="1" x14ac:dyDescent="0.25">
      <c r="A4" s="12"/>
      <c r="B4" s="11" t="s">
        <v>182</v>
      </c>
      <c r="C4" s="11" t="s">
        <v>183</v>
      </c>
      <c r="D4" s="11" t="s">
        <v>182</v>
      </c>
      <c r="E4" s="11" t="s">
        <v>183</v>
      </c>
      <c r="F4" s="11" t="s">
        <v>182</v>
      </c>
      <c r="G4" s="11" t="s">
        <v>183</v>
      </c>
      <c r="H4" s="11" t="s">
        <v>182</v>
      </c>
      <c r="I4" s="11" t="s">
        <v>183</v>
      </c>
      <c r="J4" s="11" t="s">
        <v>182</v>
      </c>
      <c r="K4" s="11" t="s">
        <v>183</v>
      </c>
      <c r="L4" s="11" t="s">
        <v>182</v>
      </c>
      <c r="M4" s="11" t="s">
        <v>183</v>
      </c>
      <c r="N4" s="11" t="s">
        <v>182</v>
      </c>
      <c r="O4" s="11" t="s">
        <v>183</v>
      </c>
      <c r="P4" s="11" t="s">
        <v>182</v>
      </c>
      <c r="Q4" s="11" t="s">
        <v>183</v>
      </c>
      <c r="R4" s="11" t="s">
        <v>182</v>
      </c>
      <c r="S4" s="11" t="s">
        <v>183</v>
      </c>
      <c r="T4" s="11" t="s">
        <v>182</v>
      </c>
      <c r="U4" s="11" t="s">
        <v>183</v>
      </c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</row>
    <row r="5" spans="1:72" ht="15.75" customHeight="1" x14ac:dyDescent="0.25">
      <c r="A5" s="25" t="s">
        <v>45</v>
      </c>
      <c r="B5" s="29">
        <v>2.7794345000000002E-2</v>
      </c>
      <c r="C5" s="29">
        <v>2.7840879999999998E-2</v>
      </c>
      <c r="D5" s="29">
        <v>2.7743176000000001E-2</v>
      </c>
      <c r="E5" s="29">
        <v>3.6650596000000001E-2</v>
      </c>
      <c r="F5" s="29">
        <v>3.628033E-2</v>
      </c>
      <c r="G5" s="29">
        <v>3.7059556E-2</v>
      </c>
      <c r="H5" s="29">
        <v>4.4590229000000002E-2</v>
      </c>
      <c r="I5" s="29">
        <v>4.4011462000000001E-2</v>
      </c>
      <c r="J5" s="29">
        <v>4.5222848000000003E-2</v>
      </c>
      <c r="K5" s="27">
        <v>7.0000000000000007E-2</v>
      </c>
      <c r="L5" s="27">
        <v>2.8000000000000001E-2</v>
      </c>
      <c r="M5" s="27">
        <v>2.8000000000000001E-2</v>
      </c>
      <c r="N5" s="27">
        <v>3.5999999999999997E-2</v>
      </c>
      <c r="O5" s="27">
        <v>3.6999999999999998E-2</v>
      </c>
      <c r="P5" s="27">
        <v>4.3999999999999997E-2</v>
      </c>
      <c r="Q5" s="27">
        <v>4.4999999999999998E-2</v>
      </c>
      <c r="R5" s="27">
        <v>5.5E-2</v>
      </c>
      <c r="S5" s="27">
        <v>5.7000000000000002E-2</v>
      </c>
      <c r="T5" s="27">
        <v>6.7000000000000004E-2</v>
      </c>
      <c r="U5" s="27">
        <v>6.7000000000000004E-2</v>
      </c>
      <c r="V5" s="15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</row>
    <row r="6" spans="1:72" ht="15.75" customHeight="1" x14ac:dyDescent="0.25">
      <c r="A6" s="25" t="s">
        <v>46</v>
      </c>
      <c r="B6" s="29">
        <v>6.2136400000000003E-3</v>
      </c>
      <c r="C6" s="29">
        <v>5.5649439999999996E-3</v>
      </c>
      <c r="D6" s="29">
        <v>6.9271130000000004E-3</v>
      </c>
      <c r="E6" s="29">
        <v>8.8611409999999995E-3</v>
      </c>
      <c r="F6" s="29">
        <v>7.7181899999999998E-3</v>
      </c>
      <c r="G6" s="29">
        <v>1.0117338999999999E-2</v>
      </c>
      <c r="H6" s="29">
        <v>1.3604059E-2</v>
      </c>
      <c r="I6" s="29">
        <v>1.1480575999999999E-2</v>
      </c>
      <c r="J6" s="29">
        <v>1.5952227999999999E-2</v>
      </c>
      <c r="K6" s="27">
        <v>8.0000000000000002E-3</v>
      </c>
      <c r="L6" s="27">
        <v>6.0000000000000001E-3</v>
      </c>
      <c r="M6" s="27">
        <v>7.0000000000000001E-3</v>
      </c>
      <c r="N6" s="27">
        <v>8.0000000000000002E-3</v>
      </c>
      <c r="O6" s="27">
        <v>0.01</v>
      </c>
      <c r="P6" s="27">
        <v>1.0999999999999999E-2</v>
      </c>
      <c r="Q6" s="27">
        <v>1.6E-2</v>
      </c>
      <c r="R6" s="27">
        <v>1.7000000000000001E-2</v>
      </c>
      <c r="S6" s="27">
        <v>2.3E-2</v>
      </c>
      <c r="T6" s="27">
        <v>2.1999999999999999E-2</v>
      </c>
      <c r="U6" s="27">
        <v>3.2000000000000001E-2</v>
      </c>
      <c r="V6" s="15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</row>
    <row r="7" spans="1:72" ht="15.75" customHeight="1" x14ac:dyDescent="0.25">
      <c r="A7" s="25" t="s">
        <v>47</v>
      </c>
      <c r="B7" s="29">
        <v>2.787688E-3</v>
      </c>
      <c r="C7" s="29">
        <v>2.4963160000000002E-3</v>
      </c>
      <c r="D7" s="29">
        <v>3.1089519999999999E-3</v>
      </c>
      <c r="E7" s="29">
        <v>3.5234590000000001E-3</v>
      </c>
      <c r="F7" s="29">
        <v>3.0688540000000002E-3</v>
      </c>
      <c r="G7" s="29">
        <v>4.0266809999999998E-3</v>
      </c>
      <c r="H7" s="29">
        <v>5.0607550000000001E-3</v>
      </c>
      <c r="I7" s="29">
        <v>4.2712510000000002E-3</v>
      </c>
      <c r="J7" s="29">
        <v>5.9459739999999997E-3</v>
      </c>
      <c r="K7" s="27">
        <v>2E-3</v>
      </c>
      <c r="L7" s="27">
        <v>2E-3</v>
      </c>
      <c r="M7" s="27">
        <v>3.0000000000000001E-3</v>
      </c>
      <c r="N7" s="27">
        <v>3.0000000000000001E-3</v>
      </c>
      <c r="O7" s="27">
        <v>4.0000000000000001E-3</v>
      </c>
      <c r="P7" s="27">
        <v>4.0000000000000001E-3</v>
      </c>
      <c r="Q7" s="27">
        <v>6.0000000000000001E-3</v>
      </c>
      <c r="R7" s="27">
        <v>6.0000000000000001E-3</v>
      </c>
      <c r="S7" s="27">
        <v>8.0000000000000002E-3</v>
      </c>
      <c r="T7" s="27">
        <v>8.0000000000000002E-3</v>
      </c>
      <c r="U7" s="27">
        <v>1.0999999999999999E-2</v>
      </c>
      <c r="V7" s="15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</row>
    <row r="8" spans="1:72" ht="15.75" customHeight="1" x14ac:dyDescent="0.25">
      <c r="A8" s="25" t="s">
        <v>48</v>
      </c>
      <c r="B8" s="29">
        <v>2.7084650000000002E-3</v>
      </c>
      <c r="C8" s="29">
        <v>2.6802359999999999E-3</v>
      </c>
      <c r="D8" s="29">
        <v>2.7398079999999998E-3</v>
      </c>
      <c r="E8" s="29">
        <v>3.1717830000000001E-3</v>
      </c>
      <c r="F8" s="29">
        <v>3.2667199999999999E-3</v>
      </c>
      <c r="G8" s="29">
        <v>3.0652499999999998E-3</v>
      </c>
      <c r="H8" s="29">
        <v>3.9727260000000002E-3</v>
      </c>
      <c r="I8" s="29">
        <v>4.2125720000000004E-3</v>
      </c>
      <c r="J8" s="29">
        <v>3.7031569999999999E-3</v>
      </c>
      <c r="K8" s="27">
        <v>1E-3</v>
      </c>
      <c r="L8" s="27">
        <v>3.0000000000000001E-3</v>
      </c>
      <c r="M8" s="27">
        <v>3.0000000000000001E-3</v>
      </c>
      <c r="N8" s="27">
        <v>3.0000000000000001E-3</v>
      </c>
      <c r="O8" s="27">
        <v>3.0000000000000001E-3</v>
      </c>
      <c r="P8" s="27">
        <v>4.0000000000000001E-3</v>
      </c>
      <c r="Q8" s="27">
        <v>4.0000000000000001E-3</v>
      </c>
      <c r="R8" s="27">
        <v>5.0000000000000001E-3</v>
      </c>
      <c r="S8" s="27">
        <v>5.0000000000000001E-3</v>
      </c>
      <c r="T8" s="27">
        <v>6.0000000000000001E-3</v>
      </c>
      <c r="U8" s="27">
        <v>6.0000000000000001E-3</v>
      </c>
      <c r="V8" s="15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</row>
    <row r="9" spans="1:72" ht="15.75" customHeight="1" x14ac:dyDescent="0.25">
      <c r="A9" s="25" t="s">
        <v>49</v>
      </c>
      <c r="B9" s="29">
        <v>4.184859E-3</v>
      </c>
      <c r="C9" s="29">
        <v>3.9507769999999999E-3</v>
      </c>
      <c r="D9" s="29">
        <v>4.4479960000000001E-3</v>
      </c>
      <c r="E9" s="29">
        <v>4.4942990000000002E-3</v>
      </c>
      <c r="F9" s="29">
        <v>4.4523799999999997E-3</v>
      </c>
      <c r="G9" s="29">
        <v>4.5414260000000003E-3</v>
      </c>
      <c r="H9" s="29">
        <v>6.1867229999999999E-3</v>
      </c>
      <c r="I9" s="29">
        <v>5.8215319999999999E-3</v>
      </c>
      <c r="J9" s="29">
        <v>6.5957150000000003E-3</v>
      </c>
      <c r="K9" s="27">
        <v>2E-3</v>
      </c>
      <c r="L9" s="27">
        <v>4.0000000000000001E-3</v>
      </c>
      <c r="M9" s="27">
        <v>4.0000000000000001E-3</v>
      </c>
      <c r="N9" s="27">
        <v>4.0000000000000001E-3</v>
      </c>
      <c r="O9" s="27">
        <v>5.0000000000000001E-3</v>
      </c>
      <c r="P9" s="27">
        <v>6.0000000000000001E-3</v>
      </c>
      <c r="Q9" s="27">
        <v>7.0000000000000001E-3</v>
      </c>
      <c r="R9" s="27">
        <v>7.0000000000000001E-3</v>
      </c>
      <c r="S9" s="27">
        <v>8.0000000000000002E-3</v>
      </c>
      <c r="T9" s="27">
        <v>8.0000000000000002E-3</v>
      </c>
      <c r="U9" s="27">
        <v>0.01</v>
      </c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</row>
    <row r="10" spans="1:72" ht="15.75" customHeight="1" x14ac:dyDescent="0.25">
      <c r="A10" s="25" t="s">
        <v>50</v>
      </c>
      <c r="B10" s="29">
        <v>6.4850189999999999E-3</v>
      </c>
      <c r="C10" s="29">
        <v>6.8115579999999997E-3</v>
      </c>
      <c r="D10" s="29">
        <v>6.1175680000000003E-3</v>
      </c>
      <c r="E10" s="29">
        <v>6.2885349999999996E-3</v>
      </c>
      <c r="F10" s="29">
        <v>6.7101469999999996E-3</v>
      </c>
      <c r="G10" s="29">
        <v>5.8154110000000004E-3</v>
      </c>
      <c r="H10" s="29">
        <v>9.1951910000000001E-3</v>
      </c>
      <c r="I10" s="29">
        <v>9.3737549999999992E-3</v>
      </c>
      <c r="J10" s="29">
        <v>8.9970659999999997E-3</v>
      </c>
      <c r="K10" s="27">
        <v>3.0000000000000001E-3</v>
      </c>
      <c r="L10" s="27">
        <v>7.0000000000000001E-3</v>
      </c>
      <c r="M10" s="27">
        <v>6.0000000000000001E-3</v>
      </c>
      <c r="N10" s="27">
        <v>7.0000000000000001E-3</v>
      </c>
      <c r="O10" s="27">
        <v>6.0000000000000001E-3</v>
      </c>
      <c r="P10" s="27">
        <v>8.9999999999999993E-3</v>
      </c>
      <c r="Q10" s="27">
        <v>8.9999999999999993E-3</v>
      </c>
      <c r="R10" s="27">
        <v>0.01</v>
      </c>
      <c r="S10" s="27">
        <v>0.01</v>
      </c>
      <c r="T10" s="27">
        <v>1.0999999999999999E-2</v>
      </c>
      <c r="U10" s="27">
        <v>1.2999999999999999E-2</v>
      </c>
      <c r="V10" s="15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</row>
    <row r="11" spans="1:72" ht="15.75" customHeight="1" x14ac:dyDescent="0.25">
      <c r="A11" s="25" t="s">
        <v>51</v>
      </c>
      <c r="B11" s="29">
        <v>7.4641450000000002E-3</v>
      </c>
      <c r="C11" s="29">
        <v>8.3791300000000003E-3</v>
      </c>
      <c r="D11" s="29">
        <v>6.4397730000000002E-3</v>
      </c>
      <c r="E11" s="29">
        <v>7.4278640000000002E-3</v>
      </c>
      <c r="F11" s="29">
        <v>8.2851209999999995E-3</v>
      </c>
      <c r="G11" s="29">
        <v>6.4766650000000004E-3</v>
      </c>
      <c r="H11" s="29">
        <v>1.0905354000000001E-2</v>
      </c>
      <c r="I11" s="29">
        <v>1.2269366E-2</v>
      </c>
      <c r="J11" s="29">
        <v>9.3988370000000002E-3</v>
      </c>
      <c r="K11" s="27">
        <v>3.0000000000000001E-3</v>
      </c>
      <c r="L11" s="27">
        <v>8.0000000000000002E-3</v>
      </c>
      <c r="M11" s="27">
        <v>6.0000000000000001E-3</v>
      </c>
      <c r="N11" s="27">
        <v>8.0000000000000002E-3</v>
      </c>
      <c r="O11" s="27">
        <v>6.0000000000000001E-3</v>
      </c>
      <c r="P11" s="27">
        <v>1.2E-2</v>
      </c>
      <c r="Q11" s="27">
        <v>8.9999999999999993E-3</v>
      </c>
      <c r="R11" s="27">
        <v>1.2999999999999999E-2</v>
      </c>
      <c r="S11" s="27">
        <v>1.0999999999999999E-2</v>
      </c>
      <c r="T11" s="27">
        <v>1.4999999999999999E-2</v>
      </c>
      <c r="U11" s="27">
        <v>1.4E-2</v>
      </c>
      <c r="V11" s="15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</row>
    <row r="12" spans="1:72" ht="15.75" customHeight="1" x14ac:dyDescent="0.25">
      <c r="A12" s="25" t="s">
        <v>52</v>
      </c>
      <c r="B12" s="29">
        <v>9.4913900000000006E-3</v>
      </c>
      <c r="C12" s="29">
        <v>1.1478491E-2</v>
      </c>
      <c r="D12" s="29">
        <v>7.2955650000000004E-3</v>
      </c>
      <c r="E12" s="29">
        <v>9.706236E-3</v>
      </c>
      <c r="F12" s="29">
        <v>1.1627211E-2</v>
      </c>
      <c r="G12" s="29">
        <v>7.5910350000000003E-3</v>
      </c>
      <c r="H12" s="29">
        <v>1.2398802E-2</v>
      </c>
      <c r="I12" s="29">
        <v>1.4387224000000001E-2</v>
      </c>
      <c r="J12" s="29">
        <v>1.0234029E-2</v>
      </c>
      <c r="K12" s="27">
        <v>3.0000000000000001E-3</v>
      </c>
      <c r="L12" s="27">
        <v>1.0999999999999999E-2</v>
      </c>
      <c r="M12" s="27">
        <v>7.0000000000000001E-3</v>
      </c>
      <c r="N12" s="27">
        <v>1.2E-2</v>
      </c>
      <c r="O12" s="27">
        <v>8.0000000000000002E-3</v>
      </c>
      <c r="P12" s="27">
        <v>1.4E-2</v>
      </c>
      <c r="Q12" s="27">
        <v>0.01</v>
      </c>
      <c r="R12" s="27">
        <v>1.7000000000000001E-2</v>
      </c>
      <c r="S12" s="27">
        <v>1.2E-2</v>
      </c>
      <c r="T12" s="27">
        <v>1.7999999999999999E-2</v>
      </c>
      <c r="U12" s="27">
        <v>1.4E-2</v>
      </c>
      <c r="V12" s="15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</row>
    <row r="13" spans="1:72" ht="15.75" customHeight="1" x14ac:dyDescent="0.25">
      <c r="A13" s="25" t="s">
        <v>53</v>
      </c>
      <c r="B13" s="29">
        <v>1.2658381E-2</v>
      </c>
      <c r="C13" s="29">
        <v>1.5821844000000002E-2</v>
      </c>
      <c r="D13" s="29">
        <v>9.2004029999999994E-3</v>
      </c>
      <c r="E13" s="29">
        <v>1.3314533999999999E-2</v>
      </c>
      <c r="F13" s="29">
        <v>1.655396E-2</v>
      </c>
      <c r="G13" s="29">
        <v>9.8077140000000004E-3</v>
      </c>
      <c r="H13" s="29">
        <v>1.6636815999999999E-2</v>
      </c>
      <c r="I13" s="29">
        <v>2.1128233999999999E-2</v>
      </c>
      <c r="J13" s="29">
        <v>1.1784596E-2</v>
      </c>
      <c r="K13" s="27">
        <v>3.0000000000000001E-3</v>
      </c>
      <c r="L13" s="27">
        <v>1.6E-2</v>
      </c>
      <c r="M13" s="27">
        <v>8.9999999999999993E-3</v>
      </c>
      <c r="N13" s="27">
        <v>1.7000000000000001E-2</v>
      </c>
      <c r="O13" s="27">
        <v>0.01</v>
      </c>
      <c r="P13" s="27">
        <v>2.1000000000000001E-2</v>
      </c>
      <c r="Q13" s="27">
        <v>1.2E-2</v>
      </c>
      <c r="R13" s="27">
        <v>2.1000000000000001E-2</v>
      </c>
      <c r="S13" s="27">
        <v>1.2999999999999999E-2</v>
      </c>
      <c r="T13" s="27">
        <v>2.3E-2</v>
      </c>
      <c r="U13" s="27">
        <v>1.4999999999999999E-2</v>
      </c>
      <c r="V13" s="15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</row>
    <row r="14" spans="1:72" ht="15.75" customHeight="1" x14ac:dyDescent="0.25">
      <c r="A14" s="25" t="s">
        <v>54</v>
      </c>
      <c r="B14" s="29">
        <v>1.6654925000000001E-2</v>
      </c>
      <c r="C14" s="29">
        <v>2.0090131000000001E-2</v>
      </c>
      <c r="D14" s="29">
        <v>1.2973851999999999E-2</v>
      </c>
      <c r="E14" s="29">
        <v>1.7531142999999999E-2</v>
      </c>
      <c r="F14" s="29">
        <v>2.0540202E-2</v>
      </c>
      <c r="G14" s="29">
        <v>1.4314929000000001E-2</v>
      </c>
      <c r="H14" s="29">
        <v>2.0022286E-2</v>
      </c>
      <c r="I14" s="29">
        <v>2.5462746000000001E-2</v>
      </c>
      <c r="J14" s="29">
        <v>1.4161340999999999E-2</v>
      </c>
      <c r="K14" s="27">
        <v>4.0000000000000001E-3</v>
      </c>
      <c r="L14" s="27">
        <v>0.02</v>
      </c>
      <c r="M14" s="27">
        <v>1.2999999999999999E-2</v>
      </c>
      <c r="N14" s="27">
        <v>2.1000000000000001E-2</v>
      </c>
      <c r="O14" s="27">
        <v>1.4E-2</v>
      </c>
      <c r="P14" s="27">
        <v>2.5000000000000001E-2</v>
      </c>
      <c r="Q14" s="27">
        <v>1.4E-2</v>
      </c>
      <c r="R14" s="27">
        <v>2.7E-2</v>
      </c>
      <c r="S14" s="27">
        <v>1.6E-2</v>
      </c>
      <c r="T14" s="27">
        <v>2.7E-2</v>
      </c>
      <c r="U14" s="27">
        <v>1.7999999999999999E-2</v>
      </c>
      <c r="V14" s="15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</row>
    <row r="15" spans="1:72" ht="15.75" customHeight="1" x14ac:dyDescent="0.25">
      <c r="A15" s="25" t="s">
        <v>55</v>
      </c>
      <c r="B15" s="29">
        <v>2.3669042000000001E-2</v>
      </c>
      <c r="C15" s="29">
        <v>2.9447266999999999E-2</v>
      </c>
      <c r="D15" s="29">
        <v>1.7542335999999999E-2</v>
      </c>
      <c r="E15" s="29">
        <v>2.5316319E-2</v>
      </c>
      <c r="F15" s="29">
        <v>3.1397133000000001E-2</v>
      </c>
      <c r="G15" s="29">
        <v>1.8839267999999999E-2</v>
      </c>
      <c r="H15" s="29">
        <v>2.9151995E-2</v>
      </c>
      <c r="I15" s="29">
        <v>3.5888221999999997E-2</v>
      </c>
      <c r="J15" s="29">
        <v>2.1903125999999998E-2</v>
      </c>
      <c r="K15" s="27">
        <v>5.0000000000000001E-3</v>
      </c>
      <c r="L15" s="27">
        <v>2.9000000000000001E-2</v>
      </c>
      <c r="M15" s="27">
        <v>1.7999999999999999E-2</v>
      </c>
      <c r="N15" s="27">
        <v>3.1E-2</v>
      </c>
      <c r="O15" s="27">
        <v>1.9E-2</v>
      </c>
      <c r="P15" s="27">
        <v>3.5999999999999997E-2</v>
      </c>
      <c r="Q15" s="27">
        <v>2.1999999999999999E-2</v>
      </c>
      <c r="R15" s="27">
        <v>3.5999999999999997E-2</v>
      </c>
      <c r="S15" s="27">
        <v>2.1999999999999999E-2</v>
      </c>
      <c r="T15" s="27">
        <v>0.04</v>
      </c>
      <c r="U15" s="27">
        <v>2.5000000000000001E-2</v>
      </c>
      <c r="V15" s="15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7"/>
    </row>
    <row r="16" spans="1:72" ht="15.75" customHeight="1" x14ac:dyDescent="0.25">
      <c r="A16" s="25" t="s">
        <v>56</v>
      </c>
      <c r="B16" s="29">
        <v>3.8240088999999998E-2</v>
      </c>
      <c r="C16" s="29">
        <v>4.2561685000000002E-2</v>
      </c>
      <c r="D16" s="29">
        <v>3.3696431999999998E-2</v>
      </c>
      <c r="E16" s="29">
        <v>4.3411071000000002E-2</v>
      </c>
      <c r="F16" s="29">
        <v>4.7267842999999997E-2</v>
      </c>
      <c r="G16" s="29">
        <v>3.9332813000000001E-2</v>
      </c>
      <c r="H16" s="29">
        <v>4.0039483000000001E-2</v>
      </c>
      <c r="I16" s="29">
        <v>4.8580020000000002E-2</v>
      </c>
      <c r="J16" s="29">
        <v>3.0881024999999999E-2</v>
      </c>
      <c r="K16" s="27">
        <v>8.0000000000000002E-3</v>
      </c>
      <c r="L16" s="27">
        <v>4.2999999999999997E-2</v>
      </c>
      <c r="M16" s="27">
        <v>3.4000000000000002E-2</v>
      </c>
      <c r="N16" s="27">
        <v>4.7E-2</v>
      </c>
      <c r="O16" s="27">
        <v>3.9E-2</v>
      </c>
      <c r="P16" s="27">
        <v>4.9000000000000002E-2</v>
      </c>
      <c r="Q16" s="27">
        <v>3.1E-2</v>
      </c>
      <c r="R16" s="27">
        <v>5.0999999999999997E-2</v>
      </c>
      <c r="S16" s="27">
        <v>0.03</v>
      </c>
      <c r="T16" s="27">
        <v>5.7000000000000002E-2</v>
      </c>
      <c r="U16" s="27">
        <v>3.7999999999999999E-2</v>
      </c>
      <c r="V16" s="15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8"/>
      <c r="BN16" s="16"/>
      <c r="BO16" s="16"/>
      <c r="BP16" s="16"/>
      <c r="BQ16" s="16"/>
      <c r="BR16" s="16"/>
      <c r="BS16" s="18"/>
      <c r="BT16" s="16"/>
    </row>
    <row r="17" spans="1:72" ht="15.75" customHeight="1" x14ac:dyDescent="0.25">
      <c r="A17" s="25" t="s">
        <v>57</v>
      </c>
      <c r="B17" s="29">
        <v>5.724514E-2</v>
      </c>
      <c r="C17" s="29">
        <v>6.8028826000000001E-2</v>
      </c>
      <c r="D17" s="29">
        <v>4.5933310999999998E-2</v>
      </c>
      <c r="E17" s="29">
        <v>6.2961849E-2</v>
      </c>
      <c r="F17" s="29">
        <v>7.4333208999999997E-2</v>
      </c>
      <c r="G17" s="29">
        <v>5.0957746999999998E-2</v>
      </c>
      <c r="H17" s="29">
        <v>6.0820754999999997E-2</v>
      </c>
      <c r="I17" s="29">
        <v>7.5750539000000006E-2</v>
      </c>
      <c r="J17" s="29">
        <v>4.4902985999999999E-2</v>
      </c>
      <c r="K17" s="27">
        <v>1.2999999999999999E-2</v>
      </c>
      <c r="L17" s="27">
        <v>6.8000000000000005E-2</v>
      </c>
      <c r="M17" s="27">
        <v>4.5999999999999999E-2</v>
      </c>
      <c r="N17" s="27">
        <v>7.3999999999999996E-2</v>
      </c>
      <c r="O17" s="27">
        <v>5.0999999999999997E-2</v>
      </c>
      <c r="P17" s="27">
        <v>7.5999999999999998E-2</v>
      </c>
      <c r="Q17" s="27">
        <v>4.4999999999999998E-2</v>
      </c>
      <c r="R17" s="27">
        <v>7.0999999999999994E-2</v>
      </c>
      <c r="S17" s="27">
        <v>5.0999999999999997E-2</v>
      </c>
      <c r="T17" s="27">
        <v>8.7999999999999995E-2</v>
      </c>
      <c r="U17" s="27">
        <v>6.2E-2</v>
      </c>
      <c r="V17" s="15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7"/>
      <c r="BQ17" s="17"/>
      <c r="BR17" s="16"/>
      <c r="BS17" s="16"/>
      <c r="BT17" s="16"/>
    </row>
    <row r="18" spans="1:72" ht="15.75" customHeight="1" x14ac:dyDescent="0.25">
      <c r="A18" s="25" t="s">
        <v>58</v>
      </c>
      <c r="B18" s="29">
        <v>8.4120207000000002E-2</v>
      </c>
      <c r="C18" s="29">
        <v>9.4373468000000002E-2</v>
      </c>
      <c r="D18" s="29">
        <v>7.3518587999999996E-2</v>
      </c>
      <c r="E18" s="29">
        <v>9.0094786999999996E-2</v>
      </c>
      <c r="F18" s="29">
        <v>0.10062751</v>
      </c>
      <c r="G18" s="29">
        <v>7.9172249E-2</v>
      </c>
      <c r="H18" s="29">
        <v>9.3050065000000001E-2</v>
      </c>
      <c r="I18" s="29">
        <v>0.11082787199999999</v>
      </c>
      <c r="J18" s="29">
        <v>7.5170215999999998E-2</v>
      </c>
      <c r="K18" s="27">
        <v>1.9E-2</v>
      </c>
      <c r="L18" s="27">
        <v>9.4E-2</v>
      </c>
      <c r="M18" s="27">
        <v>7.3999999999999996E-2</v>
      </c>
      <c r="N18" s="27">
        <v>0.1</v>
      </c>
      <c r="O18" s="27">
        <v>7.9000000000000001E-2</v>
      </c>
      <c r="P18" s="27">
        <v>0.11</v>
      </c>
      <c r="Q18" s="27">
        <v>7.4999999999999997E-2</v>
      </c>
      <c r="R18" s="27">
        <v>0.11</v>
      </c>
      <c r="S18" s="27">
        <v>8.3000000000000004E-2</v>
      </c>
      <c r="T18" s="27">
        <v>0.12</v>
      </c>
      <c r="U18" s="27">
        <v>0.09</v>
      </c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8"/>
      <c r="BL18" s="16"/>
      <c r="BM18" s="16"/>
      <c r="BN18" s="16"/>
      <c r="BO18" s="16"/>
      <c r="BP18" s="17"/>
      <c r="BQ18" s="16"/>
      <c r="BR18" s="16"/>
      <c r="BS18" s="16"/>
      <c r="BT18" s="16"/>
    </row>
    <row r="19" spans="1:72" ht="15.75" customHeight="1" x14ac:dyDescent="0.25">
      <c r="A19" s="25" t="s">
        <v>59</v>
      </c>
      <c r="B19" s="29">
        <v>0.124739142</v>
      </c>
      <c r="C19" s="29">
        <v>0.13821166800000001</v>
      </c>
      <c r="D19" s="29">
        <v>0.111070905</v>
      </c>
      <c r="E19" s="29">
        <v>0.12777054199999999</v>
      </c>
      <c r="F19" s="29">
        <v>0.14187276500000001</v>
      </c>
      <c r="G19" s="29">
        <v>0.113996238</v>
      </c>
      <c r="H19" s="29">
        <v>0.15189746200000001</v>
      </c>
      <c r="I19" s="29">
        <v>0.17565889300000001</v>
      </c>
      <c r="J19" s="29">
        <v>0.12870995599999999</v>
      </c>
      <c r="K19" s="27">
        <v>3.2000000000000001E-2</v>
      </c>
      <c r="L19" s="27">
        <v>0.14000000000000001</v>
      </c>
      <c r="M19" s="27">
        <v>0.11</v>
      </c>
      <c r="N19" s="27">
        <v>0.14000000000000001</v>
      </c>
      <c r="O19" s="27">
        <v>0.11</v>
      </c>
      <c r="P19" s="27">
        <v>0.18</v>
      </c>
      <c r="Q19" s="27">
        <v>0.13</v>
      </c>
      <c r="R19" s="27">
        <v>0.17</v>
      </c>
      <c r="S19" s="27">
        <v>0.13</v>
      </c>
      <c r="T19" s="27">
        <v>0.19</v>
      </c>
      <c r="U19" s="27">
        <v>0.15</v>
      </c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8"/>
      <c r="BP19" s="16"/>
      <c r="BQ19" s="18"/>
      <c r="BR19" s="16"/>
      <c r="BS19" s="18"/>
      <c r="BT19" s="16"/>
    </row>
    <row r="20" spans="1:72" ht="15.75" customHeight="1" x14ac:dyDescent="0.25">
      <c r="A20" s="25" t="s">
        <v>60</v>
      </c>
      <c r="B20" s="29">
        <v>0.186887897</v>
      </c>
      <c r="C20" s="29">
        <v>0.20195854499999999</v>
      </c>
      <c r="D20" s="29">
        <v>0.172707315</v>
      </c>
      <c r="E20" s="29">
        <v>0.18857096600000001</v>
      </c>
      <c r="F20" s="29">
        <v>0.204164876</v>
      </c>
      <c r="G20" s="29">
        <v>0.17396932700000001</v>
      </c>
      <c r="H20" s="29">
        <v>0.21111397900000001</v>
      </c>
      <c r="I20" s="29">
        <v>0.233634856</v>
      </c>
      <c r="J20" s="29">
        <v>0.19036942900000001</v>
      </c>
      <c r="K20" s="27">
        <v>5.3999999999999999E-2</v>
      </c>
      <c r="L20" s="27">
        <v>0.2</v>
      </c>
      <c r="M20" s="27">
        <v>0.17</v>
      </c>
      <c r="N20" s="27">
        <v>0.2</v>
      </c>
      <c r="O20" s="27">
        <v>0.17</v>
      </c>
      <c r="P20" s="27">
        <v>0.23</v>
      </c>
      <c r="Q20" s="27">
        <v>0.19</v>
      </c>
      <c r="R20" s="27">
        <v>0.25</v>
      </c>
      <c r="S20" s="27">
        <v>0.2</v>
      </c>
      <c r="T20" s="27">
        <v>0.28000000000000003</v>
      </c>
      <c r="U20" s="27">
        <v>0.24</v>
      </c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8"/>
      <c r="BL20" s="16"/>
      <c r="BM20" s="16"/>
      <c r="BN20" s="16"/>
      <c r="BO20" s="17"/>
      <c r="BP20" s="16"/>
      <c r="BQ20" s="16"/>
      <c r="BR20" s="17"/>
      <c r="BS20" s="16"/>
      <c r="BT20" s="16"/>
    </row>
    <row r="21" spans="1:72" ht="15.75" customHeight="1" x14ac:dyDescent="0.25">
      <c r="A21" s="25" t="s">
        <v>61</v>
      </c>
      <c r="B21" s="29">
        <v>0.27164643599999999</v>
      </c>
      <c r="C21" s="29">
        <v>0.29175513600000003</v>
      </c>
      <c r="D21" s="29">
        <v>0.253547672</v>
      </c>
      <c r="E21" s="29">
        <v>0.27878676899999999</v>
      </c>
      <c r="F21" s="29">
        <v>0.30017614599999998</v>
      </c>
      <c r="G21" s="29">
        <v>0.25991370499999999</v>
      </c>
      <c r="H21" s="29">
        <v>0.29767218499999998</v>
      </c>
      <c r="I21" s="29">
        <v>0.32574608999999999</v>
      </c>
      <c r="J21" s="29">
        <v>0.272263594</v>
      </c>
      <c r="K21" s="27">
        <v>0.09</v>
      </c>
      <c r="L21" s="27">
        <v>0.28999999999999998</v>
      </c>
      <c r="M21" s="27">
        <v>0.25</v>
      </c>
      <c r="N21" s="27">
        <v>0.3</v>
      </c>
      <c r="O21" s="27">
        <v>0.26</v>
      </c>
      <c r="P21" s="27">
        <v>0.33</v>
      </c>
      <c r="Q21" s="27">
        <v>0.27</v>
      </c>
      <c r="R21" s="27">
        <v>0.36</v>
      </c>
      <c r="S21" s="27">
        <v>0.32</v>
      </c>
      <c r="T21" s="27">
        <v>0.4</v>
      </c>
      <c r="U21" s="27">
        <v>0.37</v>
      </c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7"/>
      <c r="BL21" s="16"/>
      <c r="BM21" s="16"/>
      <c r="BN21" s="16"/>
      <c r="BO21" s="16"/>
      <c r="BP21" s="16"/>
      <c r="BQ21" s="18"/>
      <c r="BR21" s="16"/>
      <c r="BS21" s="16"/>
      <c r="BT21" s="16"/>
    </row>
    <row r="22" spans="1:72" ht="15.75" customHeight="1" x14ac:dyDescent="0.25">
      <c r="A22" s="25" t="s">
        <v>62</v>
      </c>
      <c r="B22" s="29">
        <v>0.42608372700000002</v>
      </c>
      <c r="C22" s="29">
        <v>0.44066291499999999</v>
      </c>
      <c r="D22" s="29">
        <v>0.41384001100000001</v>
      </c>
      <c r="E22" s="29">
        <v>0.45151735100000001</v>
      </c>
      <c r="F22" s="29">
        <v>0.47241796000000003</v>
      </c>
      <c r="G22" s="29">
        <v>0.433506328</v>
      </c>
      <c r="H22" s="29">
        <v>0.39525572599999997</v>
      </c>
      <c r="I22" s="29">
        <v>0.416182465</v>
      </c>
      <c r="J22" s="29">
        <v>0.37657950499999998</v>
      </c>
      <c r="K22" s="27">
        <v>0.15</v>
      </c>
      <c r="L22" s="27">
        <v>0.44</v>
      </c>
      <c r="M22" s="27">
        <v>0.41</v>
      </c>
      <c r="N22" s="27">
        <v>0.47</v>
      </c>
      <c r="O22" s="27">
        <v>0.43</v>
      </c>
      <c r="P22" s="27">
        <v>0.42</v>
      </c>
      <c r="Q22" s="27">
        <v>0.38</v>
      </c>
      <c r="R22" s="27">
        <v>0.51</v>
      </c>
      <c r="S22" s="27">
        <v>0.48</v>
      </c>
      <c r="T22" s="27">
        <v>0.55000000000000004</v>
      </c>
      <c r="U22" s="27">
        <v>0.54</v>
      </c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8"/>
      <c r="BM22" s="16"/>
      <c r="BN22" s="16"/>
      <c r="BO22" s="16"/>
      <c r="BP22" s="18"/>
      <c r="BQ22" s="16"/>
      <c r="BR22" s="16"/>
      <c r="BS22" s="16"/>
      <c r="BT22" s="16"/>
    </row>
    <row r="23" spans="1:72" ht="15.75" customHeight="1" x14ac:dyDescent="0.25">
      <c r="A23" s="25" t="s">
        <v>63</v>
      </c>
      <c r="B23" s="30">
        <v>1</v>
      </c>
      <c r="C23" s="30">
        <v>1</v>
      </c>
      <c r="D23" s="30">
        <v>1</v>
      </c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27">
        <v>0.25</v>
      </c>
      <c r="L23" s="27">
        <v>1</v>
      </c>
      <c r="M23" s="27">
        <v>1</v>
      </c>
      <c r="N23" s="27">
        <v>1</v>
      </c>
      <c r="O23" s="27">
        <v>1</v>
      </c>
      <c r="P23" s="27">
        <v>1</v>
      </c>
      <c r="Q23" s="27">
        <v>1</v>
      </c>
      <c r="R23" s="27">
        <v>1</v>
      </c>
      <c r="S23" s="27">
        <v>1</v>
      </c>
      <c r="T23" s="27">
        <v>1</v>
      </c>
      <c r="U23" s="27">
        <v>1</v>
      </c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7"/>
      <c r="BL23" s="16"/>
      <c r="BM23" s="16"/>
      <c r="BN23" s="18"/>
      <c r="BO23" s="16"/>
      <c r="BP23" s="17"/>
      <c r="BQ23" s="16"/>
      <c r="BR23" s="16"/>
      <c r="BS23" s="18"/>
      <c r="BT23" s="16"/>
    </row>
    <row r="24" spans="1:72" ht="15.75" customHeight="1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</row>
    <row r="25" spans="1:72" ht="15.75" customHeight="1" x14ac:dyDescent="0.25">
      <c r="A25" s="232"/>
      <c r="B25" s="230"/>
      <c r="C25" s="230"/>
      <c r="D25" s="230"/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</row>
    <row r="26" spans="1:72" ht="15.75" customHeight="1" x14ac:dyDescent="0.25">
      <c r="A26" s="19"/>
      <c r="B26" s="232">
        <v>2019</v>
      </c>
      <c r="C26" s="230"/>
      <c r="D26" s="232">
        <v>2015</v>
      </c>
      <c r="E26" s="230"/>
      <c r="F26" s="232">
        <v>2010</v>
      </c>
      <c r="G26" s="230"/>
      <c r="H26" s="232">
        <v>2005</v>
      </c>
      <c r="I26" s="230"/>
      <c r="J26" s="232">
        <v>2000</v>
      </c>
      <c r="K26" s="230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6">
        <v>0.57999999999999996</v>
      </c>
      <c r="AC26" s="16">
        <v>0.42</v>
      </c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</row>
    <row r="27" spans="1:72" ht="15.75" customHeight="1" x14ac:dyDescent="0.25">
      <c r="A27" s="19"/>
      <c r="B27" s="16" t="s">
        <v>66</v>
      </c>
      <c r="C27" s="16" t="s">
        <v>67</v>
      </c>
      <c r="D27" s="16" t="s">
        <v>66</v>
      </c>
      <c r="E27" s="16" t="s">
        <v>67</v>
      </c>
      <c r="F27" s="16" t="s">
        <v>66</v>
      </c>
      <c r="G27" s="16" t="s">
        <v>67</v>
      </c>
      <c r="H27" s="16" t="s">
        <v>66</v>
      </c>
      <c r="I27" s="16" t="s">
        <v>67</v>
      </c>
      <c r="J27" s="16" t="s">
        <v>66</v>
      </c>
      <c r="K27" s="16" t="s">
        <v>67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21" t="s">
        <v>68</v>
      </c>
      <c r="W27" s="22" t="s">
        <v>69</v>
      </c>
      <c r="X27" s="22" t="s">
        <v>70</v>
      </c>
      <c r="Y27" s="22" t="s">
        <v>71</v>
      </c>
      <c r="Z27" s="22" t="s">
        <v>72</v>
      </c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</row>
    <row r="28" spans="1:72" ht="12.75" x14ac:dyDescent="0.2">
      <c r="A28" s="1">
        <v>0</v>
      </c>
      <c r="B28" s="28">
        <f t="shared" ref="B28:U28" si="0">B5</f>
        <v>2.7794345000000002E-2</v>
      </c>
      <c r="C28" s="28">
        <f t="shared" si="0"/>
        <v>2.7840879999999998E-2</v>
      </c>
      <c r="D28" s="28">
        <f t="shared" si="0"/>
        <v>2.7743176000000001E-2</v>
      </c>
      <c r="E28" s="28">
        <f t="shared" si="0"/>
        <v>3.6650596000000001E-2</v>
      </c>
      <c r="F28" s="28">
        <f t="shared" si="0"/>
        <v>3.628033E-2</v>
      </c>
      <c r="G28" s="28">
        <f t="shared" si="0"/>
        <v>3.7059556E-2</v>
      </c>
      <c r="H28" s="28">
        <f t="shared" si="0"/>
        <v>4.4590229000000002E-2</v>
      </c>
      <c r="I28" s="28">
        <f t="shared" si="0"/>
        <v>4.4011462000000001E-2</v>
      </c>
      <c r="J28" s="28">
        <f t="shared" si="0"/>
        <v>4.5222848000000003E-2</v>
      </c>
      <c r="K28" s="28">
        <f t="shared" si="0"/>
        <v>7.0000000000000007E-2</v>
      </c>
      <c r="L28" s="28">
        <f t="shared" si="0"/>
        <v>2.8000000000000001E-2</v>
      </c>
      <c r="M28" s="28">
        <f t="shared" si="0"/>
        <v>2.8000000000000001E-2</v>
      </c>
      <c r="N28" s="28">
        <f t="shared" si="0"/>
        <v>3.5999999999999997E-2</v>
      </c>
      <c r="O28" s="28">
        <f t="shared" si="0"/>
        <v>3.6999999999999998E-2</v>
      </c>
      <c r="P28" s="28">
        <f t="shared" si="0"/>
        <v>4.3999999999999997E-2</v>
      </c>
      <c r="Q28" s="28">
        <f t="shared" si="0"/>
        <v>4.4999999999999998E-2</v>
      </c>
      <c r="R28" s="28">
        <f t="shared" si="0"/>
        <v>5.5E-2</v>
      </c>
      <c r="S28" s="28">
        <f t="shared" si="0"/>
        <v>5.7000000000000002E-2</v>
      </c>
      <c r="T28" s="28">
        <f t="shared" si="0"/>
        <v>6.7000000000000004E-2</v>
      </c>
      <c r="U28" s="28">
        <f t="shared" si="0"/>
        <v>6.7000000000000004E-2</v>
      </c>
      <c r="V28" s="24">
        <f t="shared" ref="V28:V128" si="1">AVERAGE($B28:$C28)</f>
        <v>2.7817612499999998E-2</v>
      </c>
      <c r="W28" s="24">
        <f t="shared" ref="W28:W128" si="2">AVERAGE($D28:$E28)</f>
        <v>3.2196886000000001E-2</v>
      </c>
      <c r="X28" s="24">
        <f t="shared" ref="X28:X128" si="3">AVERAGE($F28:$G28)</f>
        <v>3.6669942999999997E-2</v>
      </c>
      <c r="Y28" s="24">
        <f t="shared" ref="Y28:Y128" si="4">AVERAGE($H28:$I28)</f>
        <v>4.4300845500000005E-2</v>
      </c>
      <c r="Z28" s="24">
        <f t="shared" ref="Z28:Z128" si="5">AVERAGE($J28:$K28)</f>
        <v>5.7611424000000008E-2</v>
      </c>
      <c r="AA28" s="24">
        <f ca="1">IFERROR(__xludf.DUMMYFUNCTION("AVERAGE.WEIGHTED(B28:C28,$AB$26:$AC$26)"),0.0278138897)</f>
        <v>2.78138897E-2</v>
      </c>
    </row>
    <row r="29" spans="1:72" ht="12.75" x14ac:dyDescent="0.2">
      <c r="A29" s="1">
        <v>1</v>
      </c>
      <c r="B29" s="28">
        <f t="shared" ref="B29:U29" si="6">B$6</f>
        <v>6.2136400000000003E-3</v>
      </c>
      <c r="C29" s="28">
        <f t="shared" si="6"/>
        <v>5.5649439999999996E-3</v>
      </c>
      <c r="D29" s="28">
        <f t="shared" si="6"/>
        <v>6.9271130000000004E-3</v>
      </c>
      <c r="E29" s="28">
        <f t="shared" si="6"/>
        <v>8.8611409999999995E-3</v>
      </c>
      <c r="F29" s="28">
        <f t="shared" si="6"/>
        <v>7.7181899999999998E-3</v>
      </c>
      <c r="G29" s="28">
        <f t="shared" si="6"/>
        <v>1.0117338999999999E-2</v>
      </c>
      <c r="H29" s="28">
        <f t="shared" si="6"/>
        <v>1.3604059E-2</v>
      </c>
      <c r="I29" s="28">
        <f t="shared" si="6"/>
        <v>1.1480575999999999E-2</v>
      </c>
      <c r="J29" s="28">
        <f t="shared" si="6"/>
        <v>1.5952227999999999E-2</v>
      </c>
      <c r="K29" s="28">
        <f t="shared" si="6"/>
        <v>8.0000000000000002E-3</v>
      </c>
      <c r="L29" s="28">
        <f t="shared" si="6"/>
        <v>6.0000000000000001E-3</v>
      </c>
      <c r="M29" s="28">
        <f t="shared" si="6"/>
        <v>7.0000000000000001E-3</v>
      </c>
      <c r="N29" s="28">
        <f t="shared" si="6"/>
        <v>8.0000000000000002E-3</v>
      </c>
      <c r="O29" s="28">
        <f t="shared" si="6"/>
        <v>0.01</v>
      </c>
      <c r="P29" s="28">
        <f t="shared" si="6"/>
        <v>1.0999999999999999E-2</v>
      </c>
      <c r="Q29" s="28">
        <f t="shared" si="6"/>
        <v>1.6E-2</v>
      </c>
      <c r="R29" s="28">
        <f t="shared" si="6"/>
        <v>1.7000000000000001E-2</v>
      </c>
      <c r="S29" s="28">
        <f t="shared" si="6"/>
        <v>2.3E-2</v>
      </c>
      <c r="T29" s="28">
        <f t="shared" si="6"/>
        <v>2.1999999999999999E-2</v>
      </c>
      <c r="U29" s="28">
        <f t="shared" si="6"/>
        <v>3.2000000000000001E-2</v>
      </c>
      <c r="V29" s="24">
        <f t="shared" si="1"/>
        <v>5.889292E-3</v>
      </c>
      <c r="W29" s="24">
        <f t="shared" si="2"/>
        <v>7.8941270000000008E-3</v>
      </c>
      <c r="X29" s="24">
        <f t="shared" si="3"/>
        <v>8.9177644999999996E-3</v>
      </c>
      <c r="Y29" s="24">
        <f t="shared" si="4"/>
        <v>1.25423175E-2</v>
      </c>
      <c r="Z29" s="24">
        <f t="shared" si="5"/>
        <v>1.1976114E-2</v>
      </c>
      <c r="AA29" s="24">
        <f ca="1">IFERROR(__xludf.DUMMYFUNCTION("AVERAGE.WEIGHTED(B29:C29,$AB$26:$AC$26)"),0.00594118768)</f>
        <v>5.9411876799999996E-3</v>
      </c>
    </row>
    <row r="30" spans="1:72" ht="12.75" x14ac:dyDescent="0.2">
      <c r="A30" s="1">
        <v>2</v>
      </c>
      <c r="B30" s="28">
        <f t="shared" ref="B30:U30" si="7">B$6</f>
        <v>6.2136400000000003E-3</v>
      </c>
      <c r="C30" s="28">
        <f t="shared" si="7"/>
        <v>5.5649439999999996E-3</v>
      </c>
      <c r="D30" s="28">
        <f t="shared" si="7"/>
        <v>6.9271130000000004E-3</v>
      </c>
      <c r="E30" s="28">
        <f t="shared" si="7"/>
        <v>8.8611409999999995E-3</v>
      </c>
      <c r="F30" s="28">
        <f t="shared" si="7"/>
        <v>7.7181899999999998E-3</v>
      </c>
      <c r="G30" s="28">
        <f t="shared" si="7"/>
        <v>1.0117338999999999E-2</v>
      </c>
      <c r="H30" s="28">
        <f t="shared" si="7"/>
        <v>1.3604059E-2</v>
      </c>
      <c r="I30" s="28">
        <f t="shared" si="7"/>
        <v>1.1480575999999999E-2</v>
      </c>
      <c r="J30" s="28">
        <f t="shared" si="7"/>
        <v>1.5952227999999999E-2</v>
      </c>
      <c r="K30" s="28">
        <f t="shared" si="7"/>
        <v>8.0000000000000002E-3</v>
      </c>
      <c r="L30" s="28">
        <f t="shared" si="7"/>
        <v>6.0000000000000001E-3</v>
      </c>
      <c r="M30" s="28">
        <f t="shared" si="7"/>
        <v>7.0000000000000001E-3</v>
      </c>
      <c r="N30" s="28">
        <f t="shared" si="7"/>
        <v>8.0000000000000002E-3</v>
      </c>
      <c r="O30" s="28">
        <f t="shared" si="7"/>
        <v>0.01</v>
      </c>
      <c r="P30" s="28">
        <f t="shared" si="7"/>
        <v>1.0999999999999999E-2</v>
      </c>
      <c r="Q30" s="28">
        <f t="shared" si="7"/>
        <v>1.6E-2</v>
      </c>
      <c r="R30" s="28">
        <f t="shared" si="7"/>
        <v>1.7000000000000001E-2</v>
      </c>
      <c r="S30" s="28">
        <f t="shared" si="7"/>
        <v>2.3E-2</v>
      </c>
      <c r="T30" s="28">
        <f t="shared" si="7"/>
        <v>2.1999999999999999E-2</v>
      </c>
      <c r="U30" s="28">
        <f t="shared" si="7"/>
        <v>3.2000000000000001E-2</v>
      </c>
      <c r="V30" s="24">
        <f t="shared" si="1"/>
        <v>5.889292E-3</v>
      </c>
      <c r="W30" s="24">
        <f t="shared" si="2"/>
        <v>7.8941270000000008E-3</v>
      </c>
      <c r="X30" s="24">
        <f t="shared" si="3"/>
        <v>8.9177644999999996E-3</v>
      </c>
      <c r="Y30" s="24">
        <f t="shared" si="4"/>
        <v>1.25423175E-2</v>
      </c>
      <c r="Z30" s="24">
        <f t="shared" si="5"/>
        <v>1.1976114E-2</v>
      </c>
      <c r="AA30" s="24">
        <f ca="1">IFERROR(__xludf.DUMMYFUNCTION("AVERAGE.WEIGHTED(B30:C30,$AB$26:$AC$26)"),0.00594118768)</f>
        <v>5.9411876799999996E-3</v>
      </c>
    </row>
    <row r="31" spans="1:72" ht="12.75" x14ac:dyDescent="0.2">
      <c r="A31" s="1">
        <v>3</v>
      </c>
      <c r="B31" s="28">
        <f t="shared" ref="B31:U31" si="8">B$6</f>
        <v>6.2136400000000003E-3</v>
      </c>
      <c r="C31" s="28">
        <f t="shared" si="8"/>
        <v>5.5649439999999996E-3</v>
      </c>
      <c r="D31" s="28">
        <f t="shared" si="8"/>
        <v>6.9271130000000004E-3</v>
      </c>
      <c r="E31" s="28">
        <f t="shared" si="8"/>
        <v>8.8611409999999995E-3</v>
      </c>
      <c r="F31" s="28">
        <f t="shared" si="8"/>
        <v>7.7181899999999998E-3</v>
      </c>
      <c r="G31" s="28">
        <f t="shared" si="8"/>
        <v>1.0117338999999999E-2</v>
      </c>
      <c r="H31" s="28">
        <f t="shared" si="8"/>
        <v>1.3604059E-2</v>
      </c>
      <c r="I31" s="28">
        <f t="shared" si="8"/>
        <v>1.1480575999999999E-2</v>
      </c>
      <c r="J31" s="28">
        <f t="shared" si="8"/>
        <v>1.5952227999999999E-2</v>
      </c>
      <c r="K31" s="28">
        <f t="shared" si="8"/>
        <v>8.0000000000000002E-3</v>
      </c>
      <c r="L31" s="28">
        <f t="shared" si="8"/>
        <v>6.0000000000000001E-3</v>
      </c>
      <c r="M31" s="28">
        <f t="shared" si="8"/>
        <v>7.0000000000000001E-3</v>
      </c>
      <c r="N31" s="28">
        <f t="shared" si="8"/>
        <v>8.0000000000000002E-3</v>
      </c>
      <c r="O31" s="28">
        <f t="shared" si="8"/>
        <v>0.01</v>
      </c>
      <c r="P31" s="28">
        <f t="shared" si="8"/>
        <v>1.0999999999999999E-2</v>
      </c>
      <c r="Q31" s="28">
        <f t="shared" si="8"/>
        <v>1.6E-2</v>
      </c>
      <c r="R31" s="28">
        <f t="shared" si="8"/>
        <v>1.7000000000000001E-2</v>
      </c>
      <c r="S31" s="28">
        <f t="shared" si="8"/>
        <v>2.3E-2</v>
      </c>
      <c r="T31" s="28">
        <f t="shared" si="8"/>
        <v>2.1999999999999999E-2</v>
      </c>
      <c r="U31" s="28">
        <f t="shared" si="8"/>
        <v>3.2000000000000001E-2</v>
      </c>
      <c r="V31" s="24">
        <f t="shared" si="1"/>
        <v>5.889292E-3</v>
      </c>
      <c r="W31" s="24">
        <f t="shared" si="2"/>
        <v>7.8941270000000008E-3</v>
      </c>
      <c r="X31" s="24">
        <f t="shared" si="3"/>
        <v>8.9177644999999996E-3</v>
      </c>
      <c r="Y31" s="24">
        <f t="shared" si="4"/>
        <v>1.25423175E-2</v>
      </c>
      <c r="Z31" s="24">
        <f t="shared" si="5"/>
        <v>1.1976114E-2</v>
      </c>
      <c r="AA31" s="24">
        <f ca="1">IFERROR(__xludf.DUMMYFUNCTION("AVERAGE.WEIGHTED(B31:C31,$AB$26:$AC$26)"),0.00594118768)</f>
        <v>5.9411876799999996E-3</v>
      </c>
    </row>
    <row r="32" spans="1:72" ht="12.75" x14ac:dyDescent="0.2">
      <c r="A32" s="1">
        <v>4</v>
      </c>
      <c r="B32" s="28">
        <f t="shared" ref="B32:U32" si="9">B$6</f>
        <v>6.2136400000000003E-3</v>
      </c>
      <c r="C32" s="28">
        <f t="shared" si="9"/>
        <v>5.5649439999999996E-3</v>
      </c>
      <c r="D32" s="28">
        <f t="shared" si="9"/>
        <v>6.9271130000000004E-3</v>
      </c>
      <c r="E32" s="28">
        <f t="shared" si="9"/>
        <v>8.8611409999999995E-3</v>
      </c>
      <c r="F32" s="28">
        <f t="shared" si="9"/>
        <v>7.7181899999999998E-3</v>
      </c>
      <c r="G32" s="28">
        <f t="shared" si="9"/>
        <v>1.0117338999999999E-2</v>
      </c>
      <c r="H32" s="28">
        <f t="shared" si="9"/>
        <v>1.3604059E-2</v>
      </c>
      <c r="I32" s="28">
        <f t="shared" si="9"/>
        <v>1.1480575999999999E-2</v>
      </c>
      <c r="J32" s="28">
        <f t="shared" si="9"/>
        <v>1.5952227999999999E-2</v>
      </c>
      <c r="K32" s="28">
        <f t="shared" si="9"/>
        <v>8.0000000000000002E-3</v>
      </c>
      <c r="L32" s="28">
        <f t="shared" si="9"/>
        <v>6.0000000000000001E-3</v>
      </c>
      <c r="M32" s="28">
        <f t="shared" si="9"/>
        <v>7.0000000000000001E-3</v>
      </c>
      <c r="N32" s="28">
        <f t="shared" si="9"/>
        <v>8.0000000000000002E-3</v>
      </c>
      <c r="O32" s="28">
        <f t="shared" si="9"/>
        <v>0.01</v>
      </c>
      <c r="P32" s="28">
        <f t="shared" si="9"/>
        <v>1.0999999999999999E-2</v>
      </c>
      <c r="Q32" s="28">
        <f t="shared" si="9"/>
        <v>1.6E-2</v>
      </c>
      <c r="R32" s="28">
        <f t="shared" si="9"/>
        <v>1.7000000000000001E-2</v>
      </c>
      <c r="S32" s="28">
        <f t="shared" si="9"/>
        <v>2.3E-2</v>
      </c>
      <c r="T32" s="28">
        <f t="shared" si="9"/>
        <v>2.1999999999999999E-2</v>
      </c>
      <c r="U32" s="28">
        <f t="shared" si="9"/>
        <v>3.2000000000000001E-2</v>
      </c>
      <c r="V32" s="24">
        <f t="shared" si="1"/>
        <v>5.889292E-3</v>
      </c>
      <c r="W32" s="24">
        <f t="shared" si="2"/>
        <v>7.8941270000000008E-3</v>
      </c>
      <c r="X32" s="24">
        <f t="shared" si="3"/>
        <v>8.9177644999999996E-3</v>
      </c>
      <c r="Y32" s="24">
        <f t="shared" si="4"/>
        <v>1.25423175E-2</v>
      </c>
      <c r="Z32" s="24">
        <f t="shared" si="5"/>
        <v>1.1976114E-2</v>
      </c>
      <c r="AA32" s="24">
        <f ca="1">IFERROR(__xludf.DUMMYFUNCTION("AVERAGE.WEIGHTED(B32:C32,$AB$26:$AC$26)"),0.00594118768)</f>
        <v>5.9411876799999996E-3</v>
      </c>
    </row>
    <row r="33" spans="1:27" ht="12.75" x14ac:dyDescent="0.2">
      <c r="A33" s="1">
        <v>5</v>
      </c>
      <c r="B33" s="28">
        <f t="shared" ref="B33:U33" si="10">B$7</f>
        <v>2.787688E-3</v>
      </c>
      <c r="C33" s="28">
        <f t="shared" si="10"/>
        <v>2.4963160000000002E-3</v>
      </c>
      <c r="D33" s="28">
        <f t="shared" si="10"/>
        <v>3.1089519999999999E-3</v>
      </c>
      <c r="E33" s="28">
        <f t="shared" si="10"/>
        <v>3.5234590000000001E-3</v>
      </c>
      <c r="F33" s="28">
        <f t="shared" si="10"/>
        <v>3.0688540000000002E-3</v>
      </c>
      <c r="G33" s="28">
        <f t="shared" si="10"/>
        <v>4.0266809999999998E-3</v>
      </c>
      <c r="H33" s="28">
        <f t="shared" si="10"/>
        <v>5.0607550000000001E-3</v>
      </c>
      <c r="I33" s="28">
        <f t="shared" si="10"/>
        <v>4.2712510000000002E-3</v>
      </c>
      <c r="J33" s="28">
        <f t="shared" si="10"/>
        <v>5.9459739999999997E-3</v>
      </c>
      <c r="K33" s="28">
        <f t="shared" si="10"/>
        <v>2E-3</v>
      </c>
      <c r="L33" s="28">
        <f t="shared" si="10"/>
        <v>2E-3</v>
      </c>
      <c r="M33" s="28">
        <f t="shared" si="10"/>
        <v>3.0000000000000001E-3</v>
      </c>
      <c r="N33" s="28">
        <f t="shared" si="10"/>
        <v>3.0000000000000001E-3</v>
      </c>
      <c r="O33" s="28">
        <f t="shared" si="10"/>
        <v>4.0000000000000001E-3</v>
      </c>
      <c r="P33" s="28">
        <f t="shared" si="10"/>
        <v>4.0000000000000001E-3</v>
      </c>
      <c r="Q33" s="28">
        <f t="shared" si="10"/>
        <v>6.0000000000000001E-3</v>
      </c>
      <c r="R33" s="28">
        <f t="shared" si="10"/>
        <v>6.0000000000000001E-3</v>
      </c>
      <c r="S33" s="28">
        <f t="shared" si="10"/>
        <v>8.0000000000000002E-3</v>
      </c>
      <c r="T33" s="28">
        <f t="shared" si="10"/>
        <v>8.0000000000000002E-3</v>
      </c>
      <c r="U33" s="28">
        <f t="shared" si="10"/>
        <v>1.0999999999999999E-2</v>
      </c>
      <c r="V33" s="24">
        <f t="shared" si="1"/>
        <v>2.6420020000000001E-3</v>
      </c>
      <c r="W33" s="24">
        <f t="shared" si="2"/>
        <v>3.3162054999999998E-3</v>
      </c>
      <c r="X33" s="24">
        <f t="shared" si="3"/>
        <v>3.5477675E-3</v>
      </c>
      <c r="Y33" s="24">
        <f t="shared" si="4"/>
        <v>4.6660030000000002E-3</v>
      </c>
      <c r="Z33" s="24">
        <f t="shared" si="5"/>
        <v>3.9729869999999999E-3</v>
      </c>
      <c r="AA33" s="24">
        <f ca="1">IFERROR(__xludf.DUMMYFUNCTION("AVERAGE.WEIGHTED(B33:C33,$AB$26:$AC$26)"),0.00266531176)</f>
        <v>2.6653117600000001E-3</v>
      </c>
    </row>
    <row r="34" spans="1:27" ht="12.75" x14ac:dyDescent="0.2">
      <c r="A34" s="1">
        <v>6</v>
      </c>
      <c r="B34" s="28">
        <f t="shared" ref="B34:U34" si="11">B$7</f>
        <v>2.787688E-3</v>
      </c>
      <c r="C34" s="28">
        <f t="shared" si="11"/>
        <v>2.4963160000000002E-3</v>
      </c>
      <c r="D34" s="28">
        <f t="shared" si="11"/>
        <v>3.1089519999999999E-3</v>
      </c>
      <c r="E34" s="28">
        <f t="shared" si="11"/>
        <v>3.5234590000000001E-3</v>
      </c>
      <c r="F34" s="28">
        <f t="shared" si="11"/>
        <v>3.0688540000000002E-3</v>
      </c>
      <c r="G34" s="28">
        <f t="shared" si="11"/>
        <v>4.0266809999999998E-3</v>
      </c>
      <c r="H34" s="28">
        <f t="shared" si="11"/>
        <v>5.0607550000000001E-3</v>
      </c>
      <c r="I34" s="28">
        <f t="shared" si="11"/>
        <v>4.2712510000000002E-3</v>
      </c>
      <c r="J34" s="28">
        <f t="shared" si="11"/>
        <v>5.9459739999999997E-3</v>
      </c>
      <c r="K34" s="28">
        <f t="shared" si="11"/>
        <v>2E-3</v>
      </c>
      <c r="L34" s="28">
        <f t="shared" si="11"/>
        <v>2E-3</v>
      </c>
      <c r="M34" s="28">
        <f t="shared" si="11"/>
        <v>3.0000000000000001E-3</v>
      </c>
      <c r="N34" s="28">
        <f t="shared" si="11"/>
        <v>3.0000000000000001E-3</v>
      </c>
      <c r="O34" s="28">
        <f t="shared" si="11"/>
        <v>4.0000000000000001E-3</v>
      </c>
      <c r="P34" s="28">
        <f t="shared" si="11"/>
        <v>4.0000000000000001E-3</v>
      </c>
      <c r="Q34" s="28">
        <f t="shared" si="11"/>
        <v>6.0000000000000001E-3</v>
      </c>
      <c r="R34" s="28">
        <f t="shared" si="11"/>
        <v>6.0000000000000001E-3</v>
      </c>
      <c r="S34" s="28">
        <f t="shared" si="11"/>
        <v>8.0000000000000002E-3</v>
      </c>
      <c r="T34" s="28">
        <f t="shared" si="11"/>
        <v>8.0000000000000002E-3</v>
      </c>
      <c r="U34" s="28">
        <f t="shared" si="11"/>
        <v>1.0999999999999999E-2</v>
      </c>
      <c r="V34" s="24">
        <f t="shared" si="1"/>
        <v>2.6420020000000001E-3</v>
      </c>
      <c r="W34" s="24">
        <f t="shared" si="2"/>
        <v>3.3162054999999998E-3</v>
      </c>
      <c r="X34" s="24">
        <f t="shared" si="3"/>
        <v>3.5477675E-3</v>
      </c>
      <c r="Y34" s="24">
        <f t="shared" si="4"/>
        <v>4.6660030000000002E-3</v>
      </c>
      <c r="Z34" s="24">
        <f t="shared" si="5"/>
        <v>3.9729869999999999E-3</v>
      </c>
      <c r="AA34" s="24">
        <f ca="1">IFERROR(__xludf.DUMMYFUNCTION("AVERAGE.WEIGHTED(B34:C34,$AB$26:$AC$26)"),0.00266531176)</f>
        <v>2.6653117600000001E-3</v>
      </c>
    </row>
    <row r="35" spans="1:27" ht="12.75" x14ac:dyDescent="0.2">
      <c r="A35" s="1">
        <v>7</v>
      </c>
      <c r="B35" s="28">
        <f t="shared" ref="B35:U35" si="12">B$7</f>
        <v>2.787688E-3</v>
      </c>
      <c r="C35" s="28">
        <f t="shared" si="12"/>
        <v>2.4963160000000002E-3</v>
      </c>
      <c r="D35" s="28">
        <f t="shared" si="12"/>
        <v>3.1089519999999999E-3</v>
      </c>
      <c r="E35" s="28">
        <f t="shared" si="12"/>
        <v>3.5234590000000001E-3</v>
      </c>
      <c r="F35" s="28">
        <f t="shared" si="12"/>
        <v>3.0688540000000002E-3</v>
      </c>
      <c r="G35" s="28">
        <f t="shared" si="12"/>
        <v>4.0266809999999998E-3</v>
      </c>
      <c r="H35" s="28">
        <f t="shared" si="12"/>
        <v>5.0607550000000001E-3</v>
      </c>
      <c r="I35" s="28">
        <f t="shared" si="12"/>
        <v>4.2712510000000002E-3</v>
      </c>
      <c r="J35" s="28">
        <f t="shared" si="12"/>
        <v>5.9459739999999997E-3</v>
      </c>
      <c r="K35" s="28">
        <f t="shared" si="12"/>
        <v>2E-3</v>
      </c>
      <c r="L35" s="28">
        <f t="shared" si="12"/>
        <v>2E-3</v>
      </c>
      <c r="M35" s="28">
        <f t="shared" si="12"/>
        <v>3.0000000000000001E-3</v>
      </c>
      <c r="N35" s="28">
        <f t="shared" si="12"/>
        <v>3.0000000000000001E-3</v>
      </c>
      <c r="O35" s="28">
        <f t="shared" si="12"/>
        <v>4.0000000000000001E-3</v>
      </c>
      <c r="P35" s="28">
        <f t="shared" si="12"/>
        <v>4.0000000000000001E-3</v>
      </c>
      <c r="Q35" s="28">
        <f t="shared" si="12"/>
        <v>6.0000000000000001E-3</v>
      </c>
      <c r="R35" s="28">
        <f t="shared" si="12"/>
        <v>6.0000000000000001E-3</v>
      </c>
      <c r="S35" s="28">
        <f t="shared" si="12"/>
        <v>8.0000000000000002E-3</v>
      </c>
      <c r="T35" s="28">
        <f t="shared" si="12"/>
        <v>8.0000000000000002E-3</v>
      </c>
      <c r="U35" s="28">
        <f t="shared" si="12"/>
        <v>1.0999999999999999E-2</v>
      </c>
      <c r="V35" s="24">
        <f t="shared" si="1"/>
        <v>2.6420020000000001E-3</v>
      </c>
      <c r="W35" s="24">
        <f t="shared" si="2"/>
        <v>3.3162054999999998E-3</v>
      </c>
      <c r="X35" s="24">
        <f t="shared" si="3"/>
        <v>3.5477675E-3</v>
      </c>
      <c r="Y35" s="24">
        <f t="shared" si="4"/>
        <v>4.6660030000000002E-3</v>
      </c>
      <c r="Z35" s="24">
        <f t="shared" si="5"/>
        <v>3.9729869999999999E-3</v>
      </c>
      <c r="AA35" s="24">
        <f ca="1">IFERROR(__xludf.DUMMYFUNCTION("AVERAGE.WEIGHTED(B35:C35,$AB$26:$AC$26)"),0.00266531176)</f>
        <v>2.6653117600000001E-3</v>
      </c>
    </row>
    <row r="36" spans="1:27" ht="12.75" x14ac:dyDescent="0.2">
      <c r="A36" s="1">
        <v>8</v>
      </c>
      <c r="B36" s="28">
        <f t="shared" ref="B36:U36" si="13">B$7</f>
        <v>2.787688E-3</v>
      </c>
      <c r="C36" s="28">
        <f t="shared" si="13"/>
        <v>2.4963160000000002E-3</v>
      </c>
      <c r="D36" s="28">
        <f t="shared" si="13"/>
        <v>3.1089519999999999E-3</v>
      </c>
      <c r="E36" s="28">
        <f t="shared" si="13"/>
        <v>3.5234590000000001E-3</v>
      </c>
      <c r="F36" s="28">
        <f t="shared" si="13"/>
        <v>3.0688540000000002E-3</v>
      </c>
      <c r="G36" s="28">
        <f t="shared" si="13"/>
        <v>4.0266809999999998E-3</v>
      </c>
      <c r="H36" s="28">
        <f t="shared" si="13"/>
        <v>5.0607550000000001E-3</v>
      </c>
      <c r="I36" s="28">
        <f t="shared" si="13"/>
        <v>4.2712510000000002E-3</v>
      </c>
      <c r="J36" s="28">
        <f t="shared" si="13"/>
        <v>5.9459739999999997E-3</v>
      </c>
      <c r="K36" s="28">
        <f t="shared" si="13"/>
        <v>2E-3</v>
      </c>
      <c r="L36" s="28">
        <f t="shared" si="13"/>
        <v>2E-3</v>
      </c>
      <c r="M36" s="28">
        <f t="shared" si="13"/>
        <v>3.0000000000000001E-3</v>
      </c>
      <c r="N36" s="28">
        <f t="shared" si="13"/>
        <v>3.0000000000000001E-3</v>
      </c>
      <c r="O36" s="28">
        <f t="shared" si="13"/>
        <v>4.0000000000000001E-3</v>
      </c>
      <c r="P36" s="28">
        <f t="shared" si="13"/>
        <v>4.0000000000000001E-3</v>
      </c>
      <c r="Q36" s="28">
        <f t="shared" si="13"/>
        <v>6.0000000000000001E-3</v>
      </c>
      <c r="R36" s="28">
        <f t="shared" si="13"/>
        <v>6.0000000000000001E-3</v>
      </c>
      <c r="S36" s="28">
        <f t="shared" si="13"/>
        <v>8.0000000000000002E-3</v>
      </c>
      <c r="T36" s="28">
        <f t="shared" si="13"/>
        <v>8.0000000000000002E-3</v>
      </c>
      <c r="U36" s="28">
        <f t="shared" si="13"/>
        <v>1.0999999999999999E-2</v>
      </c>
      <c r="V36" s="24">
        <f t="shared" si="1"/>
        <v>2.6420020000000001E-3</v>
      </c>
      <c r="W36" s="24">
        <f t="shared" si="2"/>
        <v>3.3162054999999998E-3</v>
      </c>
      <c r="X36" s="24">
        <f t="shared" si="3"/>
        <v>3.5477675E-3</v>
      </c>
      <c r="Y36" s="24">
        <f t="shared" si="4"/>
        <v>4.6660030000000002E-3</v>
      </c>
      <c r="Z36" s="24">
        <f t="shared" si="5"/>
        <v>3.9729869999999999E-3</v>
      </c>
      <c r="AA36" s="24">
        <f ca="1">IFERROR(__xludf.DUMMYFUNCTION("AVERAGE.WEIGHTED(B36:C36,$AB$26:$AC$26)"),0.00266531176)</f>
        <v>2.6653117600000001E-3</v>
      </c>
    </row>
    <row r="37" spans="1:27" ht="12.75" x14ac:dyDescent="0.2">
      <c r="A37" s="1">
        <v>9</v>
      </c>
      <c r="B37" s="28">
        <f t="shared" ref="B37:U37" si="14">B$7</f>
        <v>2.787688E-3</v>
      </c>
      <c r="C37" s="28">
        <f t="shared" si="14"/>
        <v>2.4963160000000002E-3</v>
      </c>
      <c r="D37" s="28">
        <f t="shared" si="14"/>
        <v>3.1089519999999999E-3</v>
      </c>
      <c r="E37" s="28">
        <f t="shared" si="14"/>
        <v>3.5234590000000001E-3</v>
      </c>
      <c r="F37" s="28">
        <f t="shared" si="14"/>
        <v>3.0688540000000002E-3</v>
      </c>
      <c r="G37" s="28">
        <f t="shared" si="14"/>
        <v>4.0266809999999998E-3</v>
      </c>
      <c r="H37" s="28">
        <f t="shared" si="14"/>
        <v>5.0607550000000001E-3</v>
      </c>
      <c r="I37" s="28">
        <f t="shared" si="14"/>
        <v>4.2712510000000002E-3</v>
      </c>
      <c r="J37" s="28">
        <f t="shared" si="14"/>
        <v>5.9459739999999997E-3</v>
      </c>
      <c r="K37" s="28">
        <f t="shared" si="14"/>
        <v>2E-3</v>
      </c>
      <c r="L37" s="28">
        <f t="shared" si="14"/>
        <v>2E-3</v>
      </c>
      <c r="M37" s="28">
        <f t="shared" si="14"/>
        <v>3.0000000000000001E-3</v>
      </c>
      <c r="N37" s="28">
        <f t="shared" si="14"/>
        <v>3.0000000000000001E-3</v>
      </c>
      <c r="O37" s="28">
        <f t="shared" si="14"/>
        <v>4.0000000000000001E-3</v>
      </c>
      <c r="P37" s="28">
        <f t="shared" si="14"/>
        <v>4.0000000000000001E-3</v>
      </c>
      <c r="Q37" s="28">
        <f t="shared" si="14"/>
        <v>6.0000000000000001E-3</v>
      </c>
      <c r="R37" s="28">
        <f t="shared" si="14"/>
        <v>6.0000000000000001E-3</v>
      </c>
      <c r="S37" s="28">
        <f t="shared" si="14"/>
        <v>8.0000000000000002E-3</v>
      </c>
      <c r="T37" s="28">
        <f t="shared" si="14"/>
        <v>8.0000000000000002E-3</v>
      </c>
      <c r="U37" s="28">
        <f t="shared" si="14"/>
        <v>1.0999999999999999E-2</v>
      </c>
      <c r="V37" s="24">
        <f t="shared" si="1"/>
        <v>2.6420020000000001E-3</v>
      </c>
      <c r="W37" s="24">
        <f t="shared" si="2"/>
        <v>3.3162054999999998E-3</v>
      </c>
      <c r="X37" s="24">
        <f t="shared" si="3"/>
        <v>3.5477675E-3</v>
      </c>
      <c r="Y37" s="24">
        <f t="shared" si="4"/>
        <v>4.6660030000000002E-3</v>
      </c>
      <c r="Z37" s="24">
        <f t="shared" si="5"/>
        <v>3.9729869999999999E-3</v>
      </c>
      <c r="AA37" s="24">
        <f ca="1">IFERROR(__xludf.DUMMYFUNCTION("AVERAGE.WEIGHTED(B37:C37,$AB$26:$AC$26)"),0.00266531176)</f>
        <v>2.6653117600000001E-3</v>
      </c>
    </row>
    <row r="38" spans="1:27" ht="12.75" x14ac:dyDescent="0.2">
      <c r="A38" s="1">
        <v>10</v>
      </c>
      <c r="B38" s="28">
        <f t="shared" ref="B38:U38" si="15">B$8</f>
        <v>2.7084650000000002E-3</v>
      </c>
      <c r="C38" s="28">
        <f t="shared" si="15"/>
        <v>2.6802359999999999E-3</v>
      </c>
      <c r="D38" s="28">
        <f t="shared" si="15"/>
        <v>2.7398079999999998E-3</v>
      </c>
      <c r="E38" s="28">
        <f t="shared" si="15"/>
        <v>3.1717830000000001E-3</v>
      </c>
      <c r="F38" s="28">
        <f t="shared" si="15"/>
        <v>3.2667199999999999E-3</v>
      </c>
      <c r="G38" s="28">
        <f t="shared" si="15"/>
        <v>3.0652499999999998E-3</v>
      </c>
      <c r="H38" s="28">
        <f t="shared" si="15"/>
        <v>3.9727260000000002E-3</v>
      </c>
      <c r="I38" s="28">
        <f t="shared" si="15"/>
        <v>4.2125720000000004E-3</v>
      </c>
      <c r="J38" s="28">
        <f t="shared" si="15"/>
        <v>3.7031569999999999E-3</v>
      </c>
      <c r="K38" s="28">
        <f t="shared" si="15"/>
        <v>1E-3</v>
      </c>
      <c r="L38" s="28">
        <f t="shared" si="15"/>
        <v>3.0000000000000001E-3</v>
      </c>
      <c r="M38" s="28">
        <f t="shared" si="15"/>
        <v>3.0000000000000001E-3</v>
      </c>
      <c r="N38" s="28">
        <f t="shared" si="15"/>
        <v>3.0000000000000001E-3</v>
      </c>
      <c r="O38" s="28">
        <f t="shared" si="15"/>
        <v>3.0000000000000001E-3</v>
      </c>
      <c r="P38" s="28">
        <f t="shared" si="15"/>
        <v>4.0000000000000001E-3</v>
      </c>
      <c r="Q38" s="28">
        <f t="shared" si="15"/>
        <v>4.0000000000000001E-3</v>
      </c>
      <c r="R38" s="28">
        <f t="shared" si="15"/>
        <v>5.0000000000000001E-3</v>
      </c>
      <c r="S38" s="28">
        <f t="shared" si="15"/>
        <v>5.0000000000000001E-3</v>
      </c>
      <c r="T38" s="28">
        <f t="shared" si="15"/>
        <v>6.0000000000000001E-3</v>
      </c>
      <c r="U38" s="28">
        <f t="shared" si="15"/>
        <v>6.0000000000000001E-3</v>
      </c>
      <c r="V38" s="24">
        <f t="shared" si="1"/>
        <v>2.6943505E-3</v>
      </c>
      <c r="W38" s="24">
        <f t="shared" si="2"/>
        <v>2.9557954999999999E-3</v>
      </c>
      <c r="X38" s="24">
        <f t="shared" si="3"/>
        <v>3.1659849999999996E-3</v>
      </c>
      <c r="Y38" s="24">
        <f t="shared" si="4"/>
        <v>4.0926490000000003E-3</v>
      </c>
      <c r="Z38" s="24">
        <f t="shared" si="5"/>
        <v>2.3515784999999997E-3</v>
      </c>
      <c r="AA38" s="24">
        <f ca="1">IFERROR(__xludf.DUMMYFUNCTION("AVERAGE.WEIGHTED(B38:C38,$AB$26:$AC$26)"),0.00269660882)</f>
        <v>2.6966088199999998E-3</v>
      </c>
    </row>
    <row r="39" spans="1:27" ht="12.75" x14ac:dyDescent="0.2">
      <c r="A39" s="1">
        <v>11</v>
      </c>
      <c r="B39" s="28">
        <f t="shared" ref="B39:U39" si="16">B$8</f>
        <v>2.7084650000000002E-3</v>
      </c>
      <c r="C39" s="28">
        <f t="shared" si="16"/>
        <v>2.6802359999999999E-3</v>
      </c>
      <c r="D39" s="28">
        <f t="shared" si="16"/>
        <v>2.7398079999999998E-3</v>
      </c>
      <c r="E39" s="28">
        <f t="shared" si="16"/>
        <v>3.1717830000000001E-3</v>
      </c>
      <c r="F39" s="28">
        <f t="shared" si="16"/>
        <v>3.2667199999999999E-3</v>
      </c>
      <c r="G39" s="28">
        <f t="shared" si="16"/>
        <v>3.0652499999999998E-3</v>
      </c>
      <c r="H39" s="28">
        <f t="shared" si="16"/>
        <v>3.9727260000000002E-3</v>
      </c>
      <c r="I39" s="28">
        <f t="shared" si="16"/>
        <v>4.2125720000000004E-3</v>
      </c>
      <c r="J39" s="28">
        <f t="shared" si="16"/>
        <v>3.7031569999999999E-3</v>
      </c>
      <c r="K39" s="28">
        <f t="shared" si="16"/>
        <v>1E-3</v>
      </c>
      <c r="L39" s="28">
        <f t="shared" si="16"/>
        <v>3.0000000000000001E-3</v>
      </c>
      <c r="M39" s="28">
        <f t="shared" si="16"/>
        <v>3.0000000000000001E-3</v>
      </c>
      <c r="N39" s="28">
        <f t="shared" si="16"/>
        <v>3.0000000000000001E-3</v>
      </c>
      <c r="O39" s="28">
        <f t="shared" si="16"/>
        <v>3.0000000000000001E-3</v>
      </c>
      <c r="P39" s="28">
        <f t="shared" si="16"/>
        <v>4.0000000000000001E-3</v>
      </c>
      <c r="Q39" s="28">
        <f t="shared" si="16"/>
        <v>4.0000000000000001E-3</v>
      </c>
      <c r="R39" s="28">
        <f t="shared" si="16"/>
        <v>5.0000000000000001E-3</v>
      </c>
      <c r="S39" s="28">
        <f t="shared" si="16"/>
        <v>5.0000000000000001E-3</v>
      </c>
      <c r="T39" s="28">
        <f t="shared" si="16"/>
        <v>6.0000000000000001E-3</v>
      </c>
      <c r="U39" s="28">
        <f t="shared" si="16"/>
        <v>6.0000000000000001E-3</v>
      </c>
      <c r="V39" s="24">
        <f t="shared" si="1"/>
        <v>2.6943505E-3</v>
      </c>
      <c r="W39" s="24">
        <f t="shared" si="2"/>
        <v>2.9557954999999999E-3</v>
      </c>
      <c r="X39" s="24">
        <f t="shared" si="3"/>
        <v>3.1659849999999996E-3</v>
      </c>
      <c r="Y39" s="24">
        <f t="shared" si="4"/>
        <v>4.0926490000000003E-3</v>
      </c>
      <c r="Z39" s="24">
        <f t="shared" si="5"/>
        <v>2.3515784999999997E-3</v>
      </c>
      <c r="AA39" s="24">
        <f ca="1">IFERROR(__xludf.DUMMYFUNCTION("AVERAGE.WEIGHTED(B39:C39,$AB$26:$AC$26)"),0.00269660882)</f>
        <v>2.6966088199999998E-3</v>
      </c>
    </row>
    <row r="40" spans="1:27" ht="12.75" x14ac:dyDescent="0.2">
      <c r="A40" s="1">
        <v>12</v>
      </c>
      <c r="B40" s="28">
        <f t="shared" ref="B40:U40" si="17">B$8</f>
        <v>2.7084650000000002E-3</v>
      </c>
      <c r="C40" s="28">
        <f t="shared" si="17"/>
        <v>2.6802359999999999E-3</v>
      </c>
      <c r="D40" s="28">
        <f t="shared" si="17"/>
        <v>2.7398079999999998E-3</v>
      </c>
      <c r="E40" s="28">
        <f t="shared" si="17"/>
        <v>3.1717830000000001E-3</v>
      </c>
      <c r="F40" s="28">
        <f t="shared" si="17"/>
        <v>3.2667199999999999E-3</v>
      </c>
      <c r="G40" s="28">
        <f t="shared" si="17"/>
        <v>3.0652499999999998E-3</v>
      </c>
      <c r="H40" s="28">
        <f t="shared" si="17"/>
        <v>3.9727260000000002E-3</v>
      </c>
      <c r="I40" s="28">
        <f t="shared" si="17"/>
        <v>4.2125720000000004E-3</v>
      </c>
      <c r="J40" s="28">
        <f t="shared" si="17"/>
        <v>3.7031569999999999E-3</v>
      </c>
      <c r="K40" s="28">
        <f t="shared" si="17"/>
        <v>1E-3</v>
      </c>
      <c r="L40" s="28">
        <f t="shared" si="17"/>
        <v>3.0000000000000001E-3</v>
      </c>
      <c r="M40" s="28">
        <f t="shared" si="17"/>
        <v>3.0000000000000001E-3</v>
      </c>
      <c r="N40" s="28">
        <f t="shared" si="17"/>
        <v>3.0000000000000001E-3</v>
      </c>
      <c r="O40" s="28">
        <f t="shared" si="17"/>
        <v>3.0000000000000001E-3</v>
      </c>
      <c r="P40" s="28">
        <f t="shared" si="17"/>
        <v>4.0000000000000001E-3</v>
      </c>
      <c r="Q40" s="28">
        <f t="shared" si="17"/>
        <v>4.0000000000000001E-3</v>
      </c>
      <c r="R40" s="28">
        <f t="shared" si="17"/>
        <v>5.0000000000000001E-3</v>
      </c>
      <c r="S40" s="28">
        <f t="shared" si="17"/>
        <v>5.0000000000000001E-3</v>
      </c>
      <c r="T40" s="28">
        <f t="shared" si="17"/>
        <v>6.0000000000000001E-3</v>
      </c>
      <c r="U40" s="28">
        <f t="shared" si="17"/>
        <v>6.0000000000000001E-3</v>
      </c>
      <c r="V40" s="24">
        <f t="shared" si="1"/>
        <v>2.6943505E-3</v>
      </c>
      <c r="W40" s="24">
        <f t="shared" si="2"/>
        <v>2.9557954999999999E-3</v>
      </c>
      <c r="X40" s="24">
        <f t="shared" si="3"/>
        <v>3.1659849999999996E-3</v>
      </c>
      <c r="Y40" s="24">
        <f t="shared" si="4"/>
        <v>4.0926490000000003E-3</v>
      </c>
      <c r="Z40" s="24">
        <f t="shared" si="5"/>
        <v>2.3515784999999997E-3</v>
      </c>
      <c r="AA40" s="24">
        <f ca="1">IFERROR(__xludf.DUMMYFUNCTION("AVERAGE.WEIGHTED(B40:C40,$AB$26:$AC$26)"),0.00269660882)</f>
        <v>2.6966088199999998E-3</v>
      </c>
    </row>
    <row r="41" spans="1:27" ht="12.75" x14ac:dyDescent="0.2">
      <c r="A41" s="1">
        <v>13</v>
      </c>
      <c r="B41" s="28">
        <f t="shared" ref="B41:U41" si="18">B$8</f>
        <v>2.7084650000000002E-3</v>
      </c>
      <c r="C41" s="28">
        <f t="shared" si="18"/>
        <v>2.6802359999999999E-3</v>
      </c>
      <c r="D41" s="28">
        <f t="shared" si="18"/>
        <v>2.7398079999999998E-3</v>
      </c>
      <c r="E41" s="28">
        <f t="shared" si="18"/>
        <v>3.1717830000000001E-3</v>
      </c>
      <c r="F41" s="28">
        <f t="shared" si="18"/>
        <v>3.2667199999999999E-3</v>
      </c>
      <c r="G41" s="28">
        <f t="shared" si="18"/>
        <v>3.0652499999999998E-3</v>
      </c>
      <c r="H41" s="28">
        <f t="shared" si="18"/>
        <v>3.9727260000000002E-3</v>
      </c>
      <c r="I41" s="28">
        <f t="shared" si="18"/>
        <v>4.2125720000000004E-3</v>
      </c>
      <c r="J41" s="28">
        <f t="shared" si="18"/>
        <v>3.7031569999999999E-3</v>
      </c>
      <c r="K41" s="28">
        <f t="shared" si="18"/>
        <v>1E-3</v>
      </c>
      <c r="L41" s="28">
        <f t="shared" si="18"/>
        <v>3.0000000000000001E-3</v>
      </c>
      <c r="M41" s="28">
        <f t="shared" si="18"/>
        <v>3.0000000000000001E-3</v>
      </c>
      <c r="N41" s="28">
        <f t="shared" si="18"/>
        <v>3.0000000000000001E-3</v>
      </c>
      <c r="O41" s="28">
        <f t="shared" si="18"/>
        <v>3.0000000000000001E-3</v>
      </c>
      <c r="P41" s="28">
        <f t="shared" si="18"/>
        <v>4.0000000000000001E-3</v>
      </c>
      <c r="Q41" s="28">
        <f t="shared" si="18"/>
        <v>4.0000000000000001E-3</v>
      </c>
      <c r="R41" s="28">
        <f t="shared" si="18"/>
        <v>5.0000000000000001E-3</v>
      </c>
      <c r="S41" s="28">
        <f t="shared" si="18"/>
        <v>5.0000000000000001E-3</v>
      </c>
      <c r="T41" s="28">
        <f t="shared" si="18"/>
        <v>6.0000000000000001E-3</v>
      </c>
      <c r="U41" s="28">
        <f t="shared" si="18"/>
        <v>6.0000000000000001E-3</v>
      </c>
      <c r="V41" s="24">
        <f t="shared" si="1"/>
        <v>2.6943505E-3</v>
      </c>
      <c r="W41" s="24">
        <f t="shared" si="2"/>
        <v>2.9557954999999999E-3</v>
      </c>
      <c r="X41" s="24">
        <f t="shared" si="3"/>
        <v>3.1659849999999996E-3</v>
      </c>
      <c r="Y41" s="24">
        <f t="shared" si="4"/>
        <v>4.0926490000000003E-3</v>
      </c>
      <c r="Z41" s="24">
        <f t="shared" si="5"/>
        <v>2.3515784999999997E-3</v>
      </c>
      <c r="AA41" s="24">
        <f ca="1">IFERROR(__xludf.DUMMYFUNCTION("AVERAGE.WEIGHTED(B41:C41,$AB$26:$AC$26)"),0.00269660882)</f>
        <v>2.6966088199999998E-3</v>
      </c>
    </row>
    <row r="42" spans="1:27" ht="12.75" x14ac:dyDescent="0.2">
      <c r="A42" s="1">
        <v>14</v>
      </c>
      <c r="B42" s="28">
        <f t="shared" ref="B42:U42" si="19">B$8</f>
        <v>2.7084650000000002E-3</v>
      </c>
      <c r="C42" s="28">
        <f t="shared" si="19"/>
        <v>2.6802359999999999E-3</v>
      </c>
      <c r="D42" s="28">
        <f t="shared" si="19"/>
        <v>2.7398079999999998E-3</v>
      </c>
      <c r="E42" s="28">
        <f t="shared" si="19"/>
        <v>3.1717830000000001E-3</v>
      </c>
      <c r="F42" s="28">
        <f t="shared" si="19"/>
        <v>3.2667199999999999E-3</v>
      </c>
      <c r="G42" s="28">
        <f t="shared" si="19"/>
        <v>3.0652499999999998E-3</v>
      </c>
      <c r="H42" s="28">
        <f t="shared" si="19"/>
        <v>3.9727260000000002E-3</v>
      </c>
      <c r="I42" s="28">
        <f t="shared" si="19"/>
        <v>4.2125720000000004E-3</v>
      </c>
      <c r="J42" s="28">
        <f t="shared" si="19"/>
        <v>3.7031569999999999E-3</v>
      </c>
      <c r="K42" s="28">
        <f t="shared" si="19"/>
        <v>1E-3</v>
      </c>
      <c r="L42" s="28">
        <f t="shared" si="19"/>
        <v>3.0000000000000001E-3</v>
      </c>
      <c r="M42" s="28">
        <f t="shared" si="19"/>
        <v>3.0000000000000001E-3</v>
      </c>
      <c r="N42" s="28">
        <f t="shared" si="19"/>
        <v>3.0000000000000001E-3</v>
      </c>
      <c r="O42" s="28">
        <f t="shared" si="19"/>
        <v>3.0000000000000001E-3</v>
      </c>
      <c r="P42" s="28">
        <f t="shared" si="19"/>
        <v>4.0000000000000001E-3</v>
      </c>
      <c r="Q42" s="28">
        <f t="shared" si="19"/>
        <v>4.0000000000000001E-3</v>
      </c>
      <c r="R42" s="28">
        <f t="shared" si="19"/>
        <v>5.0000000000000001E-3</v>
      </c>
      <c r="S42" s="28">
        <f t="shared" si="19"/>
        <v>5.0000000000000001E-3</v>
      </c>
      <c r="T42" s="28">
        <f t="shared" si="19"/>
        <v>6.0000000000000001E-3</v>
      </c>
      <c r="U42" s="28">
        <f t="shared" si="19"/>
        <v>6.0000000000000001E-3</v>
      </c>
      <c r="V42" s="24">
        <f t="shared" si="1"/>
        <v>2.6943505E-3</v>
      </c>
      <c r="W42" s="24">
        <f t="shared" si="2"/>
        <v>2.9557954999999999E-3</v>
      </c>
      <c r="X42" s="24">
        <f t="shared" si="3"/>
        <v>3.1659849999999996E-3</v>
      </c>
      <c r="Y42" s="24">
        <f t="shared" si="4"/>
        <v>4.0926490000000003E-3</v>
      </c>
      <c r="Z42" s="24">
        <f t="shared" si="5"/>
        <v>2.3515784999999997E-3</v>
      </c>
      <c r="AA42" s="24">
        <f ca="1">IFERROR(__xludf.DUMMYFUNCTION("AVERAGE.WEIGHTED(B42:C42,$AB$26:$AC$26)"),0.00269660882)</f>
        <v>2.6966088199999998E-3</v>
      </c>
    </row>
    <row r="43" spans="1:27" ht="12.75" x14ac:dyDescent="0.2">
      <c r="A43" s="1">
        <v>15</v>
      </c>
      <c r="B43" s="28">
        <f t="shared" ref="B43:U43" si="20">B$9</f>
        <v>4.184859E-3</v>
      </c>
      <c r="C43" s="28">
        <f t="shared" si="20"/>
        <v>3.9507769999999999E-3</v>
      </c>
      <c r="D43" s="28">
        <f t="shared" si="20"/>
        <v>4.4479960000000001E-3</v>
      </c>
      <c r="E43" s="28">
        <f t="shared" si="20"/>
        <v>4.4942990000000002E-3</v>
      </c>
      <c r="F43" s="28">
        <f t="shared" si="20"/>
        <v>4.4523799999999997E-3</v>
      </c>
      <c r="G43" s="28">
        <f t="shared" si="20"/>
        <v>4.5414260000000003E-3</v>
      </c>
      <c r="H43" s="28">
        <f t="shared" si="20"/>
        <v>6.1867229999999999E-3</v>
      </c>
      <c r="I43" s="28">
        <f t="shared" si="20"/>
        <v>5.8215319999999999E-3</v>
      </c>
      <c r="J43" s="28">
        <f t="shared" si="20"/>
        <v>6.5957150000000003E-3</v>
      </c>
      <c r="K43" s="28">
        <f t="shared" si="20"/>
        <v>2E-3</v>
      </c>
      <c r="L43" s="28">
        <f t="shared" si="20"/>
        <v>4.0000000000000001E-3</v>
      </c>
      <c r="M43" s="28">
        <f t="shared" si="20"/>
        <v>4.0000000000000001E-3</v>
      </c>
      <c r="N43" s="28">
        <f t="shared" si="20"/>
        <v>4.0000000000000001E-3</v>
      </c>
      <c r="O43" s="28">
        <f t="shared" si="20"/>
        <v>5.0000000000000001E-3</v>
      </c>
      <c r="P43" s="28">
        <f t="shared" si="20"/>
        <v>6.0000000000000001E-3</v>
      </c>
      <c r="Q43" s="28">
        <f t="shared" si="20"/>
        <v>7.0000000000000001E-3</v>
      </c>
      <c r="R43" s="28">
        <f t="shared" si="20"/>
        <v>7.0000000000000001E-3</v>
      </c>
      <c r="S43" s="28">
        <f t="shared" si="20"/>
        <v>8.0000000000000002E-3</v>
      </c>
      <c r="T43" s="28">
        <f t="shared" si="20"/>
        <v>8.0000000000000002E-3</v>
      </c>
      <c r="U43" s="28">
        <f t="shared" si="20"/>
        <v>0.01</v>
      </c>
      <c r="V43" s="24">
        <f t="shared" si="1"/>
        <v>4.067818E-3</v>
      </c>
      <c r="W43" s="24">
        <f t="shared" si="2"/>
        <v>4.4711474999999997E-3</v>
      </c>
      <c r="X43" s="24">
        <f t="shared" si="3"/>
        <v>4.496903E-3</v>
      </c>
      <c r="Y43" s="24">
        <f t="shared" si="4"/>
        <v>6.0041274999999995E-3</v>
      </c>
      <c r="Z43" s="24">
        <f t="shared" si="5"/>
        <v>4.2978575000000001E-3</v>
      </c>
      <c r="AA43" s="24">
        <f ca="1">IFERROR(__xludf.DUMMYFUNCTION("AVERAGE.WEIGHTED(B43:C43,$AB$26:$AC$26)"),0.00408654456)</f>
        <v>4.0865445599999996E-3</v>
      </c>
    </row>
    <row r="44" spans="1:27" ht="12.75" x14ac:dyDescent="0.2">
      <c r="A44" s="1">
        <v>16</v>
      </c>
      <c r="B44" s="28">
        <f t="shared" ref="B44:U44" si="21">B$9</f>
        <v>4.184859E-3</v>
      </c>
      <c r="C44" s="28">
        <f t="shared" si="21"/>
        <v>3.9507769999999999E-3</v>
      </c>
      <c r="D44" s="28">
        <f t="shared" si="21"/>
        <v>4.4479960000000001E-3</v>
      </c>
      <c r="E44" s="28">
        <f t="shared" si="21"/>
        <v>4.4942990000000002E-3</v>
      </c>
      <c r="F44" s="28">
        <f t="shared" si="21"/>
        <v>4.4523799999999997E-3</v>
      </c>
      <c r="G44" s="28">
        <f t="shared" si="21"/>
        <v>4.5414260000000003E-3</v>
      </c>
      <c r="H44" s="28">
        <f t="shared" si="21"/>
        <v>6.1867229999999999E-3</v>
      </c>
      <c r="I44" s="28">
        <f t="shared" si="21"/>
        <v>5.8215319999999999E-3</v>
      </c>
      <c r="J44" s="28">
        <f t="shared" si="21"/>
        <v>6.5957150000000003E-3</v>
      </c>
      <c r="K44" s="28">
        <f t="shared" si="21"/>
        <v>2E-3</v>
      </c>
      <c r="L44" s="28">
        <f t="shared" si="21"/>
        <v>4.0000000000000001E-3</v>
      </c>
      <c r="M44" s="28">
        <f t="shared" si="21"/>
        <v>4.0000000000000001E-3</v>
      </c>
      <c r="N44" s="28">
        <f t="shared" si="21"/>
        <v>4.0000000000000001E-3</v>
      </c>
      <c r="O44" s="28">
        <f t="shared" si="21"/>
        <v>5.0000000000000001E-3</v>
      </c>
      <c r="P44" s="28">
        <f t="shared" si="21"/>
        <v>6.0000000000000001E-3</v>
      </c>
      <c r="Q44" s="28">
        <f t="shared" si="21"/>
        <v>7.0000000000000001E-3</v>
      </c>
      <c r="R44" s="28">
        <f t="shared" si="21"/>
        <v>7.0000000000000001E-3</v>
      </c>
      <c r="S44" s="28">
        <f t="shared" si="21"/>
        <v>8.0000000000000002E-3</v>
      </c>
      <c r="T44" s="28">
        <f t="shared" si="21"/>
        <v>8.0000000000000002E-3</v>
      </c>
      <c r="U44" s="28">
        <f t="shared" si="21"/>
        <v>0.01</v>
      </c>
      <c r="V44" s="24">
        <f t="shared" si="1"/>
        <v>4.067818E-3</v>
      </c>
      <c r="W44" s="24">
        <f t="shared" si="2"/>
        <v>4.4711474999999997E-3</v>
      </c>
      <c r="X44" s="24">
        <f t="shared" si="3"/>
        <v>4.496903E-3</v>
      </c>
      <c r="Y44" s="24">
        <f t="shared" si="4"/>
        <v>6.0041274999999995E-3</v>
      </c>
      <c r="Z44" s="24">
        <f t="shared" si="5"/>
        <v>4.2978575000000001E-3</v>
      </c>
      <c r="AA44" s="24">
        <f ca="1">IFERROR(__xludf.DUMMYFUNCTION("AVERAGE.WEIGHTED(B44:C44,$AB$26:$AC$26)"),0.00408654456)</f>
        <v>4.0865445599999996E-3</v>
      </c>
    </row>
    <row r="45" spans="1:27" ht="12.75" x14ac:dyDescent="0.2">
      <c r="A45" s="1">
        <v>17</v>
      </c>
      <c r="B45" s="28">
        <f t="shared" ref="B45:U45" si="22">B$9</f>
        <v>4.184859E-3</v>
      </c>
      <c r="C45" s="28">
        <f t="shared" si="22"/>
        <v>3.9507769999999999E-3</v>
      </c>
      <c r="D45" s="28">
        <f t="shared" si="22"/>
        <v>4.4479960000000001E-3</v>
      </c>
      <c r="E45" s="28">
        <f t="shared" si="22"/>
        <v>4.4942990000000002E-3</v>
      </c>
      <c r="F45" s="28">
        <f t="shared" si="22"/>
        <v>4.4523799999999997E-3</v>
      </c>
      <c r="G45" s="28">
        <f t="shared" si="22"/>
        <v>4.5414260000000003E-3</v>
      </c>
      <c r="H45" s="28">
        <f t="shared" si="22"/>
        <v>6.1867229999999999E-3</v>
      </c>
      <c r="I45" s="28">
        <f t="shared" si="22"/>
        <v>5.8215319999999999E-3</v>
      </c>
      <c r="J45" s="28">
        <f t="shared" si="22"/>
        <v>6.5957150000000003E-3</v>
      </c>
      <c r="K45" s="28">
        <f t="shared" si="22"/>
        <v>2E-3</v>
      </c>
      <c r="L45" s="28">
        <f t="shared" si="22"/>
        <v>4.0000000000000001E-3</v>
      </c>
      <c r="M45" s="28">
        <f t="shared" si="22"/>
        <v>4.0000000000000001E-3</v>
      </c>
      <c r="N45" s="28">
        <f t="shared" si="22"/>
        <v>4.0000000000000001E-3</v>
      </c>
      <c r="O45" s="28">
        <f t="shared" si="22"/>
        <v>5.0000000000000001E-3</v>
      </c>
      <c r="P45" s="28">
        <f t="shared" si="22"/>
        <v>6.0000000000000001E-3</v>
      </c>
      <c r="Q45" s="28">
        <f t="shared" si="22"/>
        <v>7.0000000000000001E-3</v>
      </c>
      <c r="R45" s="28">
        <f t="shared" si="22"/>
        <v>7.0000000000000001E-3</v>
      </c>
      <c r="S45" s="28">
        <f t="shared" si="22"/>
        <v>8.0000000000000002E-3</v>
      </c>
      <c r="T45" s="28">
        <f t="shared" si="22"/>
        <v>8.0000000000000002E-3</v>
      </c>
      <c r="U45" s="28">
        <f t="shared" si="22"/>
        <v>0.01</v>
      </c>
      <c r="V45" s="24">
        <f t="shared" si="1"/>
        <v>4.067818E-3</v>
      </c>
      <c r="W45" s="24">
        <f t="shared" si="2"/>
        <v>4.4711474999999997E-3</v>
      </c>
      <c r="X45" s="24">
        <f t="shared" si="3"/>
        <v>4.496903E-3</v>
      </c>
      <c r="Y45" s="24">
        <f t="shared" si="4"/>
        <v>6.0041274999999995E-3</v>
      </c>
      <c r="Z45" s="24">
        <f t="shared" si="5"/>
        <v>4.2978575000000001E-3</v>
      </c>
      <c r="AA45" s="24">
        <f ca="1">IFERROR(__xludf.DUMMYFUNCTION("AVERAGE.WEIGHTED(B45:C45,$AB$26:$AC$26)"),0.00408654456)</f>
        <v>4.0865445599999996E-3</v>
      </c>
    </row>
    <row r="46" spans="1:27" ht="12.75" x14ac:dyDescent="0.2">
      <c r="A46" s="1">
        <v>18</v>
      </c>
      <c r="B46" s="28">
        <f t="shared" ref="B46:U46" si="23">B$9</f>
        <v>4.184859E-3</v>
      </c>
      <c r="C46" s="28">
        <f t="shared" si="23"/>
        <v>3.9507769999999999E-3</v>
      </c>
      <c r="D46" s="28">
        <f t="shared" si="23"/>
        <v>4.4479960000000001E-3</v>
      </c>
      <c r="E46" s="28">
        <f t="shared" si="23"/>
        <v>4.4942990000000002E-3</v>
      </c>
      <c r="F46" s="28">
        <f t="shared" si="23"/>
        <v>4.4523799999999997E-3</v>
      </c>
      <c r="G46" s="28">
        <f t="shared" si="23"/>
        <v>4.5414260000000003E-3</v>
      </c>
      <c r="H46" s="28">
        <f t="shared" si="23"/>
        <v>6.1867229999999999E-3</v>
      </c>
      <c r="I46" s="28">
        <f t="shared" si="23"/>
        <v>5.8215319999999999E-3</v>
      </c>
      <c r="J46" s="28">
        <f t="shared" si="23"/>
        <v>6.5957150000000003E-3</v>
      </c>
      <c r="K46" s="28">
        <f t="shared" si="23"/>
        <v>2E-3</v>
      </c>
      <c r="L46" s="28">
        <f t="shared" si="23"/>
        <v>4.0000000000000001E-3</v>
      </c>
      <c r="M46" s="28">
        <f t="shared" si="23"/>
        <v>4.0000000000000001E-3</v>
      </c>
      <c r="N46" s="28">
        <f t="shared" si="23"/>
        <v>4.0000000000000001E-3</v>
      </c>
      <c r="O46" s="28">
        <f t="shared" si="23"/>
        <v>5.0000000000000001E-3</v>
      </c>
      <c r="P46" s="28">
        <f t="shared" si="23"/>
        <v>6.0000000000000001E-3</v>
      </c>
      <c r="Q46" s="28">
        <f t="shared" si="23"/>
        <v>7.0000000000000001E-3</v>
      </c>
      <c r="R46" s="28">
        <f t="shared" si="23"/>
        <v>7.0000000000000001E-3</v>
      </c>
      <c r="S46" s="28">
        <f t="shared" si="23"/>
        <v>8.0000000000000002E-3</v>
      </c>
      <c r="T46" s="28">
        <f t="shared" si="23"/>
        <v>8.0000000000000002E-3</v>
      </c>
      <c r="U46" s="28">
        <f t="shared" si="23"/>
        <v>0.01</v>
      </c>
      <c r="V46" s="24">
        <f t="shared" si="1"/>
        <v>4.067818E-3</v>
      </c>
      <c r="W46" s="24">
        <f t="shared" si="2"/>
        <v>4.4711474999999997E-3</v>
      </c>
      <c r="X46" s="24">
        <f t="shared" si="3"/>
        <v>4.496903E-3</v>
      </c>
      <c r="Y46" s="24">
        <f t="shared" si="4"/>
        <v>6.0041274999999995E-3</v>
      </c>
      <c r="Z46" s="24">
        <f t="shared" si="5"/>
        <v>4.2978575000000001E-3</v>
      </c>
      <c r="AA46" s="24">
        <f ca="1">IFERROR(__xludf.DUMMYFUNCTION("AVERAGE.WEIGHTED(B46:C46,$AB$26:$AC$26)"),0.00408654456)</f>
        <v>4.0865445599999996E-3</v>
      </c>
    </row>
    <row r="47" spans="1:27" ht="12.75" x14ac:dyDescent="0.2">
      <c r="A47" s="1">
        <v>19</v>
      </c>
      <c r="B47" s="28">
        <f t="shared" ref="B47:U47" si="24">B$9</f>
        <v>4.184859E-3</v>
      </c>
      <c r="C47" s="28">
        <f t="shared" si="24"/>
        <v>3.9507769999999999E-3</v>
      </c>
      <c r="D47" s="28">
        <f t="shared" si="24"/>
        <v>4.4479960000000001E-3</v>
      </c>
      <c r="E47" s="28">
        <f t="shared" si="24"/>
        <v>4.4942990000000002E-3</v>
      </c>
      <c r="F47" s="28">
        <f t="shared" si="24"/>
        <v>4.4523799999999997E-3</v>
      </c>
      <c r="G47" s="28">
        <f t="shared" si="24"/>
        <v>4.5414260000000003E-3</v>
      </c>
      <c r="H47" s="28">
        <f t="shared" si="24"/>
        <v>6.1867229999999999E-3</v>
      </c>
      <c r="I47" s="28">
        <f t="shared" si="24"/>
        <v>5.8215319999999999E-3</v>
      </c>
      <c r="J47" s="28">
        <f t="shared" si="24"/>
        <v>6.5957150000000003E-3</v>
      </c>
      <c r="K47" s="28">
        <f t="shared" si="24"/>
        <v>2E-3</v>
      </c>
      <c r="L47" s="28">
        <f t="shared" si="24"/>
        <v>4.0000000000000001E-3</v>
      </c>
      <c r="M47" s="28">
        <f t="shared" si="24"/>
        <v>4.0000000000000001E-3</v>
      </c>
      <c r="N47" s="28">
        <f t="shared" si="24"/>
        <v>4.0000000000000001E-3</v>
      </c>
      <c r="O47" s="28">
        <f t="shared" si="24"/>
        <v>5.0000000000000001E-3</v>
      </c>
      <c r="P47" s="28">
        <f t="shared" si="24"/>
        <v>6.0000000000000001E-3</v>
      </c>
      <c r="Q47" s="28">
        <f t="shared" si="24"/>
        <v>7.0000000000000001E-3</v>
      </c>
      <c r="R47" s="28">
        <f t="shared" si="24"/>
        <v>7.0000000000000001E-3</v>
      </c>
      <c r="S47" s="28">
        <f t="shared" si="24"/>
        <v>8.0000000000000002E-3</v>
      </c>
      <c r="T47" s="28">
        <f t="shared" si="24"/>
        <v>8.0000000000000002E-3</v>
      </c>
      <c r="U47" s="28">
        <f t="shared" si="24"/>
        <v>0.01</v>
      </c>
      <c r="V47" s="24">
        <f t="shared" si="1"/>
        <v>4.067818E-3</v>
      </c>
      <c r="W47" s="24">
        <f t="shared" si="2"/>
        <v>4.4711474999999997E-3</v>
      </c>
      <c r="X47" s="24">
        <f t="shared" si="3"/>
        <v>4.496903E-3</v>
      </c>
      <c r="Y47" s="24">
        <f t="shared" si="4"/>
        <v>6.0041274999999995E-3</v>
      </c>
      <c r="Z47" s="24">
        <f t="shared" si="5"/>
        <v>4.2978575000000001E-3</v>
      </c>
      <c r="AA47" s="24">
        <f ca="1">IFERROR(__xludf.DUMMYFUNCTION("AVERAGE.WEIGHTED(B47:C47,$AB$26:$AC$26)"),0.00408654456)</f>
        <v>4.0865445599999996E-3</v>
      </c>
    </row>
    <row r="48" spans="1:27" ht="12.75" x14ac:dyDescent="0.2">
      <c r="A48" s="1">
        <v>20</v>
      </c>
      <c r="B48" s="28">
        <f t="shared" ref="B48:U48" si="25">B$10</f>
        <v>6.4850189999999999E-3</v>
      </c>
      <c r="C48" s="28">
        <f t="shared" si="25"/>
        <v>6.8115579999999997E-3</v>
      </c>
      <c r="D48" s="28">
        <f t="shared" si="25"/>
        <v>6.1175680000000003E-3</v>
      </c>
      <c r="E48" s="28">
        <f t="shared" si="25"/>
        <v>6.2885349999999996E-3</v>
      </c>
      <c r="F48" s="28">
        <f t="shared" si="25"/>
        <v>6.7101469999999996E-3</v>
      </c>
      <c r="G48" s="28">
        <f t="shared" si="25"/>
        <v>5.8154110000000004E-3</v>
      </c>
      <c r="H48" s="28">
        <f t="shared" si="25"/>
        <v>9.1951910000000001E-3</v>
      </c>
      <c r="I48" s="28">
        <f t="shared" si="25"/>
        <v>9.3737549999999992E-3</v>
      </c>
      <c r="J48" s="28">
        <f t="shared" si="25"/>
        <v>8.9970659999999997E-3</v>
      </c>
      <c r="K48" s="28">
        <f t="shared" si="25"/>
        <v>3.0000000000000001E-3</v>
      </c>
      <c r="L48" s="28">
        <f t="shared" si="25"/>
        <v>7.0000000000000001E-3</v>
      </c>
      <c r="M48" s="28">
        <f t="shared" si="25"/>
        <v>6.0000000000000001E-3</v>
      </c>
      <c r="N48" s="28">
        <f t="shared" si="25"/>
        <v>7.0000000000000001E-3</v>
      </c>
      <c r="O48" s="28">
        <f t="shared" si="25"/>
        <v>6.0000000000000001E-3</v>
      </c>
      <c r="P48" s="28">
        <f t="shared" si="25"/>
        <v>8.9999999999999993E-3</v>
      </c>
      <c r="Q48" s="28">
        <f t="shared" si="25"/>
        <v>8.9999999999999993E-3</v>
      </c>
      <c r="R48" s="28">
        <f t="shared" si="25"/>
        <v>0.01</v>
      </c>
      <c r="S48" s="28">
        <f t="shared" si="25"/>
        <v>0.01</v>
      </c>
      <c r="T48" s="28">
        <f t="shared" si="25"/>
        <v>1.0999999999999999E-2</v>
      </c>
      <c r="U48" s="28">
        <f t="shared" si="25"/>
        <v>1.2999999999999999E-2</v>
      </c>
      <c r="V48" s="24">
        <f t="shared" si="1"/>
        <v>6.6482885000000002E-3</v>
      </c>
      <c r="W48" s="24">
        <f t="shared" si="2"/>
        <v>6.2030515E-3</v>
      </c>
      <c r="X48" s="24">
        <f t="shared" si="3"/>
        <v>6.2627789999999996E-3</v>
      </c>
      <c r="Y48" s="24">
        <f t="shared" si="4"/>
        <v>9.2844729999999997E-3</v>
      </c>
      <c r="Z48" s="24">
        <f t="shared" si="5"/>
        <v>5.9985330000000003E-3</v>
      </c>
      <c r="AA48" s="24">
        <f ca="1">IFERROR(__xludf.DUMMYFUNCTION("AVERAGE.WEIGHTED(B48:C48,$AB$26:$AC$26)"),0.00662216537999999)</f>
        <v>6.62216537999999E-3</v>
      </c>
    </row>
    <row r="49" spans="1:27" ht="12.75" x14ac:dyDescent="0.2">
      <c r="A49" s="1">
        <v>21</v>
      </c>
      <c r="B49" s="28">
        <f t="shared" ref="B49:U49" si="26">B$10</f>
        <v>6.4850189999999999E-3</v>
      </c>
      <c r="C49" s="28">
        <f t="shared" si="26"/>
        <v>6.8115579999999997E-3</v>
      </c>
      <c r="D49" s="28">
        <f t="shared" si="26"/>
        <v>6.1175680000000003E-3</v>
      </c>
      <c r="E49" s="28">
        <f t="shared" si="26"/>
        <v>6.2885349999999996E-3</v>
      </c>
      <c r="F49" s="28">
        <f t="shared" si="26"/>
        <v>6.7101469999999996E-3</v>
      </c>
      <c r="G49" s="28">
        <f t="shared" si="26"/>
        <v>5.8154110000000004E-3</v>
      </c>
      <c r="H49" s="28">
        <f t="shared" si="26"/>
        <v>9.1951910000000001E-3</v>
      </c>
      <c r="I49" s="28">
        <f t="shared" si="26"/>
        <v>9.3737549999999992E-3</v>
      </c>
      <c r="J49" s="28">
        <f t="shared" si="26"/>
        <v>8.9970659999999997E-3</v>
      </c>
      <c r="K49" s="28">
        <f t="shared" si="26"/>
        <v>3.0000000000000001E-3</v>
      </c>
      <c r="L49" s="28">
        <f t="shared" si="26"/>
        <v>7.0000000000000001E-3</v>
      </c>
      <c r="M49" s="28">
        <f t="shared" si="26"/>
        <v>6.0000000000000001E-3</v>
      </c>
      <c r="N49" s="28">
        <f t="shared" si="26"/>
        <v>7.0000000000000001E-3</v>
      </c>
      <c r="O49" s="28">
        <f t="shared" si="26"/>
        <v>6.0000000000000001E-3</v>
      </c>
      <c r="P49" s="28">
        <f t="shared" si="26"/>
        <v>8.9999999999999993E-3</v>
      </c>
      <c r="Q49" s="28">
        <f t="shared" si="26"/>
        <v>8.9999999999999993E-3</v>
      </c>
      <c r="R49" s="28">
        <f t="shared" si="26"/>
        <v>0.01</v>
      </c>
      <c r="S49" s="28">
        <f t="shared" si="26"/>
        <v>0.01</v>
      </c>
      <c r="T49" s="28">
        <f t="shared" si="26"/>
        <v>1.0999999999999999E-2</v>
      </c>
      <c r="U49" s="28">
        <f t="shared" si="26"/>
        <v>1.2999999999999999E-2</v>
      </c>
      <c r="V49" s="24">
        <f t="shared" si="1"/>
        <v>6.6482885000000002E-3</v>
      </c>
      <c r="W49" s="24">
        <f t="shared" si="2"/>
        <v>6.2030515E-3</v>
      </c>
      <c r="X49" s="24">
        <f t="shared" si="3"/>
        <v>6.2627789999999996E-3</v>
      </c>
      <c r="Y49" s="24">
        <f t="shared" si="4"/>
        <v>9.2844729999999997E-3</v>
      </c>
      <c r="Z49" s="24">
        <f t="shared" si="5"/>
        <v>5.9985330000000003E-3</v>
      </c>
      <c r="AA49" s="24">
        <f ca="1">IFERROR(__xludf.DUMMYFUNCTION("AVERAGE.WEIGHTED(B49:C49,$AB$26:$AC$26)"),0.00662216537999999)</f>
        <v>6.62216537999999E-3</v>
      </c>
    </row>
    <row r="50" spans="1:27" ht="12.75" x14ac:dyDescent="0.2">
      <c r="A50" s="1">
        <v>22</v>
      </c>
      <c r="B50" s="28">
        <f t="shared" ref="B50:U50" si="27">B$10</f>
        <v>6.4850189999999999E-3</v>
      </c>
      <c r="C50" s="28">
        <f t="shared" si="27"/>
        <v>6.8115579999999997E-3</v>
      </c>
      <c r="D50" s="28">
        <f t="shared" si="27"/>
        <v>6.1175680000000003E-3</v>
      </c>
      <c r="E50" s="28">
        <f t="shared" si="27"/>
        <v>6.2885349999999996E-3</v>
      </c>
      <c r="F50" s="28">
        <f t="shared" si="27"/>
        <v>6.7101469999999996E-3</v>
      </c>
      <c r="G50" s="28">
        <f t="shared" si="27"/>
        <v>5.8154110000000004E-3</v>
      </c>
      <c r="H50" s="28">
        <f t="shared" si="27"/>
        <v>9.1951910000000001E-3</v>
      </c>
      <c r="I50" s="28">
        <f t="shared" si="27"/>
        <v>9.3737549999999992E-3</v>
      </c>
      <c r="J50" s="28">
        <f t="shared" si="27"/>
        <v>8.9970659999999997E-3</v>
      </c>
      <c r="K50" s="28">
        <f t="shared" si="27"/>
        <v>3.0000000000000001E-3</v>
      </c>
      <c r="L50" s="28">
        <f t="shared" si="27"/>
        <v>7.0000000000000001E-3</v>
      </c>
      <c r="M50" s="28">
        <f t="shared" si="27"/>
        <v>6.0000000000000001E-3</v>
      </c>
      <c r="N50" s="28">
        <f t="shared" si="27"/>
        <v>7.0000000000000001E-3</v>
      </c>
      <c r="O50" s="28">
        <f t="shared" si="27"/>
        <v>6.0000000000000001E-3</v>
      </c>
      <c r="P50" s="28">
        <f t="shared" si="27"/>
        <v>8.9999999999999993E-3</v>
      </c>
      <c r="Q50" s="28">
        <f t="shared" si="27"/>
        <v>8.9999999999999993E-3</v>
      </c>
      <c r="R50" s="28">
        <f t="shared" si="27"/>
        <v>0.01</v>
      </c>
      <c r="S50" s="28">
        <f t="shared" si="27"/>
        <v>0.01</v>
      </c>
      <c r="T50" s="28">
        <f t="shared" si="27"/>
        <v>1.0999999999999999E-2</v>
      </c>
      <c r="U50" s="28">
        <f t="shared" si="27"/>
        <v>1.2999999999999999E-2</v>
      </c>
      <c r="V50" s="24">
        <f t="shared" si="1"/>
        <v>6.6482885000000002E-3</v>
      </c>
      <c r="W50" s="24">
        <f t="shared" si="2"/>
        <v>6.2030515E-3</v>
      </c>
      <c r="X50" s="24">
        <f t="shared" si="3"/>
        <v>6.2627789999999996E-3</v>
      </c>
      <c r="Y50" s="24">
        <f t="shared" si="4"/>
        <v>9.2844729999999997E-3</v>
      </c>
      <c r="Z50" s="24">
        <f t="shared" si="5"/>
        <v>5.9985330000000003E-3</v>
      </c>
      <c r="AA50" s="24">
        <f ca="1">IFERROR(__xludf.DUMMYFUNCTION("AVERAGE.WEIGHTED(B50:C50,$AB$26:$AC$26)"),0.00662216537999999)</f>
        <v>6.62216537999999E-3</v>
      </c>
    </row>
    <row r="51" spans="1:27" ht="12.75" x14ac:dyDescent="0.2">
      <c r="A51" s="1">
        <v>23</v>
      </c>
      <c r="B51" s="28">
        <f t="shared" ref="B51:U51" si="28">B$10</f>
        <v>6.4850189999999999E-3</v>
      </c>
      <c r="C51" s="28">
        <f t="shared" si="28"/>
        <v>6.8115579999999997E-3</v>
      </c>
      <c r="D51" s="28">
        <f t="shared" si="28"/>
        <v>6.1175680000000003E-3</v>
      </c>
      <c r="E51" s="28">
        <f t="shared" si="28"/>
        <v>6.2885349999999996E-3</v>
      </c>
      <c r="F51" s="28">
        <f t="shared" si="28"/>
        <v>6.7101469999999996E-3</v>
      </c>
      <c r="G51" s="28">
        <f t="shared" si="28"/>
        <v>5.8154110000000004E-3</v>
      </c>
      <c r="H51" s="28">
        <f t="shared" si="28"/>
        <v>9.1951910000000001E-3</v>
      </c>
      <c r="I51" s="28">
        <f t="shared" si="28"/>
        <v>9.3737549999999992E-3</v>
      </c>
      <c r="J51" s="28">
        <f t="shared" si="28"/>
        <v>8.9970659999999997E-3</v>
      </c>
      <c r="K51" s="28">
        <f t="shared" si="28"/>
        <v>3.0000000000000001E-3</v>
      </c>
      <c r="L51" s="28">
        <f t="shared" si="28"/>
        <v>7.0000000000000001E-3</v>
      </c>
      <c r="M51" s="28">
        <f t="shared" si="28"/>
        <v>6.0000000000000001E-3</v>
      </c>
      <c r="N51" s="28">
        <f t="shared" si="28"/>
        <v>7.0000000000000001E-3</v>
      </c>
      <c r="O51" s="28">
        <f t="shared" si="28"/>
        <v>6.0000000000000001E-3</v>
      </c>
      <c r="P51" s="28">
        <f t="shared" si="28"/>
        <v>8.9999999999999993E-3</v>
      </c>
      <c r="Q51" s="28">
        <f t="shared" si="28"/>
        <v>8.9999999999999993E-3</v>
      </c>
      <c r="R51" s="28">
        <f t="shared" si="28"/>
        <v>0.01</v>
      </c>
      <c r="S51" s="28">
        <f t="shared" si="28"/>
        <v>0.01</v>
      </c>
      <c r="T51" s="28">
        <f t="shared" si="28"/>
        <v>1.0999999999999999E-2</v>
      </c>
      <c r="U51" s="28">
        <f t="shared" si="28"/>
        <v>1.2999999999999999E-2</v>
      </c>
      <c r="V51" s="24">
        <f t="shared" si="1"/>
        <v>6.6482885000000002E-3</v>
      </c>
      <c r="W51" s="24">
        <f t="shared" si="2"/>
        <v>6.2030515E-3</v>
      </c>
      <c r="X51" s="24">
        <f t="shared" si="3"/>
        <v>6.2627789999999996E-3</v>
      </c>
      <c r="Y51" s="24">
        <f t="shared" si="4"/>
        <v>9.2844729999999997E-3</v>
      </c>
      <c r="Z51" s="24">
        <f t="shared" si="5"/>
        <v>5.9985330000000003E-3</v>
      </c>
      <c r="AA51" s="24">
        <f ca="1">IFERROR(__xludf.DUMMYFUNCTION("AVERAGE.WEIGHTED(B51:C51,$AB$26:$AC$26)"),0.00662216537999999)</f>
        <v>6.62216537999999E-3</v>
      </c>
    </row>
    <row r="52" spans="1:27" ht="12.75" x14ac:dyDescent="0.2">
      <c r="A52" s="1">
        <v>24</v>
      </c>
      <c r="B52" s="28">
        <f t="shared" ref="B52:U52" si="29">B$10</f>
        <v>6.4850189999999999E-3</v>
      </c>
      <c r="C52" s="28">
        <f t="shared" si="29"/>
        <v>6.8115579999999997E-3</v>
      </c>
      <c r="D52" s="28">
        <f t="shared" si="29"/>
        <v>6.1175680000000003E-3</v>
      </c>
      <c r="E52" s="28">
        <f t="shared" si="29"/>
        <v>6.2885349999999996E-3</v>
      </c>
      <c r="F52" s="28">
        <f t="shared" si="29"/>
        <v>6.7101469999999996E-3</v>
      </c>
      <c r="G52" s="28">
        <f t="shared" si="29"/>
        <v>5.8154110000000004E-3</v>
      </c>
      <c r="H52" s="28">
        <f t="shared" si="29"/>
        <v>9.1951910000000001E-3</v>
      </c>
      <c r="I52" s="28">
        <f t="shared" si="29"/>
        <v>9.3737549999999992E-3</v>
      </c>
      <c r="J52" s="28">
        <f t="shared" si="29"/>
        <v>8.9970659999999997E-3</v>
      </c>
      <c r="K52" s="28">
        <f t="shared" si="29"/>
        <v>3.0000000000000001E-3</v>
      </c>
      <c r="L52" s="28">
        <f t="shared" si="29"/>
        <v>7.0000000000000001E-3</v>
      </c>
      <c r="M52" s="28">
        <f t="shared" si="29"/>
        <v>6.0000000000000001E-3</v>
      </c>
      <c r="N52" s="28">
        <f t="shared" si="29"/>
        <v>7.0000000000000001E-3</v>
      </c>
      <c r="O52" s="28">
        <f t="shared" si="29"/>
        <v>6.0000000000000001E-3</v>
      </c>
      <c r="P52" s="28">
        <f t="shared" si="29"/>
        <v>8.9999999999999993E-3</v>
      </c>
      <c r="Q52" s="28">
        <f t="shared" si="29"/>
        <v>8.9999999999999993E-3</v>
      </c>
      <c r="R52" s="28">
        <f t="shared" si="29"/>
        <v>0.01</v>
      </c>
      <c r="S52" s="28">
        <f t="shared" si="29"/>
        <v>0.01</v>
      </c>
      <c r="T52" s="28">
        <f t="shared" si="29"/>
        <v>1.0999999999999999E-2</v>
      </c>
      <c r="U52" s="28">
        <f t="shared" si="29"/>
        <v>1.2999999999999999E-2</v>
      </c>
      <c r="V52" s="24">
        <f t="shared" si="1"/>
        <v>6.6482885000000002E-3</v>
      </c>
      <c r="W52" s="24">
        <f t="shared" si="2"/>
        <v>6.2030515E-3</v>
      </c>
      <c r="X52" s="24">
        <f t="shared" si="3"/>
        <v>6.2627789999999996E-3</v>
      </c>
      <c r="Y52" s="24">
        <f t="shared" si="4"/>
        <v>9.2844729999999997E-3</v>
      </c>
      <c r="Z52" s="24">
        <f t="shared" si="5"/>
        <v>5.9985330000000003E-3</v>
      </c>
      <c r="AA52" s="24">
        <f ca="1">IFERROR(__xludf.DUMMYFUNCTION("AVERAGE.WEIGHTED(B52:C52,$AB$26:$AC$26)"),0.00662216537999999)</f>
        <v>6.62216537999999E-3</v>
      </c>
    </row>
    <row r="53" spans="1:27" ht="12.75" x14ac:dyDescent="0.2">
      <c r="A53" s="1">
        <v>25</v>
      </c>
      <c r="B53" s="28">
        <f t="shared" ref="B53:U53" si="30">B$11</f>
        <v>7.4641450000000002E-3</v>
      </c>
      <c r="C53" s="28">
        <f t="shared" si="30"/>
        <v>8.3791300000000003E-3</v>
      </c>
      <c r="D53" s="28">
        <f t="shared" si="30"/>
        <v>6.4397730000000002E-3</v>
      </c>
      <c r="E53" s="28">
        <f t="shared" si="30"/>
        <v>7.4278640000000002E-3</v>
      </c>
      <c r="F53" s="28">
        <f t="shared" si="30"/>
        <v>8.2851209999999995E-3</v>
      </c>
      <c r="G53" s="28">
        <f t="shared" si="30"/>
        <v>6.4766650000000004E-3</v>
      </c>
      <c r="H53" s="28">
        <f t="shared" si="30"/>
        <v>1.0905354000000001E-2</v>
      </c>
      <c r="I53" s="28">
        <f t="shared" si="30"/>
        <v>1.2269366E-2</v>
      </c>
      <c r="J53" s="28">
        <f t="shared" si="30"/>
        <v>9.3988370000000002E-3</v>
      </c>
      <c r="K53" s="28">
        <f t="shared" si="30"/>
        <v>3.0000000000000001E-3</v>
      </c>
      <c r="L53" s="28">
        <f t="shared" si="30"/>
        <v>8.0000000000000002E-3</v>
      </c>
      <c r="M53" s="28">
        <f t="shared" si="30"/>
        <v>6.0000000000000001E-3</v>
      </c>
      <c r="N53" s="28">
        <f t="shared" si="30"/>
        <v>8.0000000000000002E-3</v>
      </c>
      <c r="O53" s="28">
        <f t="shared" si="30"/>
        <v>6.0000000000000001E-3</v>
      </c>
      <c r="P53" s="28">
        <f t="shared" si="30"/>
        <v>1.2E-2</v>
      </c>
      <c r="Q53" s="28">
        <f t="shared" si="30"/>
        <v>8.9999999999999993E-3</v>
      </c>
      <c r="R53" s="28">
        <f t="shared" si="30"/>
        <v>1.2999999999999999E-2</v>
      </c>
      <c r="S53" s="28">
        <f t="shared" si="30"/>
        <v>1.0999999999999999E-2</v>
      </c>
      <c r="T53" s="28">
        <f t="shared" si="30"/>
        <v>1.4999999999999999E-2</v>
      </c>
      <c r="U53" s="28">
        <f t="shared" si="30"/>
        <v>1.4E-2</v>
      </c>
      <c r="V53" s="24">
        <f t="shared" si="1"/>
        <v>7.9216375000000002E-3</v>
      </c>
      <c r="W53" s="24">
        <f t="shared" si="2"/>
        <v>6.9338185000000002E-3</v>
      </c>
      <c r="X53" s="24">
        <f t="shared" si="3"/>
        <v>7.3808929999999995E-3</v>
      </c>
      <c r="Y53" s="24">
        <f t="shared" si="4"/>
        <v>1.1587360000000001E-2</v>
      </c>
      <c r="Z53" s="24">
        <f t="shared" si="5"/>
        <v>6.1994184999999997E-3</v>
      </c>
      <c r="AA53" s="24">
        <f ca="1">IFERROR(__xludf.DUMMYFUNCTION("AVERAGE.WEIGHTED(B53:C53,$AB$26:$AC$26)"),0.0078484387)</f>
        <v>7.8484386999999999E-3</v>
      </c>
    </row>
    <row r="54" spans="1:27" ht="12.75" x14ac:dyDescent="0.2">
      <c r="A54" s="1">
        <v>26</v>
      </c>
      <c r="B54" s="28">
        <f t="shared" ref="B54:U54" si="31">B$11</f>
        <v>7.4641450000000002E-3</v>
      </c>
      <c r="C54" s="28">
        <f t="shared" si="31"/>
        <v>8.3791300000000003E-3</v>
      </c>
      <c r="D54" s="28">
        <f t="shared" si="31"/>
        <v>6.4397730000000002E-3</v>
      </c>
      <c r="E54" s="28">
        <f t="shared" si="31"/>
        <v>7.4278640000000002E-3</v>
      </c>
      <c r="F54" s="28">
        <f t="shared" si="31"/>
        <v>8.2851209999999995E-3</v>
      </c>
      <c r="G54" s="28">
        <f t="shared" si="31"/>
        <v>6.4766650000000004E-3</v>
      </c>
      <c r="H54" s="28">
        <f t="shared" si="31"/>
        <v>1.0905354000000001E-2</v>
      </c>
      <c r="I54" s="28">
        <f t="shared" si="31"/>
        <v>1.2269366E-2</v>
      </c>
      <c r="J54" s="28">
        <f t="shared" si="31"/>
        <v>9.3988370000000002E-3</v>
      </c>
      <c r="K54" s="28">
        <f t="shared" si="31"/>
        <v>3.0000000000000001E-3</v>
      </c>
      <c r="L54" s="28">
        <f t="shared" si="31"/>
        <v>8.0000000000000002E-3</v>
      </c>
      <c r="M54" s="28">
        <f t="shared" si="31"/>
        <v>6.0000000000000001E-3</v>
      </c>
      <c r="N54" s="28">
        <f t="shared" si="31"/>
        <v>8.0000000000000002E-3</v>
      </c>
      <c r="O54" s="28">
        <f t="shared" si="31"/>
        <v>6.0000000000000001E-3</v>
      </c>
      <c r="P54" s="28">
        <f t="shared" si="31"/>
        <v>1.2E-2</v>
      </c>
      <c r="Q54" s="28">
        <f t="shared" si="31"/>
        <v>8.9999999999999993E-3</v>
      </c>
      <c r="R54" s="28">
        <f t="shared" si="31"/>
        <v>1.2999999999999999E-2</v>
      </c>
      <c r="S54" s="28">
        <f t="shared" si="31"/>
        <v>1.0999999999999999E-2</v>
      </c>
      <c r="T54" s="28">
        <f t="shared" si="31"/>
        <v>1.4999999999999999E-2</v>
      </c>
      <c r="U54" s="28">
        <f t="shared" si="31"/>
        <v>1.4E-2</v>
      </c>
      <c r="V54" s="24">
        <f t="shared" si="1"/>
        <v>7.9216375000000002E-3</v>
      </c>
      <c r="W54" s="24">
        <f t="shared" si="2"/>
        <v>6.9338185000000002E-3</v>
      </c>
      <c r="X54" s="24">
        <f t="shared" si="3"/>
        <v>7.3808929999999995E-3</v>
      </c>
      <c r="Y54" s="24">
        <f t="shared" si="4"/>
        <v>1.1587360000000001E-2</v>
      </c>
      <c r="Z54" s="24">
        <f t="shared" si="5"/>
        <v>6.1994184999999997E-3</v>
      </c>
      <c r="AA54" s="24">
        <f ca="1">IFERROR(__xludf.DUMMYFUNCTION("AVERAGE.WEIGHTED(B54:C54,$AB$26:$AC$26)"),0.0078484387)</f>
        <v>7.8484386999999999E-3</v>
      </c>
    </row>
    <row r="55" spans="1:27" ht="12.75" x14ac:dyDescent="0.2">
      <c r="A55" s="1">
        <v>27</v>
      </c>
      <c r="B55" s="28">
        <f t="shared" ref="B55:U55" si="32">B$11</f>
        <v>7.4641450000000002E-3</v>
      </c>
      <c r="C55" s="28">
        <f t="shared" si="32"/>
        <v>8.3791300000000003E-3</v>
      </c>
      <c r="D55" s="28">
        <f t="shared" si="32"/>
        <v>6.4397730000000002E-3</v>
      </c>
      <c r="E55" s="28">
        <f t="shared" si="32"/>
        <v>7.4278640000000002E-3</v>
      </c>
      <c r="F55" s="28">
        <f t="shared" si="32"/>
        <v>8.2851209999999995E-3</v>
      </c>
      <c r="G55" s="28">
        <f t="shared" si="32"/>
        <v>6.4766650000000004E-3</v>
      </c>
      <c r="H55" s="28">
        <f t="shared" si="32"/>
        <v>1.0905354000000001E-2</v>
      </c>
      <c r="I55" s="28">
        <f t="shared" si="32"/>
        <v>1.2269366E-2</v>
      </c>
      <c r="J55" s="28">
        <f t="shared" si="32"/>
        <v>9.3988370000000002E-3</v>
      </c>
      <c r="K55" s="28">
        <f t="shared" si="32"/>
        <v>3.0000000000000001E-3</v>
      </c>
      <c r="L55" s="28">
        <f t="shared" si="32"/>
        <v>8.0000000000000002E-3</v>
      </c>
      <c r="M55" s="28">
        <f t="shared" si="32"/>
        <v>6.0000000000000001E-3</v>
      </c>
      <c r="N55" s="28">
        <f t="shared" si="32"/>
        <v>8.0000000000000002E-3</v>
      </c>
      <c r="O55" s="28">
        <f t="shared" si="32"/>
        <v>6.0000000000000001E-3</v>
      </c>
      <c r="P55" s="28">
        <f t="shared" si="32"/>
        <v>1.2E-2</v>
      </c>
      <c r="Q55" s="28">
        <f t="shared" si="32"/>
        <v>8.9999999999999993E-3</v>
      </c>
      <c r="R55" s="28">
        <f t="shared" si="32"/>
        <v>1.2999999999999999E-2</v>
      </c>
      <c r="S55" s="28">
        <f t="shared" si="32"/>
        <v>1.0999999999999999E-2</v>
      </c>
      <c r="T55" s="28">
        <f t="shared" si="32"/>
        <v>1.4999999999999999E-2</v>
      </c>
      <c r="U55" s="28">
        <f t="shared" si="32"/>
        <v>1.4E-2</v>
      </c>
      <c r="V55" s="24">
        <f t="shared" si="1"/>
        <v>7.9216375000000002E-3</v>
      </c>
      <c r="W55" s="24">
        <f t="shared" si="2"/>
        <v>6.9338185000000002E-3</v>
      </c>
      <c r="X55" s="24">
        <f t="shared" si="3"/>
        <v>7.3808929999999995E-3</v>
      </c>
      <c r="Y55" s="24">
        <f t="shared" si="4"/>
        <v>1.1587360000000001E-2</v>
      </c>
      <c r="Z55" s="24">
        <f t="shared" si="5"/>
        <v>6.1994184999999997E-3</v>
      </c>
      <c r="AA55" s="24">
        <f ca="1">IFERROR(__xludf.DUMMYFUNCTION("AVERAGE.WEIGHTED(B55:C55,$AB$26:$AC$26)"),0.0078484387)</f>
        <v>7.8484386999999999E-3</v>
      </c>
    </row>
    <row r="56" spans="1:27" ht="12.75" x14ac:dyDescent="0.2">
      <c r="A56" s="1">
        <v>28</v>
      </c>
      <c r="B56" s="28">
        <f t="shared" ref="B56:U56" si="33">B$11</f>
        <v>7.4641450000000002E-3</v>
      </c>
      <c r="C56" s="28">
        <f t="shared" si="33"/>
        <v>8.3791300000000003E-3</v>
      </c>
      <c r="D56" s="28">
        <f t="shared" si="33"/>
        <v>6.4397730000000002E-3</v>
      </c>
      <c r="E56" s="28">
        <f t="shared" si="33"/>
        <v>7.4278640000000002E-3</v>
      </c>
      <c r="F56" s="28">
        <f t="shared" si="33"/>
        <v>8.2851209999999995E-3</v>
      </c>
      <c r="G56" s="28">
        <f t="shared" si="33"/>
        <v>6.4766650000000004E-3</v>
      </c>
      <c r="H56" s="28">
        <f t="shared" si="33"/>
        <v>1.0905354000000001E-2</v>
      </c>
      <c r="I56" s="28">
        <f t="shared" si="33"/>
        <v>1.2269366E-2</v>
      </c>
      <c r="J56" s="28">
        <f t="shared" si="33"/>
        <v>9.3988370000000002E-3</v>
      </c>
      <c r="K56" s="28">
        <f t="shared" si="33"/>
        <v>3.0000000000000001E-3</v>
      </c>
      <c r="L56" s="28">
        <f t="shared" si="33"/>
        <v>8.0000000000000002E-3</v>
      </c>
      <c r="M56" s="28">
        <f t="shared" si="33"/>
        <v>6.0000000000000001E-3</v>
      </c>
      <c r="N56" s="28">
        <f t="shared" si="33"/>
        <v>8.0000000000000002E-3</v>
      </c>
      <c r="O56" s="28">
        <f t="shared" si="33"/>
        <v>6.0000000000000001E-3</v>
      </c>
      <c r="P56" s="28">
        <f t="shared" si="33"/>
        <v>1.2E-2</v>
      </c>
      <c r="Q56" s="28">
        <f t="shared" si="33"/>
        <v>8.9999999999999993E-3</v>
      </c>
      <c r="R56" s="28">
        <f t="shared" si="33"/>
        <v>1.2999999999999999E-2</v>
      </c>
      <c r="S56" s="28">
        <f t="shared" si="33"/>
        <v>1.0999999999999999E-2</v>
      </c>
      <c r="T56" s="28">
        <f t="shared" si="33"/>
        <v>1.4999999999999999E-2</v>
      </c>
      <c r="U56" s="28">
        <f t="shared" si="33"/>
        <v>1.4E-2</v>
      </c>
      <c r="V56" s="24">
        <f t="shared" si="1"/>
        <v>7.9216375000000002E-3</v>
      </c>
      <c r="W56" s="24">
        <f t="shared" si="2"/>
        <v>6.9338185000000002E-3</v>
      </c>
      <c r="X56" s="24">
        <f t="shared" si="3"/>
        <v>7.3808929999999995E-3</v>
      </c>
      <c r="Y56" s="24">
        <f t="shared" si="4"/>
        <v>1.1587360000000001E-2</v>
      </c>
      <c r="Z56" s="24">
        <f t="shared" si="5"/>
        <v>6.1994184999999997E-3</v>
      </c>
      <c r="AA56" s="24">
        <f ca="1">IFERROR(__xludf.DUMMYFUNCTION("AVERAGE.WEIGHTED(B56:C56,$AB$26:$AC$26)"),0.0078484387)</f>
        <v>7.8484386999999999E-3</v>
      </c>
    </row>
    <row r="57" spans="1:27" ht="12.75" x14ac:dyDescent="0.2">
      <c r="A57" s="1">
        <v>29</v>
      </c>
      <c r="B57" s="28">
        <f t="shared" ref="B57:U57" si="34">B$11</f>
        <v>7.4641450000000002E-3</v>
      </c>
      <c r="C57" s="28">
        <f t="shared" si="34"/>
        <v>8.3791300000000003E-3</v>
      </c>
      <c r="D57" s="28">
        <f t="shared" si="34"/>
        <v>6.4397730000000002E-3</v>
      </c>
      <c r="E57" s="28">
        <f t="shared" si="34"/>
        <v>7.4278640000000002E-3</v>
      </c>
      <c r="F57" s="28">
        <f t="shared" si="34"/>
        <v>8.2851209999999995E-3</v>
      </c>
      <c r="G57" s="28">
        <f t="shared" si="34"/>
        <v>6.4766650000000004E-3</v>
      </c>
      <c r="H57" s="28">
        <f t="shared" si="34"/>
        <v>1.0905354000000001E-2</v>
      </c>
      <c r="I57" s="28">
        <f t="shared" si="34"/>
        <v>1.2269366E-2</v>
      </c>
      <c r="J57" s="28">
        <f t="shared" si="34"/>
        <v>9.3988370000000002E-3</v>
      </c>
      <c r="K57" s="28">
        <f t="shared" si="34"/>
        <v>3.0000000000000001E-3</v>
      </c>
      <c r="L57" s="28">
        <f t="shared" si="34"/>
        <v>8.0000000000000002E-3</v>
      </c>
      <c r="M57" s="28">
        <f t="shared" si="34"/>
        <v>6.0000000000000001E-3</v>
      </c>
      <c r="N57" s="28">
        <f t="shared" si="34"/>
        <v>8.0000000000000002E-3</v>
      </c>
      <c r="O57" s="28">
        <f t="shared" si="34"/>
        <v>6.0000000000000001E-3</v>
      </c>
      <c r="P57" s="28">
        <f t="shared" si="34"/>
        <v>1.2E-2</v>
      </c>
      <c r="Q57" s="28">
        <f t="shared" si="34"/>
        <v>8.9999999999999993E-3</v>
      </c>
      <c r="R57" s="28">
        <f t="shared" si="34"/>
        <v>1.2999999999999999E-2</v>
      </c>
      <c r="S57" s="28">
        <f t="shared" si="34"/>
        <v>1.0999999999999999E-2</v>
      </c>
      <c r="T57" s="28">
        <f t="shared" si="34"/>
        <v>1.4999999999999999E-2</v>
      </c>
      <c r="U57" s="28">
        <f t="shared" si="34"/>
        <v>1.4E-2</v>
      </c>
      <c r="V57" s="24">
        <f t="shared" si="1"/>
        <v>7.9216375000000002E-3</v>
      </c>
      <c r="W57" s="24">
        <f t="shared" si="2"/>
        <v>6.9338185000000002E-3</v>
      </c>
      <c r="X57" s="24">
        <f t="shared" si="3"/>
        <v>7.3808929999999995E-3</v>
      </c>
      <c r="Y57" s="24">
        <f t="shared" si="4"/>
        <v>1.1587360000000001E-2</v>
      </c>
      <c r="Z57" s="24">
        <f t="shared" si="5"/>
        <v>6.1994184999999997E-3</v>
      </c>
      <c r="AA57" s="24">
        <f ca="1">IFERROR(__xludf.DUMMYFUNCTION("AVERAGE.WEIGHTED(B57:C57,$AB$26:$AC$26)"),0.0078484387)</f>
        <v>7.8484386999999999E-3</v>
      </c>
    </row>
    <row r="58" spans="1:27" ht="12.75" x14ac:dyDescent="0.2">
      <c r="A58" s="1">
        <v>30</v>
      </c>
      <c r="B58" s="28">
        <f t="shared" ref="B58:U58" si="35">B$12</f>
        <v>9.4913900000000006E-3</v>
      </c>
      <c r="C58" s="28">
        <f t="shared" si="35"/>
        <v>1.1478491E-2</v>
      </c>
      <c r="D58" s="28">
        <f t="shared" si="35"/>
        <v>7.2955650000000004E-3</v>
      </c>
      <c r="E58" s="28">
        <f t="shared" si="35"/>
        <v>9.706236E-3</v>
      </c>
      <c r="F58" s="28">
        <f t="shared" si="35"/>
        <v>1.1627211E-2</v>
      </c>
      <c r="G58" s="28">
        <f t="shared" si="35"/>
        <v>7.5910350000000003E-3</v>
      </c>
      <c r="H58" s="28">
        <f t="shared" si="35"/>
        <v>1.2398802E-2</v>
      </c>
      <c r="I58" s="28">
        <f t="shared" si="35"/>
        <v>1.4387224000000001E-2</v>
      </c>
      <c r="J58" s="28">
        <f t="shared" si="35"/>
        <v>1.0234029E-2</v>
      </c>
      <c r="K58" s="28">
        <f t="shared" si="35"/>
        <v>3.0000000000000001E-3</v>
      </c>
      <c r="L58" s="28">
        <f t="shared" si="35"/>
        <v>1.0999999999999999E-2</v>
      </c>
      <c r="M58" s="28">
        <f t="shared" si="35"/>
        <v>7.0000000000000001E-3</v>
      </c>
      <c r="N58" s="28">
        <f t="shared" si="35"/>
        <v>1.2E-2</v>
      </c>
      <c r="O58" s="28">
        <f t="shared" si="35"/>
        <v>8.0000000000000002E-3</v>
      </c>
      <c r="P58" s="28">
        <f t="shared" si="35"/>
        <v>1.4E-2</v>
      </c>
      <c r="Q58" s="28">
        <f t="shared" si="35"/>
        <v>0.01</v>
      </c>
      <c r="R58" s="28">
        <f t="shared" si="35"/>
        <v>1.7000000000000001E-2</v>
      </c>
      <c r="S58" s="28">
        <f t="shared" si="35"/>
        <v>1.2E-2</v>
      </c>
      <c r="T58" s="28">
        <f t="shared" si="35"/>
        <v>1.7999999999999999E-2</v>
      </c>
      <c r="U58" s="28">
        <f t="shared" si="35"/>
        <v>1.4E-2</v>
      </c>
      <c r="V58" s="24">
        <f t="shared" si="1"/>
        <v>1.0484940500000001E-2</v>
      </c>
      <c r="W58" s="24">
        <f t="shared" si="2"/>
        <v>8.5009005000000002E-3</v>
      </c>
      <c r="X58" s="24">
        <f t="shared" si="3"/>
        <v>9.6091230000000007E-3</v>
      </c>
      <c r="Y58" s="24">
        <f t="shared" si="4"/>
        <v>1.3393013E-2</v>
      </c>
      <c r="Z58" s="24">
        <f t="shared" si="5"/>
        <v>6.6170145000000007E-3</v>
      </c>
      <c r="AA58" s="24">
        <f ca="1">IFERROR(__xludf.DUMMYFUNCTION("AVERAGE.WEIGHTED(B58:C58,$AB$26:$AC$26)"),0.01032597242)</f>
        <v>1.0325972419999999E-2</v>
      </c>
    </row>
    <row r="59" spans="1:27" ht="12.75" x14ac:dyDescent="0.2">
      <c r="A59" s="1">
        <v>31</v>
      </c>
      <c r="B59" s="28">
        <f t="shared" ref="B59:U59" si="36">B$12</f>
        <v>9.4913900000000006E-3</v>
      </c>
      <c r="C59" s="28">
        <f t="shared" si="36"/>
        <v>1.1478491E-2</v>
      </c>
      <c r="D59" s="28">
        <f t="shared" si="36"/>
        <v>7.2955650000000004E-3</v>
      </c>
      <c r="E59" s="28">
        <f t="shared" si="36"/>
        <v>9.706236E-3</v>
      </c>
      <c r="F59" s="28">
        <f t="shared" si="36"/>
        <v>1.1627211E-2</v>
      </c>
      <c r="G59" s="28">
        <f t="shared" si="36"/>
        <v>7.5910350000000003E-3</v>
      </c>
      <c r="H59" s="28">
        <f t="shared" si="36"/>
        <v>1.2398802E-2</v>
      </c>
      <c r="I59" s="28">
        <f t="shared" si="36"/>
        <v>1.4387224000000001E-2</v>
      </c>
      <c r="J59" s="28">
        <f t="shared" si="36"/>
        <v>1.0234029E-2</v>
      </c>
      <c r="K59" s="28">
        <f t="shared" si="36"/>
        <v>3.0000000000000001E-3</v>
      </c>
      <c r="L59" s="28">
        <f t="shared" si="36"/>
        <v>1.0999999999999999E-2</v>
      </c>
      <c r="M59" s="28">
        <f t="shared" si="36"/>
        <v>7.0000000000000001E-3</v>
      </c>
      <c r="N59" s="28">
        <f t="shared" si="36"/>
        <v>1.2E-2</v>
      </c>
      <c r="O59" s="28">
        <f t="shared" si="36"/>
        <v>8.0000000000000002E-3</v>
      </c>
      <c r="P59" s="28">
        <f t="shared" si="36"/>
        <v>1.4E-2</v>
      </c>
      <c r="Q59" s="28">
        <f t="shared" si="36"/>
        <v>0.01</v>
      </c>
      <c r="R59" s="28">
        <f t="shared" si="36"/>
        <v>1.7000000000000001E-2</v>
      </c>
      <c r="S59" s="28">
        <f t="shared" si="36"/>
        <v>1.2E-2</v>
      </c>
      <c r="T59" s="28">
        <f t="shared" si="36"/>
        <v>1.7999999999999999E-2</v>
      </c>
      <c r="U59" s="28">
        <f t="shared" si="36"/>
        <v>1.4E-2</v>
      </c>
      <c r="V59" s="24">
        <f t="shared" si="1"/>
        <v>1.0484940500000001E-2</v>
      </c>
      <c r="W59" s="24">
        <f t="shared" si="2"/>
        <v>8.5009005000000002E-3</v>
      </c>
      <c r="X59" s="24">
        <f t="shared" si="3"/>
        <v>9.6091230000000007E-3</v>
      </c>
      <c r="Y59" s="24">
        <f t="shared" si="4"/>
        <v>1.3393013E-2</v>
      </c>
      <c r="Z59" s="24">
        <f t="shared" si="5"/>
        <v>6.6170145000000007E-3</v>
      </c>
      <c r="AA59" s="24">
        <f ca="1">IFERROR(__xludf.DUMMYFUNCTION("AVERAGE.WEIGHTED(B59:C59,$AB$26:$AC$26)"),0.01032597242)</f>
        <v>1.0325972419999999E-2</v>
      </c>
    </row>
    <row r="60" spans="1:27" ht="12.75" x14ac:dyDescent="0.2">
      <c r="A60" s="1">
        <v>32</v>
      </c>
      <c r="B60" s="28">
        <f t="shared" ref="B60:U60" si="37">B$12</f>
        <v>9.4913900000000006E-3</v>
      </c>
      <c r="C60" s="28">
        <f t="shared" si="37"/>
        <v>1.1478491E-2</v>
      </c>
      <c r="D60" s="28">
        <f t="shared" si="37"/>
        <v>7.2955650000000004E-3</v>
      </c>
      <c r="E60" s="28">
        <f t="shared" si="37"/>
        <v>9.706236E-3</v>
      </c>
      <c r="F60" s="28">
        <f t="shared" si="37"/>
        <v>1.1627211E-2</v>
      </c>
      <c r="G60" s="28">
        <f t="shared" si="37"/>
        <v>7.5910350000000003E-3</v>
      </c>
      <c r="H60" s="28">
        <f t="shared" si="37"/>
        <v>1.2398802E-2</v>
      </c>
      <c r="I60" s="28">
        <f t="shared" si="37"/>
        <v>1.4387224000000001E-2</v>
      </c>
      <c r="J60" s="28">
        <f t="shared" si="37"/>
        <v>1.0234029E-2</v>
      </c>
      <c r="K60" s="28">
        <f t="shared" si="37"/>
        <v>3.0000000000000001E-3</v>
      </c>
      <c r="L60" s="28">
        <f t="shared" si="37"/>
        <v>1.0999999999999999E-2</v>
      </c>
      <c r="M60" s="28">
        <f t="shared" si="37"/>
        <v>7.0000000000000001E-3</v>
      </c>
      <c r="N60" s="28">
        <f t="shared" si="37"/>
        <v>1.2E-2</v>
      </c>
      <c r="O60" s="28">
        <f t="shared" si="37"/>
        <v>8.0000000000000002E-3</v>
      </c>
      <c r="P60" s="28">
        <f t="shared" si="37"/>
        <v>1.4E-2</v>
      </c>
      <c r="Q60" s="28">
        <f t="shared" si="37"/>
        <v>0.01</v>
      </c>
      <c r="R60" s="28">
        <f t="shared" si="37"/>
        <v>1.7000000000000001E-2</v>
      </c>
      <c r="S60" s="28">
        <f t="shared" si="37"/>
        <v>1.2E-2</v>
      </c>
      <c r="T60" s="28">
        <f t="shared" si="37"/>
        <v>1.7999999999999999E-2</v>
      </c>
      <c r="U60" s="28">
        <f t="shared" si="37"/>
        <v>1.4E-2</v>
      </c>
      <c r="V60" s="24">
        <f t="shared" si="1"/>
        <v>1.0484940500000001E-2</v>
      </c>
      <c r="W60" s="24">
        <f t="shared" si="2"/>
        <v>8.5009005000000002E-3</v>
      </c>
      <c r="X60" s="24">
        <f t="shared" si="3"/>
        <v>9.6091230000000007E-3</v>
      </c>
      <c r="Y60" s="24">
        <f t="shared" si="4"/>
        <v>1.3393013E-2</v>
      </c>
      <c r="Z60" s="24">
        <f t="shared" si="5"/>
        <v>6.6170145000000007E-3</v>
      </c>
      <c r="AA60" s="24">
        <f ca="1">IFERROR(__xludf.DUMMYFUNCTION("AVERAGE.WEIGHTED(B60:C60,$AB$26:$AC$26)"),0.01032597242)</f>
        <v>1.0325972419999999E-2</v>
      </c>
    </row>
    <row r="61" spans="1:27" ht="12.75" x14ac:dyDescent="0.2">
      <c r="A61" s="1">
        <v>33</v>
      </c>
      <c r="B61" s="28">
        <f t="shared" ref="B61:U61" si="38">B$12</f>
        <v>9.4913900000000006E-3</v>
      </c>
      <c r="C61" s="28">
        <f t="shared" si="38"/>
        <v>1.1478491E-2</v>
      </c>
      <c r="D61" s="28">
        <f t="shared" si="38"/>
        <v>7.2955650000000004E-3</v>
      </c>
      <c r="E61" s="28">
        <f t="shared" si="38"/>
        <v>9.706236E-3</v>
      </c>
      <c r="F61" s="28">
        <f t="shared" si="38"/>
        <v>1.1627211E-2</v>
      </c>
      <c r="G61" s="28">
        <f t="shared" si="38"/>
        <v>7.5910350000000003E-3</v>
      </c>
      <c r="H61" s="28">
        <f t="shared" si="38"/>
        <v>1.2398802E-2</v>
      </c>
      <c r="I61" s="28">
        <f t="shared" si="38"/>
        <v>1.4387224000000001E-2</v>
      </c>
      <c r="J61" s="28">
        <f t="shared" si="38"/>
        <v>1.0234029E-2</v>
      </c>
      <c r="K61" s="28">
        <f t="shared" si="38"/>
        <v>3.0000000000000001E-3</v>
      </c>
      <c r="L61" s="28">
        <f t="shared" si="38"/>
        <v>1.0999999999999999E-2</v>
      </c>
      <c r="M61" s="28">
        <f t="shared" si="38"/>
        <v>7.0000000000000001E-3</v>
      </c>
      <c r="N61" s="28">
        <f t="shared" si="38"/>
        <v>1.2E-2</v>
      </c>
      <c r="O61" s="28">
        <f t="shared" si="38"/>
        <v>8.0000000000000002E-3</v>
      </c>
      <c r="P61" s="28">
        <f t="shared" si="38"/>
        <v>1.4E-2</v>
      </c>
      <c r="Q61" s="28">
        <f t="shared" si="38"/>
        <v>0.01</v>
      </c>
      <c r="R61" s="28">
        <f t="shared" si="38"/>
        <v>1.7000000000000001E-2</v>
      </c>
      <c r="S61" s="28">
        <f t="shared" si="38"/>
        <v>1.2E-2</v>
      </c>
      <c r="T61" s="28">
        <f t="shared" si="38"/>
        <v>1.7999999999999999E-2</v>
      </c>
      <c r="U61" s="28">
        <f t="shared" si="38"/>
        <v>1.4E-2</v>
      </c>
      <c r="V61" s="24">
        <f t="shared" si="1"/>
        <v>1.0484940500000001E-2</v>
      </c>
      <c r="W61" s="24">
        <f t="shared" si="2"/>
        <v>8.5009005000000002E-3</v>
      </c>
      <c r="X61" s="24">
        <f t="shared" si="3"/>
        <v>9.6091230000000007E-3</v>
      </c>
      <c r="Y61" s="24">
        <f t="shared" si="4"/>
        <v>1.3393013E-2</v>
      </c>
      <c r="Z61" s="24">
        <f t="shared" si="5"/>
        <v>6.6170145000000007E-3</v>
      </c>
      <c r="AA61" s="24">
        <f ca="1">IFERROR(__xludf.DUMMYFUNCTION("AVERAGE.WEIGHTED(B61:C61,$AB$26:$AC$26)"),0.01032597242)</f>
        <v>1.0325972419999999E-2</v>
      </c>
    </row>
    <row r="62" spans="1:27" ht="12.75" x14ac:dyDescent="0.2">
      <c r="A62" s="1">
        <v>34</v>
      </c>
      <c r="B62" s="28">
        <f t="shared" ref="B62:U62" si="39">B$12</f>
        <v>9.4913900000000006E-3</v>
      </c>
      <c r="C62" s="28">
        <f t="shared" si="39"/>
        <v>1.1478491E-2</v>
      </c>
      <c r="D62" s="28">
        <f t="shared" si="39"/>
        <v>7.2955650000000004E-3</v>
      </c>
      <c r="E62" s="28">
        <f t="shared" si="39"/>
        <v>9.706236E-3</v>
      </c>
      <c r="F62" s="28">
        <f t="shared" si="39"/>
        <v>1.1627211E-2</v>
      </c>
      <c r="G62" s="28">
        <f t="shared" si="39"/>
        <v>7.5910350000000003E-3</v>
      </c>
      <c r="H62" s="28">
        <f t="shared" si="39"/>
        <v>1.2398802E-2</v>
      </c>
      <c r="I62" s="28">
        <f t="shared" si="39"/>
        <v>1.4387224000000001E-2</v>
      </c>
      <c r="J62" s="28">
        <f t="shared" si="39"/>
        <v>1.0234029E-2</v>
      </c>
      <c r="K62" s="28">
        <f t="shared" si="39"/>
        <v>3.0000000000000001E-3</v>
      </c>
      <c r="L62" s="28">
        <f t="shared" si="39"/>
        <v>1.0999999999999999E-2</v>
      </c>
      <c r="M62" s="28">
        <f t="shared" si="39"/>
        <v>7.0000000000000001E-3</v>
      </c>
      <c r="N62" s="28">
        <f t="shared" si="39"/>
        <v>1.2E-2</v>
      </c>
      <c r="O62" s="28">
        <f t="shared" si="39"/>
        <v>8.0000000000000002E-3</v>
      </c>
      <c r="P62" s="28">
        <f t="shared" si="39"/>
        <v>1.4E-2</v>
      </c>
      <c r="Q62" s="28">
        <f t="shared" si="39"/>
        <v>0.01</v>
      </c>
      <c r="R62" s="28">
        <f t="shared" si="39"/>
        <v>1.7000000000000001E-2</v>
      </c>
      <c r="S62" s="28">
        <f t="shared" si="39"/>
        <v>1.2E-2</v>
      </c>
      <c r="T62" s="28">
        <f t="shared" si="39"/>
        <v>1.7999999999999999E-2</v>
      </c>
      <c r="U62" s="28">
        <f t="shared" si="39"/>
        <v>1.4E-2</v>
      </c>
      <c r="V62" s="24">
        <f t="shared" si="1"/>
        <v>1.0484940500000001E-2</v>
      </c>
      <c r="W62" s="24">
        <f t="shared" si="2"/>
        <v>8.5009005000000002E-3</v>
      </c>
      <c r="X62" s="24">
        <f t="shared" si="3"/>
        <v>9.6091230000000007E-3</v>
      </c>
      <c r="Y62" s="24">
        <f t="shared" si="4"/>
        <v>1.3393013E-2</v>
      </c>
      <c r="Z62" s="24">
        <f t="shared" si="5"/>
        <v>6.6170145000000007E-3</v>
      </c>
      <c r="AA62" s="24">
        <f ca="1">IFERROR(__xludf.DUMMYFUNCTION("AVERAGE.WEIGHTED(B62:C62,$AB$26:$AC$26)"),0.01032597242)</f>
        <v>1.0325972419999999E-2</v>
      </c>
    </row>
    <row r="63" spans="1:27" ht="12.75" x14ac:dyDescent="0.2">
      <c r="A63" s="1">
        <v>35</v>
      </c>
      <c r="B63" s="28">
        <f t="shared" ref="B63:U63" si="40">B$13</f>
        <v>1.2658381E-2</v>
      </c>
      <c r="C63" s="28">
        <f t="shared" si="40"/>
        <v>1.5821844000000002E-2</v>
      </c>
      <c r="D63" s="28">
        <f t="shared" si="40"/>
        <v>9.2004029999999994E-3</v>
      </c>
      <c r="E63" s="28">
        <f t="shared" si="40"/>
        <v>1.3314533999999999E-2</v>
      </c>
      <c r="F63" s="28">
        <f t="shared" si="40"/>
        <v>1.655396E-2</v>
      </c>
      <c r="G63" s="28">
        <f t="shared" si="40"/>
        <v>9.8077140000000004E-3</v>
      </c>
      <c r="H63" s="28">
        <f t="shared" si="40"/>
        <v>1.6636815999999999E-2</v>
      </c>
      <c r="I63" s="28">
        <f t="shared" si="40"/>
        <v>2.1128233999999999E-2</v>
      </c>
      <c r="J63" s="28">
        <f t="shared" si="40"/>
        <v>1.1784596E-2</v>
      </c>
      <c r="K63" s="28">
        <f t="shared" si="40"/>
        <v>3.0000000000000001E-3</v>
      </c>
      <c r="L63" s="28">
        <f t="shared" si="40"/>
        <v>1.6E-2</v>
      </c>
      <c r="M63" s="28">
        <f t="shared" si="40"/>
        <v>8.9999999999999993E-3</v>
      </c>
      <c r="N63" s="28">
        <f t="shared" si="40"/>
        <v>1.7000000000000001E-2</v>
      </c>
      <c r="O63" s="28">
        <f t="shared" si="40"/>
        <v>0.01</v>
      </c>
      <c r="P63" s="28">
        <f t="shared" si="40"/>
        <v>2.1000000000000001E-2</v>
      </c>
      <c r="Q63" s="28">
        <f t="shared" si="40"/>
        <v>1.2E-2</v>
      </c>
      <c r="R63" s="28">
        <f t="shared" si="40"/>
        <v>2.1000000000000001E-2</v>
      </c>
      <c r="S63" s="28">
        <f t="shared" si="40"/>
        <v>1.2999999999999999E-2</v>
      </c>
      <c r="T63" s="28">
        <f t="shared" si="40"/>
        <v>2.3E-2</v>
      </c>
      <c r="U63" s="28">
        <f t="shared" si="40"/>
        <v>1.4999999999999999E-2</v>
      </c>
      <c r="V63" s="24">
        <f t="shared" si="1"/>
        <v>1.4240112500000001E-2</v>
      </c>
      <c r="W63" s="24">
        <f t="shared" si="2"/>
        <v>1.1257468499999999E-2</v>
      </c>
      <c r="X63" s="24">
        <f t="shared" si="3"/>
        <v>1.3180837000000001E-2</v>
      </c>
      <c r="Y63" s="24">
        <f t="shared" si="4"/>
        <v>1.8882524999999997E-2</v>
      </c>
      <c r="Z63" s="24">
        <f t="shared" si="5"/>
        <v>7.3922980000000003E-3</v>
      </c>
      <c r="AA63" s="24">
        <f ca="1">IFERROR(__xludf.DUMMYFUNCTION("AVERAGE.WEIGHTED(B63:C63,$AB$26:$AC$26)"),0.01398703546)</f>
        <v>1.398703546E-2</v>
      </c>
    </row>
    <row r="64" spans="1:27" ht="12.75" x14ac:dyDescent="0.2">
      <c r="A64" s="1">
        <v>36</v>
      </c>
      <c r="B64" s="28">
        <f t="shared" ref="B64:U64" si="41">B$13</f>
        <v>1.2658381E-2</v>
      </c>
      <c r="C64" s="28">
        <f t="shared" si="41"/>
        <v>1.5821844000000002E-2</v>
      </c>
      <c r="D64" s="28">
        <f t="shared" si="41"/>
        <v>9.2004029999999994E-3</v>
      </c>
      <c r="E64" s="28">
        <f t="shared" si="41"/>
        <v>1.3314533999999999E-2</v>
      </c>
      <c r="F64" s="28">
        <f t="shared" si="41"/>
        <v>1.655396E-2</v>
      </c>
      <c r="G64" s="28">
        <f t="shared" si="41"/>
        <v>9.8077140000000004E-3</v>
      </c>
      <c r="H64" s="28">
        <f t="shared" si="41"/>
        <v>1.6636815999999999E-2</v>
      </c>
      <c r="I64" s="28">
        <f t="shared" si="41"/>
        <v>2.1128233999999999E-2</v>
      </c>
      <c r="J64" s="28">
        <f t="shared" si="41"/>
        <v>1.1784596E-2</v>
      </c>
      <c r="K64" s="28">
        <f t="shared" si="41"/>
        <v>3.0000000000000001E-3</v>
      </c>
      <c r="L64" s="28">
        <f t="shared" si="41"/>
        <v>1.6E-2</v>
      </c>
      <c r="M64" s="28">
        <f t="shared" si="41"/>
        <v>8.9999999999999993E-3</v>
      </c>
      <c r="N64" s="28">
        <f t="shared" si="41"/>
        <v>1.7000000000000001E-2</v>
      </c>
      <c r="O64" s="28">
        <f t="shared" si="41"/>
        <v>0.01</v>
      </c>
      <c r="P64" s="28">
        <f t="shared" si="41"/>
        <v>2.1000000000000001E-2</v>
      </c>
      <c r="Q64" s="28">
        <f t="shared" si="41"/>
        <v>1.2E-2</v>
      </c>
      <c r="R64" s="28">
        <f t="shared" si="41"/>
        <v>2.1000000000000001E-2</v>
      </c>
      <c r="S64" s="28">
        <f t="shared" si="41"/>
        <v>1.2999999999999999E-2</v>
      </c>
      <c r="T64" s="28">
        <f t="shared" si="41"/>
        <v>2.3E-2</v>
      </c>
      <c r="U64" s="28">
        <f t="shared" si="41"/>
        <v>1.4999999999999999E-2</v>
      </c>
      <c r="V64" s="24">
        <f t="shared" si="1"/>
        <v>1.4240112500000001E-2</v>
      </c>
      <c r="W64" s="24">
        <f t="shared" si="2"/>
        <v>1.1257468499999999E-2</v>
      </c>
      <c r="X64" s="24">
        <f t="shared" si="3"/>
        <v>1.3180837000000001E-2</v>
      </c>
      <c r="Y64" s="24">
        <f t="shared" si="4"/>
        <v>1.8882524999999997E-2</v>
      </c>
      <c r="Z64" s="24">
        <f t="shared" si="5"/>
        <v>7.3922980000000003E-3</v>
      </c>
      <c r="AA64" s="24">
        <f ca="1">IFERROR(__xludf.DUMMYFUNCTION("AVERAGE.WEIGHTED(B64:C64,$AB$26:$AC$26)"),0.01398703546)</f>
        <v>1.398703546E-2</v>
      </c>
    </row>
    <row r="65" spans="1:27" ht="12.75" x14ac:dyDescent="0.2">
      <c r="A65" s="1">
        <v>37</v>
      </c>
      <c r="B65" s="28">
        <f t="shared" ref="B65:U65" si="42">B$13</f>
        <v>1.2658381E-2</v>
      </c>
      <c r="C65" s="28">
        <f t="shared" si="42"/>
        <v>1.5821844000000002E-2</v>
      </c>
      <c r="D65" s="28">
        <f t="shared" si="42"/>
        <v>9.2004029999999994E-3</v>
      </c>
      <c r="E65" s="28">
        <f t="shared" si="42"/>
        <v>1.3314533999999999E-2</v>
      </c>
      <c r="F65" s="28">
        <f t="shared" si="42"/>
        <v>1.655396E-2</v>
      </c>
      <c r="G65" s="28">
        <f t="shared" si="42"/>
        <v>9.8077140000000004E-3</v>
      </c>
      <c r="H65" s="28">
        <f t="shared" si="42"/>
        <v>1.6636815999999999E-2</v>
      </c>
      <c r="I65" s="28">
        <f t="shared" si="42"/>
        <v>2.1128233999999999E-2</v>
      </c>
      <c r="J65" s="28">
        <f t="shared" si="42"/>
        <v>1.1784596E-2</v>
      </c>
      <c r="K65" s="28">
        <f t="shared" si="42"/>
        <v>3.0000000000000001E-3</v>
      </c>
      <c r="L65" s="28">
        <f t="shared" si="42"/>
        <v>1.6E-2</v>
      </c>
      <c r="M65" s="28">
        <f t="shared" si="42"/>
        <v>8.9999999999999993E-3</v>
      </c>
      <c r="N65" s="28">
        <f t="shared" si="42"/>
        <v>1.7000000000000001E-2</v>
      </c>
      <c r="O65" s="28">
        <f t="shared" si="42"/>
        <v>0.01</v>
      </c>
      <c r="P65" s="28">
        <f t="shared" si="42"/>
        <v>2.1000000000000001E-2</v>
      </c>
      <c r="Q65" s="28">
        <f t="shared" si="42"/>
        <v>1.2E-2</v>
      </c>
      <c r="R65" s="28">
        <f t="shared" si="42"/>
        <v>2.1000000000000001E-2</v>
      </c>
      <c r="S65" s="28">
        <f t="shared" si="42"/>
        <v>1.2999999999999999E-2</v>
      </c>
      <c r="T65" s="28">
        <f t="shared" si="42"/>
        <v>2.3E-2</v>
      </c>
      <c r="U65" s="28">
        <f t="shared" si="42"/>
        <v>1.4999999999999999E-2</v>
      </c>
      <c r="V65" s="24">
        <f t="shared" si="1"/>
        <v>1.4240112500000001E-2</v>
      </c>
      <c r="W65" s="24">
        <f t="shared" si="2"/>
        <v>1.1257468499999999E-2</v>
      </c>
      <c r="X65" s="24">
        <f t="shared" si="3"/>
        <v>1.3180837000000001E-2</v>
      </c>
      <c r="Y65" s="24">
        <f t="shared" si="4"/>
        <v>1.8882524999999997E-2</v>
      </c>
      <c r="Z65" s="24">
        <f t="shared" si="5"/>
        <v>7.3922980000000003E-3</v>
      </c>
      <c r="AA65" s="24">
        <f ca="1">IFERROR(__xludf.DUMMYFUNCTION("AVERAGE.WEIGHTED(B65:C65,$AB$26:$AC$26)"),0.01398703546)</f>
        <v>1.398703546E-2</v>
      </c>
    </row>
    <row r="66" spans="1:27" ht="12.75" x14ac:dyDescent="0.2">
      <c r="A66" s="1">
        <v>38</v>
      </c>
      <c r="B66" s="28">
        <f t="shared" ref="B66:U66" si="43">B$13</f>
        <v>1.2658381E-2</v>
      </c>
      <c r="C66" s="28">
        <f t="shared" si="43"/>
        <v>1.5821844000000002E-2</v>
      </c>
      <c r="D66" s="28">
        <f t="shared" si="43"/>
        <v>9.2004029999999994E-3</v>
      </c>
      <c r="E66" s="28">
        <f t="shared" si="43"/>
        <v>1.3314533999999999E-2</v>
      </c>
      <c r="F66" s="28">
        <f t="shared" si="43"/>
        <v>1.655396E-2</v>
      </c>
      <c r="G66" s="28">
        <f t="shared" si="43"/>
        <v>9.8077140000000004E-3</v>
      </c>
      <c r="H66" s="28">
        <f t="shared" si="43"/>
        <v>1.6636815999999999E-2</v>
      </c>
      <c r="I66" s="28">
        <f t="shared" si="43"/>
        <v>2.1128233999999999E-2</v>
      </c>
      <c r="J66" s="28">
        <f t="shared" si="43"/>
        <v>1.1784596E-2</v>
      </c>
      <c r="K66" s="28">
        <f t="shared" si="43"/>
        <v>3.0000000000000001E-3</v>
      </c>
      <c r="L66" s="28">
        <f t="shared" si="43"/>
        <v>1.6E-2</v>
      </c>
      <c r="M66" s="28">
        <f t="shared" si="43"/>
        <v>8.9999999999999993E-3</v>
      </c>
      <c r="N66" s="28">
        <f t="shared" si="43"/>
        <v>1.7000000000000001E-2</v>
      </c>
      <c r="O66" s="28">
        <f t="shared" si="43"/>
        <v>0.01</v>
      </c>
      <c r="P66" s="28">
        <f t="shared" si="43"/>
        <v>2.1000000000000001E-2</v>
      </c>
      <c r="Q66" s="28">
        <f t="shared" si="43"/>
        <v>1.2E-2</v>
      </c>
      <c r="R66" s="28">
        <f t="shared" si="43"/>
        <v>2.1000000000000001E-2</v>
      </c>
      <c r="S66" s="28">
        <f t="shared" si="43"/>
        <v>1.2999999999999999E-2</v>
      </c>
      <c r="T66" s="28">
        <f t="shared" si="43"/>
        <v>2.3E-2</v>
      </c>
      <c r="U66" s="28">
        <f t="shared" si="43"/>
        <v>1.4999999999999999E-2</v>
      </c>
      <c r="V66" s="24">
        <f t="shared" si="1"/>
        <v>1.4240112500000001E-2</v>
      </c>
      <c r="W66" s="24">
        <f t="shared" si="2"/>
        <v>1.1257468499999999E-2</v>
      </c>
      <c r="X66" s="24">
        <f t="shared" si="3"/>
        <v>1.3180837000000001E-2</v>
      </c>
      <c r="Y66" s="24">
        <f t="shared" si="4"/>
        <v>1.8882524999999997E-2</v>
      </c>
      <c r="Z66" s="24">
        <f t="shared" si="5"/>
        <v>7.3922980000000003E-3</v>
      </c>
      <c r="AA66" s="24">
        <f ca="1">IFERROR(__xludf.DUMMYFUNCTION("AVERAGE.WEIGHTED(B66:C66,$AB$26:$AC$26)"),0.01398703546)</f>
        <v>1.398703546E-2</v>
      </c>
    </row>
    <row r="67" spans="1:27" ht="12.75" x14ac:dyDescent="0.2">
      <c r="A67" s="1">
        <v>39</v>
      </c>
      <c r="B67" s="28">
        <f t="shared" ref="B67:U67" si="44">B$13</f>
        <v>1.2658381E-2</v>
      </c>
      <c r="C67" s="28">
        <f t="shared" si="44"/>
        <v>1.5821844000000002E-2</v>
      </c>
      <c r="D67" s="28">
        <f t="shared" si="44"/>
        <v>9.2004029999999994E-3</v>
      </c>
      <c r="E67" s="28">
        <f t="shared" si="44"/>
        <v>1.3314533999999999E-2</v>
      </c>
      <c r="F67" s="28">
        <f t="shared" si="44"/>
        <v>1.655396E-2</v>
      </c>
      <c r="G67" s="28">
        <f t="shared" si="44"/>
        <v>9.8077140000000004E-3</v>
      </c>
      <c r="H67" s="28">
        <f t="shared" si="44"/>
        <v>1.6636815999999999E-2</v>
      </c>
      <c r="I67" s="28">
        <f t="shared" si="44"/>
        <v>2.1128233999999999E-2</v>
      </c>
      <c r="J67" s="28">
        <f t="shared" si="44"/>
        <v>1.1784596E-2</v>
      </c>
      <c r="K67" s="28">
        <f t="shared" si="44"/>
        <v>3.0000000000000001E-3</v>
      </c>
      <c r="L67" s="28">
        <f t="shared" si="44"/>
        <v>1.6E-2</v>
      </c>
      <c r="M67" s="28">
        <f t="shared" si="44"/>
        <v>8.9999999999999993E-3</v>
      </c>
      <c r="N67" s="28">
        <f t="shared" si="44"/>
        <v>1.7000000000000001E-2</v>
      </c>
      <c r="O67" s="28">
        <f t="shared" si="44"/>
        <v>0.01</v>
      </c>
      <c r="P67" s="28">
        <f t="shared" si="44"/>
        <v>2.1000000000000001E-2</v>
      </c>
      <c r="Q67" s="28">
        <f t="shared" si="44"/>
        <v>1.2E-2</v>
      </c>
      <c r="R67" s="28">
        <f t="shared" si="44"/>
        <v>2.1000000000000001E-2</v>
      </c>
      <c r="S67" s="28">
        <f t="shared" si="44"/>
        <v>1.2999999999999999E-2</v>
      </c>
      <c r="T67" s="28">
        <f t="shared" si="44"/>
        <v>2.3E-2</v>
      </c>
      <c r="U67" s="28">
        <f t="shared" si="44"/>
        <v>1.4999999999999999E-2</v>
      </c>
      <c r="V67" s="24">
        <f t="shared" si="1"/>
        <v>1.4240112500000001E-2</v>
      </c>
      <c r="W67" s="24">
        <f t="shared" si="2"/>
        <v>1.1257468499999999E-2</v>
      </c>
      <c r="X67" s="24">
        <f t="shared" si="3"/>
        <v>1.3180837000000001E-2</v>
      </c>
      <c r="Y67" s="24">
        <f t="shared" si="4"/>
        <v>1.8882524999999997E-2</v>
      </c>
      <c r="Z67" s="24">
        <f t="shared" si="5"/>
        <v>7.3922980000000003E-3</v>
      </c>
      <c r="AA67" s="24">
        <f ca="1">IFERROR(__xludf.DUMMYFUNCTION("AVERAGE.WEIGHTED(B67:C67,$AB$26:$AC$26)"),0.01398703546)</f>
        <v>1.398703546E-2</v>
      </c>
    </row>
    <row r="68" spans="1:27" ht="12.75" x14ac:dyDescent="0.2">
      <c r="A68" s="1">
        <v>40</v>
      </c>
      <c r="B68" s="28">
        <f t="shared" ref="B68:U68" si="45">B$14</f>
        <v>1.6654925000000001E-2</v>
      </c>
      <c r="C68" s="28">
        <f t="shared" si="45"/>
        <v>2.0090131000000001E-2</v>
      </c>
      <c r="D68" s="28">
        <f t="shared" si="45"/>
        <v>1.2973851999999999E-2</v>
      </c>
      <c r="E68" s="28">
        <f t="shared" si="45"/>
        <v>1.7531142999999999E-2</v>
      </c>
      <c r="F68" s="28">
        <f t="shared" si="45"/>
        <v>2.0540202E-2</v>
      </c>
      <c r="G68" s="28">
        <f t="shared" si="45"/>
        <v>1.4314929000000001E-2</v>
      </c>
      <c r="H68" s="28">
        <f t="shared" si="45"/>
        <v>2.0022286E-2</v>
      </c>
      <c r="I68" s="28">
        <f t="shared" si="45"/>
        <v>2.5462746000000001E-2</v>
      </c>
      <c r="J68" s="28">
        <f t="shared" si="45"/>
        <v>1.4161340999999999E-2</v>
      </c>
      <c r="K68" s="28">
        <f t="shared" si="45"/>
        <v>4.0000000000000001E-3</v>
      </c>
      <c r="L68" s="28">
        <f t="shared" si="45"/>
        <v>0.02</v>
      </c>
      <c r="M68" s="28">
        <f t="shared" si="45"/>
        <v>1.2999999999999999E-2</v>
      </c>
      <c r="N68" s="28">
        <f t="shared" si="45"/>
        <v>2.1000000000000001E-2</v>
      </c>
      <c r="O68" s="28">
        <f t="shared" si="45"/>
        <v>1.4E-2</v>
      </c>
      <c r="P68" s="28">
        <f t="shared" si="45"/>
        <v>2.5000000000000001E-2</v>
      </c>
      <c r="Q68" s="28">
        <f t="shared" si="45"/>
        <v>1.4E-2</v>
      </c>
      <c r="R68" s="28">
        <f t="shared" si="45"/>
        <v>2.7E-2</v>
      </c>
      <c r="S68" s="28">
        <f t="shared" si="45"/>
        <v>1.6E-2</v>
      </c>
      <c r="T68" s="28">
        <f t="shared" si="45"/>
        <v>2.7E-2</v>
      </c>
      <c r="U68" s="28">
        <f t="shared" si="45"/>
        <v>1.7999999999999999E-2</v>
      </c>
      <c r="V68" s="24">
        <f t="shared" si="1"/>
        <v>1.8372527999999999E-2</v>
      </c>
      <c r="W68" s="24">
        <f t="shared" si="2"/>
        <v>1.52524975E-2</v>
      </c>
      <c r="X68" s="24">
        <f t="shared" si="3"/>
        <v>1.7427565499999999E-2</v>
      </c>
      <c r="Y68" s="24">
        <f t="shared" si="4"/>
        <v>2.2742516000000001E-2</v>
      </c>
      <c r="Z68" s="24">
        <f t="shared" si="5"/>
        <v>9.0806704999999988E-3</v>
      </c>
      <c r="AA68" s="24">
        <f ca="1">IFERROR(__xludf.DUMMYFUNCTION("AVERAGE.WEIGHTED(B68:C68,$AB$26:$AC$26)"),0.01809771152)</f>
        <v>1.809771152E-2</v>
      </c>
    </row>
    <row r="69" spans="1:27" ht="12.75" x14ac:dyDescent="0.2">
      <c r="A69" s="1">
        <v>41</v>
      </c>
      <c r="B69" s="28">
        <f t="shared" ref="B69:U69" si="46">B$14</f>
        <v>1.6654925000000001E-2</v>
      </c>
      <c r="C69" s="28">
        <f t="shared" si="46"/>
        <v>2.0090131000000001E-2</v>
      </c>
      <c r="D69" s="28">
        <f t="shared" si="46"/>
        <v>1.2973851999999999E-2</v>
      </c>
      <c r="E69" s="28">
        <f t="shared" si="46"/>
        <v>1.7531142999999999E-2</v>
      </c>
      <c r="F69" s="28">
        <f t="shared" si="46"/>
        <v>2.0540202E-2</v>
      </c>
      <c r="G69" s="28">
        <f t="shared" si="46"/>
        <v>1.4314929000000001E-2</v>
      </c>
      <c r="H69" s="28">
        <f t="shared" si="46"/>
        <v>2.0022286E-2</v>
      </c>
      <c r="I69" s="28">
        <f t="shared" si="46"/>
        <v>2.5462746000000001E-2</v>
      </c>
      <c r="J69" s="28">
        <f t="shared" si="46"/>
        <v>1.4161340999999999E-2</v>
      </c>
      <c r="K69" s="28">
        <f t="shared" si="46"/>
        <v>4.0000000000000001E-3</v>
      </c>
      <c r="L69" s="28">
        <f t="shared" si="46"/>
        <v>0.02</v>
      </c>
      <c r="M69" s="28">
        <f t="shared" si="46"/>
        <v>1.2999999999999999E-2</v>
      </c>
      <c r="N69" s="28">
        <f t="shared" si="46"/>
        <v>2.1000000000000001E-2</v>
      </c>
      <c r="O69" s="28">
        <f t="shared" si="46"/>
        <v>1.4E-2</v>
      </c>
      <c r="P69" s="28">
        <f t="shared" si="46"/>
        <v>2.5000000000000001E-2</v>
      </c>
      <c r="Q69" s="28">
        <f t="shared" si="46"/>
        <v>1.4E-2</v>
      </c>
      <c r="R69" s="28">
        <f t="shared" si="46"/>
        <v>2.7E-2</v>
      </c>
      <c r="S69" s="28">
        <f t="shared" si="46"/>
        <v>1.6E-2</v>
      </c>
      <c r="T69" s="28">
        <f t="shared" si="46"/>
        <v>2.7E-2</v>
      </c>
      <c r="U69" s="28">
        <f t="shared" si="46"/>
        <v>1.7999999999999999E-2</v>
      </c>
      <c r="V69" s="24">
        <f t="shared" si="1"/>
        <v>1.8372527999999999E-2</v>
      </c>
      <c r="W69" s="24">
        <f t="shared" si="2"/>
        <v>1.52524975E-2</v>
      </c>
      <c r="X69" s="24">
        <f t="shared" si="3"/>
        <v>1.7427565499999999E-2</v>
      </c>
      <c r="Y69" s="24">
        <f t="shared" si="4"/>
        <v>2.2742516000000001E-2</v>
      </c>
      <c r="Z69" s="24">
        <f t="shared" si="5"/>
        <v>9.0806704999999988E-3</v>
      </c>
      <c r="AA69" s="24">
        <f ca="1">IFERROR(__xludf.DUMMYFUNCTION("AVERAGE.WEIGHTED(B69:C69,$AB$26:$AC$26)"),0.01809771152)</f>
        <v>1.809771152E-2</v>
      </c>
    </row>
    <row r="70" spans="1:27" ht="12.75" x14ac:dyDescent="0.2">
      <c r="A70" s="1">
        <v>42</v>
      </c>
      <c r="B70" s="28">
        <f t="shared" ref="B70:U70" si="47">B$14</f>
        <v>1.6654925000000001E-2</v>
      </c>
      <c r="C70" s="28">
        <f t="shared" si="47"/>
        <v>2.0090131000000001E-2</v>
      </c>
      <c r="D70" s="28">
        <f t="shared" si="47"/>
        <v>1.2973851999999999E-2</v>
      </c>
      <c r="E70" s="28">
        <f t="shared" si="47"/>
        <v>1.7531142999999999E-2</v>
      </c>
      <c r="F70" s="28">
        <f t="shared" si="47"/>
        <v>2.0540202E-2</v>
      </c>
      <c r="G70" s="28">
        <f t="shared" si="47"/>
        <v>1.4314929000000001E-2</v>
      </c>
      <c r="H70" s="28">
        <f t="shared" si="47"/>
        <v>2.0022286E-2</v>
      </c>
      <c r="I70" s="28">
        <f t="shared" si="47"/>
        <v>2.5462746000000001E-2</v>
      </c>
      <c r="J70" s="28">
        <f t="shared" si="47"/>
        <v>1.4161340999999999E-2</v>
      </c>
      <c r="K70" s="28">
        <f t="shared" si="47"/>
        <v>4.0000000000000001E-3</v>
      </c>
      <c r="L70" s="28">
        <f t="shared" si="47"/>
        <v>0.02</v>
      </c>
      <c r="M70" s="28">
        <f t="shared" si="47"/>
        <v>1.2999999999999999E-2</v>
      </c>
      <c r="N70" s="28">
        <f t="shared" si="47"/>
        <v>2.1000000000000001E-2</v>
      </c>
      <c r="O70" s="28">
        <f t="shared" si="47"/>
        <v>1.4E-2</v>
      </c>
      <c r="P70" s="28">
        <f t="shared" si="47"/>
        <v>2.5000000000000001E-2</v>
      </c>
      <c r="Q70" s="28">
        <f t="shared" si="47"/>
        <v>1.4E-2</v>
      </c>
      <c r="R70" s="28">
        <f t="shared" si="47"/>
        <v>2.7E-2</v>
      </c>
      <c r="S70" s="28">
        <f t="shared" si="47"/>
        <v>1.6E-2</v>
      </c>
      <c r="T70" s="28">
        <f t="shared" si="47"/>
        <v>2.7E-2</v>
      </c>
      <c r="U70" s="28">
        <f t="shared" si="47"/>
        <v>1.7999999999999999E-2</v>
      </c>
      <c r="V70" s="24">
        <f t="shared" si="1"/>
        <v>1.8372527999999999E-2</v>
      </c>
      <c r="W70" s="24">
        <f t="shared" si="2"/>
        <v>1.52524975E-2</v>
      </c>
      <c r="X70" s="24">
        <f t="shared" si="3"/>
        <v>1.7427565499999999E-2</v>
      </c>
      <c r="Y70" s="24">
        <f t="shared" si="4"/>
        <v>2.2742516000000001E-2</v>
      </c>
      <c r="Z70" s="24">
        <f t="shared" si="5"/>
        <v>9.0806704999999988E-3</v>
      </c>
      <c r="AA70" s="24">
        <f ca="1">IFERROR(__xludf.DUMMYFUNCTION("AVERAGE.WEIGHTED(B70:C70,$AB$26:$AC$26)"),0.01809771152)</f>
        <v>1.809771152E-2</v>
      </c>
    </row>
    <row r="71" spans="1:27" ht="12.75" x14ac:dyDescent="0.2">
      <c r="A71" s="1">
        <v>43</v>
      </c>
      <c r="B71" s="28">
        <f t="shared" ref="B71:U71" si="48">B$14</f>
        <v>1.6654925000000001E-2</v>
      </c>
      <c r="C71" s="28">
        <f t="shared" si="48"/>
        <v>2.0090131000000001E-2</v>
      </c>
      <c r="D71" s="28">
        <f t="shared" si="48"/>
        <v>1.2973851999999999E-2</v>
      </c>
      <c r="E71" s="28">
        <f t="shared" si="48"/>
        <v>1.7531142999999999E-2</v>
      </c>
      <c r="F71" s="28">
        <f t="shared" si="48"/>
        <v>2.0540202E-2</v>
      </c>
      <c r="G71" s="28">
        <f t="shared" si="48"/>
        <v>1.4314929000000001E-2</v>
      </c>
      <c r="H71" s="28">
        <f t="shared" si="48"/>
        <v>2.0022286E-2</v>
      </c>
      <c r="I71" s="28">
        <f t="shared" si="48"/>
        <v>2.5462746000000001E-2</v>
      </c>
      <c r="J71" s="28">
        <f t="shared" si="48"/>
        <v>1.4161340999999999E-2</v>
      </c>
      <c r="K71" s="28">
        <f t="shared" si="48"/>
        <v>4.0000000000000001E-3</v>
      </c>
      <c r="L71" s="28">
        <f t="shared" si="48"/>
        <v>0.02</v>
      </c>
      <c r="M71" s="28">
        <f t="shared" si="48"/>
        <v>1.2999999999999999E-2</v>
      </c>
      <c r="N71" s="28">
        <f t="shared" si="48"/>
        <v>2.1000000000000001E-2</v>
      </c>
      <c r="O71" s="28">
        <f t="shared" si="48"/>
        <v>1.4E-2</v>
      </c>
      <c r="P71" s="28">
        <f t="shared" si="48"/>
        <v>2.5000000000000001E-2</v>
      </c>
      <c r="Q71" s="28">
        <f t="shared" si="48"/>
        <v>1.4E-2</v>
      </c>
      <c r="R71" s="28">
        <f t="shared" si="48"/>
        <v>2.7E-2</v>
      </c>
      <c r="S71" s="28">
        <f t="shared" si="48"/>
        <v>1.6E-2</v>
      </c>
      <c r="T71" s="28">
        <f t="shared" si="48"/>
        <v>2.7E-2</v>
      </c>
      <c r="U71" s="28">
        <f t="shared" si="48"/>
        <v>1.7999999999999999E-2</v>
      </c>
      <c r="V71" s="24">
        <f t="shared" si="1"/>
        <v>1.8372527999999999E-2</v>
      </c>
      <c r="W71" s="24">
        <f t="shared" si="2"/>
        <v>1.52524975E-2</v>
      </c>
      <c r="X71" s="24">
        <f t="shared" si="3"/>
        <v>1.7427565499999999E-2</v>
      </c>
      <c r="Y71" s="24">
        <f t="shared" si="4"/>
        <v>2.2742516000000001E-2</v>
      </c>
      <c r="Z71" s="24">
        <f t="shared" si="5"/>
        <v>9.0806704999999988E-3</v>
      </c>
      <c r="AA71" s="24">
        <f ca="1">IFERROR(__xludf.DUMMYFUNCTION("AVERAGE.WEIGHTED(B71:C71,$AB$26:$AC$26)"),0.01809771152)</f>
        <v>1.809771152E-2</v>
      </c>
    </row>
    <row r="72" spans="1:27" ht="12.75" x14ac:dyDescent="0.2">
      <c r="A72" s="1">
        <v>44</v>
      </c>
      <c r="B72" s="28">
        <f t="shared" ref="B72:U72" si="49">B$14</f>
        <v>1.6654925000000001E-2</v>
      </c>
      <c r="C72" s="28">
        <f t="shared" si="49"/>
        <v>2.0090131000000001E-2</v>
      </c>
      <c r="D72" s="28">
        <f t="shared" si="49"/>
        <v>1.2973851999999999E-2</v>
      </c>
      <c r="E72" s="28">
        <f t="shared" si="49"/>
        <v>1.7531142999999999E-2</v>
      </c>
      <c r="F72" s="28">
        <f t="shared" si="49"/>
        <v>2.0540202E-2</v>
      </c>
      <c r="G72" s="28">
        <f t="shared" si="49"/>
        <v>1.4314929000000001E-2</v>
      </c>
      <c r="H72" s="28">
        <f t="shared" si="49"/>
        <v>2.0022286E-2</v>
      </c>
      <c r="I72" s="28">
        <f t="shared" si="49"/>
        <v>2.5462746000000001E-2</v>
      </c>
      <c r="J72" s="28">
        <f t="shared" si="49"/>
        <v>1.4161340999999999E-2</v>
      </c>
      <c r="K72" s="28">
        <f t="shared" si="49"/>
        <v>4.0000000000000001E-3</v>
      </c>
      <c r="L72" s="28">
        <f t="shared" si="49"/>
        <v>0.02</v>
      </c>
      <c r="M72" s="28">
        <f t="shared" si="49"/>
        <v>1.2999999999999999E-2</v>
      </c>
      <c r="N72" s="28">
        <f t="shared" si="49"/>
        <v>2.1000000000000001E-2</v>
      </c>
      <c r="O72" s="28">
        <f t="shared" si="49"/>
        <v>1.4E-2</v>
      </c>
      <c r="P72" s="28">
        <f t="shared" si="49"/>
        <v>2.5000000000000001E-2</v>
      </c>
      <c r="Q72" s="28">
        <f t="shared" si="49"/>
        <v>1.4E-2</v>
      </c>
      <c r="R72" s="28">
        <f t="shared" si="49"/>
        <v>2.7E-2</v>
      </c>
      <c r="S72" s="28">
        <f t="shared" si="49"/>
        <v>1.6E-2</v>
      </c>
      <c r="T72" s="28">
        <f t="shared" si="49"/>
        <v>2.7E-2</v>
      </c>
      <c r="U72" s="28">
        <f t="shared" si="49"/>
        <v>1.7999999999999999E-2</v>
      </c>
      <c r="V72" s="24">
        <f t="shared" si="1"/>
        <v>1.8372527999999999E-2</v>
      </c>
      <c r="W72" s="24">
        <f t="shared" si="2"/>
        <v>1.52524975E-2</v>
      </c>
      <c r="X72" s="24">
        <f t="shared" si="3"/>
        <v>1.7427565499999999E-2</v>
      </c>
      <c r="Y72" s="24">
        <f t="shared" si="4"/>
        <v>2.2742516000000001E-2</v>
      </c>
      <c r="Z72" s="24">
        <f t="shared" si="5"/>
        <v>9.0806704999999988E-3</v>
      </c>
      <c r="AA72" s="24">
        <f ca="1">IFERROR(__xludf.DUMMYFUNCTION("AVERAGE.WEIGHTED(B72:C72,$AB$26:$AC$26)"),0.01809771152)</f>
        <v>1.809771152E-2</v>
      </c>
    </row>
    <row r="73" spans="1:27" ht="12.75" x14ac:dyDescent="0.2">
      <c r="A73" s="1">
        <v>45</v>
      </c>
      <c r="B73" s="28">
        <f t="shared" ref="B73:U73" si="50">B$15</f>
        <v>2.3669042000000001E-2</v>
      </c>
      <c r="C73" s="28">
        <f t="shared" si="50"/>
        <v>2.9447266999999999E-2</v>
      </c>
      <c r="D73" s="28">
        <f t="shared" si="50"/>
        <v>1.7542335999999999E-2</v>
      </c>
      <c r="E73" s="28">
        <f t="shared" si="50"/>
        <v>2.5316319E-2</v>
      </c>
      <c r="F73" s="28">
        <f t="shared" si="50"/>
        <v>3.1397133000000001E-2</v>
      </c>
      <c r="G73" s="28">
        <f t="shared" si="50"/>
        <v>1.8839267999999999E-2</v>
      </c>
      <c r="H73" s="28">
        <f t="shared" si="50"/>
        <v>2.9151995E-2</v>
      </c>
      <c r="I73" s="28">
        <f t="shared" si="50"/>
        <v>3.5888221999999997E-2</v>
      </c>
      <c r="J73" s="28">
        <f t="shared" si="50"/>
        <v>2.1903125999999998E-2</v>
      </c>
      <c r="K73" s="28">
        <f t="shared" si="50"/>
        <v>5.0000000000000001E-3</v>
      </c>
      <c r="L73" s="28">
        <f t="shared" si="50"/>
        <v>2.9000000000000001E-2</v>
      </c>
      <c r="M73" s="28">
        <f t="shared" si="50"/>
        <v>1.7999999999999999E-2</v>
      </c>
      <c r="N73" s="28">
        <f t="shared" si="50"/>
        <v>3.1E-2</v>
      </c>
      <c r="O73" s="28">
        <f t="shared" si="50"/>
        <v>1.9E-2</v>
      </c>
      <c r="P73" s="28">
        <f t="shared" si="50"/>
        <v>3.5999999999999997E-2</v>
      </c>
      <c r="Q73" s="28">
        <f t="shared" si="50"/>
        <v>2.1999999999999999E-2</v>
      </c>
      <c r="R73" s="28">
        <f t="shared" si="50"/>
        <v>3.5999999999999997E-2</v>
      </c>
      <c r="S73" s="28">
        <f t="shared" si="50"/>
        <v>2.1999999999999999E-2</v>
      </c>
      <c r="T73" s="28">
        <f t="shared" si="50"/>
        <v>0.04</v>
      </c>
      <c r="U73" s="28">
        <f t="shared" si="50"/>
        <v>2.5000000000000001E-2</v>
      </c>
      <c r="V73" s="24">
        <f t="shared" si="1"/>
        <v>2.65581545E-2</v>
      </c>
      <c r="W73" s="24">
        <f t="shared" si="2"/>
        <v>2.1429327499999998E-2</v>
      </c>
      <c r="X73" s="24">
        <f t="shared" si="3"/>
        <v>2.51182005E-2</v>
      </c>
      <c r="Y73" s="24">
        <f t="shared" si="4"/>
        <v>3.2520108499999999E-2</v>
      </c>
      <c r="Z73" s="24">
        <f t="shared" si="5"/>
        <v>1.3451563E-2</v>
      </c>
      <c r="AA73" s="24">
        <f ca="1">IFERROR(__xludf.DUMMYFUNCTION("AVERAGE.WEIGHTED(B73:C73,$AB$26:$AC$26)"),0.0260958965)</f>
        <v>2.60958965E-2</v>
      </c>
    </row>
    <row r="74" spans="1:27" ht="12.75" x14ac:dyDescent="0.2">
      <c r="A74" s="1">
        <v>46</v>
      </c>
      <c r="B74" s="28">
        <f t="shared" ref="B74:U74" si="51">B$15</f>
        <v>2.3669042000000001E-2</v>
      </c>
      <c r="C74" s="28">
        <f t="shared" si="51"/>
        <v>2.9447266999999999E-2</v>
      </c>
      <c r="D74" s="28">
        <f t="shared" si="51"/>
        <v>1.7542335999999999E-2</v>
      </c>
      <c r="E74" s="28">
        <f t="shared" si="51"/>
        <v>2.5316319E-2</v>
      </c>
      <c r="F74" s="28">
        <f t="shared" si="51"/>
        <v>3.1397133000000001E-2</v>
      </c>
      <c r="G74" s="28">
        <f t="shared" si="51"/>
        <v>1.8839267999999999E-2</v>
      </c>
      <c r="H74" s="28">
        <f t="shared" si="51"/>
        <v>2.9151995E-2</v>
      </c>
      <c r="I74" s="28">
        <f t="shared" si="51"/>
        <v>3.5888221999999997E-2</v>
      </c>
      <c r="J74" s="28">
        <f t="shared" si="51"/>
        <v>2.1903125999999998E-2</v>
      </c>
      <c r="K74" s="28">
        <f t="shared" si="51"/>
        <v>5.0000000000000001E-3</v>
      </c>
      <c r="L74" s="28">
        <f t="shared" si="51"/>
        <v>2.9000000000000001E-2</v>
      </c>
      <c r="M74" s="28">
        <f t="shared" si="51"/>
        <v>1.7999999999999999E-2</v>
      </c>
      <c r="N74" s="28">
        <f t="shared" si="51"/>
        <v>3.1E-2</v>
      </c>
      <c r="O74" s="28">
        <f t="shared" si="51"/>
        <v>1.9E-2</v>
      </c>
      <c r="P74" s="28">
        <f t="shared" si="51"/>
        <v>3.5999999999999997E-2</v>
      </c>
      <c r="Q74" s="28">
        <f t="shared" si="51"/>
        <v>2.1999999999999999E-2</v>
      </c>
      <c r="R74" s="28">
        <f t="shared" si="51"/>
        <v>3.5999999999999997E-2</v>
      </c>
      <c r="S74" s="28">
        <f t="shared" si="51"/>
        <v>2.1999999999999999E-2</v>
      </c>
      <c r="T74" s="28">
        <f t="shared" si="51"/>
        <v>0.04</v>
      </c>
      <c r="U74" s="28">
        <f t="shared" si="51"/>
        <v>2.5000000000000001E-2</v>
      </c>
      <c r="V74" s="24">
        <f t="shared" si="1"/>
        <v>2.65581545E-2</v>
      </c>
      <c r="W74" s="24">
        <f t="shared" si="2"/>
        <v>2.1429327499999998E-2</v>
      </c>
      <c r="X74" s="24">
        <f t="shared" si="3"/>
        <v>2.51182005E-2</v>
      </c>
      <c r="Y74" s="24">
        <f t="shared" si="4"/>
        <v>3.2520108499999999E-2</v>
      </c>
      <c r="Z74" s="24">
        <f t="shared" si="5"/>
        <v>1.3451563E-2</v>
      </c>
      <c r="AA74" s="24">
        <f ca="1">IFERROR(__xludf.DUMMYFUNCTION("AVERAGE.WEIGHTED(B74:C74,$AB$26:$AC$26)"),0.0260958965)</f>
        <v>2.60958965E-2</v>
      </c>
    </row>
    <row r="75" spans="1:27" ht="12.75" x14ac:dyDescent="0.2">
      <c r="A75" s="1">
        <v>47</v>
      </c>
      <c r="B75" s="28">
        <f t="shared" ref="B75:U75" si="52">B$15</f>
        <v>2.3669042000000001E-2</v>
      </c>
      <c r="C75" s="28">
        <f t="shared" si="52"/>
        <v>2.9447266999999999E-2</v>
      </c>
      <c r="D75" s="28">
        <f t="shared" si="52"/>
        <v>1.7542335999999999E-2</v>
      </c>
      <c r="E75" s="28">
        <f t="shared" si="52"/>
        <v>2.5316319E-2</v>
      </c>
      <c r="F75" s="28">
        <f t="shared" si="52"/>
        <v>3.1397133000000001E-2</v>
      </c>
      <c r="G75" s="28">
        <f t="shared" si="52"/>
        <v>1.8839267999999999E-2</v>
      </c>
      <c r="H75" s="28">
        <f t="shared" si="52"/>
        <v>2.9151995E-2</v>
      </c>
      <c r="I75" s="28">
        <f t="shared" si="52"/>
        <v>3.5888221999999997E-2</v>
      </c>
      <c r="J75" s="28">
        <f t="shared" si="52"/>
        <v>2.1903125999999998E-2</v>
      </c>
      <c r="K75" s="28">
        <f t="shared" si="52"/>
        <v>5.0000000000000001E-3</v>
      </c>
      <c r="L75" s="28">
        <f t="shared" si="52"/>
        <v>2.9000000000000001E-2</v>
      </c>
      <c r="M75" s="28">
        <f t="shared" si="52"/>
        <v>1.7999999999999999E-2</v>
      </c>
      <c r="N75" s="28">
        <f t="shared" si="52"/>
        <v>3.1E-2</v>
      </c>
      <c r="O75" s="28">
        <f t="shared" si="52"/>
        <v>1.9E-2</v>
      </c>
      <c r="P75" s="28">
        <f t="shared" si="52"/>
        <v>3.5999999999999997E-2</v>
      </c>
      <c r="Q75" s="28">
        <f t="shared" si="52"/>
        <v>2.1999999999999999E-2</v>
      </c>
      <c r="R75" s="28">
        <f t="shared" si="52"/>
        <v>3.5999999999999997E-2</v>
      </c>
      <c r="S75" s="28">
        <f t="shared" si="52"/>
        <v>2.1999999999999999E-2</v>
      </c>
      <c r="T75" s="28">
        <f t="shared" si="52"/>
        <v>0.04</v>
      </c>
      <c r="U75" s="28">
        <f t="shared" si="52"/>
        <v>2.5000000000000001E-2</v>
      </c>
      <c r="V75" s="24">
        <f t="shared" si="1"/>
        <v>2.65581545E-2</v>
      </c>
      <c r="W75" s="24">
        <f t="shared" si="2"/>
        <v>2.1429327499999998E-2</v>
      </c>
      <c r="X75" s="24">
        <f t="shared" si="3"/>
        <v>2.51182005E-2</v>
      </c>
      <c r="Y75" s="24">
        <f t="shared" si="4"/>
        <v>3.2520108499999999E-2</v>
      </c>
      <c r="Z75" s="24">
        <f t="shared" si="5"/>
        <v>1.3451563E-2</v>
      </c>
      <c r="AA75" s="24">
        <f ca="1">IFERROR(__xludf.DUMMYFUNCTION("AVERAGE.WEIGHTED(B75:C75,$AB$26:$AC$26)"),0.0260958965)</f>
        <v>2.60958965E-2</v>
      </c>
    </row>
    <row r="76" spans="1:27" ht="12.75" x14ac:dyDescent="0.2">
      <c r="A76" s="1">
        <v>48</v>
      </c>
      <c r="B76" s="28">
        <f t="shared" ref="B76:U76" si="53">B$15</f>
        <v>2.3669042000000001E-2</v>
      </c>
      <c r="C76" s="28">
        <f t="shared" si="53"/>
        <v>2.9447266999999999E-2</v>
      </c>
      <c r="D76" s="28">
        <f t="shared" si="53"/>
        <v>1.7542335999999999E-2</v>
      </c>
      <c r="E76" s="28">
        <f t="shared" si="53"/>
        <v>2.5316319E-2</v>
      </c>
      <c r="F76" s="28">
        <f t="shared" si="53"/>
        <v>3.1397133000000001E-2</v>
      </c>
      <c r="G76" s="28">
        <f t="shared" si="53"/>
        <v>1.8839267999999999E-2</v>
      </c>
      <c r="H76" s="28">
        <f t="shared" si="53"/>
        <v>2.9151995E-2</v>
      </c>
      <c r="I76" s="28">
        <f t="shared" si="53"/>
        <v>3.5888221999999997E-2</v>
      </c>
      <c r="J76" s="28">
        <f t="shared" si="53"/>
        <v>2.1903125999999998E-2</v>
      </c>
      <c r="K76" s="28">
        <f t="shared" si="53"/>
        <v>5.0000000000000001E-3</v>
      </c>
      <c r="L76" s="28">
        <f t="shared" si="53"/>
        <v>2.9000000000000001E-2</v>
      </c>
      <c r="M76" s="28">
        <f t="shared" si="53"/>
        <v>1.7999999999999999E-2</v>
      </c>
      <c r="N76" s="28">
        <f t="shared" si="53"/>
        <v>3.1E-2</v>
      </c>
      <c r="O76" s="28">
        <f t="shared" si="53"/>
        <v>1.9E-2</v>
      </c>
      <c r="P76" s="28">
        <f t="shared" si="53"/>
        <v>3.5999999999999997E-2</v>
      </c>
      <c r="Q76" s="28">
        <f t="shared" si="53"/>
        <v>2.1999999999999999E-2</v>
      </c>
      <c r="R76" s="28">
        <f t="shared" si="53"/>
        <v>3.5999999999999997E-2</v>
      </c>
      <c r="S76" s="28">
        <f t="shared" si="53"/>
        <v>2.1999999999999999E-2</v>
      </c>
      <c r="T76" s="28">
        <f t="shared" si="53"/>
        <v>0.04</v>
      </c>
      <c r="U76" s="28">
        <f t="shared" si="53"/>
        <v>2.5000000000000001E-2</v>
      </c>
      <c r="V76" s="24">
        <f t="shared" si="1"/>
        <v>2.65581545E-2</v>
      </c>
      <c r="W76" s="24">
        <f t="shared" si="2"/>
        <v>2.1429327499999998E-2</v>
      </c>
      <c r="X76" s="24">
        <f t="shared" si="3"/>
        <v>2.51182005E-2</v>
      </c>
      <c r="Y76" s="24">
        <f t="shared" si="4"/>
        <v>3.2520108499999999E-2</v>
      </c>
      <c r="Z76" s="24">
        <f t="shared" si="5"/>
        <v>1.3451563E-2</v>
      </c>
      <c r="AA76" s="24">
        <f ca="1">IFERROR(__xludf.DUMMYFUNCTION("AVERAGE.WEIGHTED(B76:C76,$AB$26:$AC$26)"),0.0260958965)</f>
        <v>2.60958965E-2</v>
      </c>
    </row>
    <row r="77" spans="1:27" ht="12.75" x14ac:dyDescent="0.2">
      <c r="A77" s="1">
        <v>49</v>
      </c>
      <c r="B77" s="28">
        <f t="shared" ref="B77:U77" si="54">B$15</f>
        <v>2.3669042000000001E-2</v>
      </c>
      <c r="C77" s="28">
        <f t="shared" si="54"/>
        <v>2.9447266999999999E-2</v>
      </c>
      <c r="D77" s="28">
        <f t="shared" si="54"/>
        <v>1.7542335999999999E-2</v>
      </c>
      <c r="E77" s="28">
        <f t="shared" si="54"/>
        <v>2.5316319E-2</v>
      </c>
      <c r="F77" s="28">
        <f t="shared" si="54"/>
        <v>3.1397133000000001E-2</v>
      </c>
      <c r="G77" s="28">
        <f t="shared" si="54"/>
        <v>1.8839267999999999E-2</v>
      </c>
      <c r="H77" s="28">
        <f t="shared" si="54"/>
        <v>2.9151995E-2</v>
      </c>
      <c r="I77" s="28">
        <f t="shared" si="54"/>
        <v>3.5888221999999997E-2</v>
      </c>
      <c r="J77" s="28">
        <f t="shared" si="54"/>
        <v>2.1903125999999998E-2</v>
      </c>
      <c r="K77" s="28">
        <f t="shared" si="54"/>
        <v>5.0000000000000001E-3</v>
      </c>
      <c r="L77" s="28">
        <f t="shared" si="54"/>
        <v>2.9000000000000001E-2</v>
      </c>
      <c r="M77" s="28">
        <f t="shared" si="54"/>
        <v>1.7999999999999999E-2</v>
      </c>
      <c r="N77" s="28">
        <f t="shared" si="54"/>
        <v>3.1E-2</v>
      </c>
      <c r="O77" s="28">
        <f t="shared" si="54"/>
        <v>1.9E-2</v>
      </c>
      <c r="P77" s="28">
        <f t="shared" si="54"/>
        <v>3.5999999999999997E-2</v>
      </c>
      <c r="Q77" s="28">
        <f t="shared" si="54"/>
        <v>2.1999999999999999E-2</v>
      </c>
      <c r="R77" s="28">
        <f t="shared" si="54"/>
        <v>3.5999999999999997E-2</v>
      </c>
      <c r="S77" s="28">
        <f t="shared" si="54"/>
        <v>2.1999999999999999E-2</v>
      </c>
      <c r="T77" s="28">
        <f t="shared" si="54"/>
        <v>0.04</v>
      </c>
      <c r="U77" s="28">
        <f t="shared" si="54"/>
        <v>2.5000000000000001E-2</v>
      </c>
      <c r="V77" s="24">
        <f t="shared" si="1"/>
        <v>2.65581545E-2</v>
      </c>
      <c r="W77" s="24">
        <f t="shared" si="2"/>
        <v>2.1429327499999998E-2</v>
      </c>
      <c r="X77" s="24">
        <f t="shared" si="3"/>
        <v>2.51182005E-2</v>
      </c>
      <c r="Y77" s="24">
        <f t="shared" si="4"/>
        <v>3.2520108499999999E-2</v>
      </c>
      <c r="Z77" s="24">
        <f t="shared" si="5"/>
        <v>1.3451563E-2</v>
      </c>
      <c r="AA77" s="24">
        <f ca="1">IFERROR(__xludf.DUMMYFUNCTION("AVERAGE.WEIGHTED(B77:C77,$AB$26:$AC$26)"),0.0260958965)</f>
        <v>2.60958965E-2</v>
      </c>
    </row>
    <row r="78" spans="1:27" ht="12.75" x14ac:dyDescent="0.2">
      <c r="A78" s="1">
        <v>50</v>
      </c>
      <c r="B78" s="28">
        <f t="shared" ref="B78:U78" si="55">B$16</f>
        <v>3.8240088999999998E-2</v>
      </c>
      <c r="C78" s="28">
        <f t="shared" si="55"/>
        <v>4.2561685000000002E-2</v>
      </c>
      <c r="D78" s="28">
        <f t="shared" si="55"/>
        <v>3.3696431999999998E-2</v>
      </c>
      <c r="E78" s="28">
        <f t="shared" si="55"/>
        <v>4.3411071000000002E-2</v>
      </c>
      <c r="F78" s="28">
        <f t="shared" si="55"/>
        <v>4.7267842999999997E-2</v>
      </c>
      <c r="G78" s="28">
        <f t="shared" si="55"/>
        <v>3.9332813000000001E-2</v>
      </c>
      <c r="H78" s="28">
        <f t="shared" si="55"/>
        <v>4.0039483000000001E-2</v>
      </c>
      <c r="I78" s="28">
        <f t="shared" si="55"/>
        <v>4.8580020000000002E-2</v>
      </c>
      <c r="J78" s="28">
        <f t="shared" si="55"/>
        <v>3.0881024999999999E-2</v>
      </c>
      <c r="K78" s="28">
        <f t="shared" si="55"/>
        <v>8.0000000000000002E-3</v>
      </c>
      <c r="L78" s="28">
        <f t="shared" si="55"/>
        <v>4.2999999999999997E-2</v>
      </c>
      <c r="M78" s="28">
        <f t="shared" si="55"/>
        <v>3.4000000000000002E-2</v>
      </c>
      <c r="N78" s="28">
        <f t="shared" si="55"/>
        <v>4.7E-2</v>
      </c>
      <c r="O78" s="28">
        <f t="shared" si="55"/>
        <v>3.9E-2</v>
      </c>
      <c r="P78" s="28">
        <f t="shared" si="55"/>
        <v>4.9000000000000002E-2</v>
      </c>
      <c r="Q78" s="28">
        <f t="shared" si="55"/>
        <v>3.1E-2</v>
      </c>
      <c r="R78" s="28">
        <f t="shared" si="55"/>
        <v>5.0999999999999997E-2</v>
      </c>
      <c r="S78" s="28">
        <f t="shared" si="55"/>
        <v>0.03</v>
      </c>
      <c r="T78" s="28">
        <f t="shared" si="55"/>
        <v>5.7000000000000002E-2</v>
      </c>
      <c r="U78" s="28">
        <f t="shared" si="55"/>
        <v>3.7999999999999999E-2</v>
      </c>
      <c r="V78" s="24">
        <f t="shared" si="1"/>
        <v>4.0400886999999996E-2</v>
      </c>
      <c r="W78" s="24">
        <f t="shared" si="2"/>
        <v>3.8553751499999997E-2</v>
      </c>
      <c r="X78" s="24">
        <f t="shared" si="3"/>
        <v>4.3300327999999999E-2</v>
      </c>
      <c r="Y78" s="24">
        <f t="shared" si="4"/>
        <v>4.4309751500000001E-2</v>
      </c>
      <c r="Z78" s="24">
        <f t="shared" si="5"/>
        <v>1.94405125E-2</v>
      </c>
      <c r="AA78" s="24">
        <f ca="1">IFERROR(__xludf.DUMMYFUNCTION("AVERAGE.WEIGHTED(B78:C78,$AB$26:$AC$26)"),0.04005515932)</f>
        <v>4.0055159319999999E-2</v>
      </c>
    </row>
    <row r="79" spans="1:27" ht="12.75" x14ac:dyDescent="0.2">
      <c r="A79" s="1">
        <v>51</v>
      </c>
      <c r="B79" s="28">
        <f t="shared" ref="B79:U79" si="56">B$16</f>
        <v>3.8240088999999998E-2</v>
      </c>
      <c r="C79" s="28">
        <f t="shared" si="56"/>
        <v>4.2561685000000002E-2</v>
      </c>
      <c r="D79" s="28">
        <f t="shared" si="56"/>
        <v>3.3696431999999998E-2</v>
      </c>
      <c r="E79" s="28">
        <f t="shared" si="56"/>
        <v>4.3411071000000002E-2</v>
      </c>
      <c r="F79" s="28">
        <f t="shared" si="56"/>
        <v>4.7267842999999997E-2</v>
      </c>
      <c r="G79" s="28">
        <f t="shared" si="56"/>
        <v>3.9332813000000001E-2</v>
      </c>
      <c r="H79" s="28">
        <f t="shared" si="56"/>
        <v>4.0039483000000001E-2</v>
      </c>
      <c r="I79" s="28">
        <f t="shared" si="56"/>
        <v>4.8580020000000002E-2</v>
      </c>
      <c r="J79" s="28">
        <f t="shared" si="56"/>
        <v>3.0881024999999999E-2</v>
      </c>
      <c r="K79" s="28">
        <f t="shared" si="56"/>
        <v>8.0000000000000002E-3</v>
      </c>
      <c r="L79" s="28">
        <f t="shared" si="56"/>
        <v>4.2999999999999997E-2</v>
      </c>
      <c r="M79" s="28">
        <f t="shared" si="56"/>
        <v>3.4000000000000002E-2</v>
      </c>
      <c r="N79" s="28">
        <f t="shared" si="56"/>
        <v>4.7E-2</v>
      </c>
      <c r="O79" s="28">
        <f t="shared" si="56"/>
        <v>3.9E-2</v>
      </c>
      <c r="P79" s="28">
        <f t="shared" si="56"/>
        <v>4.9000000000000002E-2</v>
      </c>
      <c r="Q79" s="28">
        <f t="shared" si="56"/>
        <v>3.1E-2</v>
      </c>
      <c r="R79" s="28">
        <f t="shared" si="56"/>
        <v>5.0999999999999997E-2</v>
      </c>
      <c r="S79" s="28">
        <f t="shared" si="56"/>
        <v>0.03</v>
      </c>
      <c r="T79" s="28">
        <f t="shared" si="56"/>
        <v>5.7000000000000002E-2</v>
      </c>
      <c r="U79" s="28">
        <f t="shared" si="56"/>
        <v>3.7999999999999999E-2</v>
      </c>
      <c r="V79" s="24">
        <f t="shared" si="1"/>
        <v>4.0400886999999996E-2</v>
      </c>
      <c r="W79" s="24">
        <f t="shared" si="2"/>
        <v>3.8553751499999997E-2</v>
      </c>
      <c r="X79" s="24">
        <f t="shared" si="3"/>
        <v>4.3300327999999999E-2</v>
      </c>
      <c r="Y79" s="24">
        <f t="shared" si="4"/>
        <v>4.4309751500000001E-2</v>
      </c>
      <c r="Z79" s="24">
        <f t="shared" si="5"/>
        <v>1.94405125E-2</v>
      </c>
      <c r="AA79" s="24">
        <f ca="1">IFERROR(__xludf.DUMMYFUNCTION("AVERAGE.WEIGHTED(B79:C79,$AB$26:$AC$26)"),0.04005515932)</f>
        <v>4.0055159319999999E-2</v>
      </c>
    </row>
    <row r="80" spans="1:27" ht="12.75" x14ac:dyDescent="0.2">
      <c r="A80" s="1">
        <v>52</v>
      </c>
      <c r="B80" s="28">
        <f t="shared" ref="B80:U80" si="57">B$16</f>
        <v>3.8240088999999998E-2</v>
      </c>
      <c r="C80" s="28">
        <f t="shared" si="57"/>
        <v>4.2561685000000002E-2</v>
      </c>
      <c r="D80" s="28">
        <f t="shared" si="57"/>
        <v>3.3696431999999998E-2</v>
      </c>
      <c r="E80" s="28">
        <f t="shared" si="57"/>
        <v>4.3411071000000002E-2</v>
      </c>
      <c r="F80" s="28">
        <f t="shared" si="57"/>
        <v>4.7267842999999997E-2</v>
      </c>
      <c r="G80" s="28">
        <f t="shared" si="57"/>
        <v>3.9332813000000001E-2</v>
      </c>
      <c r="H80" s="28">
        <f t="shared" si="57"/>
        <v>4.0039483000000001E-2</v>
      </c>
      <c r="I80" s="28">
        <f t="shared" si="57"/>
        <v>4.8580020000000002E-2</v>
      </c>
      <c r="J80" s="28">
        <f t="shared" si="57"/>
        <v>3.0881024999999999E-2</v>
      </c>
      <c r="K80" s="28">
        <f t="shared" si="57"/>
        <v>8.0000000000000002E-3</v>
      </c>
      <c r="L80" s="28">
        <f t="shared" si="57"/>
        <v>4.2999999999999997E-2</v>
      </c>
      <c r="M80" s="28">
        <f t="shared" si="57"/>
        <v>3.4000000000000002E-2</v>
      </c>
      <c r="N80" s="28">
        <f t="shared" si="57"/>
        <v>4.7E-2</v>
      </c>
      <c r="O80" s="28">
        <f t="shared" si="57"/>
        <v>3.9E-2</v>
      </c>
      <c r="P80" s="28">
        <f t="shared" si="57"/>
        <v>4.9000000000000002E-2</v>
      </c>
      <c r="Q80" s="28">
        <f t="shared" si="57"/>
        <v>3.1E-2</v>
      </c>
      <c r="R80" s="28">
        <f t="shared" si="57"/>
        <v>5.0999999999999997E-2</v>
      </c>
      <c r="S80" s="28">
        <f t="shared" si="57"/>
        <v>0.03</v>
      </c>
      <c r="T80" s="28">
        <f t="shared" si="57"/>
        <v>5.7000000000000002E-2</v>
      </c>
      <c r="U80" s="28">
        <f t="shared" si="57"/>
        <v>3.7999999999999999E-2</v>
      </c>
      <c r="V80" s="24">
        <f t="shared" si="1"/>
        <v>4.0400886999999996E-2</v>
      </c>
      <c r="W80" s="24">
        <f t="shared" si="2"/>
        <v>3.8553751499999997E-2</v>
      </c>
      <c r="X80" s="24">
        <f t="shared" si="3"/>
        <v>4.3300327999999999E-2</v>
      </c>
      <c r="Y80" s="24">
        <f t="shared" si="4"/>
        <v>4.4309751500000001E-2</v>
      </c>
      <c r="Z80" s="24">
        <f t="shared" si="5"/>
        <v>1.94405125E-2</v>
      </c>
      <c r="AA80" s="24">
        <f ca="1">IFERROR(__xludf.DUMMYFUNCTION("AVERAGE.WEIGHTED(B80:C80,$AB$26:$AC$26)"),0.04005515932)</f>
        <v>4.0055159319999999E-2</v>
      </c>
    </row>
    <row r="81" spans="1:27" ht="12.75" x14ac:dyDescent="0.2">
      <c r="A81" s="1">
        <v>53</v>
      </c>
      <c r="B81" s="28">
        <f t="shared" ref="B81:U81" si="58">B$16</f>
        <v>3.8240088999999998E-2</v>
      </c>
      <c r="C81" s="28">
        <f t="shared" si="58"/>
        <v>4.2561685000000002E-2</v>
      </c>
      <c r="D81" s="28">
        <f t="shared" si="58"/>
        <v>3.3696431999999998E-2</v>
      </c>
      <c r="E81" s="28">
        <f t="shared" si="58"/>
        <v>4.3411071000000002E-2</v>
      </c>
      <c r="F81" s="28">
        <f t="shared" si="58"/>
        <v>4.7267842999999997E-2</v>
      </c>
      <c r="G81" s="28">
        <f t="shared" si="58"/>
        <v>3.9332813000000001E-2</v>
      </c>
      <c r="H81" s="28">
        <f t="shared" si="58"/>
        <v>4.0039483000000001E-2</v>
      </c>
      <c r="I81" s="28">
        <f t="shared" si="58"/>
        <v>4.8580020000000002E-2</v>
      </c>
      <c r="J81" s="28">
        <f t="shared" si="58"/>
        <v>3.0881024999999999E-2</v>
      </c>
      <c r="K81" s="28">
        <f t="shared" si="58"/>
        <v>8.0000000000000002E-3</v>
      </c>
      <c r="L81" s="28">
        <f t="shared" si="58"/>
        <v>4.2999999999999997E-2</v>
      </c>
      <c r="M81" s="28">
        <f t="shared" si="58"/>
        <v>3.4000000000000002E-2</v>
      </c>
      <c r="N81" s="28">
        <f t="shared" si="58"/>
        <v>4.7E-2</v>
      </c>
      <c r="O81" s="28">
        <f t="shared" si="58"/>
        <v>3.9E-2</v>
      </c>
      <c r="P81" s="28">
        <f t="shared" si="58"/>
        <v>4.9000000000000002E-2</v>
      </c>
      <c r="Q81" s="28">
        <f t="shared" si="58"/>
        <v>3.1E-2</v>
      </c>
      <c r="R81" s="28">
        <f t="shared" si="58"/>
        <v>5.0999999999999997E-2</v>
      </c>
      <c r="S81" s="28">
        <f t="shared" si="58"/>
        <v>0.03</v>
      </c>
      <c r="T81" s="28">
        <f t="shared" si="58"/>
        <v>5.7000000000000002E-2</v>
      </c>
      <c r="U81" s="28">
        <f t="shared" si="58"/>
        <v>3.7999999999999999E-2</v>
      </c>
      <c r="V81" s="24">
        <f t="shared" si="1"/>
        <v>4.0400886999999996E-2</v>
      </c>
      <c r="W81" s="24">
        <f t="shared" si="2"/>
        <v>3.8553751499999997E-2</v>
      </c>
      <c r="X81" s="24">
        <f t="shared" si="3"/>
        <v>4.3300327999999999E-2</v>
      </c>
      <c r="Y81" s="24">
        <f t="shared" si="4"/>
        <v>4.4309751500000001E-2</v>
      </c>
      <c r="Z81" s="24">
        <f t="shared" si="5"/>
        <v>1.94405125E-2</v>
      </c>
      <c r="AA81" s="24">
        <f ca="1">IFERROR(__xludf.DUMMYFUNCTION("AVERAGE.WEIGHTED(B81:C81,$AB$26:$AC$26)"),0.04005515932)</f>
        <v>4.0055159319999999E-2</v>
      </c>
    </row>
    <row r="82" spans="1:27" ht="12.75" x14ac:dyDescent="0.2">
      <c r="A82" s="1">
        <v>54</v>
      </c>
      <c r="B82" s="28">
        <f t="shared" ref="B82:U82" si="59">B$16</f>
        <v>3.8240088999999998E-2</v>
      </c>
      <c r="C82" s="28">
        <f t="shared" si="59"/>
        <v>4.2561685000000002E-2</v>
      </c>
      <c r="D82" s="28">
        <f t="shared" si="59"/>
        <v>3.3696431999999998E-2</v>
      </c>
      <c r="E82" s="28">
        <f t="shared" si="59"/>
        <v>4.3411071000000002E-2</v>
      </c>
      <c r="F82" s="28">
        <f t="shared" si="59"/>
        <v>4.7267842999999997E-2</v>
      </c>
      <c r="G82" s="28">
        <f t="shared" si="59"/>
        <v>3.9332813000000001E-2</v>
      </c>
      <c r="H82" s="28">
        <f t="shared" si="59"/>
        <v>4.0039483000000001E-2</v>
      </c>
      <c r="I82" s="28">
        <f t="shared" si="59"/>
        <v>4.8580020000000002E-2</v>
      </c>
      <c r="J82" s="28">
        <f t="shared" si="59"/>
        <v>3.0881024999999999E-2</v>
      </c>
      <c r="K82" s="28">
        <f t="shared" si="59"/>
        <v>8.0000000000000002E-3</v>
      </c>
      <c r="L82" s="28">
        <f t="shared" si="59"/>
        <v>4.2999999999999997E-2</v>
      </c>
      <c r="M82" s="28">
        <f t="shared" si="59"/>
        <v>3.4000000000000002E-2</v>
      </c>
      <c r="N82" s="28">
        <f t="shared" si="59"/>
        <v>4.7E-2</v>
      </c>
      <c r="O82" s="28">
        <f t="shared" si="59"/>
        <v>3.9E-2</v>
      </c>
      <c r="P82" s="28">
        <f t="shared" si="59"/>
        <v>4.9000000000000002E-2</v>
      </c>
      <c r="Q82" s="28">
        <f t="shared" si="59"/>
        <v>3.1E-2</v>
      </c>
      <c r="R82" s="28">
        <f t="shared" si="59"/>
        <v>5.0999999999999997E-2</v>
      </c>
      <c r="S82" s="28">
        <f t="shared" si="59"/>
        <v>0.03</v>
      </c>
      <c r="T82" s="28">
        <f t="shared" si="59"/>
        <v>5.7000000000000002E-2</v>
      </c>
      <c r="U82" s="28">
        <f t="shared" si="59"/>
        <v>3.7999999999999999E-2</v>
      </c>
      <c r="V82" s="24">
        <f t="shared" si="1"/>
        <v>4.0400886999999996E-2</v>
      </c>
      <c r="W82" s="24">
        <f t="shared" si="2"/>
        <v>3.8553751499999997E-2</v>
      </c>
      <c r="X82" s="24">
        <f t="shared" si="3"/>
        <v>4.3300327999999999E-2</v>
      </c>
      <c r="Y82" s="24">
        <f t="shared" si="4"/>
        <v>4.4309751500000001E-2</v>
      </c>
      <c r="Z82" s="24">
        <f t="shared" si="5"/>
        <v>1.94405125E-2</v>
      </c>
      <c r="AA82" s="24">
        <f ca="1">IFERROR(__xludf.DUMMYFUNCTION("AVERAGE.WEIGHTED(B82:C82,$AB$26:$AC$26)"),0.04005515932)</f>
        <v>4.0055159319999999E-2</v>
      </c>
    </row>
    <row r="83" spans="1:27" ht="12.75" x14ac:dyDescent="0.2">
      <c r="A83" s="1">
        <v>55</v>
      </c>
      <c r="B83" s="28">
        <f t="shared" ref="B83:U83" si="60">B$17</f>
        <v>5.724514E-2</v>
      </c>
      <c r="C83" s="28">
        <f t="shared" si="60"/>
        <v>6.8028826000000001E-2</v>
      </c>
      <c r="D83" s="28">
        <f t="shared" si="60"/>
        <v>4.5933310999999998E-2</v>
      </c>
      <c r="E83" s="28">
        <f t="shared" si="60"/>
        <v>6.2961849E-2</v>
      </c>
      <c r="F83" s="28">
        <f t="shared" si="60"/>
        <v>7.4333208999999997E-2</v>
      </c>
      <c r="G83" s="28">
        <f t="shared" si="60"/>
        <v>5.0957746999999998E-2</v>
      </c>
      <c r="H83" s="28">
        <f t="shared" si="60"/>
        <v>6.0820754999999997E-2</v>
      </c>
      <c r="I83" s="28">
        <f t="shared" si="60"/>
        <v>7.5750539000000006E-2</v>
      </c>
      <c r="J83" s="28">
        <f t="shared" si="60"/>
        <v>4.4902985999999999E-2</v>
      </c>
      <c r="K83" s="28">
        <f t="shared" si="60"/>
        <v>1.2999999999999999E-2</v>
      </c>
      <c r="L83" s="28">
        <f t="shared" si="60"/>
        <v>6.8000000000000005E-2</v>
      </c>
      <c r="M83" s="28">
        <f t="shared" si="60"/>
        <v>4.5999999999999999E-2</v>
      </c>
      <c r="N83" s="28">
        <f t="shared" si="60"/>
        <v>7.3999999999999996E-2</v>
      </c>
      <c r="O83" s="28">
        <f t="shared" si="60"/>
        <v>5.0999999999999997E-2</v>
      </c>
      <c r="P83" s="28">
        <f t="shared" si="60"/>
        <v>7.5999999999999998E-2</v>
      </c>
      <c r="Q83" s="28">
        <f t="shared" si="60"/>
        <v>4.4999999999999998E-2</v>
      </c>
      <c r="R83" s="28">
        <f t="shared" si="60"/>
        <v>7.0999999999999994E-2</v>
      </c>
      <c r="S83" s="28">
        <f t="shared" si="60"/>
        <v>5.0999999999999997E-2</v>
      </c>
      <c r="T83" s="28">
        <f t="shared" si="60"/>
        <v>8.7999999999999995E-2</v>
      </c>
      <c r="U83" s="28">
        <f t="shared" si="60"/>
        <v>6.2E-2</v>
      </c>
      <c r="V83" s="24">
        <f t="shared" si="1"/>
        <v>6.2636983000000007E-2</v>
      </c>
      <c r="W83" s="24">
        <f t="shared" si="2"/>
        <v>5.4447579999999995E-2</v>
      </c>
      <c r="X83" s="24">
        <f t="shared" si="3"/>
        <v>6.2645478000000004E-2</v>
      </c>
      <c r="Y83" s="24">
        <f t="shared" si="4"/>
        <v>6.8285647000000005E-2</v>
      </c>
      <c r="Z83" s="24">
        <f t="shared" si="5"/>
        <v>2.8951492999999998E-2</v>
      </c>
      <c r="AA83" s="24">
        <f ca="1">IFERROR(__xludf.DUMMYFUNCTION("AVERAGE.WEIGHTED(B83:C83,$AB$26:$AC$26)"),0.06177428812)</f>
        <v>6.177428812E-2</v>
      </c>
    </row>
    <row r="84" spans="1:27" ht="12.75" x14ac:dyDescent="0.2">
      <c r="A84" s="1">
        <v>56</v>
      </c>
      <c r="B84" s="28">
        <f t="shared" ref="B84:U84" si="61">B$17</f>
        <v>5.724514E-2</v>
      </c>
      <c r="C84" s="28">
        <f t="shared" si="61"/>
        <v>6.8028826000000001E-2</v>
      </c>
      <c r="D84" s="28">
        <f t="shared" si="61"/>
        <v>4.5933310999999998E-2</v>
      </c>
      <c r="E84" s="28">
        <f t="shared" si="61"/>
        <v>6.2961849E-2</v>
      </c>
      <c r="F84" s="28">
        <f t="shared" si="61"/>
        <v>7.4333208999999997E-2</v>
      </c>
      <c r="G84" s="28">
        <f t="shared" si="61"/>
        <v>5.0957746999999998E-2</v>
      </c>
      <c r="H84" s="28">
        <f t="shared" si="61"/>
        <v>6.0820754999999997E-2</v>
      </c>
      <c r="I84" s="28">
        <f t="shared" si="61"/>
        <v>7.5750539000000006E-2</v>
      </c>
      <c r="J84" s="28">
        <f t="shared" si="61"/>
        <v>4.4902985999999999E-2</v>
      </c>
      <c r="K84" s="28">
        <f t="shared" si="61"/>
        <v>1.2999999999999999E-2</v>
      </c>
      <c r="L84" s="28">
        <f t="shared" si="61"/>
        <v>6.8000000000000005E-2</v>
      </c>
      <c r="M84" s="28">
        <f t="shared" si="61"/>
        <v>4.5999999999999999E-2</v>
      </c>
      <c r="N84" s="28">
        <f t="shared" si="61"/>
        <v>7.3999999999999996E-2</v>
      </c>
      <c r="O84" s="28">
        <f t="shared" si="61"/>
        <v>5.0999999999999997E-2</v>
      </c>
      <c r="P84" s="28">
        <f t="shared" si="61"/>
        <v>7.5999999999999998E-2</v>
      </c>
      <c r="Q84" s="28">
        <f t="shared" si="61"/>
        <v>4.4999999999999998E-2</v>
      </c>
      <c r="R84" s="28">
        <f t="shared" si="61"/>
        <v>7.0999999999999994E-2</v>
      </c>
      <c r="S84" s="28">
        <f t="shared" si="61"/>
        <v>5.0999999999999997E-2</v>
      </c>
      <c r="T84" s="28">
        <f t="shared" si="61"/>
        <v>8.7999999999999995E-2</v>
      </c>
      <c r="U84" s="28">
        <f t="shared" si="61"/>
        <v>6.2E-2</v>
      </c>
      <c r="V84" s="24">
        <f t="shared" si="1"/>
        <v>6.2636983000000007E-2</v>
      </c>
      <c r="W84" s="24">
        <f t="shared" si="2"/>
        <v>5.4447579999999995E-2</v>
      </c>
      <c r="X84" s="24">
        <f t="shared" si="3"/>
        <v>6.2645478000000004E-2</v>
      </c>
      <c r="Y84" s="24">
        <f t="shared" si="4"/>
        <v>6.8285647000000005E-2</v>
      </c>
      <c r="Z84" s="24">
        <f t="shared" si="5"/>
        <v>2.8951492999999998E-2</v>
      </c>
      <c r="AA84" s="24">
        <f ca="1">IFERROR(__xludf.DUMMYFUNCTION("AVERAGE.WEIGHTED(B84:C84,$AB$26:$AC$26)"),0.06177428812)</f>
        <v>6.177428812E-2</v>
      </c>
    </row>
    <row r="85" spans="1:27" ht="12.75" x14ac:dyDescent="0.2">
      <c r="A85" s="1">
        <v>57</v>
      </c>
      <c r="B85" s="28">
        <f t="shared" ref="B85:U85" si="62">B$17</f>
        <v>5.724514E-2</v>
      </c>
      <c r="C85" s="28">
        <f t="shared" si="62"/>
        <v>6.8028826000000001E-2</v>
      </c>
      <c r="D85" s="28">
        <f t="shared" si="62"/>
        <v>4.5933310999999998E-2</v>
      </c>
      <c r="E85" s="28">
        <f t="shared" si="62"/>
        <v>6.2961849E-2</v>
      </c>
      <c r="F85" s="28">
        <f t="shared" si="62"/>
        <v>7.4333208999999997E-2</v>
      </c>
      <c r="G85" s="28">
        <f t="shared" si="62"/>
        <v>5.0957746999999998E-2</v>
      </c>
      <c r="H85" s="28">
        <f t="shared" si="62"/>
        <v>6.0820754999999997E-2</v>
      </c>
      <c r="I85" s="28">
        <f t="shared" si="62"/>
        <v>7.5750539000000006E-2</v>
      </c>
      <c r="J85" s="28">
        <f t="shared" si="62"/>
        <v>4.4902985999999999E-2</v>
      </c>
      <c r="K85" s="28">
        <f t="shared" si="62"/>
        <v>1.2999999999999999E-2</v>
      </c>
      <c r="L85" s="28">
        <f t="shared" si="62"/>
        <v>6.8000000000000005E-2</v>
      </c>
      <c r="M85" s="28">
        <f t="shared" si="62"/>
        <v>4.5999999999999999E-2</v>
      </c>
      <c r="N85" s="28">
        <f t="shared" si="62"/>
        <v>7.3999999999999996E-2</v>
      </c>
      <c r="O85" s="28">
        <f t="shared" si="62"/>
        <v>5.0999999999999997E-2</v>
      </c>
      <c r="P85" s="28">
        <f t="shared" si="62"/>
        <v>7.5999999999999998E-2</v>
      </c>
      <c r="Q85" s="28">
        <f t="shared" si="62"/>
        <v>4.4999999999999998E-2</v>
      </c>
      <c r="R85" s="28">
        <f t="shared" si="62"/>
        <v>7.0999999999999994E-2</v>
      </c>
      <c r="S85" s="28">
        <f t="shared" si="62"/>
        <v>5.0999999999999997E-2</v>
      </c>
      <c r="T85" s="28">
        <f t="shared" si="62"/>
        <v>8.7999999999999995E-2</v>
      </c>
      <c r="U85" s="28">
        <f t="shared" si="62"/>
        <v>6.2E-2</v>
      </c>
      <c r="V85" s="24">
        <f t="shared" si="1"/>
        <v>6.2636983000000007E-2</v>
      </c>
      <c r="W85" s="24">
        <f t="shared" si="2"/>
        <v>5.4447579999999995E-2</v>
      </c>
      <c r="X85" s="24">
        <f t="shared" si="3"/>
        <v>6.2645478000000004E-2</v>
      </c>
      <c r="Y85" s="24">
        <f t="shared" si="4"/>
        <v>6.8285647000000005E-2</v>
      </c>
      <c r="Z85" s="24">
        <f t="shared" si="5"/>
        <v>2.8951492999999998E-2</v>
      </c>
      <c r="AA85" s="24">
        <f ca="1">IFERROR(__xludf.DUMMYFUNCTION("AVERAGE.WEIGHTED(B85:C85,$AB$26:$AC$26)"),0.06177428812)</f>
        <v>6.177428812E-2</v>
      </c>
    </row>
    <row r="86" spans="1:27" ht="12.75" x14ac:dyDescent="0.2">
      <c r="A86" s="1">
        <v>58</v>
      </c>
      <c r="B86" s="28">
        <f t="shared" ref="B86:U86" si="63">B$17</f>
        <v>5.724514E-2</v>
      </c>
      <c r="C86" s="28">
        <f t="shared" si="63"/>
        <v>6.8028826000000001E-2</v>
      </c>
      <c r="D86" s="28">
        <f t="shared" si="63"/>
        <v>4.5933310999999998E-2</v>
      </c>
      <c r="E86" s="28">
        <f t="shared" si="63"/>
        <v>6.2961849E-2</v>
      </c>
      <c r="F86" s="28">
        <f t="shared" si="63"/>
        <v>7.4333208999999997E-2</v>
      </c>
      <c r="G86" s="28">
        <f t="shared" si="63"/>
        <v>5.0957746999999998E-2</v>
      </c>
      <c r="H86" s="28">
        <f t="shared" si="63"/>
        <v>6.0820754999999997E-2</v>
      </c>
      <c r="I86" s="28">
        <f t="shared" si="63"/>
        <v>7.5750539000000006E-2</v>
      </c>
      <c r="J86" s="28">
        <f t="shared" si="63"/>
        <v>4.4902985999999999E-2</v>
      </c>
      <c r="K86" s="28">
        <f t="shared" si="63"/>
        <v>1.2999999999999999E-2</v>
      </c>
      <c r="L86" s="28">
        <f t="shared" si="63"/>
        <v>6.8000000000000005E-2</v>
      </c>
      <c r="M86" s="28">
        <f t="shared" si="63"/>
        <v>4.5999999999999999E-2</v>
      </c>
      <c r="N86" s="28">
        <f t="shared" si="63"/>
        <v>7.3999999999999996E-2</v>
      </c>
      <c r="O86" s="28">
        <f t="shared" si="63"/>
        <v>5.0999999999999997E-2</v>
      </c>
      <c r="P86" s="28">
        <f t="shared" si="63"/>
        <v>7.5999999999999998E-2</v>
      </c>
      <c r="Q86" s="28">
        <f t="shared" si="63"/>
        <v>4.4999999999999998E-2</v>
      </c>
      <c r="R86" s="28">
        <f t="shared" si="63"/>
        <v>7.0999999999999994E-2</v>
      </c>
      <c r="S86" s="28">
        <f t="shared" si="63"/>
        <v>5.0999999999999997E-2</v>
      </c>
      <c r="T86" s="28">
        <f t="shared" si="63"/>
        <v>8.7999999999999995E-2</v>
      </c>
      <c r="U86" s="28">
        <f t="shared" si="63"/>
        <v>6.2E-2</v>
      </c>
      <c r="V86" s="24">
        <f t="shared" si="1"/>
        <v>6.2636983000000007E-2</v>
      </c>
      <c r="W86" s="24">
        <f t="shared" si="2"/>
        <v>5.4447579999999995E-2</v>
      </c>
      <c r="X86" s="24">
        <f t="shared" si="3"/>
        <v>6.2645478000000004E-2</v>
      </c>
      <c r="Y86" s="24">
        <f t="shared" si="4"/>
        <v>6.8285647000000005E-2</v>
      </c>
      <c r="Z86" s="24">
        <f t="shared" si="5"/>
        <v>2.8951492999999998E-2</v>
      </c>
      <c r="AA86" s="24">
        <f ca="1">IFERROR(__xludf.DUMMYFUNCTION("AVERAGE.WEIGHTED(B86:C86,$AB$26:$AC$26)"),0.06177428812)</f>
        <v>6.177428812E-2</v>
      </c>
    </row>
    <row r="87" spans="1:27" ht="12.75" x14ac:dyDescent="0.2">
      <c r="A87" s="1">
        <v>59</v>
      </c>
      <c r="B87" s="28">
        <f t="shared" ref="B87:U87" si="64">B$17</f>
        <v>5.724514E-2</v>
      </c>
      <c r="C87" s="28">
        <f t="shared" si="64"/>
        <v>6.8028826000000001E-2</v>
      </c>
      <c r="D87" s="28">
        <f t="shared" si="64"/>
        <v>4.5933310999999998E-2</v>
      </c>
      <c r="E87" s="28">
        <f t="shared" si="64"/>
        <v>6.2961849E-2</v>
      </c>
      <c r="F87" s="28">
        <f t="shared" si="64"/>
        <v>7.4333208999999997E-2</v>
      </c>
      <c r="G87" s="28">
        <f t="shared" si="64"/>
        <v>5.0957746999999998E-2</v>
      </c>
      <c r="H87" s="28">
        <f t="shared" si="64"/>
        <v>6.0820754999999997E-2</v>
      </c>
      <c r="I87" s="28">
        <f t="shared" si="64"/>
        <v>7.5750539000000006E-2</v>
      </c>
      <c r="J87" s="28">
        <f t="shared" si="64"/>
        <v>4.4902985999999999E-2</v>
      </c>
      <c r="K87" s="28">
        <f t="shared" si="64"/>
        <v>1.2999999999999999E-2</v>
      </c>
      <c r="L87" s="28">
        <f t="shared" si="64"/>
        <v>6.8000000000000005E-2</v>
      </c>
      <c r="M87" s="28">
        <f t="shared" si="64"/>
        <v>4.5999999999999999E-2</v>
      </c>
      <c r="N87" s="28">
        <f t="shared" si="64"/>
        <v>7.3999999999999996E-2</v>
      </c>
      <c r="O87" s="28">
        <f t="shared" si="64"/>
        <v>5.0999999999999997E-2</v>
      </c>
      <c r="P87" s="28">
        <f t="shared" si="64"/>
        <v>7.5999999999999998E-2</v>
      </c>
      <c r="Q87" s="28">
        <f t="shared" si="64"/>
        <v>4.4999999999999998E-2</v>
      </c>
      <c r="R87" s="28">
        <f t="shared" si="64"/>
        <v>7.0999999999999994E-2</v>
      </c>
      <c r="S87" s="28">
        <f t="shared" si="64"/>
        <v>5.0999999999999997E-2</v>
      </c>
      <c r="T87" s="28">
        <f t="shared" si="64"/>
        <v>8.7999999999999995E-2</v>
      </c>
      <c r="U87" s="28">
        <f t="shared" si="64"/>
        <v>6.2E-2</v>
      </c>
      <c r="V87" s="24">
        <f t="shared" si="1"/>
        <v>6.2636983000000007E-2</v>
      </c>
      <c r="W87" s="24">
        <f t="shared" si="2"/>
        <v>5.4447579999999995E-2</v>
      </c>
      <c r="X87" s="24">
        <f t="shared" si="3"/>
        <v>6.2645478000000004E-2</v>
      </c>
      <c r="Y87" s="24">
        <f t="shared" si="4"/>
        <v>6.8285647000000005E-2</v>
      </c>
      <c r="Z87" s="24">
        <f t="shared" si="5"/>
        <v>2.8951492999999998E-2</v>
      </c>
      <c r="AA87" s="24">
        <f ca="1">IFERROR(__xludf.DUMMYFUNCTION("AVERAGE.WEIGHTED(B87:C87,$AB$26:$AC$26)"),0.06177428812)</f>
        <v>6.177428812E-2</v>
      </c>
    </row>
    <row r="88" spans="1:27" ht="12.75" x14ac:dyDescent="0.2">
      <c r="A88" s="1">
        <v>60</v>
      </c>
      <c r="B88" s="28">
        <f t="shared" ref="B88:U88" si="65">B$18</f>
        <v>8.4120207000000002E-2</v>
      </c>
      <c r="C88" s="28">
        <f t="shared" si="65"/>
        <v>9.4373468000000002E-2</v>
      </c>
      <c r="D88" s="28">
        <f t="shared" si="65"/>
        <v>7.3518587999999996E-2</v>
      </c>
      <c r="E88" s="28">
        <f t="shared" si="65"/>
        <v>9.0094786999999996E-2</v>
      </c>
      <c r="F88" s="28">
        <f t="shared" si="65"/>
        <v>0.10062751</v>
      </c>
      <c r="G88" s="28">
        <f t="shared" si="65"/>
        <v>7.9172249E-2</v>
      </c>
      <c r="H88" s="28">
        <f t="shared" si="65"/>
        <v>9.3050065000000001E-2</v>
      </c>
      <c r="I88" s="28">
        <f t="shared" si="65"/>
        <v>0.11082787199999999</v>
      </c>
      <c r="J88" s="28">
        <f t="shared" si="65"/>
        <v>7.5170215999999998E-2</v>
      </c>
      <c r="K88" s="28">
        <f t="shared" si="65"/>
        <v>1.9E-2</v>
      </c>
      <c r="L88" s="28">
        <f t="shared" si="65"/>
        <v>9.4E-2</v>
      </c>
      <c r="M88" s="28">
        <f t="shared" si="65"/>
        <v>7.3999999999999996E-2</v>
      </c>
      <c r="N88" s="28">
        <f t="shared" si="65"/>
        <v>0.1</v>
      </c>
      <c r="O88" s="28">
        <f t="shared" si="65"/>
        <v>7.9000000000000001E-2</v>
      </c>
      <c r="P88" s="28">
        <f t="shared" si="65"/>
        <v>0.11</v>
      </c>
      <c r="Q88" s="28">
        <f t="shared" si="65"/>
        <v>7.4999999999999997E-2</v>
      </c>
      <c r="R88" s="28">
        <f t="shared" si="65"/>
        <v>0.11</v>
      </c>
      <c r="S88" s="28">
        <f t="shared" si="65"/>
        <v>8.3000000000000004E-2</v>
      </c>
      <c r="T88" s="28">
        <f t="shared" si="65"/>
        <v>0.12</v>
      </c>
      <c r="U88" s="28">
        <f t="shared" si="65"/>
        <v>0.09</v>
      </c>
      <c r="V88" s="24">
        <f t="shared" si="1"/>
        <v>8.9246837500000009E-2</v>
      </c>
      <c r="W88" s="24">
        <f t="shared" si="2"/>
        <v>8.1806687500000003E-2</v>
      </c>
      <c r="X88" s="24">
        <f t="shared" si="3"/>
        <v>8.9899879500000002E-2</v>
      </c>
      <c r="Y88" s="24">
        <f t="shared" si="4"/>
        <v>0.1019389685</v>
      </c>
      <c r="Z88" s="24">
        <f t="shared" si="5"/>
        <v>4.7085108000000001E-2</v>
      </c>
      <c r="AA88" s="24">
        <f ca="1">IFERROR(__xludf.DUMMYFUNCTION("AVERAGE.WEIGHTED(B88:C88,$AB$26:$AC$26)"),0.08842657662)</f>
        <v>8.8426576620000003E-2</v>
      </c>
    </row>
    <row r="89" spans="1:27" ht="12.75" x14ac:dyDescent="0.2">
      <c r="A89" s="1">
        <v>61</v>
      </c>
      <c r="B89" s="28">
        <f t="shared" ref="B89:U89" si="66">B$18</f>
        <v>8.4120207000000002E-2</v>
      </c>
      <c r="C89" s="28">
        <f t="shared" si="66"/>
        <v>9.4373468000000002E-2</v>
      </c>
      <c r="D89" s="28">
        <f t="shared" si="66"/>
        <v>7.3518587999999996E-2</v>
      </c>
      <c r="E89" s="28">
        <f t="shared" si="66"/>
        <v>9.0094786999999996E-2</v>
      </c>
      <c r="F89" s="28">
        <f t="shared" si="66"/>
        <v>0.10062751</v>
      </c>
      <c r="G89" s="28">
        <f t="shared" si="66"/>
        <v>7.9172249E-2</v>
      </c>
      <c r="H89" s="28">
        <f t="shared" si="66"/>
        <v>9.3050065000000001E-2</v>
      </c>
      <c r="I89" s="28">
        <f t="shared" si="66"/>
        <v>0.11082787199999999</v>
      </c>
      <c r="J89" s="28">
        <f t="shared" si="66"/>
        <v>7.5170215999999998E-2</v>
      </c>
      <c r="K89" s="28">
        <f t="shared" si="66"/>
        <v>1.9E-2</v>
      </c>
      <c r="L89" s="28">
        <f t="shared" si="66"/>
        <v>9.4E-2</v>
      </c>
      <c r="M89" s="28">
        <f t="shared" si="66"/>
        <v>7.3999999999999996E-2</v>
      </c>
      <c r="N89" s="28">
        <f t="shared" si="66"/>
        <v>0.1</v>
      </c>
      <c r="O89" s="28">
        <f t="shared" si="66"/>
        <v>7.9000000000000001E-2</v>
      </c>
      <c r="P89" s="28">
        <f t="shared" si="66"/>
        <v>0.11</v>
      </c>
      <c r="Q89" s="28">
        <f t="shared" si="66"/>
        <v>7.4999999999999997E-2</v>
      </c>
      <c r="R89" s="28">
        <f t="shared" si="66"/>
        <v>0.11</v>
      </c>
      <c r="S89" s="28">
        <f t="shared" si="66"/>
        <v>8.3000000000000004E-2</v>
      </c>
      <c r="T89" s="28">
        <f t="shared" si="66"/>
        <v>0.12</v>
      </c>
      <c r="U89" s="28">
        <f t="shared" si="66"/>
        <v>0.09</v>
      </c>
      <c r="V89" s="24">
        <f t="shared" si="1"/>
        <v>8.9246837500000009E-2</v>
      </c>
      <c r="W89" s="24">
        <f t="shared" si="2"/>
        <v>8.1806687500000003E-2</v>
      </c>
      <c r="X89" s="24">
        <f t="shared" si="3"/>
        <v>8.9899879500000002E-2</v>
      </c>
      <c r="Y89" s="24">
        <f t="shared" si="4"/>
        <v>0.1019389685</v>
      </c>
      <c r="Z89" s="24">
        <f t="shared" si="5"/>
        <v>4.7085108000000001E-2</v>
      </c>
      <c r="AA89" s="24">
        <f ca="1">IFERROR(__xludf.DUMMYFUNCTION("AVERAGE.WEIGHTED(B89:C89,$AB$26:$AC$26)"),0.08842657662)</f>
        <v>8.8426576620000003E-2</v>
      </c>
    </row>
    <row r="90" spans="1:27" ht="12.75" x14ac:dyDescent="0.2">
      <c r="A90" s="1">
        <v>62</v>
      </c>
      <c r="B90" s="28">
        <f t="shared" ref="B90:U90" si="67">B$18</f>
        <v>8.4120207000000002E-2</v>
      </c>
      <c r="C90" s="28">
        <f t="shared" si="67"/>
        <v>9.4373468000000002E-2</v>
      </c>
      <c r="D90" s="28">
        <f t="shared" si="67"/>
        <v>7.3518587999999996E-2</v>
      </c>
      <c r="E90" s="28">
        <f t="shared" si="67"/>
        <v>9.0094786999999996E-2</v>
      </c>
      <c r="F90" s="28">
        <f t="shared" si="67"/>
        <v>0.10062751</v>
      </c>
      <c r="G90" s="28">
        <f t="shared" si="67"/>
        <v>7.9172249E-2</v>
      </c>
      <c r="H90" s="28">
        <f t="shared" si="67"/>
        <v>9.3050065000000001E-2</v>
      </c>
      <c r="I90" s="28">
        <f t="shared" si="67"/>
        <v>0.11082787199999999</v>
      </c>
      <c r="J90" s="28">
        <f t="shared" si="67"/>
        <v>7.5170215999999998E-2</v>
      </c>
      <c r="K90" s="28">
        <f t="shared" si="67"/>
        <v>1.9E-2</v>
      </c>
      <c r="L90" s="28">
        <f t="shared" si="67"/>
        <v>9.4E-2</v>
      </c>
      <c r="M90" s="28">
        <f t="shared" si="67"/>
        <v>7.3999999999999996E-2</v>
      </c>
      <c r="N90" s="28">
        <f t="shared" si="67"/>
        <v>0.1</v>
      </c>
      <c r="O90" s="28">
        <f t="shared" si="67"/>
        <v>7.9000000000000001E-2</v>
      </c>
      <c r="P90" s="28">
        <f t="shared" si="67"/>
        <v>0.11</v>
      </c>
      <c r="Q90" s="28">
        <f t="shared" si="67"/>
        <v>7.4999999999999997E-2</v>
      </c>
      <c r="R90" s="28">
        <f t="shared" si="67"/>
        <v>0.11</v>
      </c>
      <c r="S90" s="28">
        <f t="shared" si="67"/>
        <v>8.3000000000000004E-2</v>
      </c>
      <c r="T90" s="28">
        <f t="shared" si="67"/>
        <v>0.12</v>
      </c>
      <c r="U90" s="28">
        <f t="shared" si="67"/>
        <v>0.09</v>
      </c>
      <c r="V90" s="24">
        <f t="shared" si="1"/>
        <v>8.9246837500000009E-2</v>
      </c>
      <c r="W90" s="24">
        <f t="shared" si="2"/>
        <v>8.1806687500000003E-2</v>
      </c>
      <c r="X90" s="24">
        <f t="shared" si="3"/>
        <v>8.9899879500000002E-2</v>
      </c>
      <c r="Y90" s="24">
        <f t="shared" si="4"/>
        <v>0.1019389685</v>
      </c>
      <c r="Z90" s="24">
        <f t="shared" si="5"/>
        <v>4.7085108000000001E-2</v>
      </c>
      <c r="AA90" s="24">
        <f ca="1">IFERROR(__xludf.DUMMYFUNCTION("AVERAGE.WEIGHTED(B90:C90,$AB$26:$AC$26)"),0.08842657662)</f>
        <v>8.8426576620000003E-2</v>
      </c>
    </row>
    <row r="91" spans="1:27" ht="12.75" x14ac:dyDescent="0.2">
      <c r="A91" s="1">
        <v>63</v>
      </c>
      <c r="B91" s="28">
        <f t="shared" ref="B91:U91" si="68">B$18</f>
        <v>8.4120207000000002E-2</v>
      </c>
      <c r="C91" s="28">
        <f t="shared" si="68"/>
        <v>9.4373468000000002E-2</v>
      </c>
      <c r="D91" s="28">
        <f t="shared" si="68"/>
        <v>7.3518587999999996E-2</v>
      </c>
      <c r="E91" s="28">
        <f t="shared" si="68"/>
        <v>9.0094786999999996E-2</v>
      </c>
      <c r="F91" s="28">
        <f t="shared" si="68"/>
        <v>0.10062751</v>
      </c>
      <c r="G91" s="28">
        <f t="shared" si="68"/>
        <v>7.9172249E-2</v>
      </c>
      <c r="H91" s="28">
        <f t="shared" si="68"/>
        <v>9.3050065000000001E-2</v>
      </c>
      <c r="I91" s="28">
        <f t="shared" si="68"/>
        <v>0.11082787199999999</v>
      </c>
      <c r="J91" s="28">
        <f t="shared" si="68"/>
        <v>7.5170215999999998E-2</v>
      </c>
      <c r="K91" s="28">
        <f t="shared" si="68"/>
        <v>1.9E-2</v>
      </c>
      <c r="L91" s="28">
        <f t="shared" si="68"/>
        <v>9.4E-2</v>
      </c>
      <c r="M91" s="28">
        <f t="shared" si="68"/>
        <v>7.3999999999999996E-2</v>
      </c>
      <c r="N91" s="28">
        <f t="shared" si="68"/>
        <v>0.1</v>
      </c>
      <c r="O91" s="28">
        <f t="shared" si="68"/>
        <v>7.9000000000000001E-2</v>
      </c>
      <c r="P91" s="28">
        <f t="shared" si="68"/>
        <v>0.11</v>
      </c>
      <c r="Q91" s="28">
        <f t="shared" si="68"/>
        <v>7.4999999999999997E-2</v>
      </c>
      <c r="R91" s="28">
        <f t="shared" si="68"/>
        <v>0.11</v>
      </c>
      <c r="S91" s="28">
        <f t="shared" si="68"/>
        <v>8.3000000000000004E-2</v>
      </c>
      <c r="T91" s="28">
        <f t="shared" si="68"/>
        <v>0.12</v>
      </c>
      <c r="U91" s="28">
        <f t="shared" si="68"/>
        <v>0.09</v>
      </c>
      <c r="V91" s="24">
        <f t="shared" si="1"/>
        <v>8.9246837500000009E-2</v>
      </c>
      <c r="W91" s="24">
        <f t="shared" si="2"/>
        <v>8.1806687500000003E-2</v>
      </c>
      <c r="X91" s="24">
        <f t="shared" si="3"/>
        <v>8.9899879500000002E-2</v>
      </c>
      <c r="Y91" s="24">
        <f t="shared" si="4"/>
        <v>0.1019389685</v>
      </c>
      <c r="Z91" s="24">
        <f t="shared" si="5"/>
        <v>4.7085108000000001E-2</v>
      </c>
      <c r="AA91" s="24">
        <f ca="1">IFERROR(__xludf.DUMMYFUNCTION("AVERAGE.WEIGHTED(B91:C91,$AB$26:$AC$26)"),0.08842657662)</f>
        <v>8.8426576620000003E-2</v>
      </c>
    </row>
    <row r="92" spans="1:27" ht="12.75" x14ac:dyDescent="0.2">
      <c r="A92" s="1">
        <v>64</v>
      </c>
      <c r="B92" s="28">
        <f t="shared" ref="B92:U92" si="69">B$18</f>
        <v>8.4120207000000002E-2</v>
      </c>
      <c r="C92" s="28">
        <f t="shared" si="69"/>
        <v>9.4373468000000002E-2</v>
      </c>
      <c r="D92" s="28">
        <f t="shared" si="69"/>
        <v>7.3518587999999996E-2</v>
      </c>
      <c r="E92" s="28">
        <f t="shared" si="69"/>
        <v>9.0094786999999996E-2</v>
      </c>
      <c r="F92" s="28">
        <f t="shared" si="69"/>
        <v>0.10062751</v>
      </c>
      <c r="G92" s="28">
        <f t="shared" si="69"/>
        <v>7.9172249E-2</v>
      </c>
      <c r="H92" s="28">
        <f t="shared" si="69"/>
        <v>9.3050065000000001E-2</v>
      </c>
      <c r="I92" s="28">
        <f t="shared" si="69"/>
        <v>0.11082787199999999</v>
      </c>
      <c r="J92" s="28">
        <f t="shared" si="69"/>
        <v>7.5170215999999998E-2</v>
      </c>
      <c r="K92" s="28">
        <f t="shared" si="69"/>
        <v>1.9E-2</v>
      </c>
      <c r="L92" s="28">
        <f t="shared" si="69"/>
        <v>9.4E-2</v>
      </c>
      <c r="M92" s="28">
        <f t="shared" si="69"/>
        <v>7.3999999999999996E-2</v>
      </c>
      <c r="N92" s="28">
        <f t="shared" si="69"/>
        <v>0.1</v>
      </c>
      <c r="O92" s="28">
        <f t="shared" si="69"/>
        <v>7.9000000000000001E-2</v>
      </c>
      <c r="P92" s="28">
        <f t="shared" si="69"/>
        <v>0.11</v>
      </c>
      <c r="Q92" s="28">
        <f t="shared" si="69"/>
        <v>7.4999999999999997E-2</v>
      </c>
      <c r="R92" s="28">
        <f t="shared" si="69"/>
        <v>0.11</v>
      </c>
      <c r="S92" s="28">
        <f t="shared" si="69"/>
        <v>8.3000000000000004E-2</v>
      </c>
      <c r="T92" s="28">
        <f t="shared" si="69"/>
        <v>0.12</v>
      </c>
      <c r="U92" s="28">
        <f t="shared" si="69"/>
        <v>0.09</v>
      </c>
      <c r="V92" s="24">
        <f t="shared" si="1"/>
        <v>8.9246837500000009E-2</v>
      </c>
      <c r="W92" s="24">
        <f t="shared" si="2"/>
        <v>8.1806687500000003E-2</v>
      </c>
      <c r="X92" s="24">
        <f t="shared" si="3"/>
        <v>8.9899879500000002E-2</v>
      </c>
      <c r="Y92" s="24">
        <f t="shared" si="4"/>
        <v>0.1019389685</v>
      </c>
      <c r="Z92" s="24">
        <f t="shared" si="5"/>
        <v>4.7085108000000001E-2</v>
      </c>
      <c r="AA92" s="24">
        <f ca="1">IFERROR(__xludf.DUMMYFUNCTION("AVERAGE.WEIGHTED(B92:C92,$AB$26:$AC$26)"),0.08842657662)</f>
        <v>8.8426576620000003E-2</v>
      </c>
    </row>
    <row r="93" spans="1:27" ht="12.75" x14ac:dyDescent="0.2">
      <c r="A93" s="1">
        <v>65</v>
      </c>
      <c r="B93" s="28">
        <f t="shared" ref="B93:U93" si="70">B$19</f>
        <v>0.124739142</v>
      </c>
      <c r="C93" s="28">
        <f t="shared" si="70"/>
        <v>0.13821166800000001</v>
      </c>
      <c r="D93" s="28">
        <f t="shared" si="70"/>
        <v>0.111070905</v>
      </c>
      <c r="E93" s="28">
        <f t="shared" si="70"/>
        <v>0.12777054199999999</v>
      </c>
      <c r="F93" s="28">
        <f t="shared" si="70"/>
        <v>0.14187276500000001</v>
      </c>
      <c r="G93" s="28">
        <f t="shared" si="70"/>
        <v>0.113996238</v>
      </c>
      <c r="H93" s="28">
        <f t="shared" si="70"/>
        <v>0.15189746200000001</v>
      </c>
      <c r="I93" s="28">
        <f t="shared" si="70"/>
        <v>0.17565889300000001</v>
      </c>
      <c r="J93" s="28">
        <f t="shared" si="70"/>
        <v>0.12870995599999999</v>
      </c>
      <c r="K93" s="28">
        <f t="shared" si="70"/>
        <v>3.2000000000000001E-2</v>
      </c>
      <c r="L93" s="28">
        <f t="shared" si="70"/>
        <v>0.14000000000000001</v>
      </c>
      <c r="M93" s="28">
        <f t="shared" si="70"/>
        <v>0.11</v>
      </c>
      <c r="N93" s="28">
        <f t="shared" si="70"/>
        <v>0.14000000000000001</v>
      </c>
      <c r="O93" s="28">
        <f t="shared" si="70"/>
        <v>0.11</v>
      </c>
      <c r="P93" s="28">
        <f t="shared" si="70"/>
        <v>0.18</v>
      </c>
      <c r="Q93" s="28">
        <f t="shared" si="70"/>
        <v>0.13</v>
      </c>
      <c r="R93" s="28">
        <f t="shared" si="70"/>
        <v>0.17</v>
      </c>
      <c r="S93" s="28">
        <f t="shared" si="70"/>
        <v>0.13</v>
      </c>
      <c r="T93" s="28">
        <f t="shared" si="70"/>
        <v>0.19</v>
      </c>
      <c r="U93" s="28">
        <f t="shared" si="70"/>
        <v>0.15</v>
      </c>
      <c r="V93" s="24">
        <f t="shared" si="1"/>
        <v>0.13147540499999999</v>
      </c>
      <c r="W93" s="24">
        <f t="shared" si="2"/>
        <v>0.11942072349999999</v>
      </c>
      <c r="X93" s="24">
        <f t="shared" si="3"/>
        <v>0.12793450150000002</v>
      </c>
      <c r="Y93" s="24">
        <f t="shared" si="4"/>
        <v>0.16377817750000001</v>
      </c>
      <c r="Z93" s="24">
        <f t="shared" si="5"/>
        <v>8.0354977999999994E-2</v>
      </c>
      <c r="AA93" s="24">
        <f ca="1">IFERROR(__xludf.DUMMYFUNCTION("AVERAGE.WEIGHTED(B93:C93,$AB$26:$AC$26)"),0.13039760292)</f>
        <v>0.13039760291999999</v>
      </c>
    </row>
    <row r="94" spans="1:27" ht="12.75" x14ac:dyDescent="0.2">
      <c r="A94" s="1">
        <v>66</v>
      </c>
      <c r="B94" s="28">
        <f t="shared" ref="B94:U94" si="71">B$19</f>
        <v>0.124739142</v>
      </c>
      <c r="C94" s="28">
        <f t="shared" si="71"/>
        <v>0.13821166800000001</v>
      </c>
      <c r="D94" s="28">
        <f t="shared" si="71"/>
        <v>0.111070905</v>
      </c>
      <c r="E94" s="28">
        <f t="shared" si="71"/>
        <v>0.12777054199999999</v>
      </c>
      <c r="F94" s="28">
        <f t="shared" si="71"/>
        <v>0.14187276500000001</v>
      </c>
      <c r="G94" s="28">
        <f t="shared" si="71"/>
        <v>0.113996238</v>
      </c>
      <c r="H94" s="28">
        <f t="shared" si="71"/>
        <v>0.15189746200000001</v>
      </c>
      <c r="I94" s="28">
        <f t="shared" si="71"/>
        <v>0.17565889300000001</v>
      </c>
      <c r="J94" s="28">
        <f t="shared" si="71"/>
        <v>0.12870995599999999</v>
      </c>
      <c r="K94" s="28">
        <f t="shared" si="71"/>
        <v>3.2000000000000001E-2</v>
      </c>
      <c r="L94" s="28">
        <f t="shared" si="71"/>
        <v>0.14000000000000001</v>
      </c>
      <c r="M94" s="28">
        <f t="shared" si="71"/>
        <v>0.11</v>
      </c>
      <c r="N94" s="28">
        <f t="shared" si="71"/>
        <v>0.14000000000000001</v>
      </c>
      <c r="O94" s="28">
        <f t="shared" si="71"/>
        <v>0.11</v>
      </c>
      <c r="P94" s="28">
        <f t="shared" si="71"/>
        <v>0.18</v>
      </c>
      <c r="Q94" s="28">
        <f t="shared" si="71"/>
        <v>0.13</v>
      </c>
      <c r="R94" s="28">
        <f t="shared" si="71"/>
        <v>0.17</v>
      </c>
      <c r="S94" s="28">
        <f t="shared" si="71"/>
        <v>0.13</v>
      </c>
      <c r="T94" s="28">
        <f t="shared" si="71"/>
        <v>0.19</v>
      </c>
      <c r="U94" s="28">
        <f t="shared" si="71"/>
        <v>0.15</v>
      </c>
      <c r="V94" s="24">
        <f t="shared" si="1"/>
        <v>0.13147540499999999</v>
      </c>
      <c r="W94" s="24">
        <f t="shared" si="2"/>
        <v>0.11942072349999999</v>
      </c>
      <c r="X94" s="24">
        <f t="shared" si="3"/>
        <v>0.12793450150000002</v>
      </c>
      <c r="Y94" s="24">
        <f t="shared" si="4"/>
        <v>0.16377817750000001</v>
      </c>
      <c r="Z94" s="24">
        <f t="shared" si="5"/>
        <v>8.0354977999999994E-2</v>
      </c>
      <c r="AA94" s="24">
        <f ca="1">IFERROR(__xludf.DUMMYFUNCTION("AVERAGE.WEIGHTED(B94:C94,$AB$26:$AC$26)"),0.13039760292)</f>
        <v>0.13039760291999999</v>
      </c>
    </row>
    <row r="95" spans="1:27" ht="12.75" x14ac:dyDescent="0.2">
      <c r="A95" s="1">
        <v>67</v>
      </c>
      <c r="B95" s="28">
        <f t="shared" ref="B95:U95" si="72">B$19</f>
        <v>0.124739142</v>
      </c>
      <c r="C95" s="28">
        <f t="shared" si="72"/>
        <v>0.13821166800000001</v>
      </c>
      <c r="D95" s="28">
        <f t="shared" si="72"/>
        <v>0.111070905</v>
      </c>
      <c r="E95" s="28">
        <f t="shared" si="72"/>
        <v>0.12777054199999999</v>
      </c>
      <c r="F95" s="28">
        <f t="shared" si="72"/>
        <v>0.14187276500000001</v>
      </c>
      <c r="G95" s="28">
        <f t="shared" si="72"/>
        <v>0.113996238</v>
      </c>
      <c r="H95" s="28">
        <f t="shared" si="72"/>
        <v>0.15189746200000001</v>
      </c>
      <c r="I95" s="28">
        <f t="shared" si="72"/>
        <v>0.17565889300000001</v>
      </c>
      <c r="J95" s="28">
        <f t="shared" si="72"/>
        <v>0.12870995599999999</v>
      </c>
      <c r="K95" s="28">
        <f t="shared" si="72"/>
        <v>3.2000000000000001E-2</v>
      </c>
      <c r="L95" s="28">
        <f t="shared" si="72"/>
        <v>0.14000000000000001</v>
      </c>
      <c r="M95" s="28">
        <f t="shared" si="72"/>
        <v>0.11</v>
      </c>
      <c r="N95" s="28">
        <f t="shared" si="72"/>
        <v>0.14000000000000001</v>
      </c>
      <c r="O95" s="28">
        <f t="shared" si="72"/>
        <v>0.11</v>
      </c>
      <c r="P95" s="28">
        <f t="shared" si="72"/>
        <v>0.18</v>
      </c>
      <c r="Q95" s="28">
        <f t="shared" si="72"/>
        <v>0.13</v>
      </c>
      <c r="R95" s="28">
        <f t="shared" si="72"/>
        <v>0.17</v>
      </c>
      <c r="S95" s="28">
        <f t="shared" si="72"/>
        <v>0.13</v>
      </c>
      <c r="T95" s="28">
        <f t="shared" si="72"/>
        <v>0.19</v>
      </c>
      <c r="U95" s="28">
        <f t="shared" si="72"/>
        <v>0.15</v>
      </c>
      <c r="V95" s="24">
        <f t="shared" si="1"/>
        <v>0.13147540499999999</v>
      </c>
      <c r="W95" s="24">
        <f t="shared" si="2"/>
        <v>0.11942072349999999</v>
      </c>
      <c r="X95" s="24">
        <f t="shared" si="3"/>
        <v>0.12793450150000002</v>
      </c>
      <c r="Y95" s="24">
        <f t="shared" si="4"/>
        <v>0.16377817750000001</v>
      </c>
      <c r="Z95" s="24">
        <f t="shared" si="5"/>
        <v>8.0354977999999994E-2</v>
      </c>
      <c r="AA95" s="24">
        <f ca="1">IFERROR(__xludf.DUMMYFUNCTION("AVERAGE.WEIGHTED(B95:C95,$AB$26:$AC$26)"),0.13039760292)</f>
        <v>0.13039760291999999</v>
      </c>
    </row>
    <row r="96" spans="1:27" ht="12.75" x14ac:dyDescent="0.2">
      <c r="A96" s="1">
        <v>68</v>
      </c>
      <c r="B96" s="28">
        <f t="shared" ref="B96:U96" si="73">B$19</f>
        <v>0.124739142</v>
      </c>
      <c r="C96" s="28">
        <f t="shared" si="73"/>
        <v>0.13821166800000001</v>
      </c>
      <c r="D96" s="28">
        <f t="shared" si="73"/>
        <v>0.111070905</v>
      </c>
      <c r="E96" s="28">
        <f t="shared" si="73"/>
        <v>0.12777054199999999</v>
      </c>
      <c r="F96" s="28">
        <f t="shared" si="73"/>
        <v>0.14187276500000001</v>
      </c>
      <c r="G96" s="28">
        <f t="shared" si="73"/>
        <v>0.113996238</v>
      </c>
      <c r="H96" s="28">
        <f t="shared" si="73"/>
        <v>0.15189746200000001</v>
      </c>
      <c r="I96" s="28">
        <f t="shared" si="73"/>
        <v>0.17565889300000001</v>
      </c>
      <c r="J96" s="28">
        <f t="shared" si="73"/>
        <v>0.12870995599999999</v>
      </c>
      <c r="K96" s="28">
        <f t="shared" si="73"/>
        <v>3.2000000000000001E-2</v>
      </c>
      <c r="L96" s="28">
        <f t="shared" si="73"/>
        <v>0.14000000000000001</v>
      </c>
      <c r="M96" s="28">
        <f t="shared" si="73"/>
        <v>0.11</v>
      </c>
      <c r="N96" s="28">
        <f t="shared" si="73"/>
        <v>0.14000000000000001</v>
      </c>
      <c r="O96" s="28">
        <f t="shared" si="73"/>
        <v>0.11</v>
      </c>
      <c r="P96" s="28">
        <f t="shared" si="73"/>
        <v>0.18</v>
      </c>
      <c r="Q96" s="28">
        <f t="shared" si="73"/>
        <v>0.13</v>
      </c>
      <c r="R96" s="28">
        <f t="shared" si="73"/>
        <v>0.17</v>
      </c>
      <c r="S96" s="28">
        <f t="shared" si="73"/>
        <v>0.13</v>
      </c>
      <c r="T96" s="28">
        <f t="shared" si="73"/>
        <v>0.19</v>
      </c>
      <c r="U96" s="28">
        <f t="shared" si="73"/>
        <v>0.15</v>
      </c>
      <c r="V96" s="24">
        <f t="shared" si="1"/>
        <v>0.13147540499999999</v>
      </c>
      <c r="W96" s="24">
        <f t="shared" si="2"/>
        <v>0.11942072349999999</v>
      </c>
      <c r="X96" s="24">
        <f t="shared" si="3"/>
        <v>0.12793450150000002</v>
      </c>
      <c r="Y96" s="24">
        <f t="shared" si="4"/>
        <v>0.16377817750000001</v>
      </c>
      <c r="Z96" s="24">
        <f t="shared" si="5"/>
        <v>8.0354977999999994E-2</v>
      </c>
      <c r="AA96" s="24">
        <f ca="1">IFERROR(__xludf.DUMMYFUNCTION("AVERAGE.WEIGHTED(B96:C96,$AB$26:$AC$26)"),0.13039760292)</f>
        <v>0.13039760291999999</v>
      </c>
    </row>
    <row r="97" spans="1:27" ht="12.75" x14ac:dyDescent="0.2">
      <c r="A97" s="1">
        <v>69</v>
      </c>
      <c r="B97" s="28">
        <f t="shared" ref="B97:U97" si="74">B$19</f>
        <v>0.124739142</v>
      </c>
      <c r="C97" s="28">
        <f t="shared" si="74"/>
        <v>0.13821166800000001</v>
      </c>
      <c r="D97" s="28">
        <f t="shared" si="74"/>
        <v>0.111070905</v>
      </c>
      <c r="E97" s="28">
        <f t="shared" si="74"/>
        <v>0.12777054199999999</v>
      </c>
      <c r="F97" s="28">
        <f t="shared" si="74"/>
        <v>0.14187276500000001</v>
      </c>
      <c r="G97" s="28">
        <f t="shared" si="74"/>
        <v>0.113996238</v>
      </c>
      <c r="H97" s="28">
        <f t="shared" si="74"/>
        <v>0.15189746200000001</v>
      </c>
      <c r="I97" s="28">
        <f t="shared" si="74"/>
        <v>0.17565889300000001</v>
      </c>
      <c r="J97" s="28">
        <f t="shared" si="74"/>
        <v>0.12870995599999999</v>
      </c>
      <c r="K97" s="28">
        <f t="shared" si="74"/>
        <v>3.2000000000000001E-2</v>
      </c>
      <c r="L97" s="28">
        <f t="shared" si="74"/>
        <v>0.14000000000000001</v>
      </c>
      <c r="M97" s="28">
        <f t="shared" si="74"/>
        <v>0.11</v>
      </c>
      <c r="N97" s="28">
        <f t="shared" si="74"/>
        <v>0.14000000000000001</v>
      </c>
      <c r="O97" s="28">
        <f t="shared" si="74"/>
        <v>0.11</v>
      </c>
      <c r="P97" s="28">
        <f t="shared" si="74"/>
        <v>0.18</v>
      </c>
      <c r="Q97" s="28">
        <f t="shared" si="74"/>
        <v>0.13</v>
      </c>
      <c r="R97" s="28">
        <f t="shared" si="74"/>
        <v>0.17</v>
      </c>
      <c r="S97" s="28">
        <f t="shared" si="74"/>
        <v>0.13</v>
      </c>
      <c r="T97" s="28">
        <f t="shared" si="74"/>
        <v>0.19</v>
      </c>
      <c r="U97" s="28">
        <f t="shared" si="74"/>
        <v>0.15</v>
      </c>
      <c r="V97" s="24">
        <f t="shared" si="1"/>
        <v>0.13147540499999999</v>
      </c>
      <c r="W97" s="24">
        <f t="shared" si="2"/>
        <v>0.11942072349999999</v>
      </c>
      <c r="X97" s="24">
        <f t="shared" si="3"/>
        <v>0.12793450150000002</v>
      </c>
      <c r="Y97" s="24">
        <f t="shared" si="4"/>
        <v>0.16377817750000001</v>
      </c>
      <c r="Z97" s="24">
        <f t="shared" si="5"/>
        <v>8.0354977999999994E-2</v>
      </c>
      <c r="AA97" s="24">
        <f ca="1">IFERROR(__xludf.DUMMYFUNCTION("AVERAGE.WEIGHTED(B97:C97,$AB$26:$AC$26)"),0.13039760292)</f>
        <v>0.13039760291999999</v>
      </c>
    </row>
    <row r="98" spans="1:27" ht="12.75" x14ac:dyDescent="0.2">
      <c r="A98" s="1">
        <v>70</v>
      </c>
      <c r="B98" s="28">
        <f t="shared" ref="B98:U98" si="75">B$20</f>
        <v>0.186887897</v>
      </c>
      <c r="C98" s="28">
        <f t="shared" si="75"/>
        <v>0.20195854499999999</v>
      </c>
      <c r="D98" s="28">
        <f t="shared" si="75"/>
        <v>0.172707315</v>
      </c>
      <c r="E98" s="28">
        <f t="shared" si="75"/>
        <v>0.18857096600000001</v>
      </c>
      <c r="F98" s="28">
        <f t="shared" si="75"/>
        <v>0.204164876</v>
      </c>
      <c r="G98" s="28">
        <f t="shared" si="75"/>
        <v>0.17396932700000001</v>
      </c>
      <c r="H98" s="28">
        <f t="shared" si="75"/>
        <v>0.21111397900000001</v>
      </c>
      <c r="I98" s="28">
        <f t="shared" si="75"/>
        <v>0.233634856</v>
      </c>
      <c r="J98" s="28">
        <f t="shared" si="75"/>
        <v>0.19036942900000001</v>
      </c>
      <c r="K98" s="28">
        <f t="shared" si="75"/>
        <v>5.3999999999999999E-2</v>
      </c>
      <c r="L98" s="28">
        <f t="shared" si="75"/>
        <v>0.2</v>
      </c>
      <c r="M98" s="28">
        <f t="shared" si="75"/>
        <v>0.17</v>
      </c>
      <c r="N98" s="28">
        <f t="shared" si="75"/>
        <v>0.2</v>
      </c>
      <c r="O98" s="28">
        <f t="shared" si="75"/>
        <v>0.17</v>
      </c>
      <c r="P98" s="28">
        <f t="shared" si="75"/>
        <v>0.23</v>
      </c>
      <c r="Q98" s="28">
        <f t="shared" si="75"/>
        <v>0.19</v>
      </c>
      <c r="R98" s="28">
        <f t="shared" si="75"/>
        <v>0.25</v>
      </c>
      <c r="S98" s="28">
        <f t="shared" si="75"/>
        <v>0.2</v>
      </c>
      <c r="T98" s="28">
        <f t="shared" si="75"/>
        <v>0.28000000000000003</v>
      </c>
      <c r="U98" s="28">
        <f t="shared" si="75"/>
        <v>0.24</v>
      </c>
      <c r="V98" s="24">
        <f t="shared" si="1"/>
        <v>0.19442322099999998</v>
      </c>
      <c r="W98" s="24">
        <f t="shared" si="2"/>
        <v>0.18063914050000002</v>
      </c>
      <c r="X98" s="24">
        <f t="shared" si="3"/>
        <v>0.1890671015</v>
      </c>
      <c r="Y98" s="24">
        <f t="shared" si="4"/>
        <v>0.2223744175</v>
      </c>
      <c r="Z98" s="24">
        <f t="shared" si="5"/>
        <v>0.1221847145</v>
      </c>
      <c r="AA98" s="24">
        <f ca="1">IFERROR(__xludf.DUMMYFUNCTION("AVERAGE.WEIGHTED(B98:C98,$AB$26:$AC$26)"),0.19321756916)</f>
        <v>0.19321756915999999</v>
      </c>
    </row>
    <row r="99" spans="1:27" ht="12.75" x14ac:dyDescent="0.2">
      <c r="A99" s="1">
        <v>71</v>
      </c>
      <c r="B99" s="28">
        <f t="shared" ref="B99:U99" si="76">B$20</f>
        <v>0.186887897</v>
      </c>
      <c r="C99" s="28">
        <f t="shared" si="76"/>
        <v>0.20195854499999999</v>
      </c>
      <c r="D99" s="28">
        <f t="shared" si="76"/>
        <v>0.172707315</v>
      </c>
      <c r="E99" s="28">
        <f t="shared" si="76"/>
        <v>0.18857096600000001</v>
      </c>
      <c r="F99" s="28">
        <f t="shared" si="76"/>
        <v>0.204164876</v>
      </c>
      <c r="G99" s="28">
        <f t="shared" si="76"/>
        <v>0.17396932700000001</v>
      </c>
      <c r="H99" s="28">
        <f t="shared" si="76"/>
        <v>0.21111397900000001</v>
      </c>
      <c r="I99" s="28">
        <f t="shared" si="76"/>
        <v>0.233634856</v>
      </c>
      <c r="J99" s="28">
        <f t="shared" si="76"/>
        <v>0.19036942900000001</v>
      </c>
      <c r="K99" s="28">
        <f t="shared" si="76"/>
        <v>5.3999999999999999E-2</v>
      </c>
      <c r="L99" s="28">
        <f t="shared" si="76"/>
        <v>0.2</v>
      </c>
      <c r="M99" s="28">
        <f t="shared" si="76"/>
        <v>0.17</v>
      </c>
      <c r="N99" s="28">
        <f t="shared" si="76"/>
        <v>0.2</v>
      </c>
      <c r="O99" s="28">
        <f t="shared" si="76"/>
        <v>0.17</v>
      </c>
      <c r="P99" s="28">
        <f t="shared" si="76"/>
        <v>0.23</v>
      </c>
      <c r="Q99" s="28">
        <f t="shared" si="76"/>
        <v>0.19</v>
      </c>
      <c r="R99" s="28">
        <f t="shared" si="76"/>
        <v>0.25</v>
      </c>
      <c r="S99" s="28">
        <f t="shared" si="76"/>
        <v>0.2</v>
      </c>
      <c r="T99" s="28">
        <f t="shared" si="76"/>
        <v>0.28000000000000003</v>
      </c>
      <c r="U99" s="28">
        <f t="shared" si="76"/>
        <v>0.24</v>
      </c>
      <c r="V99" s="24">
        <f t="shared" si="1"/>
        <v>0.19442322099999998</v>
      </c>
      <c r="W99" s="24">
        <f t="shared" si="2"/>
        <v>0.18063914050000002</v>
      </c>
      <c r="X99" s="24">
        <f t="shared" si="3"/>
        <v>0.1890671015</v>
      </c>
      <c r="Y99" s="24">
        <f t="shared" si="4"/>
        <v>0.2223744175</v>
      </c>
      <c r="Z99" s="24">
        <f t="shared" si="5"/>
        <v>0.1221847145</v>
      </c>
      <c r="AA99" s="24">
        <f ca="1">IFERROR(__xludf.DUMMYFUNCTION("AVERAGE.WEIGHTED(B99:C99,$AB$26:$AC$26)"),0.19321756916)</f>
        <v>0.19321756915999999</v>
      </c>
    </row>
    <row r="100" spans="1:27" ht="12.75" x14ac:dyDescent="0.2">
      <c r="A100" s="1">
        <v>72</v>
      </c>
      <c r="B100" s="28">
        <f t="shared" ref="B100:U100" si="77">B$20</f>
        <v>0.186887897</v>
      </c>
      <c r="C100" s="28">
        <f t="shared" si="77"/>
        <v>0.20195854499999999</v>
      </c>
      <c r="D100" s="28">
        <f t="shared" si="77"/>
        <v>0.172707315</v>
      </c>
      <c r="E100" s="28">
        <f t="shared" si="77"/>
        <v>0.18857096600000001</v>
      </c>
      <c r="F100" s="28">
        <f t="shared" si="77"/>
        <v>0.204164876</v>
      </c>
      <c r="G100" s="28">
        <f t="shared" si="77"/>
        <v>0.17396932700000001</v>
      </c>
      <c r="H100" s="28">
        <f t="shared" si="77"/>
        <v>0.21111397900000001</v>
      </c>
      <c r="I100" s="28">
        <f t="shared" si="77"/>
        <v>0.233634856</v>
      </c>
      <c r="J100" s="28">
        <f t="shared" si="77"/>
        <v>0.19036942900000001</v>
      </c>
      <c r="K100" s="28">
        <f t="shared" si="77"/>
        <v>5.3999999999999999E-2</v>
      </c>
      <c r="L100" s="28">
        <f t="shared" si="77"/>
        <v>0.2</v>
      </c>
      <c r="M100" s="28">
        <f t="shared" si="77"/>
        <v>0.17</v>
      </c>
      <c r="N100" s="28">
        <f t="shared" si="77"/>
        <v>0.2</v>
      </c>
      <c r="O100" s="28">
        <f t="shared" si="77"/>
        <v>0.17</v>
      </c>
      <c r="P100" s="28">
        <f t="shared" si="77"/>
        <v>0.23</v>
      </c>
      <c r="Q100" s="28">
        <f t="shared" si="77"/>
        <v>0.19</v>
      </c>
      <c r="R100" s="28">
        <f t="shared" si="77"/>
        <v>0.25</v>
      </c>
      <c r="S100" s="28">
        <f t="shared" si="77"/>
        <v>0.2</v>
      </c>
      <c r="T100" s="28">
        <f t="shared" si="77"/>
        <v>0.28000000000000003</v>
      </c>
      <c r="U100" s="28">
        <f t="shared" si="77"/>
        <v>0.24</v>
      </c>
      <c r="V100" s="24">
        <f t="shared" si="1"/>
        <v>0.19442322099999998</v>
      </c>
      <c r="W100" s="24">
        <f t="shared" si="2"/>
        <v>0.18063914050000002</v>
      </c>
      <c r="X100" s="24">
        <f t="shared" si="3"/>
        <v>0.1890671015</v>
      </c>
      <c r="Y100" s="24">
        <f t="shared" si="4"/>
        <v>0.2223744175</v>
      </c>
      <c r="Z100" s="24">
        <f t="shared" si="5"/>
        <v>0.1221847145</v>
      </c>
      <c r="AA100" s="24">
        <f ca="1">IFERROR(__xludf.DUMMYFUNCTION("AVERAGE.WEIGHTED(B100:C100,$AB$26:$AC$26)"),0.19321756916)</f>
        <v>0.19321756915999999</v>
      </c>
    </row>
    <row r="101" spans="1:27" ht="12.75" x14ac:dyDescent="0.2">
      <c r="A101" s="1">
        <v>73</v>
      </c>
      <c r="B101" s="28">
        <f t="shared" ref="B101:U101" si="78">B$20</f>
        <v>0.186887897</v>
      </c>
      <c r="C101" s="28">
        <f t="shared" si="78"/>
        <v>0.20195854499999999</v>
      </c>
      <c r="D101" s="28">
        <f t="shared" si="78"/>
        <v>0.172707315</v>
      </c>
      <c r="E101" s="28">
        <f t="shared" si="78"/>
        <v>0.18857096600000001</v>
      </c>
      <c r="F101" s="28">
        <f t="shared" si="78"/>
        <v>0.204164876</v>
      </c>
      <c r="G101" s="28">
        <f t="shared" si="78"/>
        <v>0.17396932700000001</v>
      </c>
      <c r="H101" s="28">
        <f t="shared" si="78"/>
        <v>0.21111397900000001</v>
      </c>
      <c r="I101" s="28">
        <f t="shared" si="78"/>
        <v>0.233634856</v>
      </c>
      <c r="J101" s="28">
        <f t="shared" si="78"/>
        <v>0.19036942900000001</v>
      </c>
      <c r="K101" s="28">
        <f t="shared" si="78"/>
        <v>5.3999999999999999E-2</v>
      </c>
      <c r="L101" s="28">
        <f t="shared" si="78"/>
        <v>0.2</v>
      </c>
      <c r="M101" s="28">
        <f t="shared" si="78"/>
        <v>0.17</v>
      </c>
      <c r="N101" s="28">
        <f t="shared" si="78"/>
        <v>0.2</v>
      </c>
      <c r="O101" s="28">
        <f t="shared" si="78"/>
        <v>0.17</v>
      </c>
      <c r="P101" s="28">
        <f t="shared" si="78"/>
        <v>0.23</v>
      </c>
      <c r="Q101" s="28">
        <f t="shared" si="78"/>
        <v>0.19</v>
      </c>
      <c r="R101" s="28">
        <f t="shared" si="78"/>
        <v>0.25</v>
      </c>
      <c r="S101" s="28">
        <f t="shared" si="78"/>
        <v>0.2</v>
      </c>
      <c r="T101" s="28">
        <f t="shared" si="78"/>
        <v>0.28000000000000003</v>
      </c>
      <c r="U101" s="28">
        <f t="shared" si="78"/>
        <v>0.24</v>
      </c>
      <c r="V101" s="24">
        <f t="shared" si="1"/>
        <v>0.19442322099999998</v>
      </c>
      <c r="W101" s="24">
        <f t="shared" si="2"/>
        <v>0.18063914050000002</v>
      </c>
      <c r="X101" s="24">
        <f t="shared" si="3"/>
        <v>0.1890671015</v>
      </c>
      <c r="Y101" s="24">
        <f t="shared" si="4"/>
        <v>0.2223744175</v>
      </c>
      <c r="Z101" s="24">
        <f t="shared" si="5"/>
        <v>0.1221847145</v>
      </c>
      <c r="AA101" s="24">
        <f ca="1">IFERROR(__xludf.DUMMYFUNCTION("AVERAGE.WEIGHTED(B101:C101,$AB$26:$AC$26)"),0.19321756916)</f>
        <v>0.19321756915999999</v>
      </c>
    </row>
    <row r="102" spans="1:27" ht="12.75" x14ac:dyDescent="0.2">
      <c r="A102" s="1">
        <v>74</v>
      </c>
      <c r="B102" s="28">
        <f t="shared" ref="B102:U102" si="79">B$20</f>
        <v>0.186887897</v>
      </c>
      <c r="C102" s="28">
        <f t="shared" si="79"/>
        <v>0.20195854499999999</v>
      </c>
      <c r="D102" s="28">
        <f t="shared" si="79"/>
        <v>0.172707315</v>
      </c>
      <c r="E102" s="28">
        <f t="shared" si="79"/>
        <v>0.18857096600000001</v>
      </c>
      <c r="F102" s="28">
        <f t="shared" si="79"/>
        <v>0.204164876</v>
      </c>
      <c r="G102" s="28">
        <f t="shared" si="79"/>
        <v>0.17396932700000001</v>
      </c>
      <c r="H102" s="28">
        <f t="shared" si="79"/>
        <v>0.21111397900000001</v>
      </c>
      <c r="I102" s="28">
        <f t="shared" si="79"/>
        <v>0.233634856</v>
      </c>
      <c r="J102" s="28">
        <f t="shared" si="79"/>
        <v>0.19036942900000001</v>
      </c>
      <c r="K102" s="28">
        <f t="shared" si="79"/>
        <v>5.3999999999999999E-2</v>
      </c>
      <c r="L102" s="28">
        <f t="shared" si="79"/>
        <v>0.2</v>
      </c>
      <c r="M102" s="28">
        <f t="shared" si="79"/>
        <v>0.17</v>
      </c>
      <c r="N102" s="28">
        <f t="shared" si="79"/>
        <v>0.2</v>
      </c>
      <c r="O102" s="28">
        <f t="shared" si="79"/>
        <v>0.17</v>
      </c>
      <c r="P102" s="28">
        <f t="shared" si="79"/>
        <v>0.23</v>
      </c>
      <c r="Q102" s="28">
        <f t="shared" si="79"/>
        <v>0.19</v>
      </c>
      <c r="R102" s="28">
        <f t="shared" si="79"/>
        <v>0.25</v>
      </c>
      <c r="S102" s="28">
        <f t="shared" si="79"/>
        <v>0.2</v>
      </c>
      <c r="T102" s="28">
        <f t="shared" si="79"/>
        <v>0.28000000000000003</v>
      </c>
      <c r="U102" s="28">
        <f t="shared" si="79"/>
        <v>0.24</v>
      </c>
      <c r="V102" s="24">
        <f t="shared" si="1"/>
        <v>0.19442322099999998</v>
      </c>
      <c r="W102" s="24">
        <f t="shared" si="2"/>
        <v>0.18063914050000002</v>
      </c>
      <c r="X102" s="24">
        <f t="shared" si="3"/>
        <v>0.1890671015</v>
      </c>
      <c r="Y102" s="24">
        <f t="shared" si="4"/>
        <v>0.2223744175</v>
      </c>
      <c r="Z102" s="24">
        <f t="shared" si="5"/>
        <v>0.1221847145</v>
      </c>
      <c r="AA102" s="24">
        <f ca="1">IFERROR(__xludf.DUMMYFUNCTION("AVERAGE.WEIGHTED(B102:C102,$AB$26:$AC$26)"),0.19321756916)</f>
        <v>0.19321756915999999</v>
      </c>
    </row>
    <row r="103" spans="1:27" ht="12.75" x14ac:dyDescent="0.2">
      <c r="A103" s="1">
        <v>75</v>
      </c>
      <c r="B103" s="28">
        <f t="shared" ref="B103:U103" si="80">B$21</f>
        <v>0.27164643599999999</v>
      </c>
      <c r="C103" s="28">
        <f t="shared" si="80"/>
        <v>0.29175513600000003</v>
      </c>
      <c r="D103" s="28">
        <f t="shared" si="80"/>
        <v>0.253547672</v>
      </c>
      <c r="E103" s="28">
        <f t="shared" si="80"/>
        <v>0.27878676899999999</v>
      </c>
      <c r="F103" s="28">
        <f t="shared" si="80"/>
        <v>0.30017614599999998</v>
      </c>
      <c r="G103" s="28">
        <f t="shared" si="80"/>
        <v>0.25991370499999999</v>
      </c>
      <c r="H103" s="28">
        <f t="shared" si="80"/>
        <v>0.29767218499999998</v>
      </c>
      <c r="I103" s="28">
        <f t="shared" si="80"/>
        <v>0.32574608999999999</v>
      </c>
      <c r="J103" s="28">
        <f t="shared" si="80"/>
        <v>0.272263594</v>
      </c>
      <c r="K103" s="28">
        <f t="shared" si="80"/>
        <v>0.09</v>
      </c>
      <c r="L103" s="28">
        <f t="shared" si="80"/>
        <v>0.28999999999999998</v>
      </c>
      <c r="M103" s="28">
        <f t="shared" si="80"/>
        <v>0.25</v>
      </c>
      <c r="N103" s="28">
        <f t="shared" si="80"/>
        <v>0.3</v>
      </c>
      <c r="O103" s="28">
        <f t="shared" si="80"/>
        <v>0.26</v>
      </c>
      <c r="P103" s="28">
        <f t="shared" si="80"/>
        <v>0.33</v>
      </c>
      <c r="Q103" s="28">
        <f t="shared" si="80"/>
        <v>0.27</v>
      </c>
      <c r="R103" s="28">
        <f t="shared" si="80"/>
        <v>0.36</v>
      </c>
      <c r="S103" s="28">
        <f t="shared" si="80"/>
        <v>0.32</v>
      </c>
      <c r="T103" s="28">
        <f t="shared" si="80"/>
        <v>0.4</v>
      </c>
      <c r="U103" s="28">
        <f t="shared" si="80"/>
        <v>0.37</v>
      </c>
      <c r="V103" s="24">
        <f t="shared" si="1"/>
        <v>0.28170078600000004</v>
      </c>
      <c r="W103" s="24">
        <f t="shared" si="2"/>
        <v>0.26616722049999997</v>
      </c>
      <c r="X103" s="24">
        <f t="shared" si="3"/>
        <v>0.28004492549999999</v>
      </c>
      <c r="Y103" s="24">
        <f t="shared" si="4"/>
        <v>0.31170913749999996</v>
      </c>
      <c r="Z103" s="24">
        <f t="shared" si="5"/>
        <v>0.18113179699999998</v>
      </c>
      <c r="AA103" s="24">
        <f ca="1">IFERROR(__xludf.DUMMYFUNCTION("AVERAGE.WEIGHTED(B103:C103,$AB$26:$AC$26)"),0.28009209)</f>
        <v>0.28009209000000002</v>
      </c>
    </row>
    <row r="104" spans="1:27" ht="12.75" x14ac:dyDescent="0.2">
      <c r="A104" s="1">
        <v>76</v>
      </c>
      <c r="B104" s="28">
        <f t="shared" ref="B104:U104" si="81">B$21</f>
        <v>0.27164643599999999</v>
      </c>
      <c r="C104" s="28">
        <f t="shared" si="81"/>
        <v>0.29175513600000003</v>
      </c>
      <c r="D104" s="28">
        <f t="shared" si="81"/>
        <v>0.253547672</v>
      </c>
      <c r="E104" s="28">
        <f t="shared" si="81"/>
        <v>0.27878676899999999</v>
      </c>
      <c r="F104" s="28">
        <f t="shared" si="81"/>
        <v>0.30017614599999998</v>
      </c>
      <c r="G104" s="28">
        <f t="shared" si="81"/>
        <v>0.25991370499999999</v>
      </c>
      <c r="H104" s="28">
        <f t="shared" si="81"/>
        <v>0.29767218499999998</v>
      </c>
      <c r="I104" s="28">
        <f t="shared" si="81"/>
        <v>0.32574608999999999</v>
      </c>
      <c r="J104" s="28">
        <f t="shared" si="81"/>
        <v>0.272263594</v>
      </c>
      <c r="K104" s="28">
        <f t="shared" si="81"/>
        <v>0.09</v>
      </c>
      <c r="L104" s="28">
        <f t="shared" si="81"/>
        <v>0.28999999999999998</v>
      </c>
      <c r="M104" s="28">
        <f t="shared" si="81"/>
        <v>0.25</v>
      </c>
      <c r="N104" s="28">
        <f t="shared" si="81"/>
        <v>0.3</v>
      </c>
      <c r="O104" s="28">
        <f t="shared" si="81"/>
        <v>0.26</v>
      </c>
      <c r="P104" s="28">
        <f t="shared" si="81"/>
        <v>0.33</v>
      </c>
      <c r="Q104" s="28">
        <f t="shared" si="81"/>
        <v>0.27</v>
      </c>
      <c r="R104" s="28">
        <f t="shared" si="81"/>
        <v>0.36</v>
      </c>
      <c r="S104" s="28">
        <f t="shared" si="81"/>
        <v>0.32</v>
      </c>
      <c r="T104" s="28">
        <f t="shared" si="81"/>
        <v>0.4</v>
      </c>
      <c r="U104" s="28">
        <f t="shared" si="81"/>
        <v>0.37</v>
      </c>
      <c r="V104" s="24">
        <f t="shared" si="1"/>
        <v>0.28170078600000004</v>
      </c>
      <c r="W104" s="24">
        <f t="shared" si="2"/>
        <v>0.26616722049999997</v>
      </c>
      <c r="X104" s="24">
        <f t="shared" si="3"/>
        <v>0.28004492549999999</v>
      </c>
      <c r="Y104" s="24">
        <f t="shared" si="4"/>
        <v>0.31170913749999996</v>
      </c>
      <c r="Z104" s="24">
        <f t="shared" si="5"/>
        <v>0.18113179699999998</v>
      </c>
      <c r="AA104" s="24">
        <f ca="1">IFERROR(__xludf.DUMMYFUNCTION("AVERAGE.WEIGHTED(B104:C104,$AB$26:$AC$26)"),0.28009209)</f>
        <v>0.28009209000000002</v>
      </c>
    </row>
    <row r="105" spans="1:27" ht="12.75" x14ac:dyDescent="0.2">
      <c r="A105" s="1">
        <v>77</v>
      </c>
      <c r="B105" s="28">
        <f t="shared" ref="B105:U105" si="82">B$21</f>
        <v>0.27164643599999999</v>
      </c>
      <c r="C105" s="28">
        <f t="shared" si="82"/>
        <v>0.29175513600000003</v>
      </c>
      <c r="D105" s="28">
        <f t="shared" si="82"/>
        <v>0.253547672</v>
      </c>
      <c r="E105" s="28">
        <f t="shared" si="82"/>
        <v>0.27878676899999999</v>
      </c>
      <c r="F105" s="28">
        <f t="shared" si="82"/>
        <v>0.30017614599999998</v>
      </c>
      <c r="G105" s="28">
        <f t="shared" si="82"/>
        <v>0.25991370499999999</v>
      </c>
      <c r="H105" s="28">
        <f t="shared" si="82"/>
        <v>0.29767218499999998</v>
      </c>
      <c r="I105" s="28">
        <f t="shared" si="82"/>
        <v>0.32574608999999999</v>
      </c>
      <c r="J105" s="28">
        <f t="shared" si="82"/>
        <v>0.272263594</v>
      </c>
      <c r="K105" s="28">
        <f t="shared" si="82"/>
        <v>0.09</v>
      </c>
      <c r="L105" s="28">
        <f t="shared" si="82"/>
        <v>0.28999999999999998</v>
      </c>
      <c r="M105" s="28">
        <f t="shared" si="82"/>
        <v>0.25</v>
      </c>
      <c r="N105" s="28">
        <f t="shared" si="82"/>
        <v>0.3</v>
      </c>
      <c r="O105" s="28">
        <f t="shared" si="82"/>
        <v>0.26</v>
      </c>
      <c r="P105" s="28">
        <f t="shared" si="82"/>
        <v>0.33</v>
      </c>
      <c r="Q105" s="28">
        <f t="shared" si="82"/>
        <v>0.27</v>
      </c>
      <c r="R105" s="28">
        <f t="shared" si="82"/>
        <v>0.36</v>
      </c>
      <c r="S105" s="28">
        <f t="shared" si="82"/>
        <v>0.32</v>
      </c>
      <c r="T105" s="28">
        <f t="shared" si="82"/>
        <v>0.4</v>
      </c>
      <c r="U105" s="28">
        <f t="shared" si="82"/>
        <v>0.37</v>
      </c>
      <c r="V105" s="24">
        <f t="shared" si="1"/>
        <v>0.28170078600000004</v>
      </c>
      <c r="W105" s="24">
        <f t="shared" si="2"/>
        <v>0.26616722049999997</v>
      </c>
      <c r="X105" s="24">
        <f t="shared" si="3"/>
        <v>0.28004492549999999</v>
      </c>
      <c r="Y105" s="24">
        <f t="shared" si="4"/>
        <v>0.31170913749999996</v>
      </c>
      <c r="Z105" s="24">
        <f t="shared" si="5"/>
        <v>0.18113179699999998</v>
      </c>
      <c r="AA105" s="24">
        <f ca="1">IFERROR(__xludf.DUMMYFUNCTION("AVERAGE.WEIGHTED(B105:C105,$AB$26:$AC$26)"),0.28009209)</f>
        <v>0.28009209000000002</v>
      </c>
    </row>
    <row r="106" spans="1:27" ht="12.75" x14ac:dyDescent="0.2">
      <c r="A106" s="1">
        <v>78</v>
      </c>
      <c r="B106" s="28">
        <f t="shared" ref="B106:U106" si="83">B$21</f>
        <v>0.27164643599999999</v>
      </c>
      <c r="C106" s="28">
        <f t="shared" si="83"/>
        <v>0.29175513600000003</v>
      </c>
      <c r="D106" s="28">
        <f t="shared" si="83"/>
        <v>0.253547672</v>
      </c>
      <c r="E106" s="28">
        <f t="shared" si="83"/>
        <v>0.27878676899999999</v>
      </c>
      <c r="F106" s="28">
        <f t="shared" si="83"/>
        <v>0.30017614599999998</v>
      </c>
      <c r="G106" s="28">
        <f t="shared" si="83"/>
        <v>0.25991370499999999</v>
      </c>
      <c r="H106" s="28">
        <f t="shared" si="83"/>
        <v>0.29767218499999998</v>
      </c>
      <c r="I106" s="28">
        <f t="shared" si="83"/>
        <v>0.32574608999999999</v>
      </c>
      <c r="J106" s="28">
        <f t="shared" si="83"/>
        <v>0.272263594</v>
      </c>
      <c r="K106" s="28">
        <f t="shared" si="83"/>
        <v>0.09</v>
      </c>
      <c r="L106" s="28">
        <f t="shared" si="83"/>
        <v>0.28999999999999998</v>
      </c>
      <c r="M106" s="28">
        <f t="shared" si="83"/>
        <v>0.25</v>
      </c>
      <c r="N106" s="28">
        <f t="shared" si="83"/>
        <v>0.3</v>
      </c>
      <c r="O106" s="28">
        <f t="shared" si="83"/>
        <v>0.26</v>
      </c>
      <c r="P106" s="28">
        <f t="shared" si="83"/>
        <v>0.33</v>
      </c>
      <c r="Q106" s="28">
        <f t="shared" si="83"/>
        <v>0.27</v>
      </c>
      <c r="R106" s="28">
        <f t="shared" si="83"/>
        <v>0.36</v>
      </c>
      <c r="S106" s="28">
        <f t="shared" si="83"/>
        <v>0.32</v>
      </c>
      <c r="T106" s="28">
        <f t="shared" si="83"/>
        <v>0.4</v>
      </c>
      <c r="U106" s="28">
        <f t="shared" si="83"/>
        <v>0.37</v>
      </c>
      <c r="V106" s="24">
        <f t="shared" si="1"/>
        <v>0.28170078600000004</v>
      </c>
      <c r="W106" s="24">
        <f t="shared" si="2"/>
        <v>0.26616722049999997</v>
      </c>
      <c r="X106" s="24">
        <f t="shared" si="3"/>
        <v>0.28004492549999999</v>
      </c>
      <c r="Y106" s="24">
        <f t="shared" si="4"/>
        <v>0.31170913749999996</v>
      </c>
      <c r="Z106" s="24">
        <f t="shared" si="5"/>
        <v>0.18113179699999998</v>
      </c>
      <c r="AA106" s="24">
        <f ca="1">IFERROR(__xludf.DUMMYFUNCTION("AVERAGE.WEIGHTED(B106:C106,$AB$26:$AC$26)"),0.28009209)</f>
        <v>0.28009209000000002</v>
      </c>
    </row>
    <row r="107" spans="1:27" ht="12.75" x14ac:dyDescent="0.2">
      <c r="A107" s="1">
        <v>79</v>
      </c>
      <c r="B107" s="28">
        <f t="shared" ref="B107:U107" si="84">B$21</f>
        <v>0.27164643599999999</v>
      </c>
      <c r="C107" s="28">
        <f t="shared" si="84"/>
        <v>0.29175513600000003</v>
      </c>
      <c r="D107" s="28">
        <f t="shared" si="84"/>
        <v>0.253547672</v>
      </c>
      <c r="E107" s="28">
        <f t="shared" si="84"/>
        <v>0.27878676899999999</v>
      </c>
      <c r="F107" s="28">
        <f t="shared" si="84"/>
        <v>0.30017614599999998</v>
      </c>
      <c r="G107" s="28">
        <f t="shared" si="84"/>
        <v>0.25991370499999999</v>
      </c>
      <c r="H107" s="28">
        <f t="shared" si="84"/>
        <v>0.29767218499999998</v>
      </c>
      <c r="I107" s="28">
        <f t="shared" si="84"/>
        <v>0.32574608999999999</v>
      </c>
      <c r="J107" s="28">
        <f t="shared" si="84"/>
        <v>0.272263594</v>
      </c>
      <c r="K107" s="28">
        <f t="shared" si="84"/>
        <v>0.09</v>
      </c>
      <c r="L107" s="28">
        <f t="shared" si="84"/>
        <v>0.28999999999999998</v>
      </c>
      <c r="M107" s="28">
        <f t="shared" si="84"/>
        <v>0.25</v>
      </c>
      <c r="N107" s="28">
        <f t="shared" si="84"/>
        <v>0.3</v>
      </c>
      <c r="O107" s="28">
        <f t="shared" si="84"/>
        <v>0.26</v>
      </c>
      <c r="P107" s="28">
        <f t="shared" si="84"/>
        <v>0.33</v>
      </c>
      <c r="Q107" s="28">
        <f t="shared" si="84"/>
        <v>0.27</v>
      </c>
      <c r="R107" s="28">
        <f t="shared" si="84"/>
        <v>0.36</v>
      </c>
      <c r="S107" s="28">
        <f t="shared" si="84"/>
        <v>0.32</v>
      </c>
      <c r="T107" s="28">
        <f t="shared" si="84"/>
        <v>0.4</v>
      </c>
      <c r="U107" s="28">
        <f t="shared" si="84"/>
        <v>0.37</v>
      </c>
      <c r="V107" s="24">
        <f t="shared" si="1"/>
        <v>0.28170078600000004</v>
      </c>
      <c r="W107" s="24">
        <f t="shared" si="2"/>
        <v>0.26616722049999997</v>
      </c>
      <c r="X107" s="24">
        <f t="shared" si="3"/>
        <v>0.28004492549999999</v>
      </c>
      <c r="Y107" s="24">
        <f t="shared" si="4"/>
        <v>0.31170913749999996</v>
      </c>
      <c r="Z107" s="24">
        <f t="shared" si="5"/>
        <v>0.18113179699999998</v>
      </c>
      <c r="AA107" s="24">
        <f ca="1">IFERROR(__xludf.DUMMYFUNCTION("AVERAGE.WEIGHTED(B107:C107,$AB$26:$AC$26)"),0.28009209)</f>
        <v>0.28009209000000002</v>
      </c>
    </row>
    <row r="108" spans="1:27" ht="12.75" x14ac:dyDescent="0.2">
      <c r="A108" s="1">
        <v>80</v>
      </c>
      <c r="B108" s="28">
        <f t="shared" ref="B108:U108" si="85">B$22</f>
        <v>0.42608372700000002</v>
      </c>
      <c r="C108" s="28">
        <f t="shared" si="85"/>
        <v>0.44066291499999999</v>
      </c>
      <c r="D108" s="28">
        <f t="shared" si="85"/>
        <v>0.41384001100000001</v>
      </c>
      <c r="E108" s="28">
        <f t="shared" si="85"/>
        <v>0.45151735100000001</v>
      </c>
      <c r="F108" s="28">
        <f t="shared" si="85"/>
        <v>0.47241796000000003</v>
      </c>
      <c r="G108" s="28">
        <f t="shared" si="85"/>
        <v>0.433506328</v>
      </c>
      <c r="H108" s="28">
        <f t="shared" si="85"/>
        <v>0.39525572599999997</v>
      </c>
      <c r="I108" s="28">
        <f t="shared" si="85"/>
        <v>0.416182465</v>
      </c>
      <c r="J108" s="28">
        <f t="shared" si="85"/>
        <v>0.37657950499999998</v>
      </c>
      <c r="K108" s="28">
        <f t="shared" si="85"/>
        <v>0.15</v>
      </c>
      <c r="L108" s="28">
        <f t="shared" si="85"/>
        <v>0.44</v>
      </c>
      <c r="M108" s="28">
        <f t="shared" si="85"/>
        <v>0.41</v>
      </c>
      <c r="N108" s="28">
        <f t="shared" si="85"/>
        <v>0.47</v>
      </c>
      <c r="O108" s="28">
        <f t="shared" si="85"/>
        <v>0.43</v>
      </c>
      <c r="P108" s="28">
        <f t="shared" si="85"/>
        <v>0.42</v>
      </c>
      <c r="Q108" s="28">
        <f t="shared" si="85"/>
        <v>0.38</v>
      </c>
      <c r="R108" s="28">
        <f t="shared" si="85"/>
        <v>0.51</v>
      </c>
      <c r="S108" s="28">
        <f t="shared" si="85"/>
        <v>0.48</v>
      </c>
      <c r="T108" s="28">
        <f t="shared" si="85"/>
        <v>0.55000000000000004</v>
      </c>
      <c r="U108" s="28">
        <f t="shared" si="85"/>
        <v>0.54</v>
      </c>
      <c r="V108" s="24">
        <f t="shared" si="1"/>
        <v>0.43337332100000003</v>
      </c>
      <c r="W108" s="24">
        <f t="shared" si="2"/>
        <v>0.43267868100000001</v>
      </c>
      <c r="X108" s="24">
        <f t="shared" si="3"/>
        <v>0.45296214400000001</v>
      </c>
      <c r="Y108" s="24">
        <f t="shared" si="4"/>
        <v>0.40571909549999996</v>
      </c>
      <c r="Z108" s="24">
        <f t="shared" si="5"/>
        <v>0.26328975249999997</v>
      </c>
      <c r="AA108" s="24">
        <f ca="1">IFERROR(__xludf.DUMMYFUNCTION("AVERAGE.WEIGHTED(B108:C108,$AB$26:$AC$26)"),0.43220698596)</f>
        <v>0.43220698596000001</v>
      </c>
    </row>
    <row r="109" spans="1:27" ht="12.75" x14ac:dyDescent="0.2">
      <c r="A109" s="1">
        <v>81</v>
      </c>
      <c r="B109" s="28">
        <f t="shared" ref="B109:U109" si="86">B$22</f>
        <v>0.42608372700000002</v>
      </c>
      <c r="C109" s="28">
        <f t="shared" si="86"/>
        <v>0.44066291499999999</v>
      </c>
      <c r="D109" s="28">
        <f t="shared" si="86"/>
        <v>0.41384001100000001</v>
      </c>
      <c r="E109" s="28">
        <f t="shared" si="86"/>
        <v>0.45151735100000001</v>
      </c>
      <c r="F109" s="28">
        <f t="shared" si="86"/>
        <v>0.47241796000000003</v>
      </c>
      <c r="G109" s="28">
        <f t="shared" si="86"/>
        <v>0.433506328</v>
      </c>
      <c r="H109" s="28">
        <f t="shared" si="86"/>
        <v>0.39525572599999997</v>
      </c>
      <c r="I109" s="28">
        <f t="shared" si="86"/>
        <v>0.416182465</v>
      </c>
      <c r="J109" s="28">
        <f t="shared" si="86"/>
        <v>0.37657950499999998</v>
      </c>
      <c r="K109" s="28">
        <f t="shared" si="86"/>
        <v>0.15</v>
      </c>
      <c r="L109" s="28">
        <f t="shared" si="86"/>
        <v>0.44</v>
      </c>
      <c r="M109" s="28">
        <f t="shared" si="86"/>
        <v>0.41</v>
      </c>
      <c r="N109" s="28">
        <f t="shared" si="86"/>
        <v>0.47</v>
      </c>
      <c r="O109" s="28">
        <f t="shared" si="86"/>
        <v>0.43</v>
      </c>
      <c r="P109" s="28">
        <f t="shared" si="86"/>
        <v>0.42</v>
      </c>
      <c r="Q109" s="28">
        <f t="shared" si="86"/>
        <v>0.38</v>
      </c>
      <c r="R109" s="28">
        <f t="shared" si="86"/>
        <v>0.51</v>
      </c>
      <c r="S109" s="28">
        <f t="shared" si="86"/>
        <v>0.48</v>
      </c>
      <c r="T109" s="28">
        <f t="shared" si="86"/>
        <v>0.55000000000000004</v>
      </c>
      <c r="U109" s="28">
        <f t="shared" si="86"/>
        <v>0.54</v>
      </c>
      <c r="V109" s="24">
        <f t="shared" si="1"/>
        <v>0.43337332100000003</v>
      </c>
      <c r="W109" s="24">
        <f t="shared" si="2"/>
        <v>0.43267868100000001</v>
      </c>
      <c r="X109" s="24">
        <f t="shared" si="3"/>
        <v>0.45296214400000001</v>
      </c>
      <c r="Y109" s="24">
        <f t="shared" si="4"/>
        <v>0.40571909549999996</v>
      </c>
      <c r="Z109" s="24">
        <f t="shared" si="5"/>
        <v>0.26328975249999997</v>
      </c>
      <c r="AA109" s="24">
        <f ca="1">IFERROR(__xludf.DUMMYFUNCTION("AVERAGE.WEIGHTED(B109:C109,$AB$26:$AC$26)"),0.43220698596)</f>
        <v>0.43220698596000001</v>
      </c>
    </row>
    <row r="110" spans="1:27" ht="12.75" x14ac:dyDescent="0.2">
      <c r="A110" s="1">
        <v>82</v>
      </c>
      <c r="B110" s="28">
        <f t="shared" ref="B110:U110" si="87">B$22</f>
        <v>0.42608372700000002</v>
      </c>
      <c r="C110" s="28">
        <f t="shared" si="87"/>
        <v>0.44066291499999999</v>
      </c>
      <c r="D110" s="28">
        <f t="shared" si="87"/>
        <v>0.41384001100000001</v>
      </c>
      <c r="E110" s="28">
        <f t="shared" si="87"/>
        <v>0.45151735100000001</v>
      </c>
      <c r="F110" s="28">
        <f t="shared" si="87"/>
        <v>0.47241796000000003</v>
      </c>
      <c r="G110" s="28">
        <f t="shared" si="87"/>
        <v>0.433506328</v>
      </c>
      <c r="H110" s="28">
        <f t="shared" si="87"/>
        <v>0.39525572599999997</v>
      </c>
      <c r="I110" s="28">
        <f t="shared" si="87"/>
        <v>0.416182465</v>
      </c>
      <c r="J110" s="28">
        <f t="shared" si="87"/>
        <v>0.37657950499999998</v>
      </c>
      <c r="K110" s="28">
        <f t="shared" si="87"/>
        <v>0.15</v>
      </c>
      <c r="L110" s="28">
        <f t="shared" si="87"/>
        <v>0.44</v>
      </c>
      <c r="M110" s="28">
        <f t="shared" si="87"/>
        <v>0.41</v>
      </c>
      <c r="N110" s="28">
        <f t="shared" si="87"/>
        <v>0.47</v>
      </c>
      <c r="O110" s="28">
        <f t="shared" si="87"/>
        <v>0.43</v>
      </c>
      <c r="P110" s="28">
        <f t="shared" si="87"/>
        <v>0.42</v>
      </c>
      <c r="Q110" s="28">
        <f t="shared" si="87"/>
        <v>0.38</v>
      </c>
      <c r="R110" s="28">
        <f t="shared" si="87"/>
        <v>0.51</v>
      </c>
      <c r="S110" s="28">
        <f t="shared" si="87"/>
        <v>0.48</v>
      </c>
      <c r="T110" s="28">
        <f t="shared" si="87"/>
        <v>0.55000000000000004</v>
      </c>
      <c r="U110" s="28">
        <f t="shared" si="87"/>
        <v>0.54</v>
      </c>
      <c r="V110" s="24">
        <f t="shared" si="1"/>
        <v>0.43337332100000003</v>
      </c>
      <c r="W110" s="24">
        <f t="shared" si="2"/>
        <v>0.43267868100000001</v>
      </c>
      <c r="X110" s="24">
        <f t="shared" si="3"/>
        <v>0.45296214400000001</v>
      </c>
      <c r="Y110" s="24">
        <f t="shared" si="4"/>
        <v>0.40571909549999996</v>
      </c>
      <c r="Z110" s="24">
        <f t="shared" si="5"/>
        <v>0.26328975249999997</v>
      </c>
      <c r="AA110" s="24">
        <f ca="1">IFERROR(__xludf.DUMMYFUNCTION("AVERAGE.WEIGHTED(B110:C110,$AB$26:$AC$26)"),0.43220698596)</f>
        <v>0.43220698596000001</v>
      </c>
    </row>
    <row r="111" spans="1:27" ht="12.75" x14ac:dyDescent="0.2">
      <c r="A111" s="1">
        <v>83</v>
      </c>
      <c r="B111" s="28">
        <f t="shared" ref="B111:U111" si="88">B$22</f>
        <v>0.42608372700000002</v>
      </c>
      <c r="C111" s="28">
        <f t="shared" si="88"/>
        <v>0.44066291499999999</v>
      </c>
      <c r="D111" s="28">
        <f t="shared" si="88"/>
        <v>0.41384001100000001</v>
      </c>
      <c r="E111" s="28">
        <f t="shared" si="88"/>
        <v>0.45151735100000001</v>
      </c>
      <c r="F111" s="28">
        <f t="shared" si="88"/>
        <v>0.47241796000000003</v>
      </c>
      <c r="G111" s="28">
        <f t="shared" si="88"/>
        <v>0.433506328</v>
      </c>
      <c r="H111" s="28">
        <f t="shared" si="88"/>
        <v>0.39525572599999997</v>
      </c>
      <c r="I111" s="28">
        <f t="shared" si="88"/>
        <v>0.416182465</v>
      </c>
      <c r="J111" s="28">
        <f t="shared" si="88"/>
        <v>0.37657950499999998</v>
      </c>
      <c r="K111" s="28">
        <f t="shared" si="88"/>
        <v>0.15</v>
      </c>
      <c r="L111" s="28">
        <f t="shared" si="88"/>
        <v>0.44</v>
      </c>
      <c r="M111" s="28">
        <f t="shared" si="88"/>
        <v>0.41</v>
      </c>
      <c r="N111" s="28">
        <f t="shared" si="88"/>
        <v>0.47</v>
      </c>
      <c r="O111" s="28">
        <f t="shared" si="88"/>
        <v>0.43</v>
      </c>
      <c r="P111" s="28">
        <f t="shared" si="88"/>
        <v>0.42</v>
      </c>
      <c r="Q111" s="28">
        <f t="shared" si="88"/>
        <v>0.38</v>
      </c>
      <c r="R111" s="28">
        <f t="shared" si="88"/>
        <v>0.51</v>
      </c>
      <c r="S111" s="28">
        <f t="shared" si="88"/>
        <v>0.48</v>
      </c>
      <c r="T111" s="28">
        <f t="shared" si="88"/>
        <v>0.55000000000000004</v>
      </c>
      <c r="U111" s="28">
        <f t="shared" si="88"/>
        <v>0.54</v>
      </c>
      <c r="V111" s="24">
        <f t="shared" si="1"/>
        <v>0.43337332100000003</v>
      </c>
      <c r="W111" s="24">
        <f t="shared" si="2"/>
        <v>0.43267868100000001</v>
      </c>
      <c r="X111" s="24">
        <f t="shared" si="3"/>
        <v>0.45296214400000001</v>
      </c>
      <c r="Y111" s="24">
        <f t="shared" si="4"/>
        <v>0.40571909549999996</v>
      </c>
      <c r="Z111" s="24">
        <f t="shared" si="5"/>
        <v>0.26328975249999997</v>
      </c>
      <c r="AA111" s="24">
        <f ca="1">IFERROR(__xludf.DUMMYFUNCTION("AVERAGE.WEIGHTED(B111:C111,$AB$26:$AC$26)"),0.43220698596)</f>
        <v>0.43220698596000001</v>
      </c>
    </row>
    <row r="112" spans="1:27" ht="12.75" x14ac:dyDescent="0.2">
      <c r="A112" s="1">
        <v>84</v>
      </c>
      <c r="B112" s="28">
        <f t="shared" ref="B112:U112" si="89">B$22</f>
        <v>0.42608372700000002</v>
      </c>
      <c r="C112" s="28">
        <f t="shared" si="89"/>
        <v>0.44066291499999999</v>
      </c>
      <c r="D112" s="28">
        <f t="shared" si="89"/>
        <v>0.41384001100000001</v>
      </c>
      <c r="E112" s="28">
        <f t="shared" si="89"/>
        <v>0.45151735100000001</v>
      </c>
      <c r="F112" s="28">
        <f t="shared" si="89"/>
        <v>0.47241796000000003</v>
      </c>
      <c r="G112" s="28">
        <f t="shared" si="89"/>
        <v>0.433506328</v>
      </c>
      <c r="H112" s="28">
        <f t="shared" si="89"/>
        <v>0.39525572599999997</v>
      </c>
      <c r="I112" s="28">
        <f t="shared" si="89"/>
        <v>0.416182465</v>
      </c>
      <c r="J112" s="28">
        <f t="shared" si="89"/>
        <v>0.37657950499999998</v>
      </c>
      <c r="K112" s="28">
        <f t="shared" si="89"/>
        <v>0.15</v>
      </c>
      <c r="L112" s="28">
        <f t="shared" si="89"/>
        <v>0.44</v>
      </c>
      <c r="M112" s="28">
        <f t="shared" si="89"/>
        <v>0.41</v>
      </c>
      <c r="N112" s="28">
        <f t="shared" si="89"/>
        <v>0.47</v>
      </c>
      <c r="O112" s="28">
        <f t="shared" si="89"/>
        <v>0.43</v>
      </c>
      <c r="P112" s="28">
        <f t="shared" si="89"/>
        <v>0.42</v>
      </c>
      <c r="Q112" s="28">
        <f t="shared" si="89"/>
        <v>0.38</v>
      </c>
      <c r="R112" s="28">
        <f t="shared" si="89"/>
        <v>0.51</v>
      </c>
      <c r="S112" s="28">
        <f t="shared" si="89"/>
        <v>0.48</v>
      </c>
      <c r="T112" s="28">
        <f t="shared" si="89"/>
        <v>0.55000000000000004</v>
      </c>
      <c r="U112" s="28">
        <f t="shared" si="89"/>
        <v>0.54</v>
      </c>
      <c r="V112" s="24">
        <f t="shared" si="1"/>
        <v>0.43337332100000003</v>
      </c>
      <c r="W112" s="24">
        <f t="shared" si="2"/>
        <v>0.43267868100000001</v>
      </c>
      <c r="X112" s="24">
        <f t="shared" si="3"/>
        <v>0.45296214400000001</v>
      </c>
      <c r="Y112" s="24">
        <f t="shared" si="4"/>
        <v>0.40571909549999996</v>
      </c>
      <c r="Z112" s="24">
        <f t="shared" si="5"/>
        <v>0.26328975249999997</v>
      </c>
      <c r="AA112" s="24">
        <f ca="1">IFERROR(__xludf.DUMMYFUNCTION("AVERAGE.WEIGHTED(B112:C112,$AB$26:$AC$26)"),0.43220698596)</f>
        <v>0.43220698596000001</v>
      </c>
    </row>
    <row r="113" spans="1:27" ht="12.75" x14ac:dyDescent="0.2">
      <c r="A113" s="1">
        <v>85</v>
      </c>
      <c r="B113" s="28">
        <f t="shared" ref="B113:K113" si="90">B$23</f>
        <v>1</v>
      </c>
      <c r="C113" s="28">
        <f t="shared" si="90"/>
        <v>1</v>
      </c>
      <c r="D113" s="28">
        <f t="shared" si="90"/>
        <v>1</v>
      </c>
      <c r="E113" s="28">
        <f t="shared" si="90"/>
        <v>1</v>
      </c>
      <c r="F113" s="28">
        <f t="shared" si="90"/>
        <v>1</v>
      </c>
      <c r="G113" s="28">
        <f t="shared" si="90"/>
        <v>1</v>
      </c>
      <c r="H113" s="28">
        <f t="shared" si="90"/>
        <v>1</v>
      </c>
      <c r="I113" s="28">
        <f t="shared" si="90"/>
        <v>1</v>
      </c>
      <c r="J113" s="28">
        <f t="shared" si="90"/>
        <v>1</v>
      </c>
      <c r="K113" s="28">
        <f t="shared" si="90"/>
        <v>0.25</v>
      </c>
      <c r="L113" s="28">
        <f t="shared" ref="L113:U113" si="91">L$22</f>
        <v>0.44</v>
      </c>
      <c r="M113" s="28">
        <f t="shared" si="91"/>
        <v>0.41</v>
      </c>
      <c r="N113" s="28">
        <f t="shared" si="91"/>
        <v>0.47</v>
      </c>
      <c r="O113" s="28">
        <f t="shared" si="91"/>
        <v>0.43</v>
      </c>
      <c r="P113" s="28">
        <f t="shared" si="91"/>
        <v>0.42</v>
      </c>
      <c r="Q113" s="28">
        <f t="shared" si="91"/>
        <v>0.38</v>
      </c>
      <c r="R113" s="28">
        <f t="shared" si="91"/>
        <v>0.51</v>
      </c>
      <c r="S113" s="28">
        <f t="shared" si="91"/>
        <v>0.48</v>
      </c>
      <c r="T113" s="28">
        <f t="shared" si="91"/>
        <v>0.55000000000000004</v>
      </c>
      <c r="U113" s="28">
        <f t="shared" si="91"/>
        <v>0.54</v>
      </c>
      <c r="V113" s="24">
        <f t="shared" si="1"/>
        <v>1</v>
      </c>
      <c r="W113" s="24">
        <f t="shared" si="2"/>
        <v>1</v>
      </c>
      <c r="X113" s="24">
        <f t="shared" si="3"/>
        <v>1</v>
      </c>
      <c r="Y113" s="24">
        <f t="shared" si="4"/>
        <v>1</v>
      </c>
      <c r="Z113" s="24">
        <f t="shared" si="5"/>
        <v>0.625</v>
      </c>
      <c r="AA113" s="24">
        <f ca="1">IFERROR(__xludf.DUMMYFUNCTION("AVERAGE.WEIGHTED(B113:C113,$AB$26:$AC$26)"),1)</f>
        <v>1</v>
      </c>
    </row>
    <row r="114" spans="1:27" ht="12.75" x14ac:dyDescent="0.2">
      <c r="A114" s="1">
        <v>86</v>
      </c>
      <c r="B114" s="28">
        <f t="shared" ref="B114:K114" si="92">B$23</f>
        <v>1</v>
      </c>
      <c r="C114" s="28">
        <f t="shared" si="92"/>
        <v>1</v>
      </c>
      <c r="D114" s="28">
        <f t="shared" si="92"/>
        <v>1</v>
      </c>
      <c r="E114" s="28">
        <f t="shared" si="92"/>
        <v>1</v>
      </c>
      <c r="F114" s="28">
        <f t="shared" si="92"/>
        <v>1</v>
      </c>
      <c r="G114" s="28">
        <f t="shared" si="92"/>
        <v>1</v>
      </c>
      <c r="H114" s="28">
        <f t="shared" si="92"/>
        <v>1</v>
      </c>
      <c r="I114" s="28">
        <f t="shared" si="92"/>
        <v>1</v>
      </c>
      <c r="J114" s="28">
        <f t="shared" si="92"/>
        <v>1</v>
      </c>
      <c r="K114" s="28">
        <f t="shared" si="92"/>
        <v>0.25</v>
      </c>
      <c r="L114" s="28">
        <f t="shared" ref="L114:U114" si="93">L$22</f>
        <v>0.44</v>
      </c>
      <c r="M114" s="28">
        <f t="shared" si="93"/>
        <v>0.41</v>
      </c>
      <c r="N114" s="28">
        <f t="shared" si="93"/>
        <v>0.47</v>
      </c>
      <c r="O114" s="28">
        <f t="shared" si="93"/>
        <v>0.43</v>
      </c>
      <c r="P114" s="28">
        <f t="shared" si="93"/>
        <v>0.42</v>
      </c>
      <c r="Q114" s="28">
        <f t="shared" si="93"/>
        <v>0.38</v>
      </c>
      <c r="R114" s="28">
        <f t="shared" si="93"/>
        <v>0.51</v>
      </c>
      <c r="S114" s="28">
        <f t="shared" si="93"/>
        <v>0.48</v>
      </c>
      <c r="T114" s="28">
        <f t="shared" si="93"/>
        <v>0.55000000000000004</v>
      </c>
      <c r="U114" s="28">
        <f t="shared" si="93"/>
        <v>0.54</v>
      </c>
      <c r="V114" s="24">
        <f t="shared" si="1"/>
        <v>1</v>
      </c>
      <c r="W114" s="24">
        <f t="shared" si="2"/>
        <v>1</v>
      </c>
      <c r="X114" s="24">
        <f t="shared" si="3"/>
        <v>1</v>
      </c>
      <c r="Y114" s="24">
        <f t="shared" si="4"/>
        <v>1</v>
      </c>
      <c r="Z114" s="24">
        <f t="shared" si="5"/>
        <v>0.625</v>
      </c>
      <c r="AA114" s="24">
        <f ca="1">IFERROR(__xludf.DUMMYFUNCTION("AVERAGE.WEIGHTED(B114:C114,$AB$26:$AC$26)"),1)</f>
        <v>1</v>
      </c>
    </row>
    <row r="115" spans="1:27" ht="12.75" x14ac:dyDescent="0.2">
      <c r="A115" s="1">
        <v>87</v>
      </c>
      <c r="B115" s="28">
        <f t="shared" ref="B115:K115" si="94">B$23</f>
        <v>1</v>
      </c>
      <c r="C115" s="28">
        <f t="shared" si="94"/>
        <v>1</v>
      </c>
      <c r="D115" s="28">
        <f t="shared" si="94"/>
        <v>1</v>
      </c>
      <c r="E115" s="28">
        <f t="shared" si="94"/>
        <v>1</v>
      </c>
      <c r="F115" s="28">
        <f t="shared" si="94"/>
        <v>1</v>
      </c>
      <c r="G115" s="28">
        <f t="shared" si="94"/>
        <v>1</v>
      </c>
      <c r="H115" s="28">
        <f t="shared" si="94"/>
        <v>1</v>
      </c>
      <c r="I115" s="28">
        <f t="shared" si="94"/>
        <v>1</v>
      </c>
      <c r="J115" s="28">
        <f t="shared" si="94"/>
        <v>1</v>
      </c>
      <c r="K115" s="28">
        <f t="shared" si="94"/>
        <v>0.25</v>
      </c>
      <c r="L115" s="28">
        <f t="shared" ref="L115:U115" si="95">L$22</f>
        <v>0.44</v>
      </c>
      <c r="M115" s="28">
        <f t="shared" si="95"/>
        <v>0.41</v>
      </c>
      <c r="N115" s="28">
        <f t="shared" si="95"/>
        <v>0.47</v>
      </c>
      <c r="O115" s="28">
        <f t="shared" si="95"/>
        <v>0.43</v>
      </c>
      <c r="P115" s="28">
        <f t="shared" si="95"/>
        <v>0.42</v>
      </c>
      <c r="Q115" s="28">
        <f t="shared" si="95"/>
        <v>0.38</v>
      </c>
      <c r="R115" s="28">
        <f t="shared" si="95"/>
        <v>0.51</v>
      </c>
      <c r="S115" s="28">
        <f t="shared" si="95"/>
        <v>0.48</v>
      </c>
      <c r="T115" s="28">
        <f t="shared" si="95"/>
        <v>0.55000000000000004</v>
      </c>
      <c r="U115" s="28">
        <f t="shared" si="95"/>
        <v>0.54</v>
      </c>
      <c r="V115" s="24">
        <f t="shared" si="1"/>
        <v>1</v>
      </c>
      <c r="W115" s="24">
        <f t="shared" si="2"/>
        <v>1</v>
      </c>
      <c r="X115" s="24">
        <f t="shared" si="3"/>
        <v>1</v>
      </c>
      <c r="Y115" s="24">
        <f t="shared" si="4"/>
        <v>1</v>
      </c>
      <c r="Z115" s="24">
        <f t="shared" si="5"/>
        <v>0.625</v>
      </c>
      <c r="AA115" s="24">
        <f ca="1">IFERROR(__xludf.DUMMYFUNCTION("AVERAGE.WEIGHTED(B115:C115,$AB$26:$AC$26)"),1)</f>
        <v>1</v>
      </c>
    </row>
    <row r="116" spans="1:27" ht="12.75" x14ac:dyDescent="0.2">
      <c r="A116" s="1">
        <v>88</v>
      </c>
      <c r="B116" s="28">
        <f t="shared" ref="B116:K116" si="96">B$23</f>
        <v>1</v>
      </c>
      <c r="C116" s="28">
        <f t="shared" si="96"/>
        <v>1</v>
      </c>
      <c r="D116" s="28">
        <f t="shared" si="96"/>
        <v>1</v>
      </c>
      <c r="E116" s="28">
        <f t="shared" si="96"/>
        <v>1</v>
      </c>
      <c r="F116" s="28">
        <f t="shared" si="96"/>
        <v>1</v>
      </c>
      <c r="G116" s="28">
        <f t="shared" si="96"/>
        <v>1</v>
      </c>
      <c r="H116" s="28">
        <f t="shared" si="96"/>
        <v>1</v>
      </c>
      <c r="I116" s="28">
        <f t="shared" si="96"/>
        <v>1</v>
      </c>
      <c r="J116" s="28">
        <f t="shared" si="96"/>
        <v>1</v>
      </c>
      <c r="K116" s="28">
        <f t="shared" si="96"/>
        <v>0.25</v>
      </c>
      <c r="L116" s="28">
        <f t="shared" ref="L116:U116" si="97">L$22</f>
        <v>0.44</v>
      </c>
      <c r="M116" s="28">
        <f t="shared" si="97"/>
        <v>0.41</v>
      </c>
      <c r="N116" s="28">
        <f t="shared" si="97"/>
        <v>0.47</v>
      </c>
      <c r="O116" s="28">
        <f t="shared" si="97"/>
        <v>0.43</v>
      </c>
      <c r="P116" s="28">
        <f t="shared" si="97"/>
        <v>0.42</v>
      </c>
      <c r="Q116" s="28">
        <f t="shared" si="97"/>
        <v>0.38</v>
      </c>
      <c r="R116" s="28">
        <f t="shared" si="97"/>
        <v>0.51</v>
      </c>
      <c r="S116" s="28">
        <f t="shared" si="97"/>
        <v>0.48</v>
      </c>
      <c r="T116" s="28">
        <f t="shared" si="97"/>
        <v>0.55000000000000004</v>
      </c>
      <c r="U116" s="28">
        <f t="shared" si="97"/>
        <v>0.54</v>
      </c>
      <c r="V116" s="24">
        <f t="shared" si="1"/>
        <v>1</v>
      </c>
      <c r="W116" s="24">
        <f t="shared" si="2"/>
        <v>1</v>
      </c>
      <c r="X116" s="24">
        <f t="shared" si="3"/>
        <v>1</v>
      </c>
      <c r="Y116" s="24">
        <f t="shared" si="4"/>
        <v>1</v>
      </c>
      <c r="Z116" s="24">
        <f t="shared" si="5"/>
        <v>0.625</v>
      </c>
      <c r="AA116" s="24">
        <f ca="1">IFERROR(__xludf.DUMMYFUNCTION("AVERAGE.WEIGHTED(B116:C116,$AB$26:$AC$26)"),1)</f>
        <v>1</v>
      </c>
    </row>
    <row r="117" spans="1:27" ht="12.75" x14ac:dyDescent="0.2">
      <c r="A117" s="1">
        <v>89</v>
      </c>
      <c r="B117" s="28">
        <f t="shared" ref="B117:K117" si="98">B$23</f>
        <v>1</v>
      </c>
      <c r="C117" s="28">
        <f t="shared" si="98"/>
        <v>1</v>
      </c>
      <c r="D117" s="28">
        <f t="shared" si="98"/>
        <v>1</v>
      </c>
      <c r="E117" s="28">
        <f t="shared" si="98"/>
        <v>1</v>
      </c>
      <c r="F117" s="28">
        <f t="shared" si="98"/>
        <v>1</v>
      </c>
      <c r="G117" s="28">
        <f t="shared" si="98"/>
        <v>1</v>
      </c>
      <c r="H117" s="28">
        <f t="shared" si="98"/>
        <v>1</v>
      </c>
      <c r="I117" s="28">
        <f t="shared" si="98"/>
        <v>1</v>
      </c>
      <c r="J117" s="28">
        <f t="shared" si="98"/>
        <v>1</v>
      </c>
      <c r="K117" s="28">
        <f t="shared" si="98"/>
        <v>0.25</v>
      </c>
      <c r="L117" s="28">
        <f t="shared" ref="L117:U117" si="99">L$22</f>
        <v>0.44</v>
      </c>
      <c r="M117" s="28">
        <f t="shared" si="99"/>
        <v>0.41</v>
      </c>
      <c r="N117" s="28">
        <f t="shared" si="99"/>
        <v>0.47</v>
      </c>
      <c r="O117" s="28">
        <f t="shared" si="99"/>
        <v>0.43</v>
      </c>
      <c r="P117" s="28">
        <f t="shared" si="99"/>
        <v>0.42</v>
      </c>
      <c r="Q117" s="28">
        <f t="shared" si="99"/>
        <v>0.38</v>
      </c>
      <c r="R117" s="28">
        <f t="shared" si="99"/>
        <v>0.51</v>
      </c>
      <c r="S117" s="28">
        <f t="shared" si="99"/>
        <v>0.48</v>
      </c>
      <c r="T117" s="28">
        <f t="shared" si="99"/>
        <v>0.55000000000000004</v>
      </c>
      <c r="U117" s="28">
        <f t="shared" si="99"/>
        <v>0.54</v>
      </c>
      <c r="V117" s="24">
        <f t="shared" si="1"/>
        <v>1</v>
      </c>
      <c r="W117" s="24">
        <f t="shared" si="2"/>
        <v>1</v>
      </c>
      <c r="X117" s="24">
        <f t="shared" si="3"/>
        <v>1</v>
      </c>
      <c r="Y117" s="24">
        <f t="shared" si="4"/>
        <v>1</v>
      </c>
      <c r="Z117" s="24">
        <f t="shared" si="5"/>
        <v>0.625</v>
      </c>
      <c r="AA117" s="24">
        <f ca="1">IFERROR(__xludf.DUMMYFUNCTION("AVERAGE.WEIGHTED(B117:C117,$AB$26:$AC$26)"),1)</f>
        <v>1</v>
      </c>
    </row>
    <row r="118" spans="1:27" ht="12.75" x14ac:dyDescent="0.2">
      <c r="A118" s="1">
        <v>90</v>
      </c>
      <c r="B118" s="28">
        <f t="shared" ref="B118:K118" si="100">B$23</f>
        <v>1</v>
      </c>
      <c r="C118" s="28">
        <f t="shared" si="100"/>
        <v>1</v>
      </c>
      <c r="D118" s="28">
        <f t="shared" si="100"/>
        <v>1</v>
      </c>
      <c r="E118" s="28">
        <f t="shared" si="100"/>
        <v>1</v>
      </c>
      <c r="F118" s="28">
        <f t="shared" si="100"/>
        <v>1</v>
      </c>
      <c r="G118" s="28">
        <f t="shared" si="100"/>
        <v>1</v>
      </c>
      <c r="H118" s="28">
        <f t="shared" si="100"/>
        <v>1</v>
      </c>
      <c r="I118" s="28">
        <f t="shared" si="100"/>
        <v>1</v>
      </c>
      <c r="J118" s="28">
        <f t="shared" si="100"/>
        <v>1</v>
      </c>
      <c r="K118" s="28">
        <f t="shared" si="100"/>
        <v>0.25</v>
      </c>
      <c r="L118" s="28">
        <f t="shared" ref="L118:U118" si="101">L$22</f>
        <v>0.44</v>
      </c>
      <c r="M118" s="28">
        <f t="shared" si="101"/>
        <v>0.41</v>
      </c>
      <c r="N118" s="28">
        <f t="shared" si="101"/>
        <v>0.47</v>
      </c>
      <c r="O118" s="28">
        <f t="shared" si="101"/>
        <v>0.43</v>
      </c>
      <c r="P118" s="28">
        <f t="shared" si="101"/>
        <v>0.42</v>
      </c>
      <c r="Q118" s="28">
        <f t="shared" si="101"/>
        <v>0.38</v>
      </c>
      <c r="R118" s="28">
        <f t="shared" si="101"/>
        <v>0.51</v>
      </c>
      <c r="S118" s="28">
        <f t="shared" si="101"/>
        <v>0.48</v>
      </c>
      <c r="T118" s="28">
        <f t="shared" si="101"/>
        <v>0.55000000000000004</v>
      </c>
      <c r="U118" s="28">
        <f t="shared" si="101"/>
        <v>0.54</v>
      </c>
      <c r="V118" s="24">
        <f t="shared" si="1"/>
        <v>1</v>
      </c>
      <c r="W118" s="24">
        <f t="shared" si="2"/>
        <v>1</v>
      </c>
      <c r="X118" s="24">
        <f t="shared" si="3"/>
        <v>1</v>
      </c>
      <c r="Y118" s="24">
        <f t="shared" si="4"/>
        <v>1</v>
      </c>
      <c r="Z118" s="24">
        <f t="shared" si="5"/>
        <v>0.625</v>
      </c>
      <c r="AA118" s="24">
        <f ca="1">IFERROR(__xludf.DUMMYFUNCTION("AVERAGE.WEIGHTED(B118:C118,$AB$26:$AC$26)"),1)</f>
        <v>1</v>
      </c>
    </row>
    <row r="119" spans="1:27" ht="12.75" x14ac:dyDescent="0.2">
      <c r="A119" s="1">
        <v>91</v>
      </c>
      <c r="B119" s="28">
        <f t="shared" ref="B119:K119" si="102">B$23</f>
        <v>1</v>
      </c>
      <c r="C119" s="28">
        <f t="shared" si="102"/>
        <v>1</v>
      </c>
      <c r="D119" s="28">
        <f t="shared" si="102"/>
        <v>1</v>
      </c>
      <c r="E119" s="28">
        <f t="shared" si="102"/>
        <v>1</v>
      </c>
      <c r="F119" s="28">
        <f t="shared" si="102"/>
        <v>1</v>
      </c>
      <c r="G119" s="28">
        <f t="shared" si="102"/>
        <v>1</v>
      </c>
      <c r="H119" s="28">
        <f t="shared" si="102"/>
        <v>1</v>
      </c>
      <c r="I119" s="28">
        <f t="shared" si="102"/>
        <v>1</v>
      </c>
      <c r="J119" s="28">
        <f t="shared" si="102"/>
        <v>1</v>
      </c>
      <c r="K119" s="28">
        <f t="shared" si="102"/>
        <v>0.25</v>
      </c>
      <c r="L119" s="28">
        <f t="shared" ref="L119:U119" si="103">L$22</f>
        <v>0.44</v>
      </c>
      <c r="M119" s="28">
        <f t="shared" si="103"/>
        <v>0.41</v>
      </c>
      <c r="N119" s="28">
        <f t="shared" si="103"/>
        <v>0.47</v>
      </c>
      <c r="O119" s="28">
        <f t="shared" si="103"/>
        <v>0.43</v>
      </c>
      <c r="P119" s="28">
        <f t="shared" si="103"/>
        <v>0.42</v>
      </c>
      <c r="Q119" s="28">
        <f t="shared" si="103"/>
        <v>0.38</v>
      </c>
      <c r="R119" s="28">
        <f t="shared" si="103"/>
        <v>0.51</v>
      </c>
      <c r="S119" s="28">
        <f t="shared" si="103"/>
        <v>0.48</v>
      </c>
      <c r="T119" s="28">
        <f t="shared" si="103"/>
        <v>0.55000000000000004</v>
      </c>
      <c r="U119" s="28">
        <f t="shared" si="103"/>
        <v>0.54</v>
      </c>
      <c r="V119" s="24">
        <f t="shared" si="1"/>
        <v>1</v>
      </c>
      <c r="W119" s="24">
        <f t="shared" si="2"/>
        <v>1</v>
      </c>
      <c r="X119" s="24">
        <f t="shared" si="3"/>
        <v>1</v>
      </c>
      <c r="Y119" s="24">
        <f t="shared" si="4"/>
        <v>1</v>
      </c>
      <c r="Z119" s="24">
        <f t="shared" si="5"/>
        <v>0.625</v>
      </c>
      <c r="AA119" s="24">
        <f ca="1">IFERROR(__xludf.DUMMYFUNCTION("AVERAGE.WEIGHTED(B119:C119,$AB$26:$AC$26)"),1)</f>
        <v>1</v>
      </c>
    </row>
    <row r="120" spans="1:27" ht="12.75" x14ac:dyDescent="0.2">
      <c r="A120" s="1">
        <v>92</v>
      </c>
      <c r="B120" s="28">
        <f t="shared" ref="B120:K120" si="104">B$23</f>
        <v>1</v>
      </c>
      <c r="C120" s="28">
        <f t="shared" si="104"/>
        <v>1</v>
      </c>
      <c r="D120" s="28">
        <f t="shared" si="104"/>
        <v>1</v>
      </c>
      <c r="E120" s="28">
        <f t="shared" si="104"/>
        <v>1</v>
      </c>
      <c r="F120" s="28">
        <f t="shared" si="104"/>
        <v>1</v>
      </c>
      <c r="G120" s="28">
        <f t="shared" si="104"/>
        <v>1</v>
      </c>
      <c r="H120" s="28">
        <f t="shared" si="104"/>
        <v>1</v>
      </c>
      <c r="I120" s="28">
        <f t="shared" si="104"/>
        <v>1</v>
      </c>
      <c r="J120" s="28">
        <f t="shared" si="104"/>
        <v>1</v>
      </c>
      <c r="K120" s="28">
        <f t="shared" si="104"/>
        <v>0.25</v>
      </c>
      <c r="L120" s="28">
        <f t="shared" ref="L120:U120" si="105">L$22</f>
        <v>0.44</v>
      </c>
      <c r="M120" s="28">
        <f t="shared" si="105"/>
        <v>0.41</v>
      </c>
      <c r="N120" s="28">
        <f t="shared" si="105"/>
        <v>0.47</v>
      </c>
      <c r="O120" s="28">
        <f t="shared" si="105"/>
        <v>0.43</v>
      </c>
      <c r="P120" s="28">
        <f t="shared" si="105"/>
        <v>0.42</v>
      </c>
      <c r="Q120" s="28">
        <f t="shared" si="105"/>
        <v>0.38</v>
      </c>
      <c r="R120" s="28">
        <f t="shared" si="105"/>
        <v>0.51</v>
      </c>
      <c r="S120" s="28">
        <f t="shared" si="105"/>
        <v>0.48</v>
      </c>
      <c r="T120" s="28">
        <f t="shared" si="105"/>
        <v>0.55000000000000004</v>
      </c>
      <c r="U120" s="28">
        <f t="shared" si="105"/>
        <v>0.54</v>
      </c>
      <c r="V120" s="24">
        <f t="shared" si="1"/>
        <v>1</v>
      </c>
      <c r="W120" s="24">
        <f t="shared" si="2"/>
        <v>1</v>
      </c>
      <c r="X120" s="24">
        <f t="shared" si="3"/>
        <v>1</v>
      </c>
      <c r="Y120" s="24">
        <f t="shared" si="4"/>
        <v>1</v>
      </c>
      <c r="Z120" s="24">
        <f t="shared" si="5"/>
        <v>0.625</v>
      </c>
      <c r="AA120" s="24">
        <f ca="1">IFERROR(__xludf.DUMMYFUNCTION("AVERAGE.WEIGHTED(B120:C120,$AB$26:$AC$26)"),1)</f>
        <v>1</v>
      </c>
    </row>
    <row r="121" spans="1:27" ht="12.75" x14ac:dyDescent="0.2">
      <c r="A121" s="1">
        <v>93</v>
      </c>
      <c r="B121" s="28">
        <f t="shared" ref="B121:K121" si="106">B$23</f>
        <v>1</v>
      </c>
      <c r="C121" s="28">
        <f t="shared" si="106"/>
        <v>1</v>
      </c>
      <c r="D121" s="28">
        <f t="shared" si="106"/>
        <v>1</v>
      </c>
      <c r="E121" s="28">
        <f t="shared" si="106"/>
        <v>1</v>
      </c>
      <c r="F121" s="28">
        <f t="shared" si="106"/>
        <v>1</v>
      </c>
      <c r="G121" s="28">
        <f t="shared" si="106"/>
        <v>1</v>
      </c>
      <c r="H121" s="28">
        <f t="shared" si="106"/>
        <v>1</v>
      </c>
      <c r="I121" s="28">
        <f t="shared" si="106"/>
        <v>1</v>
      </c>
      <c r="J121" s="28">
        <f t="shared" si="106"/>
        <v>1</v>
      </c>
      <c r="K121" s="28">
        <f t="shared" si="106"/>
        <v>0.25</v>
      </c>
      <c r="L121" s="28">
        <f t="shared" ref="L121:U121" si="107">L$22</f>
        <v>0.44</v>
      </c>
      <c r="M121" s="28">
        <f t="shared" si="107"/>
        <v>0.41</v>
      </c>
      <c r="N121" s="28">
        <f t="shared" si="107"/>
        <v>0.47</v>
      </c>
      <c r="O121" s="28">
        <f t="shared" si="107"/>
        <v>0.43</v>
      </c>
      <c r="P121" s="28">
        <f t="shared" si="107"/>
        <v>0.42</v>
      </c>
      <c r="Q121" s="28">
        <f t="shared" si="107"/>
        <v>0.38</v>
      </c>
      <c r="R121" s="28">
        <f t="shared" si="107"/>
        <v>0.51</v>
      </c>
      <c r="S121" s="28">
        <f t="shared" si="107"/>
        <v>0.48</v>
      </c>
      <c r="T121" s="28">
        <f t="shared" si="107"/>
        <v>0.55000000000000004</v>
      </c>
      <c r="U121" s="28">
        <f t="shared" si="107"/>
        <v>0.54</v>
      </c>
      <c r="V121" s="24">
        <f t="shared" si="1"/>
        <v>1</v>
      </c>
      <c r="W121" s="24">
        <f t="shared" si="2"/>
        <v>1</v>
      </c>
      <c r="X121" s="24">
        <f t="shared" si="3"/>
        <v>1</v>
      </c>
      <c r="Y121" s="24">
        <f t="shared" si="4"/>
        <v>1</v>
      </c>
      <c r="Z121" s="24">
        <f t="shared" si="5"/>
        <v>0.625</v>
      </c>
      <c r="AA121" s="24">
        <f ca="1">IFERROR(__xludf.DUMMYFUNCTION("AVERAGE.WEIGHTED(B121:C121,$AB$26:$AC$26)"),1)</f>
        <v>1</v>
      </c>
    </row>
    <row r="122" spans="1:27" ht="12.75" x14ac:dyDescent="0.2">
      <c r="A122" s="1">
        <v>94</v>
      </c>
      <c r="B122" s="28">
        <f t="shared" ref="B122:K122" si="108">B$23</f>
        <v>1</v>
      </c>
      <c r="C122" s="28">
        <f t="shared" si="108"/>
        <v>1</v>
      </c>
      <c r="D122" s="28">
        <f t="shared" si="108"/>
        <v>1</v>
      </c>
      <c r="E122" s="28">
        <f t="shared" si="108"/>
        <v>1</v>
      </c>
      <c r="F122" s="28">
        <f t="shared" si="108"/>
        <v>1</v>
      </c>
      <c r="G122" s="28">
        <f t="shared" si="108"/>
        <v>1</v>
      </c>
      <c r="H122" s="28">
        <f t="shared" si="108"/>
        <v>1</v>
      </c>
      <c r="I122" s="28">
        <f t="shared" si="108"/>
        <v>1</v>
      </c>
      <c r="J122" s="28">
        <f t="shared" si="108"/>
        <v>1</v>
      </c>
      <c r="K122" s="28">
        <f t="shared" si="108"/>
        <v>0.25</v>
      </c>
      <c r="L122" s="28">
        <f t="shared" ref="L122:U122" si="109">L$22</f>
        <v>0.44</v>
      </c>
      <c r="M122" s="28">
        <f t="shared" si="109"/>
        <v>0.41</v>
      </c>
      <c r="N122" s="28">
        <f t="shared" si="109"/>
        <v>0.47</v>
      </c>
      <c r="O122" s="28">
        <f t="shared" si="109"/>
        <v>0.43</v>
      </c>
      <c r="P122" s="28">
        <f t="shared" si="109"/>
        <v>0.42</v>
      </c>
      <c r="Q122" s="28">
        <f t="shared" si="109"/>
        <v>0.38</v>
      </c>
      <c r="R122" s="28">
        <f t="shared" si="109"/>
        <v>0.51</v>
      </c>
      <c r="S122" s="28">
        <f t="shared" si="109"/>
        <v>0.48</v>
      </c>
      <c r="T122" s="28">
        <f t="shared" si="109"/>
        <v>0.55000000000000004</v>
      </c>
      <c r="U122" s="28">
        <f t="shared" si="109"/>
        <v>0.54</v>
      </c>
      <c r="V122" s="24">
        <f t="shared" si="1"/>
        <v>1</v>
      </c>
      <c r="W122" s="24">
        <f t="shared" si="2"/>
        <v>1</v>
      </c>
      <c r="X122" s="24">
        <f t="shared" si="3"/>
        <v>1</v>
      </c>
      <c r="Y122" s="24">
        <f t="shared" si="4"/>
        <v>1</v>
      </c>
      <c r="Z122" s="24">
        <f t="shared" si="5"/>
        <v>0.625</v>
      </c>
      <c r="AA122" s="24">
        <f ca="1">IFERROR(__xludf.DUMMYFUNCTION("AVERAGE.WEIGHTED(B122:C122,$AB$26:$AC$26)"),1)</f>
        <v>1</v>
      </c>
    </row>
    <row r="123" spans="1:27" ht="12.75" x14ac:dyDescent="0.2">
      <c r="A123" s="1">
        <v>95</v>
      </c>
      <c r="B123" s="28">
        <f t="shared" ref="B123:K123" si="110">B$23</f>
        <v>1</v>
      </c>
      <c r="C123" s="28">
        <f t="shared" si="110"/>
        <v>1</v>
      </c>
      <c r="D123" s="28">
        <f t="shared" si="110"/>
        <v>1</v>
      </c>
      <c r="E123" s="28">
        <f t="shared" si="110"/>
        <v>1</v>
      </c>
      <c r="F123" s="28">
        <f t="shared" si="110"/>
        <v>1</v>
      </c>
      <c r="G123" s="28">
        <f t="shared" si="110"/>
        <v>1</v>
      </c>
      <c r="H123" s="28">
        <f t="shared" si="110"/>
        <v>1</v>
      </c>
      <c r="I123" s="28">
        <f t="shared" si="110"/>
        <v>1</v>
      </c>
      <c r="J123" s="28">
        <f t="shared" si="110"/>
        <v>1</v>
      </c>
      <c r="K123" s="28">
        <f t="shared" si="110"/>
        <v>0.25</v>
      </c>
      <c r="L123" s="28">
        <f t="shared" ref="L123:U123" si="111">L$22</f>
        <v>0.44</v>
      </c>
      <c r="M123" s="28">
        <f t="shared" si="111"/>
        <v>0.41</v>
      </c>
      <c r="N123" s="28">
        <f t="shared" si="111"/>
        <v>0.47</v>
      </c>
      <c r="O123" s="28">
        <f t="shared" si="111"/>
        <v>0.43</v>
      </c>
      <c r="P123" s="28">
        <f t="shared" si="111"/>
        <v>0.42</v>
      </c>
      <c r="Q123" s="28">
        <f t="shared" si="111"/>
        <v>0.38</v>
      </c>
      <c r="R123" s="28">
        <f t="shared" si="111"/>
        <v>0.51</v>
      </c>
      <c r="S123" s="28">
        <f t="shared" si="111"/>
        <v>0.48</v>
      </c>
      <c r="T123" s="28">
        <f t="shared" si="111"/>
        <v>0.55000000000000004</v>
      </c>
      <c r="U123" s="28">
        <f t="shared" si="111"/>
        <v>0.54</v>
      </c>
      <c r="V123" s="24">
        <f t="shared" si="1"/>
        <v>1</v>
      </c>
      <c r="W123" s="24">
        <f t="shared" si="2"/>
        <v>1</v>
      </c>
      <c r="X123" s="24">
        <f t="shared" si="3"/>
        <v>1</v>
      </c>
      <c r="Y123" s="24">
        <f t="shared" si="4"/>
        <v>1</v>
      </c>
      <c r="Z123" s="24">
        <f t="shared" si="5"/>
        <v>0.625</v>
      </c>
      <c r="AA123" s="24">
        <f ca="1">IFERROR(__xludf.DUMMYFUNCTION("AVERAGE.WEIGHTED(B123:C123,$AB$26:$AC$26)"),1)</f>
        <v>1</v>
      </c>
    </row>
    <row r="124" spans="1:27" ht="12.75" x14ac:dyDescent="0.2">
      <c r="A124" s="1">
        <v>96</v>
      </c>
      <c r="B124" s="28">
        <f t="shared" ref="B124:K124" si="112">B$23</f>
        <v>1</v>
      </c>
      <c r="C124" s="28">
        <f t="shared" si="112"/>
        <v>1</v>
      </c>
      <c r="D124" s="28">
        <f t="shared" si="112"/>
        <v>1</v>
      </c>
      <c r="E124" s="28">
        <f t="shared" si="112"/>
        <v>1</v>
      </c>
      <c r="F124" s="28">
        <f t="shared" si="112"/>
        <v>1</v>
      </c>
      <c r="G124" s="28">
        <f t="shared" si="112"/>
        <v>1</v>
      </c>
      <c r="H124" s="28">
        <f t="shared" si="112"/>
        <v>1</v>
      </c>
      <c r="I124" s="28">
        <f t="shared" si="112"/>
        <v>1</v>
      </c>
      <c r="J124" s="28">
        <f t="shared" si="112"/>
        <v>1</v>
      </c>
      <c r="K124" s="28">
        <f t="shared" si="112"/>
        <v>0.25</v>
      </c>
      <c r="L124" s="28">
        <f t="shared" ref="L124:U124" si="113">L$22</f>
        <v>0.44</v>
      </c>
      <c r="M124" s="28">
        <f t="shared" si="113"/>
        <v>0.41</v>
      </c>
      <c r="N124" s="28">
        <f t="shared" si="113"/>
        <v>0.47</v>
      </c>
      <c r="O124" s="28">
        <f t="shared" si="113"/>
        <v>0.43</v>
      </c>
      <c r="P124" s="28">
        <f t="shared" si="113"/>
        <v>0.42</v>
      </c>
      <c r="Q124" s="28">
        <f t="shared" si="113"/>
        <v>0.38</v>
      </c>
      <c r="R124" s="28">
        <f t="shared" si="113"/>
        <v>0.51</v>
      </c>
      <c r="S124" s="28">
        <f t="shared" si="113"/>
        <v>0.48</v>
      </c>
      <c r="T124" s="28">
        <f t="shared" si="113"/>
        <v>0.55000000000000004</v>
      </c>
      <c r="U124" s="28">
        <f t="shared" si="113"/>
        <v>0.54</v>
      </c>
      <c r="V124" s="24">
        <f t="shared" si="1"/>
        <v>1</v>
      </c>
      <c r="W124" s="24">
        <f t="shared" si="2"/>
        <v>1</v>
      </c>
      <c r="X124" s="24">
        <f t="shared" si="3"/>
        <v>1</v>
      </c>
      <c r="Y124" s="24">
        <f t="shared" si="4"/>
        <v>1</v>
      </c>
      <c r="Z124" s="24">
        <f t="shared" si="5"/>
        <v>0.625</v>
      </c>
      <c r="AA124" s="24">
        <f ca="1">IFERROR(__xludf.DUMMYFUNCTION("AVERAGE.WEIGHTED(B124:C124,$AB$26:$AC$26)"),1)</f>
        <v>1</v>
      </c>
    </row>
    <row r="125" spans="1:27" ht="12.75" x14ac:dyDescent="0.2">
      <c r="A125" s="1">
        <v>97</v>
      </c>
      <c r="B125" s="28">
        <f t="shared" ref="B125:K125" si="114">B$23</f>
        <v>1</v>
      </c>
      <c r="C125" s="28">
        <f t="shared" si="114"/>
        <v>1</v>
      </c>
      <c r="D125" s="28">
        <f t="shared" si="114"/>
        <v>1</v>
      </c>
      <c r="E125" s="28">
        <f t="shared" si="114"/>
        <v>1</v>
      </c>
      <c r="F125" s="28">
        <f t="shared" si="114"/>
        <v>1</v>
      </c>
      <c r="G125" s="28">
        <f t="shared" si="114"/>
        <v>1</v>
      </c>
      <c r="H125" s="28">
        <f t="shared" si="114"/>
        <v>1</v>
      </c>
      <c r="I125" s="28">
        <f t="shared" si="114"/>
        <v>1</v>
      </c>
      <c r="J125" s="28">
        <f t="shared" si="114"/>
        <v>1</v>
      </c>
      <c r="K125" s="28">
        <f t="shared" si="114"/>
        <v>0.25</v>
      </c>
      <c r="L125" s="28">
        <f t="shared" ref="L125:U125" si="115">L$22</f>
        <v>0.44</v>
      </c>
      <c r="M125" s="28">
        <f t="shared" si="115"/>
        <v>0.41</v>
      </c>
      <c r="N125" s="28">
        <f t="shared" si="115"/>
        <v>0.47</v>
      </c>
      <c r="O125" s="28">
        <f t="shared" si="115"/>
        <v>0.43</v>
      </c>
      <c r="P125" s="28">
        <f t="shared" si="115"/>
        <v>0.42</v>
      </c>
      <c r="Q125" s="28">
        <f t="shared" si="115"/>
        <v>0.38</v>
      </c>
      <c r="R125" s="28">
        <f t="shared" si="115"/>
        <v>0.51</v>
      </c>
      <c r="S125" s="28">
        <f t="shared" si="115"/>
        <v>0.48</v>
      </c>
      <c r="T125" s="28">
        <f t="shared" si="115"/>
        <v>0.55000000000000004</v>
      </c>
      <c r="U125" s="28">
        <f t="shared" si="115"/>
        <v>0.54</v>
      </c>
      <c r="V125" s="24">
        <f t="shared" si="1"/>
        <v>1</v>
      </c>
      <c r="W125" s="24">
        <f t="shared" si="2"/>
        <v>1</v>
      </c>
      <c r="X125" s="24">
        <f t="shared" si="3"/>
        <v>1</v>
      </c>
      <c r="Y125" s="24">
        <f t="shared" si="4"/>
        <v>1</v>
      </c>
      <c r="Z125" s="24">
        <f t="shared" si="5"/>
        <v>0.625</v>
      </c>
      <c r="AA125" s="24">
        <f ca="1">IFERROR(__xludf.DUMMYFUNCTION("AVERAGE.WEIGHTED(B125:C125,$AB$26:$AC$26)"),1)</f>
        <v>1</v>
      </c>
    </row>
    <row r="126" spans="1:27" ht="12.75" x14ac:dyDescent="0.2">
      <c r="A126" s="1">
        <v>98</v>
      </c>
      <c r="B126" s="28">
        <f t="shared" ref="B126:K126" si="116">B$23</f>
        <v>1</v>
      </c>
      <c r="C126" s="28">
        <f t="shared" si="116"/>
        <v>1</v>
      </c>
      <c r="D126" s="28">
        <f t="shared" si="116"/>
        <v>1</v>
      </c>
      <c r="E126" s="28">
        <f t="shared" si="116"/>
        <v>1</v>
      </c>
      <c r="F126" s="28">
        <f t="shared" si="116"/>
        <v>1</v>
      </c>
      <c r="G126" s="28">
        <f t="shared" si="116"/>
        <v>1</v>
      </c>
      <c r="H126" s="28">
        <f t="shared" si="116"/>
        <v>1</v>
      </c>
      <c r="I126" s="28">
        <f t="shared" si="116"/>
        <v>1</v>
      </c>
      <c r="J126" s="28">
        <f t="shared" si="116"/>
        <v>1</v>
      </c>
      <c r="K126" s="28">
        <f t="shared" si="116"/>
        <v>0.25</v>
      </c>
      <c r="L126" s="28">
        <f t="shared" ref="L126:U126" si="117">L$22</f>
        <v>0.44</v>
      </c>
      <c r="M126" s="28">
        <f t="shared" si="117"/>
        <v>0.41</v>
      </c>
      <c r="N126" s="28">
        <f t="shared" si="117"/>
        <v>0.47</v>
      </c>
      <c r="O126" s="28">
        <f t="shared" si="117"/>
        <v>0.43</v>
      </c>
      <c r="P126" s="28">
        <f t="shared" si="117"/>
        <v>0.42</v>
      </c>
      <c r="Q126" s="28">
        <f t="shared" si="117"/>
        <v>0.38</v>
      </c>
      <c r="R126" s="28">
        <f t="shared" si="117"/>
        <v>0.51</v>
      </c>
      <c r="S126" s="28">
        <f t="shared" si="117"/>
        <v>0.48</v>
      </c>
      <c r="T126" s="28">
        <f t="shared" si="117"/>
        <v>0.55000000000000004</v>
      </c>
      <c r="U126" s="28">
        <f t="shared" si="117"/>
        <v>0.54</v>
      </c>
      <c r="V126" s="24">
        <f t="shared" si="1"/>
        <v>1</v>
      </c>
      <c r="W126" s="24">
        <f t="shared" si="2"/>
        <v>1</v>
      </c>
      <c r="X126" s="24">
        <f t="shared" si="3"/>
        <v>1</v>
      </c>
      <c r="Y126" s="24">
        <f t="shared" si="4"/>
        <v>1</v>
      </c>
      <c r="Z126" s="24">
        <f t="shared" si="5"/>
        <v>0.625</v>
      </c>
      <c r="AA126" s="24">
        <f ca="1">IFERROR(__xludf.DUMMYFUNCTION("AVERAGE.WEIGHTED(B126:C126,$AB$26:$AC$26)"),1)</f>
        <v>1</v>
      </c>
    </row>
    <row r="127" spans="1:27" ht="12.75" x14ac:dyDescent="0.2">
      <c r="A127" s="1">
        <v>99</v>
      </c>
      <c r="B127" s="28">
        <f t="shared" ref="B127:K127" si="118">B$23</f>
        <v>1</v>
      </c>
      <c r="C127" s="28">
        <f t="shared" si="118"/>
        <v>1</v>
      </c>
      <c r="D127" s="28">
        <f t="shared" si="118"/>
        <v>1</v>
      </c>
      <c r="E127" s="28">
        <f t="shared" si="118"/>
        <v>1</v>
      </c>
      <c r="F127" s="28">
        <f t="shared" si="118"/>
        <v>1</v>
      </c>
      <c r="G127" s="28">
        <f t="shared" si="118"/>
        <v>1</v>
      </c>
      <c r="H127" s="28">
        <f t="shared" si="118"/>
        <v>1</v>
      </c>
      <c r="I127" s="28">
        <f t="shared" si="118"/>
        <v>1</v>
      </c>
      <c r="J127" s="28">
        <f t="shared" si="118"/>
        <v>1</v>
      </c>
      <c r="K127" s="28">
        <f t="shared" si="118"/>
        <v>0.25</v>
      </c>
      <c r="L127" s="28">
        <f t="shared" ref="L127:U127" si="119">L$22</f>
        <v>0.44</v>
      </c>
      <c r="M127" s="28">
        <f t="shared" si="119"/>
        <v>0.41</v>
      </c>
      <c r="N127" s="28">
        <f t="shared" si="119"/>
        <v>0.47</v>
      </c>
      <c r="O127" s="28">
        <f t="shared" si="119"/>
        <v>0.43</v>
      </c>
      <c r="P127" s="28">
        <f t="shared" si="119"/>
        <v>0.42</v>
      </c>
      <c r="Q127" s="28">
        <f t="shared" si="119"/>
        <v>0.38</v>
      </c>
      <c r="R127" s="28">
        <f t="shared" si="119"/>
        <v>0.51</v>
      </c>
      <c r="S127" s="28">
        <f t="shared" si="119"/>
        <v>0.48</v>
      </c>
      <c r="T127" s="28">
        <f t="shared" si="119"/>
        <v>0.55000000000000004</v>
      </c>
      <c r="U127" s="28">
        <f t="shared" si="119"/>
        <v>0.54</v>
      </c>
      <c r="V127" s="24">
        <f t="shared" si="1"/>
        <v>1</v>
      </c>
      <c r="W127" s="24">
        <f t="shared" si="2"/>
        <v>1</v>
      </c>
      <c r="X127" s="24">
        <f t="shared" si="3"/>
        <v>1</v>
      </c>
      <c r="Y127" s="24">
        <f t="shared" si="4"/>
        <v>1</v>
      </c>
      <c r="Z127" s="24">
        <f t="shared" si="5"/>
        <v>0.625</v>
      </c>
      <c r="AA127" s="24">
        <f ca="1">IFERROR(__xludf.DUMMYFUNCTION("AVERAGE.WEIGHTED(B127:C127,$AB$26:$AC$26)"),1)</f>
        <v>1</v>
      </c>
    </row>
    <row r="128" spans="1:27" ht="12.75" x14ac:dyDescent="0.2">
      <c r="A128" s="1">
        <v>100</v>
      </c>
      <c r="B128" s="28">
        <f t="shared" ref="B128:K128" si="120">B$23</f>
        <v>1</v>
      </c>
      <c r="C128" s="28">
        <f t="shared" si="120"/>
        <v>1</v>
      </c>
      <c r="D128" s="28">
        <f t="shared" si="120"/>
        <v>1</v>
      </c>
      <c r="E128" s="28">
        <f t="shared" si="120"/>
        <v>1</v>
      </c>
      <c r="F128" s="28">
        <f t="shared" si="120"/>
        <v>1</v>
      </c>
      <c r="G128" s="28">
        <f t="shared" si="120"/>
        <v>1</v>
      </c>
      <c r="H128" s="28">
        <f t="shared" si="120"/>
        <v>1</v>
      </c>
      <c r="I128" s="28">
        <f t="shared" si="120"/>
        <v>1</v>
      </c>
      <c r="J128" s="28">
        <f t="shared" si="120"/>
        <v>1</v>
      </c>
      <c r="K128" s="28">
        <f t="shared" si="120"/>
        <v>0.25</v>
      </c>
      <c r="L128" s="28">
        <f t="shared" ref="L128:U128" si="121">L$22</f>
        <v>0.44</v>
      </c>
      <c r="M128" s="28">
        <f t="shared" si="121"/>
        <v>0.41</v>
      </c>
      <c r="N128" s="28">
        <f t="shared" si="121"/>
        <v>0.47</v>
      </c>
      <c r="O128" s="28">
        <f t="shared" si="121"/>
        <v>0.43</v>
      </c>
      <c r="P128" s="28">
        <f t="shared" si="121"/>
        <v>0.42</v>
      </c>
      <c r="Q128" s="28">
        <f t="shared" si="121"/>
        <v>0.38</v>
      </c>
      <c r="R128" s="28">
        <f t="shared" si="121"/>
        <v>0.51</v>
      </c>
      <c r="S128" s="28">
        <f t="shared" si="121"/>
        <v>0.48</v>
      </c>
      <c r="T128" s="28">
        <f t="shared" si="121"/>
        <v>0.55000000000000004</v>
      </c>
      <c r="U128" s="28">
        <f t="shared" si="121"/>
        <v>0.54</v>
      </c>
      <c r="V128" s="24">
        <f t="shared" si="1"/>
        <v>1</v>
      </c>
      <c r="W128" s="24">
        <f t="shared" si="2"/>
        <v>1</v>
      </c>
      <c r="X128" s="24">
        <f t="shared" si="3"/>
        <v>1</v>
      </c>
      <c r="Y128" s="24">
        <f t="shared" si="4"/>
        <v>1</v>
      </c>
      <c r="Z128" s="24">
        <f t="shared" si="5"/>
        <v>0.625</v>
      </c>
      <c r="AA128" s="24">
        <f ca="1">IFERROR(__xludf.DUMMYFUNCTION("AVERAGE.WEIGHTED(B128:C128,$AB$26:$AC$26)"),1)</f>
        <v>1</v>
      </c>
    </row>
  </sheetData>
  <mergeCells count="55">
    <mergeCell ref="A1:B1"/>
    <mergeCell ref="M1:V1"/>
    <mergeCell ref="W1:AF1"/>
    <mergeCell ref="AG1:AP1"/>
    <mergeCell ref="AQ1:AZ1"/>
    <mergeCell ref="C1:L1"/>
    <mergeCell ref="BA1:BJ1"/>
    <mergeCell ref="BK1:BT1"/>
    <mergeCell ref="Q2:R2"/>
    <mergeCell ref="S2:T2"/>
    <mergeCell ref="U2:V2"/>
    <mergeCell ref="W2:X2"/>
    <mergeCell ref="Y2:Z2"/>
    <mergeCell ref="AA2:AB2"/>
    <mergeCell ref="AC2:AD2"/>
    <mergeCell ref="AE2:AF2"/>
    <mergeCell ref="AG2:AH2"/>
    <mergeCell ref="AI2:AJ2"/>
    <mergeCell ref="AK2:AL2"/>
    <mergeCell ref="AM2:AN2"/>
    <mergeCell ref="AO2:AP2"/>
    <mergeCell ref="AQ2:AR2"/>
    <mergeCell ref="BQ2:BR2"/>
    <mergeCell ref="BS2:BT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BM2:BN2"/>
    <mergeCell ref="BO2:BP2"/>
    <mergeCell ref="A25:V25"/>
    <mergeCell ref="B26:C26"/>
    <mergeCell ref="D26:E26"/>
    <mergeCell ref="F26:G26"/>
    <mergeCell ref="H26:I26"/>
    <mergeCell ref="J26:K26"/>
    <mergeCell ref="R3:S3"/>
    <mergeCell ref="T3:U3"/>
    <mergeCell ref="E2:F2"/>
    <mergeCell ref="G2:H2"/>
    <mergeCell ref="F3:G3"/>
    <mergeCell ref="H3:I3"/>
    <mergeCell ref="L3:M3"/>
    <mergeCell ref="N3:O3"/>
    <mergeCell ref="P3:Q3"/>
    <mergeCell ref="I2:J2"/>
    <mergeCell ref="K2:L2"/>
    <mergeCell ref="M2:N2"/>
    <mergeCell ref="O2:P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ED93B-AF89-4084-88C9-FB2EE36B407D}">
  <sheetPr codeName="Hoja22">
    <outlinePr summaryBelow="0" summaryRight="0"/>
  </sheetPr>
  <dimension ref="A1:BU128"/>
  <sheetViews>
    <sheetView workbookViewId="0">
      <selection activeCell="F14" sqref="F14"/>
    </sheetView>
  </sheetViews>
  <sheetFormatPr baseColWidth="10" defaultColWidth="12.5703125" defaultRowHeight="15.75" customHeight="1" x14ac:dyDescent="0.2"/>
  <cols>
    <col min="1" max="21" width="12.5703125" style="208"/>
    <col min="22" max="22" width="23.5703125" style="208" customWidth="1"/>
    <col min="23" max="26" width="12.5703125" style="208"/>
    <col min="27" max="27" width="21.7109375" style="208" customWidth="1"/>
    <col min="28" max="28" width="34.140625" style="208" customWidth="1"/>
    <col min="29" max="29" width="29.28515625" style="208" customWidth="1"/>
    <col min="30" max="16384" width="12.5703125" style="208"/>
  </cols>
  <sheetData>
    <row r="1" spans="1:73" ht="15" x14ac:dyDescent="0.2">
      <c r="A1" s="231"/>
      <c r="B1" s="230"/>
      <c r="C1" s="231"/>
      <c r="D1" s="230"/>
      <c r="E1" s="230"/>
      <c r="F1" s="230"/>
      <c r="G1" s="230"/>
      <c r="H1" s="230"/>
      <c r="I1" s="230"/>
      <c r="J1" s="230"/>
      <c r="K1" s="230"/>
      <c r="L1" s="230"/>
      <c r="M1" s="231"/>
      <c r="N1" s="230"/>
      <c r="O1" s="230"/>
      <c r="P1" s="230"/>
      <c r="Q1" s="230"/>
      <c r="R1" s="230"/>
      <c r="S1" s="230"/>
      <c r="T1" s="230"/>
      <c r="U1" s="230"/>
      <c r="V1" s="230"/>
      <c r="W1" s="231"/>
      <c r="X1" s="230"/>
      <c r="Y1" s="230"/>
      <c r="Z1" s="230"/>
      <c r="AA1" s="230"/>
      <c r="AB1" s="230"/>
      <c r="AC1" s="230"/>
      <c r="AD1" s="230"/>
      <c r="AE1" s="230"/>
      <c r="AF1" s="230"/>
      <c r="AG1" s="207"/>
      <c r="AJ1" s="229" t="s">
        <v>283</v>
      </c>
      <c r="AK1" s="229"/>
      <c r="AL1" s="229"/>
      <c r="AM1" s="229"/>
      <c r="AN1" s="229"/>
      <c r="AO1" s="229"/>
      <c r="AP1" s="229"/>
      <c r="AQ1" s="229"/>
      <c r="AR1" s="231"/>
      <c r="AS1" s="230"/>
      <c r="AT1" s="230"/>
      <c r="AU1" s="230"/>
      <c r="AV1" s="230"/>
      <c r="AW1" s="230"/>
      <c r="AX1" s="230"/>
      <c r="AY1" s="230"/>
      <c r="AZ1" s="230"/>
      <c r="BA1" s="230"/>
      <c r="BB1" s="231"/>
      <c r="BC1" s="230"/>
      <c r="BD1" s="230"/>
      <c r="BE1" s="230"/>
      <c r="BF1" s="230"/>
      <c r="BG1" s="230"/>
      <c r="BH1" s="230"/>
      <c r="BI1" s="230"/>
      <c r="BJ1" s="230"/>
      <c r="BK1" s="230"/>
      <c r="BL1" s="231"/>
      <c r="BM1" s="230"/>
      <c r="BN1" s="230"/>
      <c r="BO1" s="230"/>
      <c r="BP1" s="230"/>
      <c r="BQ1" s="230"/>
      <c r="BR1" s="230"/>
      <c r="BS1" s="230"/>
      <c r="BT1" s="230"/>
      <c r="BU1" s="230"/>
    </row>
    <row r="2" spans="1:73" ht="15" x14ac:dyDescent="0.2">
      <c r="A2" s="207"/>
      <c r="B2" s="207" t="s">
        <v>295</v>
      </c>
      <c r="C2" s="207"/>
      <c r="D2" s="207"/>
      <c r="E2" s="231"/>
      <c r="F2" s="230"/>
      <c r="G2" s="231"/>
      <c r="H2" s="230"/>
      <c r="I2" s="231"/>
      <c r="J2" s="230"/>
      <c r="K2" s="231"/>
      <c r="L2" s="230"/>
      <c r="M2" s="231"/>
      <c r="N2" s="230"/>
      <c r="O2" s="231"/>
      <c r="P2" s="230"/>
      <c r="Q2" s="231"/>
      <c r="R2" s="230"/>
      <c r="S2" s="231"/>
      <c r="T2" s="230"/>
      <c r="U2" s="231"/>
      <c r="V2" s="230"/>
      <c r="W2" s="231"/>
      <c r="X2" s="230"/>
      <c r="Y2" s="231"/>
      <c r="Z2" s="230"/>
      <c r="AA2" s="231"/>
      <c r="AB2" s="230"/>
      <c r="AC2" s="231"/>
      <c r="AD2" s="230"/>
      <c r="AE2" s="231"/>
      <c r="AF2" s="230"/>
      <c r="AG2" s="231"/>
      <c r="AH2" s="230"/>
      <c r="AI2" s="231"/>
      <c r="AJ2" s="230"/>
      <c r="AK2" s="229" t="s">
        <v>285</v>
      </c>
      <c r="AL2" s="229"/>
      <c r="AM2" s="229" t="s">
        <v>286</v>
      </c>
      <c r="AN2" s="229"/>
      <c r="AO2" s="229"/>
      <c r="AP2" s="210"/>
      <c r="AQ2" s="229" t="s">
        <v>287</v>
      </c>
      <c r="AR2" s="229"/>
      <c r="AT2" s="231"/>
      <c r="AU2" s="230"/>
      <c r="AV2" s="231"/>
      <c r="AW2" s="230"/>
      <c r="AX2" s="231"/>
      <c r="AY2" s="230"/>
      <c r="AZ2" s="231"/>
      <c r="BA2" s="230"/>
      <c r="BB2" s="231"/>
      <c r="BC2" s="230"/>
      <c r="BD2" s="231"/>
      <c r="BE2" s="230"/>
      <c r="BF2" s="231"/>
      <c r="BG2" s="230"/>
      <c r="BH2" s="231"/>
      <c r="BI2" s="230"/>
      <c r="BJ2" s="231"/>
      <c r="BK2" s="230"/>
      <c r="BL2" s="231"/>
      <c r="BM2" s="230"/>
      <c r="BN2" s="231"/>
      <c r="BO2" s="230"/>
      <c r="BP2" s="231"/>
      <c r="BQ2" s="230"/>
      <c r="BR2" s="231"/>
      <c r="BS2" s="230"/>
      <c r="BT2" s="231"/>
      <c r="BU2" s="230"/>
    </row>
    <row r="3" spans="1:73" ht="15" x14ac:dyDescent="0.2">
      <c r="A3" s="207"/>
      <c r="B3" s="210">
        <v>2019</v>
      </c>
      <c r="C3" s="210">
        <v>2016</v>
      </c>
      <c r="D3" s="210">
        <v>2015</v>
      </c>
      <c r="E3" s="210">
        <v>2015</v>
      </c>
      <c r="F3" s="229">
        <v>2010</v>
      </c>
      <c r="G3" s="230"/>
      <c r="H3" s="229">
        <v>2005</v>
      </c>
      <c r="I3" s="230"/>
      <c r="J3" s="210">
        <v>2000</v>
      </c>
      <c r="K3" s="210">
        <v>2000</v>
      </c>
      <c r="L3" s="229">
        <v>2019</v>
      </c>
      <c r="M3" s="230"/>
      <c r="N3" s="229">
        <v>2015</v>
      </c>
      <c r="O3" s="230"/>
      <c r="P3" s="229">
        <v>2010</v>
      </c>
      <c r="Q3" s="230"/>
      <c r="R3" s="229">
        <v>2005</v>
      </c>
      <c r="S3" s="230"/>
      <c r="T3" s="229">
        <v>2000</v>
      </c>
      <c r="U3" s="230"/>
      <c r="V3" s="207"/>
      <c r="W3" s="207"/>
      <c r="X3" s="207"/>
      <c r="Y3" s="207"/>
      <c r="Z3" s="207"/>
      <c r="AA3" s="207"/>
      <c r="AB3" s="207"/>
      <c r="AC3" s="207"/>
      <c r="AD3" s="207"/>
      <c r="AE3" s="207"/>
      <c r="AF3" s="207"/>
      <c r="AG3" s="207"/>
      <c r="AH3" s="207"/>
      <c r="AI3" s="207"/>
      <c r="AJ3" s="207"/>
      <c r="AK3" s="204" t="s">
        <v>182</v>
      </c>
      <c r="AL3" s="204" t="s">
        <v>183</v>
      </c>
      <c r="AM3" s="204" t="s">
        <v>284</v>
      </c>
      <c r="AN3" s="204" t="s">
        <v>182</v>
      </c>
      <c r="AO3" s="204" t="s">
        <v>183</v>
      </c>
      <c r="AP3" s="204"/>
      <c r="AQ3" s="204" t="s">
        <v>182</v>
      </c>
      <c r="AR3" s="204" t="s">
        <v>183</v>
      </c>
      <c r="AS3" s="207"/>
      <c r="AT3" s="201">
        <v>28</v>
      </c>
      <c r="AU3" s="201" t="s">
        <v>45</v>
      </c>
      <c r="AV3" s="201">
        <v>294</v>
      </c>
      <c r="AW3" s="201" t="s">
        <v>278</v>
      </c>
      <c r="AX3" s="201">
        <v>1</v>
      </c>
      <c r="AY3" s="201" t="s">
        <v>279</v>
      </c>
      <c r="AZ3" s="201">
        <v>2018</v>
      </c>
      <c r="BA3" s="201">
        <v>34097.339213257001</v>
      </c>
      <c r="BB3" s="201"/>
      <c r="BC3" s="201"/>
      <c r="BD3" s="201"/>
      <c r="BE3" s="207"/>
      <c r="BF3" s="207"/>
      <c r="BG3" s="207"/>
      <c r="BH3" s="207"/>
      <c r="BI3" s="207"/>
      <c r="BJ3" s="207"/>
      <c r="BK3" s="207"/>
      <c r="BL3" s="207"/>
      <c r="BM3" s="207"/>
      <c r="BN3" s="207"/>
      <c r="BO3" s="207"/>
      <c r="BP3" s="207"/>
      <c r="BQ3" s="207"/>
      <c r="BR3" s="207"/>
      <c r="BS3" s="207"/>
      <c r="BT3" s="207"/>
      <c r="BU3" s="207"/>
    </row>
    <row r="4" spans="1:73" ht="15.75" customHeight="1" x14ac:dyDescent="0.25">
      <c r="A4" s="12" t="s">
        <v>43</v>
      </c>
      <c r="B4" s="12" t="s">
        <v>44</v>
      </c>
      <c r="C4" s="12" t="s">
        <v>44</v>
      </c>
      <c r="D4" s="12" t="s">
        <v>44</v>
      </c>
      <c r="E4" s="12" t="s">
        <v>44</v>
      </c>
      <c r="F4" s="12" t="s">
        <v>44</v>
      </c>
      <c r="G4" s="12" t="s">
        <v>44</v>
      </c>
      <c r="H4" s="12" t="s">
        <v>44</v>
      </c>
      <c r="I4" s="12" t="s">
        <v>44</v>
      </c>
      <c r="J4" s="12" t="s">
        <v>44</v>
      </c>
      <c r="K4" s="12" t="s">
        <v>44</v>
      </c>
      <c r="L4" s="12" t="s">
        <v>44</v>
      </c>
      <c r="M4" s="12" t="s">
        <v>44</v>
      </c>
      <c r="N4" s="12" t="s">
        <v>44</v>
      </c>
      <c r="O4" s="12" t="s">
        <v>44</v>
      </c>
      <c r="P4" s="12" t="s">
        <v>44</v>
      </c>
      <c r="Q4" s="12" t="s">
        <v>44</v>
      </c>
      <c r="R4" s="12" t="s">
        <v>44</v>
      </c>
      <c r="S4" s="12" t="s">
        <v>44</v>
      </c>
      <c r="T4" s="12" t="s">
        <v>44</v>
      </c>
      <c r="U4" s="12" t="s">
        <v>44</v>
      </c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203" t="s">
        <v>45</v>
      </c>
      <c r="AK4" s="201">
        <v>1583511.0833693701</v>
      </c>
      <c r="AL4" s="201">
        <v>1517138.5701053699</v>
      </c>
      <c r="AM4" s="203">
        <f>SUM(AK4:AL4)</f>
        <v>3100649.6534747398</v>
      </c>
      <c r="AN4" s="201">
        <v>34097.339213257001</v>
      </c>
      <c r="AO4" s="201">
        <v>24630.1080134699</v>
      </c>
      <c r="AP4" s="201">
        <v>58727.447226727098</v>
      </c>
      <c r="AQ4" s="203">
        <f>AN4/AK4</f>
        <v>2.1532744274012416E-2</v>
      </c>
      <c r="AR4" s="203">
        <f>AO4/AL4</f>
        <v>1.6234580346711023E-2</v>
      </c>
      <c r="AS4" s="203">
        <f>AP4/AM4</f>
        <v>1.8940368564669744E-2</v>
      </c>
      <c r="AT4" s="201">
        <v>5</v>
      </c>
      <c r="AU4" s="201" t="s">
        <v>46</v>
      </c>
      <c r="AV4" s="201">
        <v>294</v>
      </c>
      <c r="AW4" s="201" t="s">
        <v>278</v>
      </c>
      <c r="AX4" s="201">
        <v>1</v>
      </c>
      <c r="AY4" s="201" t="s">
        <v>279</v>
      </c>
      <c r="AZ4" s="201">
        <v>2018</v>
      </c>
      <c r="BA4" s="201">
        <v>3661.4209574701499</v>
      </c>
      <c r="BB4" s="201"/>
      <c r="BC4" s="201"/>
      <c r="BD4" s="201" t="s">
        <v>45</v>
      </c>
      <c r="BE4" s="201">
        <v>294</v>
      </c>
      <c r="BF4" s="201" t="s">
        <v>278</v>
      </c>
      <c r="BG4" s="201">
        <v>1</v>
      </c>
      <c r="BH4" s="201" t="s">
        <v>279</v>
      </c>
      <c r="BI4" s="201">
        <v>2018</v>
      </c>
      <c r="BJ4" s="201">
        <v>58727.447226727098</v>
      </c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</row>
    <row r="5" spans="1:73" ht="15.75" customHeight="1" x14ac:dyDescent="0.25">
      <c r="A5" s="13" t="s">
        <v>45</v>
      </c>
      <c r="B5" s="203">
        <v>1.08017617365153E-2</v>
      </c>
      <c r="C5" s="203">
        <v>1.20379190239797E-2</v>
      </c>
      <c r="D5" s="14">
        <v>1.6E-2</v>
      </c>
      <c r="E5" s="14">
        <v>1.2E-2</v>
      </c>
      <c r="F5" s="14">
        <v>1.9E-2</v>
      </c>
      <c r="G5" s="14">
        <v>1.4999999999999999E-2</v>
      </c>
      <c r="H5" s="14">
        <v>2.5999999999999999E-2</v>
      </c>
      <c r="I5" s="14">
        <v>0.02</v>
      </c>
      <c r="J5" s="14">
        <v>3.4000000000000002E-2</v>
      </c>
      <c r="K5" s="14">
        <v>2.7E-2</v>
      </c>
      <c r="L5" s="14">
        <v>1.4E-2</v>
      </c>
      <c r="M5" s="14">
        <v>1.0999999999999999E-2</v>
      </c>
      <c r="N5" s="14">
        <v>1.4999999999999999E-2</v>
      </c>
      <c r="O5" s="14">
        <v>1.2E-2</v>
      </c>
      <c r="P5" s="14">
        <v>1.9E-2</v>
      </c>
      <c r="Q5" s="14">
        <v>1.4999999999999999E-2</v>
      </c>
      <c r="R5" s="14">
        <v>2.5000000000000001E-2</v>
      </c>
      <c r="S5" s="14">
        <v>0.02</v>
      </c>
      <c r="T5" s="14">
        <v>3.3000000000000002E-2</v>
      </c>
      <c r="U5" s="14">
        <v>2.5999999999999999E-2</v>
      </c>
      <c r="V5" s="15"/>
      <c r="W5" s="209"/>
      <c r="X5" s="209"/>
      <c r="Y5" s="209"/>
      <c r="Z5" s="209"/>
      <c r="AA5" s="209"/>
      <c r="AB5" s="209"/>
      <c r="AC5" s="209"/>
      <c r="AD5" s="209"/>
      <c r="AE5" s="209"/>
      <c r="AF5" s="209"/>
      <c r="AG5" s="209"/>
      <c r="AH5" s="209"/>
      <c r="AI5" s="209"/>
      <c r="AJ5" s="203" t="s">
        <v>46</v>
      </c>
      <c r="AK5" s="201">
        <v>6448966.0289751804</v>
      </c>
      <c r="AL5" s="201">
        <v>6187437.92313929</v>
      </c>
      <c r="AM5" s="203">
        <f t="shared" ref="AM5:AM22" si="0">SUM(AK5:AL5)</f>
        <v>12636403.95211447</v>
      </c>
      <c r="AN5" s="201">
        <v>3661.4209574701499</v>
      </c>
      <c r="AO5" s="201">
        <v>3619.8288075762698</v>
      </c>
      <c r="AP5" s="201">
        <v>7281.2497650464102</v>
      </c>
      <c r="AQ5" s="203">
        <f t="shared" ref="AQ5:AS22" si="1">AN5/AK5</f>
        <v>5.6775317795432624E-4</v>
      </c>
      <c r="AR5" s="203">
        <f t="shared" si="1"/>
        <v>5.8502870696110275E-4</v>
      </c>
      <c r="AS5" s="203">
        <f t="shared" si="1"/>
        <v>5.762121718044655E-4</v>
      </c>
      <c r="AT5" s="201">
        <v>6</v>
      </c>
      <c r="AU5" s="201" t="s">
        <v>47</v>
      </c>
      <c r="AV5" s="201">
        <v>294</v>
      </c>
      <c r="AW5" s="201" t="s">
        <v>278</v>
      </c>
      <c r="AX5" s="201">
        <v>1</v>
      </c>
      <c r="AY5" s="201" t="s">
        <v>279</v>
      </c>
      <c r="AZ5" s="201">
        <v>2018</v>
      </c>
      <c r="BA5" s="201">
        <v>2588.53952639096</v>
      </c>
      <c r="BB5" s="201"/>
      <c r="BC5" s="201"/>
      <c r="BD5" s="201" t="s">
        <v>46</v>
      </c>
      <c r="BE5" s="201">
        <v>294</v>
      </c>
      <c r="BF5" s="201" t="s">
        <v>278</v>
      </c>
      <c r="BG5" s="201">
        <v>1</v>
      </c>
      <c r="BH5" s="201" t="s">
        <v>279</v>
      </c>
      <c r="BI5" s="201">
        <v>2018</v>
      </c>
      <c r="BJ5" s="201">
        <v>7281.2497650464102</v>
      </c>
      <c r="BK5" s="209"/>
      <c r="BL5" s="209"/>
      <c r="BM5" s="209"/>
      <c r="BN5" s="209"/>
      <c r="BO5" s="209"/>
      <c r="BP5" s="209"/>
      <c r="BQ5" s="209"/>
      <c r="BR5" s="209"/>
      <c r="BS5" s="209"/>
      <c r="BT5" s="209"/>
      <c r="BU5" s="209"/>
    </row>
    <row r="6" spans="1:73" ht="15.75" customHeight="1" x14ac:dyDescent="0.25">
      <c r="A6" s="13" t="s">
        <v>46</v>
      </c>
      <c r="B6" s="203">
        <v>5.9058156488391001E-4</v>
      </c>
      <c r="C6" s="203">
        <v>6.4899862789414696E-4</v>
      </c>
      <c r="D6" s="14">
        <v>5.0000000000000001E-4</v>
      </c>
      <c r="E6" s="14">
        <v>4.0000000000000002E-4</v>
      </c>
      <c r="F6" s="14">
        <v>5.9999999999999995E-4</v>
      </c>
      <c r="G6" s="14">
        <v>5.0000000000000001E-4</v>
      </c>
      <c r="H6" s="14">
        <v>8.0000000000000004E-4</v>
      </c>
      <c r="I6" s="14">
        <v>5.9999999999999995E-4</v>
      </c>
      <c r="J6" s="14">
        <v>1E-3</v>
      </c>
      <c r="K6" s="14">
        <v>1E-3</v>
      </c>
      <c r="L6" s="14">
        <v>2E-3</v>
      </c>
      <c r="M6" s="14">
        <v>1E-3</v>
      </c>
      <c r="N6" s="14">
        <v>2E-3</v>
      </c>
      <c r="O6" s="14">
        <v>2E-3</v>
      </c>
      <c r="P6" s="14">
        <v>2E-3</v>
      </c>
      <c r="Q6" s="14">
        <v>2E-3</v>
      </c>
      <c r="R6" s="14">
        <v>3.0000000000000001E-3</v>
      </c>
      <c r="S6" s="14">
        <v>3.0000000000000001E-3</v>
      </c>
      <c r="T6" s="14">
        <v>5.0000000000000001E-3</v>
      </c>
      <c r="U6" s="14">
        <v>4.0000000000000001E-3</v>
      </c>
      <c r="V6" s="15"/>
      <c r="W6" s="209"/>
      <c r="X6" s="209"/>
      <c r="Y6" s="209"/>
      <c r="Z6" s="209"/>
      <c r="AA6" s="209"/>
      <c r="AB6" s="209"/>
      <c r="AC6" s="209"/>
      <c r="AD6" s="209"/>
      <c r="AE6" s="209"/>
      <c r="AF6" s="209"/>
      <c r="AG6" s="209"/>
      <c r="AH6" s="209"/>
      <c r="AI6" s="209"/>
      <c r="AJ6" s="203" t="s">
        <v>47</v>
      </c>
      <c r="AK6" s="201">
        <v>8142752.5673405696</v>
      </c>
      <c r="AL6" s="201">
        <v>7853852.0778931798</v>
      </c>
      <c r="AM6" s="203">
        <f t="shared" si="0"/>
        <v>15996604.64523375</v>
      </c>
      <c r="AN6" s="201">
        <v>2588.53952639096</v>
      </c>
      <c r="AO6" s="201">
        <v>1745.91034558559</v>
      </c>
      <c r="AP6" s="201">
        <v>4334.4498719765497</v>
      </c>
      <c r="AQ6" s="203">
        <f t="shared" si="1"/>
        <v>3.1789490162985258E-4</v>
      </c>
      <c r="AR6" s="203">
        <f t="shared" si="1"/>
        <v>2.2229987632437507E-4</v>
      </c>
      <c r="AS6" s="203">
        <f t="shared" si="1"/>
        <v>2.7096061746253232E-4</v>
      </c>
      <c r="AT6" s="201">
        <v>7</v>
      </c>
      <c r="AU6" s="201" t="s">
        <v>48</v>
      </c>
      <c r="AV6" s="201">
        <v>294</v>
      </c>
      <c r="AW6" s="201" t="s">
        <v>278</v>
      </c>
      <c r="AX6" s="201">
        <v>1</v>
      </c>
      <c r="AY6" s="201" t="s">
        <v>279</v>
      </c>
      <c r="AZ6" s="201">
        <v>2018</v>
      </c>
      <c r="BA6" s="201">
        <v>3336.8966571769201</v>
      </c>
      <c r="BB6" s="201"/>
      <c r="BC6" s="201"/>
      <c r="BD6" s="201" t="s">
        <v>47</v>
      </c>
      <c r="BE6" s="201">
        <v>294</v>
      </c>
      <c r="BF6" s="201" t="s">
        <v>278</v>
      </c>
      <c r="BG6" s="201">
        <v>1</v>
      </c>
      <c r="BH6" s="201" t="s">
        <v>279</v>
      </c>
      <c r="BI6" s="201">
        <v>2018</v>
      </c>
      <c r="BJ6" s="201">
        <v>4334.4498719765497</v>
      </c>
      <c r="BK6" s="209"/>
      <c r="BL6" s="209"/>
      <c r="BM6" s="209"/>
      <c r="BN6" s="209"/>
      <c r="BO6" s="209"/>
      <c r="BP6" s="209"/>
      <c r="BQ6" s="209"/>
      <c r="BR6" s="209"/>
      <c r="BS6" s="209"/>
      <c r="BT6" s="209"/>
      <c r="BU6" s="209"/>
    </row>
    <row r="7" spans="1:73" ht="15.75" customHeight="1" x14ac:dyDescent="0.25">
      <c r="A7" s="13" t="s">
        <v>47</v>
      </c>
      <c r="B7" s="203">
        <v>2.9358657848538701E-4</v>
      </c>
      <c r="C7" s="203">
        <v>3.1498571087964301E-4</v>
      </c>
      <c r="D7" s="14">
        <v>2.0000000000000001E-4</v>
      </c>
      <c r="E7" s="14">
        <v>2.0000000000000001E-4</v>
      </c>
      <c r="F7" s="14">
        <v>2.9999999999999997E-4</v>
      </c>
      <c r="G7" s="14">
        <v>2.0000000000000001E-4</v>
      </c>
      <c r="H7" s="14">
        <v>2.9999999999999997E-4</v>
      </c>
      <c r="I7" s="14">
        <v>2.9999999999999997E-4</v>
      </c>
      <c r="J7" s="14">
        <v>2.9999999999999997E-4</v>
      </c>
      <c r="K7" s="14">
        <v>2.9999999999999997E-4</v>
      </c>
      <c r="L7" s="14">
        <v>1E-3</v>
      </c>
      <c r="M7" s="14">
        <v>8.9999999999999998E-4</v>
      </c>
      <c r="N7" s="14">
        <v>1E-3</v>
      </c>
      <c r="O7" s="14">
        <v>1E-3</v>
      </c>
      <c r="P7" s="14">
        <v>1E-3</v>
      </c>
      <c r="Q7" s="14">
        <v>1E-3</v>
      </c>
      <c r="R7" s="14">
        <v>2E-3</v>
      </c>
      <c r="S7" s="14">
        <v>1E-3</v>
      </c>
      <c r="T7" s="14">
        <v>2E-3</v>
      </c>
      <c r="U7" s="14">
        <v>1E-3</v>
      </c>
      <c r="V7" s="15"/>
      <c r="W7" s="209"/>
      <c r="X7" s="209"/>
      <c r="Y7" s="209"/>
      <c r="Z7" s="209"/>
      <c r="AA7" s="209"/>
      <c r="AB7" s="209"/>
      <c r="AC7" s="209"/>
      <c r="AD7" s="209"/>
      <c r="AE7" s="209"/>
      <c r="AF7" s="209"/>
      <c r="AG7" s="209"/>
      <c r="AH7" s="209"/>
      <c r="AI7" s="209"/>
      <c r="AJ7" s="203" t="s">
        <v>48</v>
      </c>
      <c r="AK7" s="201">
        <v>8263843.8228281401</v>
      </c>
      <c r="AL7" s="201">
        <v>7973485.6850805897</v>
      </c>
      <c r="AM7" s="203">
        <f t="shared" si="0"/>
        <v>16237329.50790873</v>
      </c>
      <c r="AN7" s="201">
        <v>3336.8966571769201</v>
      </c>
      <c r="AO7" s="201">
        <v>2009.2277396817999</v>
      </c>
      <c r="AP7" s="201">
        <v>5346.1243968587196</v>
      </c>
      <c r="AQ7" s="203">
        <f t="shared" si="1"/>
        <v>4.037947387097318E-4</v>
      </c>
      <c r="AR7" s="203">
        <f t="shared" si="1"/>
        <v>2.5198863069903312E-4</v>
      </c>
      <c r="AS7" s="203">
        <f t="shared" si="1"/>
        <v>3.2924899345392836E-4</v>
      </c>
      <c r="AT7" s="201">
        <v>8</v>
      </c>
      <c r="AU7" s="201" t="s">
        <v>49</v>
      </c>
      <c r="AV7" s="201">
        <v>294</v>
      </c>
      <c r="AW7" s="201" t="s">
        <v>278</v>
      </c>
      <c r="AX7" s="201">
        <v>1</v>
      </c>
      <c r="AY7" s="201" t="s">
        <v>279</v>
      </c>
      <c r="AZ7" s="201">
        <v>2018</v>
      </c>
      <c r="BA7" s="201">
        <v>15254.8307613454</v>
      </c>
      <c r="BB7" s="201"/>
      <c r="BC7" s="201"/>
      <c r="BD7" s="201" t="s">
        <v>48</v>
      </c>
      <c r="BE7" s="201">
        <v>294</v>
      </c>
      <c r="BF7" s="201" t="s">
        <v>278</v>
      </c>
      <c r="BG7" s="201">
        <v>1</v>
      </c>
      <c r="BH7" s="201" t="s">
        <v>279</v>
      </c>
      <c r="BI7" s="201">
        <v>2018</v>
      </c>
      <c r="BJ7" s="201">
        <v>5346.1243968587196</v>
      </c>
      <c r="BK7" s="209"/>
      <c r="BL7" s="209"/>
      <c r="BM7" s="209"/>
      <c r="BN7" s="209"/>
      <c r="BO7" s="209"/>
      <c r="BP7" s="209"/>
      <c r="BQ7" s="209"/>
      <c r="BR7" s="209"/>
      <c r="BS7" s="209"/>
      <c r="BT7" s="209"/>
      <c r="BU7" s="209"/>
    </row>
    <row r="8" spans="1:73" ht="15.75" customHeight="1" x14ac:dyDescent="0.25">
      <c r="A8" s="13" t="s">
        <v>48</v>
      </c>
      <c r="B8" s="203">
        <v>2.9644342643395501E-4</v>
      </c>
      <c r="C8" s="203">
        <v>3.1142713112742004E-4</v>
      </c>
      <c r="D8" s="14">
        <v>4.0000000000000002E-4</v>
      </c>
      <c r="E8" s="14">
        <v>2.0000000000000001E-4</v>
      </c>
      <c r="F8" s="14">
        <v>4.0000000000000002E-4</v>
      </c>
      <c r="G8" s="14">
        <v>2.9999999999999997E-4</v>
      </c>
      <c r="H8" s="14">
        <v>4.0000000000000002E-4</v>
      </c>
      <c r="I8" s="14">
        <v>2.9999999999999997E-4</v>
      </c>
      <c r="J8" s="14">
        <v>4.0000000000000002E-4</v>
      </c>
      <c r="K8" s="14">
        <v>2.9999999999999997E-4</v>
      </c>
      <c r="L8" s="14">
        <v>2E-3</v>
      </c>
      <c r="M8" s="14">
        <v>1E-3</v>
      </c>
      <c r="N8" s="14">
        <v>2E-3</v>
      </c>
      <c r="O8" s="14">
        <v>1E-3</v>
      </c>
      <c r="P8" s="14">
        <v>2E-3</v>
      </c>
      <c r="Q8" s="14">
        <v>1E-3</v>
      </c>
      <c r="R8" s="14">
        <v>2E-3</v>
      </c>
      <c r="S8" s="14">
        <v>1E-3</v>
      </c>
      <c r="T8" s="14">
        <v>2E-3</v>
      </c>
      <c r="U8" s="14">
        <v>1E-3</v>
      </c>
      <c r="V8" s="15"/>
      <c r="W8" s="209"/>
      <c r="X8" s="209"/>
      <c r="Y8" s="209"/>
      <c r="Z8" s="209"/>
      <c r="AA8" s="209"/>
      <c r="AB8" s="209"/>
      <c r="AC8" s="209"/>
      <c r="AD8" s="209"/>
      <c r="AE8" s="209"/>
      <c r="AF8" s="209"/>
      <c r="AG8" s="209"/>
      <c r="AH8" s="209"/>
      <c r="AI8" s="209"/>
      <c r="AJ8" s="203" t="s">
        <v>49</v>
      </c>
      <c r="AK8" s="201">
        <v>8475995.5845241304</v>
      </c>
      <c r="AL8" s="201">
        <v>8252474.3977318099</v>
      </c>
      <c r="AM8" s="203">
        <f t="shared" si="0"/>
        <v>16728469.982255939</v>
      </c>
      <c r="AN8" s="201">
        <v>15254.8307613454</v>
      </c>
      <c r="AO8" s="201">
        <v>3542.61586178075</v>
      </c>
      <c r="AP8" s="201">
        <v>18797.446623126201</v>
      </c>
      <c r="AQ8" s="203">
        <f t="shared" si="1"/>
        <v>1.7997686064393881E-3</v>
      </c>
      <c r="AR8" s="203">
        <f t="shared" si="1"/>
        <v>4.2927923081523728E-4</v>
      </c>
      <c r="AS8" s="203">
        <f t="shared" si="1"/>
        <v>1.1236799685246078E-3</v>
      </c>
      <c r="AT8" s="201">
        <v>9</v>
      </c>
      <c r="AU8" s="201" t="s">
        <v>50</v>
      </c>
      <c r="AV8" s="201">
        <v>294</v>
      </c>
      <c r="AW8" s="201" t="s">
        <v>278</v>
      </c>
      <c r="AX8" s="201">
        <v>1</v>
      </c>
      <c r="AY8" s="201" t="s">
        <v>279</v>
      </c>
      <c r="AZ8" s="201">
        <v>2018</v>
      </c>
      <c r="BA8" s="201">
        <v>22326.775358069899</v>
      </c>
      <c r="BB8" s="201"/>
      <c r="BC8" s="201"/>
      <c r="BD8" s="201" t="s">
        <v>49</v>
      </c>
      <c r="BE8" s="201">
        <v>294</v>
      </c>
      <c r="BF8" s="201" t="s">
        <v>278</v>
      </c>
      <c r="BG8" s="201">
        <v>1</v>
      </c>
      <c r="BH8" s="201" t="s">
        <v>279</v>
      </c>
      <c r="BI8" s="201">
        <v>2018</v>
      </c>
      <c r="BJ8" s="201">
        <v>18797.446623126201</v>
      </c>
      <c r="BK8" s="209"/>
      <c r="BL8" s="209"/>
      <c r="BM8" s="209"/>
      <c r="BN8" s="209"/>
      <c r="BO8" s="209"/>
      <c r="BP8" s="209"/>
      <c r="BQ8" s="209"/>
      <c r="BR8" s="209"/>
      <c r="BS8" s="209"/>
      <c r="BT8" s="209"/>
      <c r="BU8" s="209"/>
    </row>
    <row r="9" spans="1:73" ht="15.75" customHeight="1" x14ac:dyDescent="0.25">
      <c r="A9" s="13" t="s">
        <v>49</v>
      </c>
      <c r="B9" s="203">
        <v>8.5941874873376903E-4</v>
      </c>
      <c r="C9" s="203">
        <v>8.6701034968518205E-4</v>
      </c>
      <c r="D9" s="14">
        <v>2E-3</v>
      </c>
      <c r="E9" s="14">
        <v>5.0000000000000001E-4</v>
      </c>
      <c r="F9" s="14">
        <v>2E-3</v>
      </c>
      <c r="G9" s="14">
        <v>5.0000000000000001E-4</v>
      </c>
      <c r="H9" s="14">
        <v>2E-3</v>
      </c>
      <c r="I9" s="14">
        <v>5.0000000000000001E-4</v>
      </c>
      <c r="J9" s="14">
        <v>2E-3</v>
      </c>
      <c r="K9" s="14">
        <v>5.0000000000000001E-4</v>
      </c>
      <c r="L9" s="14">
        <v>0.01</v>
      </c>
      <c r="M9" s="14">
        <v>2E-3</v>
      </c>
      <c r="N9" s="14">
        <v>0.01</v>
      </c>
      <c r="O9" s="14">
        <v>2E-3</v>
      </c>
      <c r="P9" s="14">
        <v>8.9999999999999993E-3</v>
      </c>
      <c r="Q9" s="14">
        <v>2E-3</v>
      </c>
      <c r="R9" s="14">
        <v>8.0000000000000002E-3</v>
      </c>
      <c r="S9" s="14">
        <v>2E-3</v>
      </c>
      <c r="T9" s="14">
        <v>8.0000000000000002E-3</v>
      </c>
      <c r="U9" s="14">
        <v>2E-3</v>
      </c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209"/>
      <c r="AG9" s="209"/>
      <c r="AH9" s="209"/>
      <c r="AI9" s="209"/>
      <c r="AJ9" s="203" t="s">
        <v>50</v>
      </c>
      <c r="AK9" s="201">
        <v>8782788.4159078896</v>
      </c>
      <c r="AL9" s="201">
        <v>8705530.3616814297</v>
      </c>
      <c r="AM9" s="203">
        <f t="shared" si="0"/>
        <v>17488318.777589321</v>
      </c>
      <c r="AN9" s="201">
        <v>22326.775358069899</v>
      </c>
      <c r="AO9" s="201">
        <v>4669.1238967639802</v>
      </c>
      <c r="AP9" s="201">
        <v>26995.899254833799</v>
      </c>
      <c r="AQ9" s="203">
        <f t="shared" si="1"/>
        <v>2.5421055706670976E-3</v>
      </c>
      <c r="AR9" s="203">
        <f t="shared" si="1"/>
        <v>5.3633997043026364E-4</v>
      </c>
      <c r="AS9" s="203">
        <f t="shared" si="1"/>
        <v>1.5436532006397388E-3</v>
      </c>
      <c r="AT9" s="201">
        <v>10</v>
      </c>
      <c r="AU9" s="201" t="s">
        <v>51</v>
      </c>
      <c r="AV9" s="201">
        <v>294</v>
      </c>
      <c r="AW9" s="201" t="s">
        <v>278</v>
      </c>
      <c r="AX9" s="201">
        <v>1</v>
      </c>
      <c r="AY9" s="201" t="s">
        <v>279</v>
      </c>
      <c r="AZ9" s="201">
        <v>2018</v>
      </c>
      <c r="BA9" s="201">
        <v>21079.5481190555</v>
      </c>
      <c r="BB9" s="201"/>
      <c r="BC9" s="201"/>
      <c r="BD9" s="201" t="s">
        <v>50</v>
      </c>
      <c r="BE9" s="201">
        <v>294</v>
      </c>
      <c r="BF9" s="201" t="s">
        <v>278</v>
      </c>
      <c r="BG9" s="201">
        <v>1</v>
      </c>
      <c r="BH9" s="201" t="s">
        <v>279</v>
      </c>
      <c r="BI9" s="201">
        <v>2018</v>
      </c>
      <c r="BJ9" s="201">
        <v>26995.899254833799</v>
      </c>
      <c r="BK9" s="209"/>
      <c r="BL9" s="209"/>
      <c r="BM9" s="209"/>
      <c r="BN9" s="209"/>
      <c r="BO9" s="209"/>
      <c r="BP9" s="209"/>
      <c r="BQ9" s="209"/>
      <c r="BR9" s="209"/>
      <c r="BS9" s="209"/>
      <c r="BT9" s="209"/>
      <c r="BU9" s="209"/>
    </row>
    <row r="10" spans="1:73" ht="15.75" customHeight="1" x14ac:dyDescent="0.25">
      <c r="A10" s="13" t="s">
        <v>50</v>
      </c>
      <c r="B10" s="203">
        <v>1.51677235571833E-3</v>
      </c>
      <c r="C10" s="203">
        <v>1.5414068840978899E-3</v>
      </c>
      <c r="D10" s="14">
        <v>3.0000000000000001E-3</v>
      </c>
      <c r="E10" s="14">
        <v>5.0000000000000001E-4</v>
      </c>
      <c r="F10" s="14">
        <v>3.0000000000000001E-3</v>
      </c>
      <c r="G10" s="14">
        <v>5.9999999999999995E-4</v>
      </c>
      <c r="H10" s="14">
        <v>2E-3</v>
      </c>
      <c r="I10" s="14">
        <v>5.9999999999999995E-4</v>
      </c>
      <c r="J10" s="14">
        <v>3.0000000000000001E-3</v>
      </c>
      <c r="K10" s="14">
        <v>5.9999999999999995E-4</v>
      </c>
      <c r="L10" s="14">
        <v>1.4E-2</v>
      </c>
      <c r="M10" s="14">
        <v>3.0000000000000001E-3</v>
      </c>
      <c r="N10" s="14">
        <v>1.2999999999999999E-2</v>
      </c>
      <c r="O10" s="14">
        <v>3.0000000000000001E-3</v>
      </c>
      <c r="P10" s="14">
        <v>1.2999999999999999E-2</v>
      </c>
      <c r="Q10" s="14">
        <v>3.0000000000000001E-3</v>
      </c>
      <c r="R10" s="14">
        <v>1.2E-2</v>
      </c>
      <c r="S10" s="14">
        <v>3.0000000000000001E-3</v>
      </c>
      <c r="T10" s="14">
        <v>1.2999999999999999E-2</v>
      </c>
      <c r="U10" s="14">
        <v>3.0000000000000001E-3</v>
      </c>
      <c r="V10" s="15"/>
      <c r="W10" s="209"/>
      <c r="X10" s="209"/>
      <c r="Y10" s="209"/>
      <c r="Z10" s="209"/>
      <c r="AA10" s="209"/>
      <c r="AB10" s="209"/>
      <c r="AC10" s="209"/>
      <c r="AD10" s="209"/>
      <c r="AE10" s="209"/>
      <c r="AF10" s="209"/>
      <c r="AG10" s="209"/>
      <c r="AH10" s="209"/>
      <c r="AI10" s="209"/>
      <c r="AJ10" s="203" t="s">
        <v>51</v>
      </c>
      <c r="AK10" s="201">
        <v>8500337.1089886595</v>
      </c>
      <c r="AL10" s="201">
        <v>8697552.5899304301</v>
      </c>
      <c r="AM10" s="203">
        <f t="shared" si="0"/>
        <v>17197889.698919088</v>
      </c>
      <c r="AN10" s="201">
        <v>21079.5481190555</v>
      </c>
      <c r="AO10" s="201">
        <v>5458.81797078001</v>
      </c>
      <c r="AP10" s="201">
        <v>26538.366089835501</v>
      </c>
      <c r="AQ10" s="203">
        <f t="shared" si="1"/>
        <v>2.4798484870400006E-3</v>
      </c>
      <c r="AR10" s="203">
        <f t="shared" si="1"/>
        <v>6.2762690013509585E-4</v>
      </c>
      <c r="AS10" s="203">
        <f t="shared" si="1"/>
        <v>1.5431175891018464E-3</v>
      </c>
      <c r="AT10" s="201">
        <v>11</v>
      </c>
      <c r="AU10" s="201" t="s">
        <v>52</v>
      </c>
      <c r="AV10" s="201">
        <v>294</v>
      </c>
      <c r="AW10" s="201" t="s">
        <v>278</v>
      </c>
      <c r="AX10" s="201">
        <v>1</v>
      </c>
      <c r="AY10" s="201" t="s">
        <v>279</v>
      </c>
      <c r="AZ10" s="201">
        <v>2018</v>
      </c>
      <c r="BA10" s="201">
        <v>22403.600675361198</v>
      </c>
      <c r="BB10" s="201"/>
      <c r="BC10" s="201"/>
      <c r="BD10" s="201" t="s">
        <v>51</v>
      </c>
      <c r="BE10" s="201">
        <v>294</v>
      </c>
      <c r="BF10" s="201" t="s">
        <v>278</v>
      </c>
      <c r="BG10" s="201">
        <v>1</v>
      </c>
      <c r="BH10" s="201" t="s">
        <v>279</v>
      </c>
      <c r="BI10" s="201">
        <v>2018</v>
      </c>
      <c r="BJ10" s="201">
        <v>26538.366089835501</v>
      </c>
      <c r="BK10" s="209"/>
      <c r="BL10" s="209"/>
      <c r="BM10" s="209"/>
      <c r="BN10" s="209"/>
      <c r="BO10" s="209"/>
      <c r="BP10" s="209"/>
      <c r="BQ10" s="209"/>
      <c r="BR10" s="209"/>
      <c r="BS10" s="209"/>
      <c r="BT10" s="209"/>
      <c r="BU10" s="209"/>
    </row>
    <row r="11" spans="1:73" ht="15.75" customHeight="1" x14ac:dyDescent="0.25">
      <c r="A11" s="13" t="s">
        <v>51</v>
      </c>
      <c r="B11" s="203">
        <v>1.6797752517865999E-3</v>
      </c>
      <c r="C11" s="203">
        <v>1.7454246918024001E-3</v>
      </c>
      <c r="D11" s="14">
        <v>3.0000000000000001E-3</v>
      </c>
      <c r="E11" s="14">
        <v>6.9999999999999999E-4</v>
      </c>
      <c r="F11" s="14">
        <v>3.0000000000000001E-3</v>
      </c>
      <c r="G11" s="14">
        <v>6.9999999999999999E-4</v>
      </c>
      <c r="H11" s="14">
        <v>3.0000000000000001E-3</v>
      </c>
      <c r="I11" s="14">
        <v>6.9999999999999999E-4</v>
      </c>
      <c r="J11" s="14">
        <v>3.0000000000000001E-3</v>
      </c>
      <c r="K11" s="14">
        <v>8.0000000000000004E-4</v>
      </c>
      <c r="L11" s="14">
        <v>1.2E-2</v>
      </c>
      <c r="M11" s="14">
        <v>3.0000000000000001E-3</v>
      </c>
      <c r="N11" s="14">
        <v>1.2E-2</v>
      </c>
      <c r="O11" s="14">
        <v>3.0000000000000001E-3</v>
      </c>
      <c r="P11" s="14">
        <v>1.2999999999999999E-2</v>
      </c>
      <c r="Q11" s="14">
        <v>4.0000000000000001E-3</v>
      </c>
      <c r="R11" s="14">
        <v>1.2999999999999999E-2</v>
      </c>
      <c r="S11" s="14">
        <v>4.0000000000000001E-3</v>
      </c>
      <c r="T11" s="14">
        <v>1.4E-2</v>
      </c>
      <c r="U11" s="14">
        <v>4.0000000000000001E-3</v>
      </c>
      <c r="V11" s="15"/>
      <c r="W11" s="209"/>
      <c r="X11" s="209"/>
      <c r="Y11" s="209"/>
      <c r="Z11" s="209"/>
      <c r="AA11" s="209"/>
      <c r="AB11" s="209"/>
      <c r="AC11" s="209"/>
      <c r="AD11" s="209"/>
      <c r="AE11" s="209"/>
      <c r="AF11" s="209"/>
      <c r="AG11" s="209"/>
      <c r="AH11" s="209"/>
      <c r="AI11" s="209"/>
      <c r="AJ11" s="203" t="s">
        <v>52</v>
      </c>
      <c r="AK11" s="201">
        <v>8635778.9935305491</v>
      </c>
      <c r="AL11" s="201">
        <v>8974535.1172717996</v>
      </c>
      <c r="AM11" s="203">
        <f t="shared" si="0"/>
        <v>17610314.110802349</v>
      </c>
      <c r="AN11" s="201">
        <v>22403.600675361198</v>
      </c>
      <c r="AO11" s="201">
        <v>7680.1935559929698</v>
      </c>
      <c r="AP11" s="201">
        <v>30083.794231354201</v>
      </c>
      <c r="AQ11" s="203">
        <f t="shared" si="1"/>
        <v>2.5942767516566535E-3</v>
      </c>
      <c r="AR11" s="203">
        <f t="shared" si="1"/>
        <v>8.55776199617535E-4</v>
      </c>
      <c r="AS11" s="203">
        <f t="shared" si="1"/>
        <v>1.7083053738888446E-3</v>
      </c>
      <c r="AT11" s="201">
        <v>12</v>
      </c>
      <c r="AU11" s="201" t="s">
        <v>53</v>
      </c>
      <c r="AV11" s="201">
        <v>294</v>
      </c>
      <c r="AW11" s="201" t="s">
        <v>278</v>
      </c>
      <c r="AX11" s="201">
        <v>1</v>
      </c>
      <c r="AY11" s="201" t="s">
        <v>279</v>
      </c>
      <c r="AZ11" s="201">
        <v>2018</v>
      </c>
      <c r="BA11" s="201">
        <v>25275.606728036899</v>
      </c>
      <c r="BB11" s="201"/>
      <c r="BC11" s="201"/>
      <c r="BD11" s="201" t="s">
        <v>52</v>
      </c>
      <c r="BE11" s="201">
        <v>294</v>
      </c>
      <c r="BF11" s="201" t="s">
        <v>278</v>
      </c>
      <c r="BG11" s="201">
        <v>1</v>
      </c>
      <c r="BH11" s="201" t="s">
        <v>279</v>
      </c>
      <c r="BI11" s="201">
        <v>2018</v>
      </c>
      <c r="BJ11" s="201">
        <v>30083.794231354201</v>
      </c>
      <c r="BK11" s="209"/>
      <c r="BL11" s="209"/>
      <c r="BM11" s="209"/>
      <c r="BN11" s="209"/>
      <c r="BO11" s="209"/>
      <c r="BP11" s="209"/>
      <c r="BQ11" s="209"/>
      <c r="BR11" s="209"/>
      <c r="BS11" s="209"/>
      <c r="BT11" s="209"/>
      <c r="BU11" s="209"/>
    </row>
    <row r="12" spans="1:73" ht="15.75" customHeight="1" x14ac:dyDescent="0.25">
      <c r="A12" s="13" t="s">
        <v>52</v>
      </c>
      <c r="B12" s="203">
        <v>1.66647272582987E-3</v>
      </c>
      <c r="C12" s="203">
        <v>1.7314633368858E-3</v>
      </c>
      <c r="D12" s="14">
        <v>3.0000000000000001E-3</v>
      </c>
      <c r="E12" s="14">
        <v>8.9999999999999998E-4</v>
      </c>
      <c r="F12" s="14">
        <v>3.0000000000000001E-3</v>
      </c>
      <c r="G12" s="14">
        <v>1E-3</v>
      </c>
      <c r="H12" s="14">
        <v>3.0000000000000001E-3</v>
      </c>
      <c r="I12" s="14">
        <v>1E-3</v>
      </c>
      <c r="J12" s="14">
        <v>3.0000000000000001E-3</v>
      </c>
      <c r="K12" s="14">
        <v>1E-3</v>
      </c>
      <c r="L12" s="14">
        <v>1.2E-2</v>
      </c>
      <c r="M12" s="14">
        <v>4.0000000000000001E-3</v>
      </c>
      <c r="N12" s="14">
        <v>1.2999999999999999E-2</v>
      </c>
      <c r="O12" s="14">
        <v>4.0000000000000001E-3</v>
      </c>
      <c r="P12" s="14">
        <v>1.4E-2</v>
      </c>
      <c r="Q12" s="14">
        <v>5.0000000000000001E-3</v>
      </c>
      <c r="R12" s="14">
        <v>1.4E-2</v>
      </c>
      <c r="S12" s="14">
        <v>5.0000000000000001E-3</v>
      </c>
      <c r="T12" s="14">
        <v>1.4999999999999999E-2</v>
      </c>
      <c r="U12" s="14">
        <v>5.0000000000000001E-3</v>
      </c>
      <c r="V12" s="15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3" t="s">
        <v>53</v>
      </c>
      <c r="AK12" s="201">
        <v>8468548.9243034292</v>
      </c>
      <c r="AL12" s="201">
        <v>8844454.7435366604</v>
      </c>
      <c r="AM12" s="203">
        <f t="shared" si="0"/>
        <v>17313003.66784009</v>
      </c>
      <c r="AN12" s="201">
        <v>25275.606728036899</v>
      </c>
      <c r="AO12" s="201">
        <v>10924.289319036799</v>
      </c>
      <c r="AP12" s="201">
        <v>36199.896047073802</v>
      </c>
      <c r="AQ12" s="203">
        <f t="shared" si="1"/>
        <v>2.9846443533554853E-3</v>
      </c>
      <c r="AR12" s="203">
        <f t="shared" si="1"/>
        <v>1.2351569017886646E-3</v>
      </c>
      <c r="AS12" s="203">
        <f t="shared" si="1"/>
        <v>2.0909078945276962E-3</v>
      </c>
      <c r="AT12" s="201">
        <v>13</v>
      </c>
      <c r="AU12" s="201" t="s">
        <v>54</v>
      </c>
      <c r="AV12" s="201">
        <v>294</v>
      </c>
      <c r="AW12" s="201" t="s">
        <v>278</v>
      </c>
      <c r="AX12" s="201">
        <v>1</v>
      </c>
      <c r="AY12" s="201" t="s">
        <v>279</v>
      </c>
      <c r="AZ12" s="201">
        <v>2018</v>
      </c>
      <c r="BA12" s="201">
        <v>28188.270046498299</v>
      </c>
      <c r="BB12" s="201"/>
      <c r="BC12" s="201"/>
      <c r="BD12" s="201" t="s">
        <v>53</v>
      </c>
      <c r="BE12" s="201">
        <v>294</v>
      </c>
      <c r="BF12" s="201" t="s">
        <v>278</v>
      </c>
      <c r="BG12" s="201">
        <v>1</v>
      </c>
      <c r="BH12" s="201" t="s">
        <v>279</v>
      </c>
      <c r="BI12" s="201">
        <v>2018</v>
      </c>
      <c r="BJ12" s="201">
        <v>36199.896047073802</v>
      </c>
      <c r="BK12" s="209"/>
      <c r="BL12" s="209"/>
      <c r="BM12" s="209"/>
      <c r="BN12" s="209"/>
      <c r="BO12" s="209"/>
      <c r="BP12" s="209"/>
      <c r="BQ12" s="209"/>
      <c r="BR12" s="209"/>
      <c r="BS12" s="209"/>
      <c r="BT12" s="209"/>
      <c r="BU12" s="209"/>
    </row>
    <row r="13" spans="1:73" ht="15.75" customHeight="1" x14ac:dyDescent="0.25">
      <c r="A13" s="13" t="s">
        <v>53</v>
      </c>
      <c r="B13" s="203">
        <v>1.72574433303653E-3</v>
      </c>
      <c r="C13" s="203">
        <v>1.7879893646741498E-3</v>
      </c>
      <c r="D13" s="14">
        <v>3.0000000000000001E-3</v>
      </c>
      <c r="E13" s="14">
        <v>1E-3</v>
      </c>
      <c r="F13" s="14">
        <v>3.0000000000000001E-3</v>
      </c>
      <c r="G13" s="14">
        <v>1E-3</v>
      </c>
      <c r="H13" s="14">
        <v>3.0000000000000001E-3</v>
      </c>
      <c r="I13" s="14">
        <v>1E-3</v>
      </c>
      <c r="J13" s="14">
        <v>4.0000000000000001E-3</v>
      </c>
      <c r="K13" s="14">
        <v>2E-3</v>
      </c>
      <c r="L13" s="14">
        <v>1.4E-2</v>
      </c>
      <c r="M13" s="14">
        <v>6.0000000000000001E-3</v>
      </c>
      <c r="N13" s="14">
        <v>1.4999999999999999E-2</v>
      </c>
      <c r="O13" s="14">
        <v>6.0000000000000001E-3</v>
      </c>
      <c r="P13" s="14">
        <v>1.6E-2</v>
      </c>
      <c r="Q13" s="14">
        <v>7.0000000000000001E-3</v>
      </c>
      <c r="R13" s="14">
        <v>1.7000000000000001E-2</v>
      </c>
      <c r="S13" s="14">
        <v>7.0000000000000001E-3</v>
      </c>
      <c r="T13" s="14">
        <v>1.9E-2</v>
      </c>
      <c r="U13" s="14">
        <v>8.0000000000000002E-3</v>
      </c>
      <c r="V13" s="15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G13" s="209"/>
      <c r="AH13" s="209"/>
      <c r="AI13" s="209"/>
      <c r="AJ13" s="203" t="s">
        <v>54</v>
      </c>
      <c r="AK13" s="201">
        <v>7417192.4046584396</v>
      </c>
      <c r="AL13" s="201">
        <v>7853584.1779443696</v>
      </c>
      <c r="AM13" s="203">
        <f t="shared" si="0"/>
        <v>15270776.58260281</v>
      </c>
      <c r="AN13" s="201">
        <v>28188.270046498299</v>
      </c>
      <c r="AO13" s="201">
        <v>13912.761183926599</v>
      </c>
      <c r="AP13" s="201">
        <v>42101.031230425098</v>
      </c>
      <c r="AQ13" s="203">
        <f t="shared" si="1"/>
        <v>3.8003962292786665E-3</v>
      </c>
      <c r="AR13" s="203">
        <f t="shared" si="1"/>
        <v>1.7715174204153224E-3</v>
      </c>
      <c r="AS13" s="203">
        <f t="shared" si="1"/>
        <v>2.7569672703082163E-3</v>
      </c>
      <c r="AT13" s="201">
        <v>14</v>
      </c>
      <c r="AU13" s="201" t="s">
        <v>55</v>
      </c>
      <c r="AV13" s="201">
        <v>294</v>
      </c>
      <c r="AW13" s="201" t="s">
        <v>278</v>
      </c>
      <c r="AX13" s="201">
        <v>1</v>
      </c>
      <c r="AY13" s="201" t="s">
        <v>279</v>
      </c>
      <c r="AZ13" s="201">
        <v>2018</v>
      </c>
      <c r="BA13" s="201">
        <v>34276.933301627701</v>
      </c>
      <c r="BB13" s="201"/>
      <c r="BC13" s="201"/>
      <c r="BD13" s="201" t="s">
        <v>54</v>
      </c>
      <c r="BE13" s="201">
        <v>294</v>
      </c>
      <c r="BF13" s="201" t="s">
        <v>278</v>
      </c>
      <c r="BG13" s="201">
        <v>1</v>
      </c>
      <c r="BH13" s="201" t="s">
        <v>279</v>
      </c>
      <c r="BI13" s="201">
        <v>2018</v>
      </c>
      <c r="BJ13" s="201">
        <v>42101.031230425098</v>
      </c>
      <c r="BK13" s="209"/>
      <c r="BL13" s="209"/>
      <c r="BM13" s="209"/>
      <c r="BN13" s="209"/>
      <c r="BO13" s="209"/>
      <c r="BP13" s="209"/>
      <c r="BQ13" s="209"/>
      <c r="BR13" s="209"/>
      <c r="BS13" s="209"/>
      <c r="BT13" s="209"/>
      <c r="BU13" s="209"/>
    </row>
    <row r="14" spans="1:73" ht="15.75" customHeight="1" x14ac:dyDescent="0.25">
      <c r="A14" s="13" t="s">
        <v>54</v>
      </c>
      <c r="B14" s="203">
        <v>1.8498027406281599E-3</v>
      </c>
      <c r="C14" s="203">
        <v>1.90287772927966E-3</v>
      </c>
      <c r="D14" s="14">
        <v>4.0000000000000001E-3</v>
      </c>
      <c r="E14" s="14">
        <v>2E-3</v>
      </c>
      <c r="F14" s="14">
        <v>4.0000000000000001E-3</v>
      </c>
      <c r="G14" s="14">
        <v>2E-3</v>
      </c>
      <c r="H14" s="14">
        <v>4.0000000000000001E-3</v>
      </c>
      <c r="I14" s="14">
        <v>2E-3</v>
      </c>
      <c r="J14" s="14">
        <v>5.0000000000000001E-3</v>
      </c>
      <c r="K14" s="14">
        <v>2E-3</v>
      </c>
      <c r="L14" s="14">
        <v>1.7000000000000001E-2</v>
      </c>
      <c r="M14" s="14">
        <v>8.9999999999999993E-3</v>
      </c>
      <c r="N14" s="14">
        <v>1.9E-2</v>
      </c>
      <c r="O14" s="14">
        <v>8.9999999999999993E-3</v>
      </c>
      <c r="P14" s="14">
        <v>2.1000000000000001E-2</v>
      </c>
      <c r="Q14" s="14">
        <v>0.01</v>
      </c>
      <c r="R14" s="14">
        <v>2.1999999999999999E-2</v>
      </c>
      <c r="S14" s="14">
        <v>0.01</v>
      </c>
      <c r="T14" s="14">
        <v>2.5000000000000001E-2</v>
      </c>
      <c r="U14" s="14">
        <v>1.2E-2</v>
      </c>
      <c r="V14" s="15"/>
      <c r="W14" s="209"/>
      <c r="X14" s="209"/>
      <c r="Y14" s="209"/>
      <c r="Z14" s="209"/>
      <c r="AA14" s="209"/>
      <c r="AB14" s="209"/>
      <c r="AC14" s="209"/>
      <c r="AD14" s="209"/>
      <c r="AE14" s="209"/>
      <c r="AF14" s="209"/>
      <c r="AG14" s="209"/>
      <c r="AH14" s="209"/>
      <c r="AI14" s="209"/>
      <c r="AJ14" s="203" t="s">
        <v>55</v>
      </c>
      <c r="AK14" s="201">
        <v>6525191.7896460099</v>
      </c>
      <c r="AL14" s="201">
        <v>6945509.3971853796</v>
      </c>
      <c r="AM14" s="203">
        <f t="shared" si="0"/>
        <v>13470701.186831389</v>
      </c>
      <c r="AN14" s="201">
        <v>34276.933301627701</v>
      </c>
      <c r="AO14" s="201">
        <v>18566.4493424018</v>
      </c>
      <c r="AP14" s="201">
        <v>52843.382644029603</v>
      </c>
      <c r="AQ14" s="203">
        <f t="shared" si="1"/>
        <v>5.2530154525139584E-3</v>
      </c>
      <c r="AR14" s="203">
        <f t="shared" si="1"/>
        <v>2.6731587678688806E-3</v>
      </c>
      <c r="AS14" s="203">
        <f t="shared" si="1"/>
        <v>3.9228383074585557E-3</v>
      </c>
      <c r="AT14" s="201">
        <v>15</v>
      </c>
      <c r="AU14" s="201" t="s">
        <v>56</v>
      </c>
      <c r="AV14" s="201">
        <v>294</v>
      </c>
      <c r="AW14" s="201" t="s">
        <v>278</v>
      </c>
      <c r="AX14" s="201">
        <v>1</v>
      </c>
      <c r="AY14" s="201" t="s">
        <v>279</v>
      </c>
      <c r="AZ14" s="201">
        <v>2018</v>
      </c>
      <c r="BA14" s="201">
        <v>45077.756076455502</v>
      </c>
      <c r="BB14" s="201"/>
      <c r="BC14" s="201"/>
      <c r="BD14" s="201" t="s">
        <v>55</v>
      </c>
      <c r="BE14" s="201">
        <v>294</v>
      </c>
      <c r="BF14" s="201" t="s">
        <v>278</v>
      </c>
      <c r="BG14" s="201">
        <v>1</v>
      </c>
      <c r="BH14" s="201" t="s">
        <v>279</v>
      </c>
      <c r="BI14" s="201">
        <v>2018</v>
      </c>
      <c r="BJ14" s="201">
        <v>52843.382644029603</v>
      </c>
      <c r="BK14" s="209"/>
      <c r="BL14" s="209"/>
      <c r="BM14" s="209"/>
      <c r="BN14" s="209"/>
      <c r="BO14" s="209"/>
      <c r="BP14" s="209"/>
      <c r="BQ14" s="209"/>
      <c r="BR14" s="209"/>
      <c r="BS14" s="209"/>
      <c r="BT14" s="209"/>
      <c r="BU14" s="209"/>
    </row>
    <row r="15" spans="1:73" ht="15.75" customHeight="1" x14ac:dyDescent="0.25">
      <c r="A15" s="13" t="s">
        <v>55</v>
      </c>
      <c r="B15" s="203">
        <v>2.28949226423036E-3</v>
      </c>
      <c r="C15" s="203">
        <v>2.3721698808186801E-3</v>
      </c>
      <c r="D15" s="14">
        <v>5.0000000000000001E-3</v>
      </c>
      <c r="E15" s="14">
        <v>3.0000000000000001E-3</v>
      </c>
      <c r="F15" s="14">
        <v>6.0000000000000001E-3</v>
      </c>
      <c r="G15" s="14">
        <v>3.0000000000000001E-3</v>
      </c>
      <c r="H15" s="14">
        <v>6.0000000000000001E-3</v>
      </c>
      <c r="I15" s="14">
        <v>3.0000000000000001E-3</v>
      </c>
      <c r="J15" s="14">
        <v>7.0000000000000001E-3</v>
      </c>
      <c r="K15" s="14">
        <v>3.0000000000000001E-3</v>
      </c>
      <c r="L15" s="14">
        <v>2.4E-2</v>
      </c>
      <c r="M15" s="14">
        <v>1.2999999999999999E-2</v>
      </c>
      <c r="N15" s="14">
        <v>2.5999999999999999E-2</v>
      </c>
      <c r="O15" s="14">
        <v>1.2999999999999999E-2</v>
      </c>
      <c r="P15" s="14">
        <v>2.8000000000000001E-2</v>
      </c>
      <c r="Q15" s="14">
        <v>1.4999999999999999E-2</v>
      </c>
      <c r="R15" s="14">
        <v>3.1E-2</v>
      </c>
      <c r="S15" s="14">
        <v>1.6E-2</v>
      </c>
      <c r="T15" s="14">
        <v>3.3000000000000002E-2</v>
      </c>
      <c r="U15" s="14">
        <v>1.7000000000000001E-2</v>
      </c>
      <c r="V15" s="15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G15" s="209"/>
      <c r="AH15" s="209"/>
      <c r="AI15" s="209"/>
      <c r="AJ15" s="203" t="s">
        <v>56</v>
      </c>
      <c r="AK15" s="201">
        <v>5986507.8143200995</v>
      </c>
      <c r="AL15" s="201">
        <v>6540066.2346623298</v>
      </c>
      <c r="AM15" s="203">
        <f t="shared" si="0"/>
        <v>12526574.04898243</v>
      </c>
      <c r="AN15" s="201">
        <v>45077.756076455502</v>
      </c>
      <c r="AO15" s="201">
        <v>25903.4773840659</v>
      </c>
      <c r="AP15" s="201">
        <v>70981.2334605215</v>
      </c>
      <c r="AQ15" s="203">
        <f t="shared" si="1"/>
        <v>7.5298917957856331E-3</v>
      </c>
      <c r="AR15" s="203">
        <f t="shared" si="1"/>
        <v>3.9607362455715747E-3</v>
      </c>
      <c r="AS15" s="203">
        <f t="shared" si="1"/>
        <v>5.6664522305113034E-3</v>
      </c>
      <c r="AT15" s="201">
        <v>16</v>
      </c>
      <c r="AU15" s="201" t="s">
        <v>57</v>
      </c>
      <c r="AV15" s="201">
        <v>294</v>
      </c>
      <c r="AW15" s="201" t="s">
        <v>278</v>
      </c>
      <c r="AX15" s="201">
        <v>1</v>
      </c>
      <c r="AY15" s="201" t="s">
        <v>279</v>
      </c>
      <c r="AZ15" s="201">
        <v>2018</v>
      </c>
      <c r="BA15" s="201">
        <v>56654.046701097002</v>
      </c>
      <c r="BB15" s="201"/>
      <c r="BC15" s="201"/>
      <c r="BD15" s="201" t="s">
        <v>56</v>
      </c>
      <c r="BE15" s="201">
        <v>294</v>
      </c>
      <c r="BF15" s="201" t="s">
        <v>278</v>
      </c>
      <c r="BG15" s="201">
        <v>1</v>
      </c>
      <c r="BH15" s="201" t="s">
        <v>279</v>
      </c>
      <c r="BI15" s="201">
        <v>2018</v>
      </c>
      <c r="BJ15" s="201">
        <v>70981.2334605215</v>
      </c>
      <c r="BK15" s="209"/>
      <c r="BL15" s="209"/>
      <c r="BM15" s="209"/>
      <c r="BN15" s="209"/>
      <c r="BO15" s="209"/>
      <c r="BP15" s="209"/>
      <c r="BQ15" s="209"/>
      <c r="BR15" s="209"/>
      <c r="BS15" s="209"/>
      <c r="BT15" s="209"/>
      <c r="BU15" s="17"/>
    </row>
    <row r="16" spans="1:73" ht="15.75" customHeight="1" x14ac:dyDescent="0.25">
      <c r="A16" s="13" t="s">
        <v>56</v>
      </c>
      <c r="B16" s="203">
        <v>3.2386506864446802E-3</v>
      </c>
      <c r="C16" s="203">
        <v>3.3253439451900401E-3</v>
      </c>
      <c r="D16" s="14">
        <v>8.0000000000000002E-3</v>
      </c>
      <c r="E16" s="14">
        <v>4.0000000000000001E-3</v>
      </c>
      <c r="F16" s="14">
        <v>8.0000000000000002E-3</v>
      </c>
      <c r="G16" s="14">
        <v>4.0000000000000001E-3</v>
      </c>
      <c r="H16" s="14">
        <v>8.9999999999999993E-3</v>
      </c>
      <c r="I16" s="14">
        <v>5.0000000000000001E-3</v>
      </c>
      <c r="J16" s="14">
        <v>8.9999999999999993E-3</v>
      </c>
      <c r="K16" s="14">
        <v>5.0000000000000001E-3</v>
      </c>
      <c r="L16" s="14">
        <v>3.4000000000000002E-2</v>
      </c>
      <c r="M16" s="14">
        <v>1.9E-2</v>
      </c>
      <c r="N16" s="14">
        <v>3.6999999999999998E-2</v>
      </c>
      <c r="O16" s="14">
        <v>0.02</v>
      </c>
      <c r="P16" s="14">
        <v>4.1000000000000002E-2</v>
      </c>
      <c r="Q16" s="14">
        <v>2.1999999999999999E-2</v>
      </c>
      <c r="R16" s="14">
        <v>4.2000000000000003E-2</v>
      </c>
      <c r="S16" s="14">
        <v>2.1999999999999999E-2</v>
      </c>
      <c r="T16" s="14">
        <v>4.5999999999999999E-2</v>
      </c>
      <c r="U16" s="14">
        <v>2.5000000000000001E-2</v>
      </c>
      <c r="V16" s="15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3" t="s">
        <v>57</v>
      </c>
      <c r="AK16" s="201">
        <v>5151140.08142085</v>
      </c>
      <c r="AL16" s="201">
        <v>5779335.2085088901</v>
      </c>
      <c r="AM16" s="203">
        <f t="shared" si="0"/>
        <v>10930475.28992974</v>
      </c>
      <c r="AN16" s="201">
        <v>56654.046701097002</v>
      </c>
      <c r="AO16" s="201">
        <v>34430.949127616899</v>
      </c>
      <c r="AP16" s="201">
        <v>91084.995828714003</v>
      </c>
      <c r="AQ16" s="203">
        <f t="shared" si="1"/>
        <v>1.0998351006884285E-2</v>
      </c>
      <c r="AR16" s="203">
        <f t="shared" si="1"/>
        <v>5.9575968317124714E-3</v>
      </c>
      <c r="AS16" s="203">
        <f t="shared" si="1"/>
        <v>8.3331230722080967E-3</v>
      </c>
      <c r="AT16" s="201">
        <v>17</v>
      </c>
      <c r="AU16" s="201" t="s">
        <v>58</v>
      </c>
      <c r="AV16" s="201">
        <v>294</v>
      </c>
      <c r="AW16" s="201" t="s">
        <v>278</v>
      </c>
      <c r="AX16" s="201">
        <v>1</v>
      </c>
      <c r="AY16" s="201" t="s">
        <v>279</v>
      </c>
      <c r="AZ16" s="201">
        <v>2018</v>
      </c>
      <c r="BA16" s="201">
        <v>65575.341667882298</v>
      </c>
      <c r="BB16" s="201"/>
      <c r="BC16" s="201"/>
      <c r="BD16" s="201" t="s">
        <v>57</v>
      </c>
      <c r="BE16" s="201">
        <v>294</v>
      </c>
      <c r="BF16" s="201" t="s">
        <v>278</v>
      </c>
      <c r="BG16" s="201">
        <v>1</v>
      </c>
      <c r="BH16" s="201" t="s">
        <v>279</v>
      </c>
      <c r="BI16" s="201">
        <v>2018</v>
      </c>
      <c r="BJ16" s="201">
        <v>91084.995828714003</v>
      </c>
      <c r="BK16" s="209"/>
      <c r="BL16" s="209"/>
      <c r="BM16" s="209"/>
      <c r="BN16" s="18"/>
      <c r="BO16" s="209"/>
      <c r="BP16" s="209"/>
      <c r="BQ16" s="209"/>
      <c r="BR16" s="209"/>
      <c r="BS16" s="209"/>
      <c r="BT16" s="18"/>
      <c r="BU16" s="209"/>
    </row>
    <row r="17" spans="1:73" ht="15.75" customHeight="1" x14ac:dyDescent="0.25">
      <c r="A17" s="13" t="s">
        <v>57</v>
      </c>
      <c r="B17" s="203">
        <v>4.8071743737607298E-3</v>
      </c>
      <c r="C17" s="203">
        <v>4.9472369335626497E-3</v>
      </c>
      <c r="D17" s="14">
        <v>1.0999999999999999E-2</v>
      </c>
      <c r="E17" s="14">
        <v>6.0000000000000001E-3</v>
      </c>
      <c r="F17" s="14">
        <v>1.2E-2</v>
      </c>
      <c r="G17" s="14">
        <v>6.0000000000000001E-3</v>
      </c>
      <c r="H17" s="14">
        <v>1.2E-2</v>
      </c>
      <c r="I17" s="14">
        <v>7.0000000000000001E-3</v>
      </c>
      <c r="J17" s="14">
        <v>1.4E-2</v>
      </c>
      <c r="K17" s="14">
        <v>8.0000000000000002E-3</v>
      </c>
      <c r="L17" s="14">
        <v>0.05</v>
      </c>
      <c r="M17" s="14">
        <v>2.8000000000000001E-2</v>
      </c>
      <c r="N17" s="14">
        <v>5.3999999999999999E-2</v>
      </c>
      <c r="O17" s="14">
        <v>0.03</v>
      </c>
      <c r="P17" s="14">
        <v>5.7000000000000002E-2</v>
      </c>
      <c r="Q17" s="14">
        <v>3.1E-2</v>
      </c>
      <c r="R17" s="14">
        <v>0.06</v>
      </c>
      <c r="S17" s="14">
        <v>3.3000000000000002E-2</v>
      </c>
      <c r="T17" s="14">
        <v>6.6000000000000003E-2</v>
      </c>
      <c r="U17" s="14">
        <v>3.6999999999999998E-2</v>
      </c>
      <c r="V17" s="15"/>
      <c r="W17" s="209"/>
      <c r="X17" s="209"/>
      <c r="Y17" s="209"/>
      <c r="Z17" s="209"/>
      <c r="AA17" s="209"/>
      <c r="AB17" s="209"/>
      <c r="AC17" s="209"/>
      <c r="AD17" s="209"/>
      <c r="AE17" s="209"/>
      <c r="AF17" s="209"/>
      <c r="AG17" s="209"/>
      <c r="AH17" s="209"/>
      <c r="AI17" s="209"/>
      <c r="AJ17" s="203" t="s">
        <v>58</v>
      </c>
      <c r="AK17" s="201">
        <v>4135112.4084663498</v>
      </c>
      <c r="AL17" s="201">
        <v>4799491.9843672104</v>
      </c>
      <c r="AM17" s="203">
        <f t="shared" si="0"/>
        <v>8934604.3928335607</v>
      </c>
      <c r="AN17" s="201">
        <v>65575.341667882298</v>
      </c>
      <c r="AO17" s="201">
        <v>43624.184537253401</v>
      </c>
      <c r="AP17" s="201">
        <v>109199.526205135</v>
      </c>
      <c r="AQ17" s="203">
        <f t="shared" si="1"/>
        <v>1.585817631792099E-2</v>
      </c>
      <c r="AR17" s="203">
        <f t="shared" si="1"/>
        <v>9.0893337626867677E-3</v>
      </c>
      <c r="AS17" s="203">
        <f t="shared" si="1"/>
        <v>1.2222088567539023E-2</v>
      </c>
      <c r="AT17" s="201">
        <v>18</v>
      </c>
      <c r="AU17" s="201" t="s">
        <v>59</v>
      </c>
      <c r="AV17" s="201">
        <v>294</v>
      </c>
      <c r="AW17" s="201" t="s">
        <v>278</v>
      </c>
      <c r="AX17" s="201">
        <v>1</v>
      </c>
      <c r="AY17" s="201" t="s">
        <v>279</v>
      </c>
      <c r="AZ17" s="201">
        <v>2018</v>
      </c>
      <c r="BA17" s="201">
        <v>72496.745417217098</v>
      </c>
      <c r="BB17" s="201"/>
      <c r="BC17" s="201"/>
      <c r="BD17" s="201" t="s">
        <v>58</v>
      </c>
      <c r="BE17" s="201">
        <v>294</v>
      </c>
      <c r="BF17" s="201" t="s">
        <v>278</v>
      </c>
      <c r="BG17" s="201">
        <v>1</v>
      </c>
      <c r="BH17" s="201" t="s">
        <v>279</v>
      </c>
      <c r="BI17" s="201">
        <v>2018</v>
      </c>
      <c r="BJ17" s="201">
        <v>109199.526205135</v>
      </c>
      <c r="BK17" s="209"/>
      <c r="BL17" s="209"/>
      <c r="BM17" s="209"/>
      <c r="BN17" s="209"/>
      <c r="BO17" s="209"/>
      <c r="BP17" s="209"/>
      <c r="BQ17" s="17"/>
      <c r="BR17" s="17"/>
      <c r="BS17" s="209"/>
      <c r="BT17" s="209"/>
      <c r="BU17" s="209"/>
    </row>
    <row r="18" spans="1:73" ht="15.75" customHeight="1" x14ac:dyDescent="0.25">
      <c r="A18" s="13" t="s">
        <v>58</v>
      </c>
      <c r="B18" s="203">
        <v>7.9044460184792692E-3</v>
      </c>
      <c r="C18" s="203">
        <v>8.0769732419688611E-3</v>
      </c>
      <c r="D18" s="14">
        <v>1.6E-2</v>
      </c>
      <c r="E18" s="14">
        <v>8.9999999999999993E-3</v>
      </c>
      <c r="F18" s="14">
        <v>1.7000000000000001E-2</v>
      </c>
      <c r="G18" s="14">
        <v>0.01</v>
      </c>
      <c r="H18" s="14">
        <v>1.7999999999999999E-2</v>
      </c>
      <c r="I18" s="14">
        <v>0.01</v>
      </c>
      <c r="J18" s="14">
        <v>0.02</v>
      </c>
      <c r="K18" s="14">
        <v>1.2E-2</v>
      </c>
      <c r="L18" s="14">
        <v>7.4999999999999997E-2</v>
      </c>
      <c r="M18" s="14">
        <v>4.2999999999999997E-2</v>
      </c>
      <c r="N18" s="14">
        <v>7.5999999999999998E-2</v>
      </c>
      <c r="O18" s="14">
        <v>4.3999999999999997E-2</v>
      </c>
      <c r="P18" s="14">
        <v>8.2000000000000003E-2</v>
      </c>
      <c r="Q18" s="14">
        <v>4.7E-2</v>
      </c>
      <c r="R18" s="14">
        <v>8.5999999999999993E-2</v>
      </c>
      <c r="S18" s="14">
        <v>0.05</v>
      </c>
      <c r="T18" s="14">
        <v>9.4E-2</v>
      </c>
      <c r="U18" s="14">
        <v>5.7000000000000002E-2</v>
      </c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09"/>
      <c r="AH18" s="209"/>
      <c r="AI18" s="209"/>
      <c r="AJ18" s="203" t="s">
        <v>59</v>
      </c>
      <c r="AK18" s="201">
        <v>3188412.4109878899</v>
      </c>
      <c r="AL18" s="201">
        <v>3762680.3890207601</v>
      </c>
      <c r="AM18" s="203">
        <f t="shared" si="0"/>
        <v>6951092.8000086499</v>
      </c>
      <c r="AN18" s="201">
        <v>72496.745417217098</v>
      </c>
      <c r="AO18" s="201">
        <v>51705.517693012902</v>
      </c>
      <c r="AP18" s="201">
        <v>124202.26311022999</v>
      </c>
      <c r="AQ18" s="203">
        <f t="shared" si="1"/>
        <v>2.273756844233174E-2</v>
      </c>
      <c r="AR18" s="203">
        <f t="shared" si="1"/>
        <v>1.374167145418091E-2</v>
      </c>
      <c r="AS18" s="203">
        <f t="shared" si="1"/>
        <v>1.7868019703330018E-2</v>
      </c>
      <c r="AT18" s="201">
        <v>19</v>
      </c>
      <c r="AU18" s="201" t="s">
        <v>60</v>
      </c>
      <c r="AV18" s="201">
        <v>294</v>
      </c>
      <c r="AW18" s="201" t="s">
        <v>278</v>
      </c>
      <c r="AX18" s="201">
        <v>1</v>
      </c>
      <c r="AY18" s="201" t="s">
        <v>279</v>
      </c>
      <c r="AZ18" s="201">
        <v>2018</v>
      </c>
      <c r="BA18" s="201">
        <v>75858.986650424602</v>
      </c>
      <c r="BB18" s="201"/>
      <c r="BC18" s="201"/>
      <c r="BD18" s="201" t="s">
        <v>59</v>
      </c>
      <c r="BE18" s="201">
        <v>294</v>
      </c>
      <c r="BF18" s="201" t="s">
        <v>278</v>
      </c>
      <c r="BG18" s="201">
        <v>1</v>
      </c>
      <c r="BH18" s="201" t="s">
        <v>279</v>
      </c>
      <c r="BI18" s="201">
        <v>2018</v>
      </c>
      <c r="BJ18" s="201">
        <v>124202.26311022999</v>
      </c>
      <c r="BK18" s="209"/>
      <c r="BL18" s="18"/>
      <c r="BM18" s="209"/>
      <c r="BN18" s="209"/>
      <c r="BO18" s="209"/>
      <c r="BP18" s="209"/>
      <c r="BQ18" s="17"/>
      <c r="BR18" s="209"/>
      <c r="BS18" s="209"/>
      <c r="BT18" s="209"/>
      <c r="BU18" s="209"/>
    </row>
    <row r="19" spans="1:73" ht="15.75" customHeight="1" x14ac:dyDescent="0.25">
      <c r="A19" s="13" t="s">
        <v>59</v>
      </c>
      <c r="B19" s="203">
        <v>1.21836504392135E-2</v>
      </c>
      <c r="C19" s="203">
        <v>1.24253218174981E-2</v>
      </c>
      <c r="D19" s="14">
        <v>2.4E-2</v>
      </c>
      <c r="E19" s="14">
        <v>1.4E-2</v>
      </c>
      <c r="F19" s="14">
        <v>2.5999999999999999E-2</v>
      </c>
      <c r="G19" s="14">
        <v>1.4999999999999999E-2</v>
      </c>
      <c r="H19" s="14">
        <v>2.7E-2</v>
      </c>
      <c r="I19" s="14">
        <v>1.6E-2</v>
      </c>
      <c r="J19" s="14">
        <v>0.03</v>
      </c>
      <c r="K19" s="14">
        <v>1.7999999999999999E-2</v>
      </c>
      <c r="L19" s="14">
        <v>0.11</v>
      </c>
      <c r="M19" s="14">
        <v>6.5000000000000002E-2</v>
      </c>
      <c r="N19" s="14">
        <v>0.11</v>
      </c>
      <c r="O19" s="14">
        <v>6.9000000000000006E-2</v>
      </c>
      <c r="P19" s="14">
        <v>0.12</v>
      </c>
      <c r="Q19" s="14">
        <v>7.3999999999999996E-2</v>
      </c>
      <c r="R19" s="14">
        <v>0.12</v>
      </c>
      <c r="S19" s="14">
        <v>7.6999999999999999E-2</v>
      </c>
      <c r="T19" s="14">
        <v>0.14000000000000001</v>
      </c>
      <c r="U19" s="14">
        <v>8.6999999999999994E-2</v>
      </c>
      <c r="V19" s="209"/>
      <c r="W19" s="209"/>
      <c r="X19" s="209"/>
      <c r="Y19" s="209"/>
      <c r="Z19" s="209"/>
      <c r="AA19" s="209"/>
      <c r="AB19" s="209"/>
      <c r="AC19" s="209"/>
      <c r="AD19" s="209"/>
      <c r="AE19" s="209"/>
      <c r="AF19" s="209"/>
      <c r="AG19" s="209"/>
      <c r="AH19" s="209"/>
      <c r="AI19" s="209"/>
      <c r="AJ19" s="203" t="s">
        <v>60</v>
      </c>
      <c r="AK19" s="201">
        <v>2233566.6948191798</v>
      </c>
      <c r="AL19" s="201">
        <v>2762435.7915038802</v>
      </c>
      <c r="AM19" s="203">
        <f t="shared" si="0"/>
        <v>4996002.4863230605</v>
      </c>
      <c r="AN19" s="201">
        <v>75858.986650424602</v>
      </c>
      <c r="AO19" s="201">
        <v>60016.490160800699</v>
      </c>
      <c r="AP19" s="201">
        <v>135875.476811225</v>
      </c>
      <c r="AQ19" s="203">
        <f t="shared" si="1"/>
        <v>3.3963161622342253E-2</v>
      </c>
      <c r="AR19" s="203">
        <f t="shared" si="1"/>
        <v>2.1725931276081353E-2</v>
      </c>
      <c r="AS19" s="203">
        <f t="shared" si="1"/>
        <v>2.7196839309666983E-2</v>
      </c>
      <c r="AT19" s="201">
        <v>20</v>
      </c>
      <c r="AU19" s="201" t="s">
        <v>61</v>
      </c>
      <c r="AV19" s="201">
        <v>294</v>
      </c>
      <c r="AW19" s="201" t="s">
        <v>278</v>
      </c>
      <c r="AX19" s="201">
        <v>1</v>
      </c>
      <c r="AY19" s="201" t="s">
        <v>279</v>
      </c>
      <c r="AZ19" s="201">
        <v>2018</v>
      </c>
      <c r="BA19" s="201">
        <v>76557.472604900104</v>
      </c>
      <c r="BB19" s="201"/>
      <c r="BC19" s="201"/>
      <c r="BD19" s="201" t="s">
        <v>60</v>
      </c>
      <c r="BE19" s="201">
        <v>294</v>
      </c>
      <c r="BF19" s="201" t="s">
        <v>278</v>
      </c>
      <c r="BG19" s="201">
        <v>1</v>
      </c>
      <c r="BH19" s="201" t="s">
        <v>279</v>
      </c>
      <c r="BI19" s="201">
        <v>2018</v>
      </c>
      <c r="BJ19" s="201">
        <v>135875.476811225</v>
      </c>
      <c r="BK19" s="209"/>
      <c r="BL19" s="209"/>
      <c r="BM19" s="209"/>
      <c r="BN19" s="209"/>
      <c r="BO19" s="209"/>
      <c r="BP19" s="18"/>
      <c r="BQ19" s="209"/>
      <c r="BR19" s="18"/>
      <c r="BS19" s="209"/>
      <c r="BT19" s="18"/>
      <c r="BU19" s="209"/>
    </row>
    <row r="20" spans="1:73" ht="15.75" customHeight="1" x14ac:dyDescent="0.25">
      <c r="A20" s="13" t="s">
        <v>60</v>
      </c>
      <c r="B20" s="203">
        <v>1.9901272383305E-2</v>
      </c>
      <c r="C20" s="203">
        <v>2.01381873667421E-2</v>
      </c>
      <c r="D20" s="14">
        <v>3.5999999999999997E-2</v>
      </c>
      <c r="E20" s="14">
        <v>2.3E-2</v>
      </c>
      <c r="F20" s="14">
        <v>3.7999999999999999E-2</v>
      </c>
      <c r="G20" s="14">
        <v>2.4E-2</v>
      </c>
      <c r="H20" s="14">
        <v>4.2000000000000003E-2</v>
      </c>
      <c r="I20" s="14">
        <v>2.5999999999999999E-2</v>
      </c>
      <c r="J20" s="14">
        <v>4.4999999999999998E-2</v>
      </c>
      <c r="K20" s="14">
        <v>2.8000000000000001E-2</v>
      </c>
      <c r="L20" s="14">
        <v>0.16</v>
      </c>
      <c r="M20" s="14">
        <v>0.1</v>
      </c>
      <c r="N20" s="14">
        <v>0.17</v>
      </c>
      <c r="O20" s="14">
        <v>0.11</v>
      </c>
      <c r="P20" s="14">
        <v>0.18</v>
      </c>
      <c r="Q20" s="14">
        <v>0.11</v>
      </c>
      <c r="R20" s="14">
        <v>0.19</v>
      </c>
      <c r="S20" s="14">
        <v>0.12</v>
      </c>
      <c r="T20" s="14">
        <v>0.2</v>
      </c>
      <c r="U20" s="14">
        <v>0.13</v>
      </c>
      <c r="V20" s="209"/>
      <c r="W20" s="209"/>
      <c r="X20" s="209"/>
      <c r="Y20" s="209"/>
      <c r="Z20" s="209"/>
      <c r="AA20" s="209"/>
      <c r="AB20" s="209"/>
      <c r="AC20" s="209"/>
      <c r="AD20" s="209"/>
      <c r="AE20" s="209"/>
      <c r="AF20" s="209"/>
      <c r="AG20" s="209"/>
      <c r="AH20" s="209"/>
      <c r="AI20" s="209"/>
      <c r="AJ20" s="203" t="s">
        <v>61</v>
      </c>
      <c r="AK20" s="201">
        <v>1495038.4189071499</v>
      </c>
      <c r="AL20" s="201">
        <v>1967918.20148787</v>
      </c>
      <c r="AM20" s="203">
        <f t="shared" si="0"/>
        <v>3462956.6203950197</v>
      </c>
      <c r="AN20" s="201">
        <v>76557.472604900104</v>
      </c>
      <c r="AO20" s="201">
        <v>69403.668690403094</v>
      </c>
      <c r="AP20" s="201">
        <v>145961.14129530301</v>
      </c>
      <c r="AQ20" s="203">
        <f t="shared" si="1"/>
        <v>5.1207695826882123E-2</v>
      </c>
      <c r="AR20" s="203">
        <f t="shared" si="1"/>
        <v>3.5267557685034652E-2</v>
      </c>
      <c r="AS20" s="203">
        <f t="shared" si="1"/>
        <v>4.2149283775507765E-2</v>
      </c>
      <c r="AT20" s="201">
        <v>30</v>
      </c>
      <c r="AU20" s="201" t="s">
        <v>280</v>
      </c>
      <c r="AV20" s="201">
        <v>294</v>
      </c>
      <c r="AW20" s="201" t="s">
        <v>278</v>
      </c>
      <c r="AX20" s="201">
        <v>1</v>
      </c>
      <c r="AY20" s="201" t="s">
        <v>279</v>
      </c>
      <c r="AZ20" s="201">
        <v>2018</v>
      </c>
      <c r="BA20" s="201">
        <v>69791.942485439693</v>
      </c>
      <c r="BB20" s="201"/>
      <c r="BC20" s="201"/>
      <c r="BD20" s="201" t="s">
        <v>61</v>
      </c>
      <c r="BE20" s="201">
        <v>294</v>
      </c>
      <c r="BF20" s="201" t="s">
        <v>278</v>
      </c>
      <c r="BG20" s="201">
        <v>1</v>
      </c>
      <c r="BH20" s="201" t="s">
        <v>279</v>
      </c>
      <c r="BI20" s="201">
        <v>2018</v>
      </c>
      <c r="BJ20" s="201">
        <v>145961.14129530301</v>
      </c>
      <c r="BK20" s="209"/>
      <c r="BL20" s="18"/>
      <c r="BM20" s="209"/>
      <c r="BN20" s="209"/>
      <c r="BO20" s="209"/>
      <c r="BP20" s="17"/>
      <c r="BQ20" s="209"/>
      <c r="BR20" s="209"/>
      <c r="BS20" s="17"/>
      <c r="BT20" s="209"/>
      <c r="BU20" s="209"/>
    </row>
    <row r="21" spans="1:73" ht="15.75" customHeight="1" x14ac:dyDescent="0.25">
      <c r="A21" s="13" t="s">
        <v>61</v>
      </c>
      <c r="B21" s="203">
        <v>3.2169855966094701E-2</v>
      </c>
      <c r="C21" s="203">
        <v>3.2465612179069396E-2</v>
      </c>
      <c r="D21" s="14">
        <v>5.5E-2</v>
      </c>
      <c r="E21" s="14">
        <v>3.6999999999999998E-2</v>
      </c>
      <c r="F21" s="14">
        <v>6.2E-2</v>
      </c>
      <c r="G21" s="14">
        <v>0.04</v>
      </c>
      <c r="H21" s="14">
        <v>6.4000000000000001E-2</v>
      </c>
      <c r="I21" s="14">
        <v>4.1000000000000002E-2</v>
      </c>
      <c r="J21" s="14">
        <v>7.0000000000000007E-2</v>
      </c>
      <c r="K21" s="14">
        <v>4.4999999999999998E-2</v>
      </c>
      <c r="L21" s="14">
        <v>0.23</v>
      </c>
      <c r="M21" s="14">
        <v>0.16</v>
      </c>
      <c r="N21" s="14">
        <v>0.24</v>
      </c>
      <c r="O21" s="14">
        <v>0.17</v>
      </c>
      <c r="P21" s="14">
        <v>0.27</v>
      </c>
      <c r="Q21" s="14">
        <v>0.18</v>
      </c>
      <c r="R21" s="14">
        <v>0.27</v>
      </c>
      <c r="S21" s="14">
        <v>0.19</v>
      </c>
      <c r="T21" s="14">
        <v>0.3</v>
      </c>
      <c r="U21" s="14">
        <v>0.2</v>
      </c>
      <c r="V21" s="209"/>
      <c r="W21" s="209"/>
      <c r="X21" s="209"/>
      <c r="Y21" s="209"/>
      <c r="Z21" s="209"/>
      <c r="AA21" s="209"/>
      <c r="AB21" s="209"/>
      <c r="AC21" s="209"/>
      <c r="AD21" s="209"/>
      <c r="AE21" s="209"/>
      <c r="AF21" s="209"/>
      <c r="AG21" s="209"/>
      <c r="AH21" s="209"/>
      <c r="AI21" s="209"/>
      <c r="AJ21" s="203" t="s">
        <v>280</v>
      </c>
      <c r="AK21" s="201">
        <v>883215.37967738998</v>
      </c>
      <c r="AL21" s="201">
        <v>1314416.15668713</v>
      </c>
      <c r="AM21" s="203">
        <f t="shared" si="0"/>
        <v>2197631.53636452</v>
      </c>
      <c r="AN21" s="201">
        <v>69791.942485439693</v>
      </c>
      <c r="AO21" s="201">
        <v>76813.584256051501</v>
      </c>
      <c r="AP21" s="201">
        <v>146605.52674149</v>
      </c>
      <c r="AQ21" s="203">
        <f t="shared" si="1"/>
        <v>7.9020297983185522E-2</v>
      </c>
      <c r="AR21" s="203">
        <f t="shared" si="1"/>
        <v>5.8439318373606552E-2</v>
      </c>
      <c r="AS21" s="203">
        <f t="shared" si="1"/>
        <v>6.6710694816482022E-2</v>
      </c>
      <c r="AT21" s="201">
        <v>160</v>
      </c>
      <c r="AU21" s="201" t="s">
        <v>63</v>
      </c>
      <c r="AV21" s="201">
        <v>294</v>
      </c>
      <c r="AW21" s="201" t="s">
        <v>278</v>
      </c>
      <c r="AX21" s="201">
        <v>1</v>
      </c>
      <c r="AY21" s="201" t="s">
        <v>279</v>
      </c>
      <c r="AZ21" s="201">
        <v>2018</v>
      </c>
      <c r="BA21" s="201">
        <v>96043.331965621794</v>
      </c>
      <c r="BB21" s="201"/>
      <c r="BC21" s="201"/>
      <c r="BD21" s="201" t="s">
        <v>280</v>
      </c>
      <c r="BE21" s="201">
        <v>294</v>
      </c>
      <c r="BF21" s="201" t="s">
        <v>278</v>
      </c>
      <c r="BG21" s="201">
        <v>1</v>
      </c>
      <c r="BH21" s="201" t="s">
        <v>279</v>
      </c>
      <c r="BI21" s="201">
        <v>2018</v>
      </c>
      <c r="BJ21" s="201">
        <v>146605.52674149</v>
      </c>
      <c r="BK21" s="209"/>
      <c r="BL21" s="17"/>
      <c r="BM21" s="209"/>
      <c r="BN21" s="209"/>
      <c r="BO21" s="209"/>
      <c r="BP21" s="209"/>
      <c r="BQ21" s="209"/>
      <c r="BR21" s="18"/>
      <c r="BS21" s="209"/>
      <c r="BT21" s="209"/>
      <c r="BU21" s="209"/>
    </row>
    <row r="22" spans="1:73" ht="15.75" customHeight="1" x14ac:dyDescent="0.25">
      <c r="A22" s="13" t="s">
        <v>62</v>
      </c>
      <c r="B22" s="203">
        <v>5.1255278340479299E-2</v>
      </c>
      <c r="C22" s="203">
        <v>5.1226821896104099E-2</v>
      </c>
      <c r="D22" s="14">
        <v>9.0999999999999998E-2</v>
      </c>
      <c r="E22" s="14">
        <v>6.5000000000000002E-2</v>
      </c>
      <c r="F22" s="14">
        <v>9.7000000000000003E-2</v>
      </c>
      <c r="G22" s="14">
        <v>6.8000000000000005E-2</v>
      </c>
      <c r="H22" s="14">
        <v>0.1</v>
      </c>
      <c r="I22" s="14">
        <v>7.0000000000000007E-2</v>
      </c>
      <c r="J22" s="14">
        <v>0.11</v>
      </c>
      <c r="K22" s="14">
        <v>0.08</v>
      </c>
      <c r="L22" s="14">
        <v>0.33</v>
      </c>
      <c r="M22" s="14">
        <v>0.25</v>
      </c>
      <c r="N22" s="14">
        <v>0.37</v>
      </c>
      <c r="O22" s="14">
        <v>0.28000000000000003</v>
      </c>
      <c r="P22" s="14">
        <v>0.39</v>
      </c>
      <c r="Q22" s="14">
        <v>0.28999999999999998</v>
      </c>
      <c r="R22" s="14">
        <v>0.41</v>
      </c>
      <c r="S22" s="14">
        <v>0.3</v>
      </c>
      <c r="T22" s="14">
        <v>0.43</v>
      </c>
      <c r="U22" s="14">
        <v>0.33</v>
      </c>
      <c r="V22" s="209"/>
      <c r="W22" s="209"/>
      <c r="X22" s="209"/>
      <c r="Y22" s="209"/>
      <c r="Z22" s="209"/>
      <c r="AA22" s="209"/>
      <c r="AB22" s="209"/>
      <c r="AC22" s="209"/>
      <c r="AD22" s="209"/>
      <c r="AE22" s="209"/>
      <c r="AF22" s="209"/>
      <c r="AG22" s="209"/>
      <c r="AH22" s="209"/>
      <c r="AI22" s="209"/>
      <c r="AJ22" s="203" t="s">
        <v>63</v>
      </c>
      <c r="AK22" s="201">
        <v>679674.18</v>
      </c>
      <c r="AL22" s="201">
        <v>1195076.0049999999</v>
      </c>
      <c r="AM22" s="203">
        <f t="shared" si="0"/>
        <v>1874750.1850000001</v>
      </c>
      <c r="AN22" s="201">
        <v>96043.331965621794</v>
      </c>
      <c r="AO22" s="201">
        <v>152842.537517188</v>
      </c>
      <c r="AP22" s="201">
        <v>248885.86948281099</v>
      </c>
      <c r="AQ22" s="203">
        <f t="shared" si="1"/>
        <v>0.14130790133240281</v>
      </c>
      <c r="AR22" s="203">
        <f t="shared" si="1"/>
        <v>0.12789357068313661</v>
      </c>
      <c r="AS22" s="203">
        <f t="shared" si="1"/>
        <v>0.13275681820125329</v>
      </c>
      <c r="AT22" s="201"/>
      <c r="AU22" s="201">
        <v>28</v>
      </c>
      <c r="AV22" s="201" t="s">
        <v>45</v>
      </c>
      <c r="AW22" s="201">
        <v>294</v>
      </c>
      <c r="AX22" s="201" t="s">
        <v>278</v>
      </c>
      <c r="AY22" s="201">
        <v>1</v>
      </c>
      <c r="AZ22" s="201" t="s">
        <v>279</v>
      </c>
      <c r="BA22" s="201">
        <v>2018</v>
      </c>
      <c r="BB22" s="201">
        <v>24630.1080134699</v>
      </c>
      <c r="BC22" s="201"/>
      <c r="BD22" s="201" t="s">
        <v>63</v>
      </c>
      <c r="BE22" s="201">
        <v>294</v>
      </c>
      <c r="BF22" s="201" t="s">
        <v>278</v>
      </c>
      <c r="BG22" s="201">
        <v>1</v>
      </c>
      <c r="BH22" s="201" t="s">
        <v>279</v>
      </c>
      <c r="BI22" s="201">
        <v>2018</v>
      </c>
      <c r="BJ22" s="201">
        <v>248885.86948281099</v>
      </c>
      <c r="BK22" s="209"/>
      <c r="BL22" s="209"/>
      <c r="BM22" s="18"/>
      <c r="BN22" s="209"/>
      <c r="BO22" s="209"/>
      <c r="BP22" s="209"/>
      <c r="BQ22" s="18"/>
      <c r="BR22" s="209"/>
      <c r="BS22" s="209"/>
      <c r="BT22" s="209"/>
      <c r="BU22" s="209"/>
    </row>
    <row r="23" spans="1:73" ht="15.75" customHeight="1" x14ac:dyDescent="0.25">
      <c r="A23" s="13" t="s">
        <v>63</v>
      </c>
      <c r="B23" s="203">
        <v>0.10387284992507401</v>
      </c>
      <c r="C23" s="203">
        <v>0.10362433151376599</v>
      </c>
      <c r="D23" s="14">
        <v>0.19</v>
      </c>
      <c r="E23" s="14">
        <v>0.15</v>
      </c>
      <c r="F23" s="14">
        <v>0.21</v>
      </c>
      <c r="G23" s="14">
        <v>0.17</v>
      </c>
      <c r="H23" s="14">
        <v>0.21</v>
      </c>
      <c r="I23" s="14">
        <v>0.17</v>
      </c>
      <c r="J23" s="14">
        <v>0.21</v>
      </c>
      <c r="K23" s="14">
        <v>0.18</v>
      </c>
      <c r="L23" s="14">
        <v>1</v>
      </c>
      <c r="M23" s="14">
        <v>1</v>
      </c>
      <c r="N23" s="14">
        <v>1</v>
      </c>
      <c r="O23" s="14">
        <v>1</v>
      </c>
      <c r="P23" s="14">
        <v>1</v>
      </c>
      <c r="Q23" s="14">
        <v>1</v>
      </c>
      <c r="R23" s="14">
        <v>1</v>
      </c>
      <c r="S23" s="14">
        <v>1</v>
      </c>
      <c r="T23" s="14">
        <v>1</v>
      </c>
      <c r="U23" s="14">
        <v>1</v>
      </c>
      <c r="V23" s="209"/>
      <c r="W23" s="209"/>
      <c r="X23" s="209"/>
      <c r="Y23" s="209"/>
      <c r="Z23" s="209"/>
      <c r="AA23" s="209"/>
      <c r="AB23" s="209"/>
      <c r="AC23" s="209"/>
      <c r="AD23" s="209"/>
      <c r="AE23" s="209"/>
      <c r="AF23" s="209"/>
      <c r="AG23" s="209"/>
      <c r="AH23" s="209"/>
      <c r="AI23" s="209"/>
      <c r="AJ23" s="209"/>
      <c r="AK23" s="209"/>
      <c r="AL23" s="209"/>
      <c r="AM23" s="201"/>
      <c r="AN23" s="201"/>
      <c r="AO23" s="201"/>
      <c r="AP23" s="201"/>
      <c r="AQ23" s="201"/>
      <c r="AR23" s="201"/>
      <c r="AS23" s="201"/>
      <c r="AT23" s="201"/>
      <c r="AU23" s="201">
        <v>5</v>
      </c>
      <c r="AV23" s="201" t="s">
        <v>46</v>
      </c>
      <c r="AW23" s="201">
        <v>294</v>
      </c>
      <c r="AX23" s="201" t="s">
        <v>278</v>
      </c>
      <c r="AY23" s="201">
        <v>1</v>
      </c>
      <c r="AZ23" s="201" t="s">
        <v>279</v>
      </c>
      <c r="BA23" s="201">
        <v>2018</v>
      </c>
      <c r="BB23" s="201">
        <v>3619.8288075762698</v>
      </c>
      <c r="BC23" s="201"/>
      <c r="BD23" s="201" t="s">
        <v>281</v>
      </c>
      <c r="BE23" s="201">
        <v>294</v>
      </c>
      <c r="BF23" s="201" t="s">
        <v>278</v>
      </c>
      <c r="BG23" s="201">
        <v>1</v>
      </c>
      <c r="BH23" s="201" t="s">
        <v>279</v>
      </c>
      <c r="BI23" s="201">
        <v>2018</v>
      </c>
      <c r="BJ23" s="201">
        <v>125850.737926306</v>
      </c>
      <c r="BK23" s="209"/>
      <c r="BL23" s="17"/>
      <c r="BM23" s="209"/>
      <c r="BN23" s="209"/>
      <c r="BO23" s="18"/>
      <c r="BP23" s="209"/>
      <c r="BQ23" s="17"/>
      <c r="BR23" s="209"/>
      <c r="BS23" s="209"/>
      <c r="BT23" s="18"/>
      <c r="BU23" s="209"/>
    </row>
    <row r="24" spans="1:73" ht="15.75" customHeight="1" x14ac:dyDescent="0.25">
      <c r="A24" s="209"/>
      <c r="B24" s="209"/>
      <c r="C24" s="209"/>
      <c r="D24" s="209"/>
      <c r="E24" s="209"/>
      <c r="F24" s="209"/>
      <c r="G24" s="209"/>
      <c r="H24" s="209"/>
      <c r="I24" s="209"/>
      <c r="J24" s="209"/>
      <c r="K24" s="209"/>
      <c r="L24" s="209"/>
      <c r="M24" s="209"/>
      <c r="N24" s="209"/>
      <c r="O24" s="209"/>
      <c r="P24" s="209"/>
      <c r="Q24" s="209"/>
      <c r="R24" s="209"/>
      <c r="S24" s="209"/>
      <c r="T24" s="209"/>
      <c r="U24" s="209"/>
      <c r="V24" s="209"/>
      <c r="W24" s="209"/>
      <c r="X24" s="209"/>
      <c r="Y24" s="209"/>
      <c r="Z24" s="209"/>
      <c r="AA24" s="209" t="s">
        <v>64</v>
      </c>
      <c r="AB24" s="209" t="s">
        <v>65</v>
      </c>
      <c r="AC24" s="209"/>
      <c r="AD24" s="209"/>
      <c r="AE24" s="209"/>
      <c r="AF24" s="209"/>
      <c r="AG24" s="209"/>
      <c r="AH24" s="209"/>
      <c r="AI24" s="209"/>
      <c r="AJ24" s="209"/>
      <c r="AK24" s="209"/>
      <c r="AL24" s="209"/>
      <c r="AM24" s="201"/>
      <c r="AN24" s="201"/>
      <c r="AO24" s="201"/>
      <c r="AP24" s="201"/>
      <c r="AQ24" s="201"/>
      <c r="AR24" s="201"/>
      <c r="AS24" s="201"/>
      <c r="AT24" s="201"/>
      <c r="AU24" s="201">
        <v>6</v>
      </c>
      <c r="AV24" s="201" t="s">
        <v>47</v>
      </c>
      <c r="AW24" s="201">
        <v>294</v>
      </c>
      <c r="AX24" s="201" t="s">
        <v>278</v>
      </c>
      <c r="AY24" s="201">
        <v>1</v>
      </c>
      <c r="AZ24" s="201" t="s">
        <v>279</v>
      </c>
      <c r="BA24" s="201">
        <v>2018</v>
      </c>
      <c r="BB24" s="201">
        <v>1745.91034558559</v>
      </c>
      <c r="BC24" s="201"/>
      <c r="BD24" s="201" t="s">
        <v>282</v>
      </c>
      <c r="BE24" s="201">
        <v>294</v>
      </c>
      <c r="BF24" s="201" t="s">
        <v>278</v>
      </c>
      <c r="BG24" s="201">
        <v>1</v>
      </c>
      <c r="BH24" s="201" t="s">
        <v>279</v>
      </c>
      <c r="BI24" s="201">
        <v>2018</v>
      </c>
      <c r="BJ24" s="201">
        <v>78185.325760494306</v>
      </c>
      <c r="BK24" s="209"/>
      <c r="BL24" s="209"/>
      <c r="BM24" s="209"/>
      <c r="BN24" s="209"/>
      <c r="BO24" s="209"/>
      <c r="BP24" s="209"/>
      <c r="BQ24" s="209"/>
      <c r="BR24" s="209"/>
      <c r="BS24" s="209"/>
      <c r="BT24" s="209"/>
      <c r="BU24" s="209"/>
    </row>
    <row r="25" spans="1:73" ht="15.75" customHeight="1" x14ac:dyDescent="0.25">
      <c r="A25" s="232"/>
      <c r="B25" s="230"/>
      <c r="C25" s="230"/>
      <c r="D25" s="230"/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209"/>
      <c r="X25" s="209"/>
      <c r="Y25" s="209"/>
      <c r="Z25" s="209"/>
      <c r="AA25" s="20"/>
      <c r="AB25" s="20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1"/>
      <c r="AN25" s="201"/>
      <c r="AO25" s="201"/>
      <c r="AP25" s="201"/>
      <c r="AQ25" s="201"/>
      <c r="AR25" s="201"/>
      <c r="AS25" s="201"/>
      <c r="AT25" s="201"/>
      <c r="AU25" s="201">
        <v>7</v>
      </c>
      <c r="AV25" s="201" t="s">
        <v>48</v>
      </c>
      <c r="AW25" s="201">
        <v>294</v>
      </c>
      <c r="AX25" s="201" t="s">
        <v>278</v>
      </c>
      <c r="AY25" s="201">
        <v>1</v>
      </c>
      <c r="AZ25" s="201" t="s">
        <v>279</v>
      </c>
      <c r="BA25" s="201">
        <v>2018</v>
      </c>
      <c r="BB25" s="201">
        <v>2009.2277396817999</v>
      </c>
      <c r="BC25" s="201"/>
      <c r="BD25" s="201" t="s">
        <v>63</v>
      </c>
      <c r="BE25" s="201">
        <v>294</v>
      </c>
      <c r="BF25" s="201" t="s">
        <v>278</v>
      </c>
      <c r="BG25" s="201">
        <v>1</v>
      </c>
      <c r="BH25" s="201" t="s">
        <v>279</v>
      </c>
      <c r="BI25" s="201">
        <v>2018</v>
      </c>
      <c r="BJ25" s="201">
        <v>248885.86948281099</v>
      </c>
      <c r="BK25" s="209"/>
      <c r="BL25" s="209"/>
      <c r="BM25" s="209"/>
      <c r="BN25" s="209"/>
      <c r="BO25" s="209"/>
      <c r="BP25" s="209"/>
      <c r="BQ25" s="209"/>
      <c r="BR25" s="209"/>
      <c r="BS25" s="209"/>
      <c r="BT25" s="209"/>
      <c r="BU25" s="209"/>
    </row>
    <row r="26" spans="1:73" ht="15.75" customHeight="1" x14ac:dyDescent="0.25">
      <c r="A26" s="209"/>
      <c r="B26" s="232">
        <v>2019</v>
      </c>
      <c r="C26" s="230"/>
      <c r="D26" s="232">
        <v>2015</v>
      </c>
      <c r="E26" s="230"/>
      <c r="F26" s="232">
        <v>2010</v>
      </c>
      <c r="G26" s="230"/>
      <c r="H26" s="232">
        <v>2005</v>
      </c>
      <c r="I26" s="230"/>
      <c r="J26" s="232">
        <v>2000</v>
      </c>
      <c r="K26" s="230"/>
      <c r="L26" s="209"/>
      <c r="M26" s="209"/>
      <c r="N26" s="209"/>
      <c r="O26" s="209"/>
      <c r="P26" s="209"/>
      <c r="Q26" s="209"/>
      <c r="R26" s="209"/>
      <c r="S26" s="209"/>
      <c r="T26" s="209"/>
      <c r="U26" s="209"/>
      <c r="V26" s="209"/>
      <c r="W26" s="209"/>
      <c r="X26" s="209"/>
      <c r="Y26" s="209"/>
      <c r="Z26" s="209"/>
      <c r="AA26" s="209"/>
      <c r="AB26" s="209"/>
      <c r="AC26" s="209"/>
      <c r="AD26" s="209"/>
      <c r="AE26" s="209"/>
      <c r="AF26" s="209"/>
      <c r="AG26" s="209"/>
      <c r="AH26" s="209"/>
      <c r="AI26" s="209"/>
      <c r="AJ26" s="209"/>
      <c r="AK26" s="209"/>
      <c r="AL26" s="209"/>
      <c r="AM26" s="201"/>
      <c r="AN26" s="201"/>
      <c r="AO26" s="201"/>
      <c r="AP26" s="201"/>
      <c r="AQ26" s="201"/>
      <c r="AR26" s="201"/>
      <c r="AS26" s="201"/>
      <c r="AT26" s="201"/>
      <c r="AU26" s="201">
        <v>8</v>
      </c>
      <c r="AV26" s="201" t="s">
        <v>49</v>
      </c>
      <c r="AW26" s="201">
        <v>294</v>
      </c>
      <c r="AX26" s="201" t="s">
        <v>278</v>
      </c>
      <c r="AY26" s="201">
        <v>1</v>
      </c>
      <c r="AZ26" s="201" t="s">
        <v>279</v>
      </c>
      <c r="BA26" s="201">
        <v>2018</v>
      </c>
      <c r="BB26" s="201">
        <v>3542.61586178075</v>
      </c>
      <c r="BC26" s="201"/>
      <c r="BD26" s="201"/>
      <c r="BE26" s="201"/>
      <c r="BF26" s="201"/>
      <c r="BG26" s="201"/>
      <c r="BH26" s="201"/>
      <c r="BI26" s="201"/>
      <c r="BJ26" s="201"/>
      <c r="BK26" s="209"/>
      <c r="BL26" s="209"/>
      <c r="BM26" s="209"/>
      <c r="BN26" s="209"/>
      <c r="BO26" s="209"/>
      <c r="BP26" s="209"/>
      <c r="BQ26" s="209"/>
      <c r="BR26" s="209"/>
      <c r="BS26" s="209"/>
      <c r="BT26" s="209"/>
      <c r="BU26" s="209"/>
    </row>
    <row r="27" spans="1:73" ht="15.75" customHeight="1" x14ac:dyDescent="0.25">
      <c r="A27" s="209"/>
      <c r="B27" s="209" t="s">
        <v>66</v>
      </c>
      <c r="C27" s="209" t="s">
        <v>67</v>
      </c>
      <c r="D27" s="209" t="s">
        <v>66</v>
      </c>
      <c r="E27" s="209" t="s">
        <v>67</v>
      </c>
      <c r="F27" s="209" t="s">
        <v>66</v>
      </c>
      <c r="G27" s="209" t="s">
        <v>67</v>
      </c>
      <c r="H27" s="209" t="s">
        <v>66</v>
      </c>
      <c r="I27" s="209" t="s">
        <v>67</v>
      </c>
      <c r="J27" s="209" t="s">
        <v>66</v>
      </c>
      <c r="K27" s="209" t="s">
        <v>67</v>
      </c>
      <c r="L27" s="209"/>
      <c r="M27" s="209"/>
      <c r="N27" s="209"/>
      <c r="O27" s="209"/>
      <c r="P27" s="209"/>
      <c r="Q27" s="209"/>
      <c r="R27" s="209"/>
      <c r="S27" s="209"/>
      <c r="T27" s="209"/>
      <c r="U27" s="209"/>
      <c r="V27" s="209" t="s">
        <v>68</v>
      </c>
      <c r="W27" s="209" t="s">
        <v>69</v>
      </c>
      <c r="X27" s="209" t="s">
        <v>70</v>
      </c>
      <c r="Y27" s="209" t="s">
        <v>71</v>
      </c>
      <c r="Z27" s="209" t="s">
        <v>72</v>
      </c>
      <c r="AA27" s="209" t="s">
        <v>73</v>
      </c>
      <c r="AB27" s="209" t="s">
        <v>74</v>
      </c>
      <c r="AC27" s="209" t="s">
        <v>75</v>
      </c>
      <c r="AD27" s="209" t="s">
        <v>76</v>
      </c>
      <c r="AE27" s="209" t="s">
        <v>77</v>
      </c>
      <c r="AF27" s="209" t="s">
        <v>78</v>
      </c>
      <c r="AG27" s="209"/>
      <c r="AI27" s="209"/>
      <c r="AJ27" s="209"/>
      <c r="AK27" s="209"/>
      <c r="AL27" s="209"/>
      <c r="AM27" s="209"/>
      <c r="AN27" s="209"/>
      <c r="AO27" s="209"/>
      <c r="AP27" s="209"/>
      <c r="AQ27" s="209"/>
      <c r="AR27" s="209"/>
      <c r="AS27" s="209"/>
      <c r="AT27" s="201"/>
      <c r="AU27" s="201">
        <v>9</v>
      </c>
      <c r="AV27" s="201" t="s">
        <v>50</v>
      </c>
      <c r="AW27" s="201">
        <v>294</v>
      </c>
      <c r="AX27" s="201" t="s">
        <v>278</v>
      </c>
      <c r="AY27" s="201">
        <v>1</v>
      </c>
      <c r="AZ27" s="201" t="s">
        <v>279</v>
      </c>
      <c r="BA27" s="201">
        <v>2018</v>
      </c>
      <c r="BB27" s="201">
        <v>4669.1238967639802</v>
      </c>
      <c r="BC27" s="201"/>
      <c r="BD27" s="201"/>
      <c r="BE27" s="209"/>
      <c r="BF27" s="209"/>
      <c r="BG27" s="209"/>
      <c r="BH27" s="209"/>
      <c r="BI27" s="209"/>
      <c r="BJ27" s="209"/>
      <c r="BK27" s="209"/>
      <c r="BL27" s="209"/>
      <c r="BM27" s="209"/>
      <c r="BN27" s="209"/>
      <c r="BO27" s="209"/>
      <c r="BP27" s="209"/>
      <c r="BQ27" s="209"/>
      <c r="BR27" s="209"/>
      <c r="BS27" s="209"/>
      <c r="BT27" s="209"/>
      <c r="BU27" s="209"/>
    </row>
    <row r="28" spans="1:73" ht="15.75" customHeight="1" x14ac:dyDescent="0.25">
      <c r="A28" s="1">
        <v>0</v>
      </c>
      <c r="B28" s="23">
        <f t="shared" ref="B28:U28" si="2">B5</f>
        <v>1.08017617365153E-2</v>
      </c>
      <c r="C28" s="23">
        <f t="shared" si="2"/>
        <v>1.20379190239797E-2</v>
      </c>
      <c r="D28" s="23">
        <f t="shared" si="2"/>
        <v>1.6E-2</v>
      </c>
      <c r="E28" s="23">
        <f t="shared" si="2"/>
        <v>1.2E-2</v>
      </c>
      <c r="F28" s="23">
        <f t="shared" si="2"/>
        <v>1.9E-2</v>
      </c>
      <c r="G28" s="23">
        <f t="shared" si="2"/>
        <v>1.4999999999999999E-2</v>
      </c>
      <c r="H28" s="23">
        <f t="shared" si="2"/>
        <v>2.5999999999999999E-2</v>
      </c>
      <c r="I28" s="23">
        <f t="shared" si="2"/>
        <v>0.02</v>
      </c>
      <c r="J28" s="23">
        <f t="shared" si="2"/>
        <v>3.4000000000000002E-2</v>
      </c>
      <c r="K28" s="23">
        <f t="shared" si="2"/>
        <v>2.7E-2</v>
      </c>
      <c r="L28" s="23">
        <f t="shared" si="2"/>
        <v>1.4E-2</v>
      </c>
      <c r="M28" s="23">
        <f t="shared" si="2"/>
        <v>1.0999999999999999E-2</v>
      </c>
      <c r="N28" s="23">
        <f t="shared" si="2"/>
        <v>1.4999999999999999E-2</v>
      </c>
      <c r="O28" s="23">
        <f t="shared" si="2"/>
        <v>1.2E-2</v>
      </c>
      <c r="P28" s="23">
        <f t="shared" si="2"/>
        <v>1.9E-2</v>
      </c>
      <c r="Q28" s="23">
        <f t="shared" si="2"/>
        <v>1.4999999999999999E-2</v>
      </c>
      <c r="R28" s="23">
        <f t="shared" si="2"/>
        <v>2.5000000000000001E-2</v>
      </c>
      <c r="S28" s="23">
        <f t="shared" si="2"/>
        <v>0.02</v>
      </c>
      <c r="T28" s="23">
        <f t="shared" si="2"/>
        <v>3.3000000000000002E-2</v>
      </c>
      <c r="U28" s="23">
        <f t="shared" si="2"/>
        <v>2.5999999999999999E-2</v>
      </c>
      <c r="V28" s="24">
        <f t="shared" ref="V28:V128" si="3">AVERAGE($B28:$C28)</f>
        <v>1.1419840380247501E-2</v>
      </c>
      <c r="W28" s="24">
        <f t="shared" ref="W28:W128" si="4">AVERAGE($D28:$E28)</f>
        <v>1.4E-2</v>
      </c>
      <c r="X28" s="24">
        <f t="shared" ref="X28:X128" si="5">AVERAGE($F28:$G28)</f>
        <v>1.7000000000000001E-2</v>
      </c>
      <c r="Y28" s="24">
        <f t="shared" ref="Y28:Y128" si="6">AVERAGE($H28:$I28)</f>
        <v>2.3E-2</v>
      </c>
      <c r="Z28" s="24">
        <f t="shared" ref="Z28:Z128" si="7">AVERAGE($J28:$K28)</f>
        <v>3.0499999999999999E-2</v>
      </c>
      <c r="AA28" s="3">
        <f ca="1">IFERROR(__xludf.DUMMYFUNCTION("AVERAGE.WEIGHTED(B28:C28,$AF28:$AG28)"),0.0125308097016343)</f>
        <v>1.25308097016343E-2</v>
      </c>
      <c r="AB28" s="3">
        <f ca="1">IFERROR(__xludf.DUMMYFUNCTION("AVERAGE.WEIGHTED(D28:E28,$AH28:$AI28)"),0.0140410393938639)</f>
        <v>1.40410393938639E-2</v>
      </c>
      <c r="AC28" s="3">
        <f ca="1">IFERROR(__xludf.DUMMYFUNCTION("AVERAGE.WEIGHTED(F28:G28,$AJ28:$AK28)"),0.0170404241634118)</f>
        <v>1.70404241634118E-2</v>
      </c>
      <c r="AD28" s="3" t="str">
        <f ca="1">IFERROR(__xludf.DUMMYFUNCTION("AVERAGE.WEIGHTED(H28:I28,$AA$25:$AB$25)"),"#VALUE!")</f>
        <v>#VALUE!</v>
      </c>
      <c r="AE28" s="3" t="str">
        <f ca="1">IFERROR(__xludf.DUMMYFUNCTION("AVERAGE.WEIGHTED(J28:K28,$AA$25:$AB$25)"),"#VALUE!")</f>
        <v>#VALUE!</v>
      </c>
      <c r="AF28" s="209">
        <v>0.51026990054477595</v>
      </c>
      <c r="AG28" s="3">
        <f t="shared" ref="AG28:AG128" si="8">1-AF28</f>
        <v>0.48973009945522405</v>
      </c>
      <c r="AH28" s="209">
        <v>0.51025984846599903</v>
      </c>
      <c r="AI28" s="3">
        <f t="shared" ref="AI28:AI128" si="9">1-AH28</f>
        <v>0.48974015153400097</v>
      </c>
      <c r="AJ28" s="209">
        <v>0.51010604085296096</v>
      </c>
      <c r="AK28" s="3">
        <f t="shared" ref="AK28:AK128" si="10">1-AJ28</f>
        <v>0.48989395914703904</v>
      </c>
      <c r="AT28" s="201"/>
      <c r="AU28" s="201">
        <v>10</v>
      </c>
      <c r="AV28" s="201" t="s">
        <v>51</v>
      </c>
      <c r="AW28" s="201">
        <v>294</v>
      </c>
      <c r="AX28" s="201" t="s">
        <v>278</v>
      </c>
      <c r="AY28" s="201">
        <v>1</v>
      </c>
      <c r="AZ28" s="201" t="s">
        <v>279</v>
      </c>
      <c r="BA28" s="201">
        <v>2018</v>
      </c>
      <c r="BB28" s="201">
        <v>5458.81797078001</v>
      </c>
      <c r="BC28" s="201"/>
      <c r="BD28" s="201"/>
    </row>
    <row r="29" spans="1:73" ht="15.75" customHeight="1" x14ac:dyDescent="0.25">
      <c r="A29" s="1">
        <v>1</v>
      </c>
      <c r="B29" s="23">
        <f t="shared" ref="B29:U32" si="11">B$6</f>
        <v>5.9058156488391001E-4</v>
      </c>
      <c r="C29" s="23">
        <f t="shared" si="11"/>
        <v>6.4899862789414696E-4</v>
      </c>
      <c r="D29" s="23">
        <f t="shared" si="11"/>
        <v>5.0000000000000001E-4</v>
      </c>
      <c r="E29" s="23">
        <f t="shared" si="11"/>
        <v>4.0000000000000002E-4</v>
      </c>
      <c r="F29" s="23">
        <f t="shared" si="11"/>
        <v>5.9999999999999995E-4</v>
      </c>
      <c r="G29" s="23">
        <f t="shared" si="11"/>
        <v>5.0000000000000001E-4</v>
      </c>
      <c r="H29" s="23">
        <f t="shared" si="11"/>
        <v>8.0000000000000004E-4</v>
      </c>
      <c r="I29" s="23">
        <f t="shared" si="11"/>
        <v>5.9999999999999995E-4</v>
      </c>
      <c r="J29" s="23">
        <f t="shared" si="11"/>
        <v>1E-3</v>
      </c>
      <c r="K29" s="23">
        <f t="shared" si="11"/>
        <v>1E-3</v>
      </c>
      <c r="L29" s="23">
        <f t="shared" si="11"/>
        <v>2E-3</v>
      </c>
      <c r="M29" s="23">
        <f t="shared" si="11"/>
        <v>1E-3</v>
      </c>
      <c r="N29" s="23">
        <f t="shared" si="11"/>
        <v>2E-3</v>
      </c>
      <c r="O29" s="23">
        <f t="shared" si="11"/>
        <v>2E-3</v>
      </c>
      <c r="P29" s="23">
        <f t="shared" si="11"/>
        <v>2E-3</v>
      </c>
      <c r="Q29" s="23">
        <f t="shared" si="11"/>
        <v>2E-3</v>
      </c>
      <c r="R29" s="23">
        <f t="shared" si="11"/>
        <v>3.0000000000000001E-3</v>
      </c>
      <c r="S29" s="23">
        <f t="shared" si="11"/>
        <v>3.0000000000000001E-3</v>
      </c>
      <c r="T29" s="23">
        <f t="shared" si="11"/>
        <v>5.0000000000000001E-3</v>
      </c>
      <c r="U29" s="23">
        <f t="shared" si="11"/>
        <v>4.0000000000000001E-3</v>
      </c>
      <c r="V29" s="24">
        <f t="shared" si="3"/>
        <v>6.1979009638902854E-4</v>
      </c>
      <c r="W29" s="24">
        <f t="shared" si="4"/>
        <v>4.4999999999999999E-4</v>
      </c>
      <c r="X29" s="24">
        <f t="shared" si="5"/>
        <v>5.4999999999999992E-4</v>
      </c>
      <c r="Y29" s="24">
        <f t="shared" si="6"/>
        <v>6.9999999999999999E-4</v>
      </c>
      <c r="Z29" s="24">
        <f t="shared" si="7"/>
        <v>1E-3</v>
      </c>
      <c r="AA29" s="3">
        <f ca="1">IFERROR(__xludf.DUMMYFUNCTION("AVERAGE.WEIGHTED(B29:C29,$AF29:$AG29)"),0.000351017112153051)</f>
        <v>3.5101711215305102E-4</v>
      </c>
      <c r="AB29" s="3">
        <f ca="1">IFERROR(__xludf.DUMMYFUNCTION("AVERAGE.WEIGHTED(D29:E29,$AH29:$AI29)"),0.000451012005355073)</f>
        <v>4.5101200535507298E-4</v>
      </c>
      <c r="AC29" s="3">
        <f ca="1">IFERROR(__xludf.DUMMYFUNCTION("AVERAGE.WEIGHTED(F29:G29,$AJ29:$AK29)"),0.00055099518328895)</f>
        <v>5.5099518328894997E-4</v>
      </c>
      <c r="AD29" s="3" t="str">
        <f ca="1">IFERROR(__xludf.DUMMYFUNCTION("AVERAGE.WEIGHTED(H29:I29,$AA$25:$AB$25)"),"#VALUE!")</f>
        <v>#VALUE!</v>
      </c>
      <c r="AE29" s="3" t="str">
        <f ca="1">IFERROR(__xludf.DUMMYFUNCTION("AVERAGE.WEIGHTED(J29:K29,$AA$25:$AB$25)"),"#VALUE!")</f>
        <v>#VALUE!</v>
      </c>
      <c r="AF29" s="209">
        <v>0.51017112153051103</v>
      </c>
      <c r="AG29" s="3">
        <f t="shared" si="8"/>
        <v>0.48982887846948897</v>
      </c>
      <c r="AH29" s="209">
        <v>0.51012005355073098</v>
      </c>
      <c r="AI29" s="3">
        <f t="shared" si="9"/>
        <v>0.48987994644926902</v>
      </c>
      <c r="AJ29" s="209">
        <v>0.50995183288950796</v>
      </c>
      <c r="AK29" s="3">
        <f t="shared" si="10"/>
        <v>0.49004816711049204</v>
      </c>
      <c r="AT29" s="201"/>
      <c r="AU29" s="201">
        <v>11</v>
      </c>
      <c r="AV29" s="201" t="s">
        <v>52</v>
      </c>
      <c r="AW29" s="201">
        <v>294</v>
      </c>
      <c r="AX29" s="201" t="s">
        <v>278</v>
      </c>
      <c r="AY29" s="201">
        <v>1</v>
      </c>
      <c r="AZ29" s="201" t="s">
        <v>279</v>
      </c>
      <c r="BA29" s="201">
        <v>2018</v>
      </c>
      <c r="BB29" s="201">
        <v>7680.1935559929698</v>
      </c>
      <c r="BC29" s="201"/>
      <c r="BD29" s="201"/>
    </row>
    <row r="30" spans="1:73" ht="15.75" customHeight="1" x14ac:dyDescent="0.25">
      <c r="A30" s="1">
        <v>2</v>
      </c>
      <c r="B30" s="23">
        <f t="shared" si="11"/>
        <v>5.9058156488391001E-4</v>
      </c>
      <c r="C30" s="23">
        <f t="shared" si="11"/>
        <v>6.4899862789414696E-4</v>
      </c>
      <c r="D30" s="23">
        <f t="shared" si="11"/>
        <v>5.0000000000000001E-4</v>
      </c>
      <c r="E30" s="23">
        <f t="shared" si="11"/>
        <v>4.0000000000000002E-4</v>
      </c>
      <c r="F30" s="23">
        <f t="shared" si="11"/>
        <v>5.9999999999999995E-4</v>
      </c>
      <c r="G30" s="23">
        <f t="shared" si="11"/>
        <v>5.0000000000000001E-4</v>
      </c>
      <c r="H30" s="23">
        <f t="shared" si="11"/>
        <v>8.0000000000000004E-4</v>
      </c>
      <c r="I30" s="23">
        <f t="shared" si="11"/>
        <v>5.9999999999999995E-4</v>
      </c>
      <c r="J30" s="23">
        <f t="shared" si="11"/>
        <v>1E-3</v>
      </c>
      <c r="K30" s="23">
        <f t="shared" si="11"/>
        <v>1E-3</v>
      </c>
      <c r="L30" s="23">
        <f t="shared" si="11"/>
        <v>2E-3</v>
      </c>
      <c r="M30" s="23">
        <f t="shared" si="11"/>
        <v>1E-3</v>
      </c>
      <c r="N30" s="23">
        <f t="shared" si="11"/>
        <v>2E-3</v>
      </c>
      <c r="O30" s="23">
        <f t="shared" si="11"/>
        <v>2E-3</v>
      </c>
      <c r="P30" s="23">
        <f t="shared" si="11"/>
        <v>2E-3</v>
      </c>
      <c r="Q30" s="23">
        <f t="shared" si="11"/>
        <v>2E-3</v>
      </c>
      <c r="R30" s="23">
        <f t="shared" si="11"/>
        <v>3.0000000000000001E-3</v>
      </c>
      <c r="S30" s="23">
        <f t="shared" si="11"/>
        <v>3.0000000000000001E-3</v>
      </c>
      <c r="T30" s="23">
        <f t="shared" si="11"/>
        <v>5.0000000000000001E-3</v>
      </c>
      <c r="U30" s="23">
        <f t="shared" si="11"/>
        <v>4.0000000000000001E-3</v>
      </c>
      <c r="V30" s="24">
        <f t="shared" si="3"/>
        <v>6.1979009638902854E-4</v>
      </c>
      <c r="W30" s="24">
        <f t="shared" si="4"/>
        <v>4.4999999999999999E-4</v>
      </c>
      <c r="X30" s="24">
        <f t="shared" si="5"/>
        <v>5.4999999999999992E-4</v>
      </c>
      <c r="Y30" s="24">
        <f t="shared" si="6"/>
        <v>6.9999999999999999E-4</v>
      </c>
      <c r="Z30" s="24">
        <f t="shared" si="7"/>
        <v>1E-3</v>
      </c>
      <c r="AA30" s="3">
        <f ca="1">IFERROR(__xludf.DUMMYFUNCTION("AVERAGE.WEIGHTED(B30:C30,$AF30:$AG30)"),0.00035101311332178)</f>
        <v>3.5101311332177997E-4</v>
      </c>
      <c r="AB30" s="3">
        <f ca="1">IFERROR(__xludf.DUMMYFUNCTION("AVERAGE.WEIGHTED(D30:E30,$AH30:$AI30)"),0.000451005364996623)</f>
        <v>4.5100536499662302E-4</v>
      </c>
      <c r="AC30" s="3">
        <f ca="1">IFERROR(__xludf.DUMMYFUNCTION("AVERAGE.WEIGHTED(F30:G30,$AJ30:$AK30)"),0.000550982580435617)</f>
        <v>5.5098258043561699E-4</v>
      </c>
      <c r="AD30" s="3" t="str">
        <f ca="1">IFERROR(__xludf.DUMMYFUNCTION("AVERAGE.WEIGHTED(H30:I30,$AA$25:$AB$25)"),"#VALUE!")</f>
        <v>#VALUE!</v>
      </c>
      <c r="AE30" s="3" t="str">
        <f ca="1">IFERROR(__xludf.DUMMYFUNCTION("AVERAGE.WEIGHTED(J30:K30,$AA$25:$AB$25)"),"#VALUE!")</f>
        <v>#VALUE!</v>
      </c>
      <c r="AF30" s="209">
        <v>0.51013113321780701</v>
      </c>
      <c r="AG30" s="3">
        <f t="shared" si="8"/>
        <v>0.48986886678219299</v>
      </c>
      <c r="AH30" s="209">
        <v>0.51005364996623404</v>
      </c>
      <c r="AI30" s="3">
        <f t="shared" si="9"/>
        <v>0.48994635003376596</v>
      </c>
      <c r="AJ30" s="209">
        <v>0.50982580435617597</v>
      </c>
      <c r="AK30" s="3">
        <f t="shared" si="10"/>
        <v>0.49017419564382403</v>
      </c>
      <c r="AT30" s="201"/>
      <c r="AU30" s="201">
        <v>12</v>
      </c>
      <c r="AV30" s="201" t="s">
        <v>53</v>
      </c>
      <c r="AW30" s="201">
        <v>294</v>
      </c>
      <c r="AX30" s="201" t="s">
        <v>278</v>
      </c>
      <c r="AY30" s="201">
        <v>1</v>
      </c>
      <c r="AZ30" s="201" t="s">
        <v>279</v>
      </c>
      <c r="BA30" s="201">
        <v>2018</v>
      </c>
      <c r="BB30" s="201">
        <v>10924.289319036799</v>
      </c>
      <c r="BC30" s="201"/>
      <c r="BD30" s="201"/>
    </row>
    <row r="31" spans="1:73" ht="15.75" customHeight="1" x14ac:dyDescent="0.25">
      <c r="A31" s="1">
        <v>3</v>
      </c>
      <c r="B31" s="23">
        <f t="shared" si="11"/>
        <v>5.9058156488391001E-4</v>
      </c>
      <c r="C31" s="23">
        <f t="shared" si="11"/>
        <v>6.4899862789414696E-4</v>
      </c>
      <c r="D31" s="23">
        <f t="shared" si="11"/>
        <v>5.0000000000000001E-4</v>
      </c>
      <c r="E31" s="23">
        <f t="shared" si="11"/>
        <v>4.0000000000000002E-4</v>
      </c>
      <c r="F31" s="23">
        <f t="shared" si="11"/>
        <v>5.9999999999999995E-4</v>
      </c>
      <c r="G31" s="23">
        <f t="shared" si="11"/>
        <v>5.0000000000000001E-4</v>
      </c>
      <c r="H31" s="23">
        <f t="shared" si="11"/>
        <v>8.0000000000000004E-4</v>
      </c>
      <c r="I31" s="23">
        <f t="shared" si="11"/>
        <v>5.9999999999999995E-4</v>
      </c>
      <c r="J31" s="23">
        <f t="shared" si="11"/>
        <v>1E-3</v>
      </c>
      <c r="K31" s="23">
        <f t="shared" si="11"/>
        <v>1E-3</v>
      </c>
      <c r="L31" s="23">
        <f t="shared" si="11"/>
        <v>2E-3</v>
      </c>
      <c r="M31" s="23">
        <f t="shared" si="11"/>
        <v>1E-3</v>
      </c>
      <c r="N31" s="23">
        <f t="shared" si="11"/>
        <v>2E-3</v>
      </c>
      <c r="O31" s="23">
        <f t="shared" si="11"/>
        <v>2E-3</v>
      </c>
      <c r="P31" s="23">
        <f t="shared" si="11"/>
        <v>2E-3</v>
      </c>
      <c r="Q31" s="23">
        <f t="shared" si="11"/>
        <v>2E-3</v>
      </c>
      <c r="R31" s="23">
        <f t="shared" si="11"/>
        <v>3.0000000000000001E-3</v>
      </c>
      <c r="S31" s="23">
        <f t="shared" si="11"/>
        <v>3.0000000000000001E-3</v>
      </c>
      <c r="T31" s="23">
        <f t="shared" si="11"/>
        <v>5.0000000000000001E-3</v>
      </c>
      <c r="U31" s="23">
        <f t="shared" si="11"/>
        <v>4.0000000000000001E-3</v>
      </c>
      <c r="V31" s="24">
        <f t="shared" si="3"/>
        <v>6.1979009638902854E-4</v>
      </c>
      <c r="W31" s="24">
        <f t="shared" si="4"/>
        <v>4.4999999999999999E-4</v>
      </c>
      <c r="X31" s="24">
        <f t="shared" si="5"/>
        <v>5.4999999999999992E-4</v>
      </c>
      <c r="Y31" s="24">
        <f t="shared" si="6"/>
        <v>6.9999999999999999E-4</v>
      </c>
      <c r="Z31" s="24">
        <f t="shared" si="7"/>
        <v>1E-3</v>
      </c>
      <c r="AA31" s="3">
        <f ca="1">IFERROR(__xludf.DUMMYFUNCTION("AVERAGE.WEIGHTED(B31:C31,$AF31:$AG31)"),0.000351010778303743)</f>
        <v>3.5101077830374298E-4</v>
      </c>
      <c r="AB31" s="3">
        <f ca="1">IFERROR(__xludf.DUMMYFUNCTION("AVERAGE.WEIGHTED(D31:E31,$AH31:$AI31)"),0.000450999705874506)</f>
        <v>4.5099970587450598E-4</v>
      </c>
      <c r="AC31" s="3">
        <f ca="1">IFERROR(__xludf.DUMMYFUNCTION("AVERAGE.WEIGHTED(F31:G31,$AJ31:$AK31)"),0.000550971570273765)</f>
        <v>5.5097157027376499E-4</v>
      </c>
      <c r="AD31" s="3" t="str">
        <f ca="1">IFERROR(__xludf.DUMMYFUNCTION("AVERAGE.WEIGHTED(H31:I31,$AA$25:$AB$25)"),"#VALUE!")</f>
        <v>#VALUE!</v>
      </c>
      <c r="AE31" s="3" t="str">
        <f ca="1">IFERROR(__xludf.DUMMYFUNCTION("AVERAGE.WEIGHTED(J31:K31,$AA$25:$AB$25)"),"#VALUE!")</f>
        <v>#VALUE!</v>
      </c>
      <c r="AF31" s="209">
        <v>0.51010778303743498</v>
      </c>
      <c r="AG31" s="3">
        <f t="shared" si="8"/>
        <v>0.48989221696256502</v>
      </c>
      <c r="AH31" s="209">
        <v>0.50999705874506696</v>
      </c>
      <c r="AI31" s="3">
        <f t="shared" si="9"/>
        <v>0.49000294125493304</v>
      </c>
      <c r="AJ31" s="209">
        <v>0.50971570273765898</v>
      </c>
      <c r="AK31" s="3">
        <f t="shared" si="10"/>
        <v>0.49028429726234102</v>
      </c>
      <c r="AT31" s="201"/>
      <c r="AU31" s="201">
        <v>13</v>
      </c>
      <c r="AV31" s="201" t="s">
        <v>54</v>
      </c>
      <c r="AW31" s="201">
        <v>294</v>
      </c>
      <c r="AX31" s="201" t="s">
        <v>278</v>
      </c>
      <c r="AY31" s="201">
        <v>1</v>
      </c>
      <c r="AZ31" s="201" t="s">
        <v>279</v>
      </c>
      <c r="BA31" s="201">
        <v>2018</v>
      </c>
      <c r="BB31" s="201">
        <v>13912.761183926599</v>
      </c>
      <c r="BC31" s="201"/>
      <c r="BD31" s="201"/>
    </row>
    <row r="32" spans="1:73" ht="15.75" customHeight="1" x14ac:dyDescent="0.25">
      <c r="A32" s="1">
        <v>4</v>
      </c>
      <c r="B32" s="23">
        <f t="shared" si="11"/>
        <v>5.9058156488391001E-4</v>
      </c>
      <c r="C32" s="23">
        <f t="shared" si="11"/>
        <v>6.4899862789414696E-4</v>
      </c>
      <c r="D32" s="23">
        <f t="shared" si="11"/>
        <v>5.0000000000000001E-4</v>
      </c>
      <c r="E32" s="23">
        <f t="shared" si="11"/>
        <v>4.0000000000000002E-4</v>
      </c>
      <c r="F32" s="23">
        <f t="shared" si="11"/>
        <v>5.9999999999999995E-4</v>
      </c>
      <c r="G32" s="23">
        <f t="shared" si="11"/>
        <v>5.0000000000000001E-4</v>
      </c>
      <c r="H32" s="23">
        <f t="shared" si="11"/>
        <v>8.0000000000000004E-4</v>
      </c>
      <c r="I32" s="23">
        <f t="shared" si="11"/>
        <v>5.9999999999999995E-4</v>
      </c>
      <c r="J32" s="23">
        <f t="shared" si="11"/>
        <v>1E-3</v>
      </c>
      <c r="K32" s="23">
        <f t="shared" si="11"/>
        <v>1E-3</v>
      </c>
      <c r="L32" s="23">
        <f t="shared" si="11"/>
        <v>2E-3</v>
      </c>
      <c r="M32" s="23">
        <f t="shared" si="11"/>
        <v>1E-3</v>
      </c>
      <c r="N32" s="23">
        <f t="shared" si="11"/>
        <v>2E-3</v>
      </c>
      <c r="O32" s="23">
        <f t="shared" si="11"/>
        <v>2E-3</v>
      </c>
      <c r="P32" s="23">
        <f t="shared" si="11"/>
        <v>2E-3</v>
      </c>
      <c r="Q32" s="23">
        <f t="shared" si="11"/>
        <v>2E-3</v>
      </c>
      <c r="R32" s="23">
        <f t="shared" si="11"/>
        <v>3.0000000000000001E-3</v>
      </c>
      <c r="S32" s="23">
        <f t="shared" si="11"/>
        <v>3.0000000000000001E-3</v>
      </c>
      <c r="T32" s="23">
        <f t="shared" si="11"/>
        <v>5.0000000000000001E-3</v>
      </c>
      <c r="U32" s="23">
        <f t="shared" si="11"/>
        <v>4.0000000000000001E-3</v>
      </c>
      <c r="V32" s="24">
        <f t="shared" si="3"/>
        <v>6.1979009638902854E-4</v>
      </c>
      <c r="W32" s="24">
        <f t="shared" si="4"/>
        <v>4.4999999999999999E-4</v>
      </c>
      <c r="X32" s="24">
        <f t="shared" si="5"/>
        <v>5.4999999999999992E-4</v>
      </c>
      <c r="Y32" s="24">
        <f t="shared" si="6"/>
        <v>6.9999999999999999E-4</v>
      </c>
      <c r="Z32" s="24">
        <f t="shared" si="7"/>
        <v>1E-3</v>
      </c>
      <c r="AA32" s="3">
        <f ca="1">IFERROR(__xludf.DUMMYFUNCTION("AVERAGE.WEIGHTED(B32:C32,$AF32:$AG32)"),0.000351006719100479)</f>
        <v>3.5100671910047899E-4</v>
      </c>
      <c r="AB32" s="3">
        <f ca="1">IFERROR(__xludf.DUMMYFUNCTION("AVERAGE.WEIGHTED(D32:E32,$AH32:$AI32)"),0.000450992377918573)</f>
        <v>4.50992377918573E-4</v>
      </c>
      <c r="AC32" s="3">
        <f ca="1">IFERROR(__xludf.DUMMYFUNCTION("AVERAGE.WEIGHTED(F32:G32,$AJ32:$AK32)"),0.000550963017695789)</f>
        <v>5.5096301769578897E-4</v>
      </c>
      <c r="AD32" s="3" t="str">
        <f ca="1">IFERROR(__xludf.DUMMYFUNCTION("AVERAGE.WEIGHTED(H32:I32,$AA$25:$AB$25)"),"#VALUE!")</f>
        <v>#VALUE!</v>
      </c>
      <c r="AE32" s="3" t="str">
        <f ca="1">IFERROR(__xludf.DUMMYFUNCTION("AVERAGE.WEIGHTED(J32:K32,$AA$25:$AB$25)"),"#VALUE!")</f>
        <v>#VALUE!</v>
      </c>
      <c r="AF32" s="209">
        <v>0.51006719100479803</v>
      </c>
      <c r="AG32" s="3">
        <f t="shared" si="8"/>
        <v>0.48993280899520197</v>
      </c>
      <c r="AH32" s="209">
        <v>0.50992377918573895</v>
      </c>
      <c r="AI32" s="3">
        <f t="shared" si="9"/>
        <v>0.49007622081426105</v>
      </c>
      <c r="AJ32" s="209">
        <v>0.50963017695789103</v>
      </c>
      <c r="AK32" s="3">
        <f t="shared" si="10"/>
        <v>0.49036982304210897</v>
      </c>
      <c r="AT32" s="201"/>
      <c r="AU32" s="201">
        <v>14</v>
      </c>
      <c r="AV32" s="201" t="s">
        <v>55</v>
      </c>
      <c r="AW32" s="201">
        <v>294</v>
      </c>
      <c r="AX32" s="201" t="s">
        <v>278</v>
      </c>
      <c r="AY32" s="201">
        <v>1</v>
      </c>
      <c r="AZ32" s="201" t="s">
        <v>279</v>
      </c>
      <c r="BA32" s="201">
        <v>2018</v>
      </c>
      <c r="BB32" s="201">
        <v>18566.4493424018</v>
      </c>
      <c r="BC32" s="201"/>
      <c r="BD32" s="201"/>
    </row>
    <row r="33" spans="1:56" ht="15.75" customHeight="1" x14ac:dyDescent="0.25">
      <c r="A33" s="1">
        <v>5</v>
      </c>
      <c r="B33" s="23">
        <f t="shared" ref="B33:U37" si="12">B$7</f>
        <v>2.9358657848538701E-4</v>
      </c>
      <c r="C33" s="23">
        <f t="shared" si="12"/>
        <v>3.1498571087964301E-4</v>
      </c>
      <c r="D33" s="23">
        <f t="shared" si="12"/>
        <v>2.0000000000000001E-4</v>
      </c>
      <c r="E33" s="23">
        <f t="shared" si="12"/>
        <v>2.0000000000000001E-4</v>
      </c>
      <c r="F33" s="23">
        <f t="shared" si="12"/>
        <v>2.9999999999999997E-4</v>
      </c>
      <c r="G33" s="23">
        <f t="shared" si="12"/>
        <v>2.0000000000000001E-4</v>
      </c>
      <c r="H33" s="23">
        <f t="shared" si="12"/>
        <v>2.9999999999999997E-4</v>
      </c>
      <c r="I33" s="23">
        <f t="shared" si="12"/>
        <v>2.9999999999999997E-4</v>
      </c>
      <c r="J33" s="23">
        <f t="shared" si="12"/>
        <v>2.9999999999999997E-4</v>
      </c>
      <c r="K33" s="23">
        <f t="shared" si="12"/>
        <v>2.9999999999999997E-4</v>
      </c>
      <c r="L33" s="23">
        <f t="shared" si="12"/>
        <v>1E-3</v>
      </c>
      <c r="M33" s="23">
        <f t="shared" si="12"/>
        <v>8.9999999999999998E-4</v>
      </c>
      <c r="N33" s="23">
        <f t="shared" si="12"/>
        <v>1E-3</v>
      </c>
      <c r="O33" s="23">
        <f t="shared" si="12"/>
        <v>1E-3</v>
      </c>
      <c r="P33" s="23">
        <f t="shared" si="12"/>
        <v>1E-3</v>
      </c>
      <c r="Q33" s="23">
        <f t="shared" si="12"/>
        <v>1E-3</v>
      </c>
      <c r="R33" s="23">
        <f t="shared" si="12"/>
        <v>2E-3</v>
      </c>
      <c r="S33" s="23">
        <f t="shared" si="12"/>
        <v>1E-3</v>
      </c>
      <c r="T33" s="23">
        <f t="shared" si="12"/>
        <v>2E-3</v>
      </c>
      <c r="U33" s="23">
        <f t="shared" si="12"/>
        <v>1E-3</v>
      </c>
      <c r="V33" s="24">
        <f t="shared" si="3"/>
        <v>3.0428614468251501E-4</v>
      </c>
      <c r="W33" s="24">
        <f t="shared" si="4"/>
        <v>2.0000000000000001E-4</v>
      </c>
      <c r="X33" s="24">
        <f t="shared" si="5"/>
        <v>2.5000000000000001E-4</v>
      </c>
      <c r="Y33" s="24">
        <f t="shared" si="6"/>
        <v>2.9999999999999997E-4</v>
      </c>
      <c r="Z33" s="24">
        <f t="shared" si="7"/>
        <v>2.9999999999999997E-4</v>
      </c>
      <c r="AA33" s="3">
        <f ca="1">IFERROR(__xludf.DUMMYFUNCTION("AVERAGE.WEIGHTED(B33:C33,$AF33:$AG33)"),0.0002)</f>
        <v>2.0000000000000001E-4</v>
      </c>
      <c r="AB33" s="3">
        <f ca="1">IFERROR(__xludf.DUMMYFUNCTION("AVERAGE.WEIGHTED(D33:E33,$AH33:$AI33)"),0.0002)</f>
        <v>2.0000000000000001E-4</v>
      </c>
      <c r="AC33" s="3">
        <f ca="1">IFERROR(__xludf.DUMMYFUNCTION("AVERAGE.WEIGHTED(F33:G33,$AJ33:$AK33)"),0.000250951757583111)</f>
        <v>2.5095175758311101E-4</v>
      </c>
      <c r="AD33" s="3" t="str">
        <f ca="1">IFERROR(__xludf.DUMMYFUNCTION("AVERAGE.WEIGHTED(H33:I33,$AA$25:$AB$25)"),"#VALUE!")</f>
        <v>#VALUE!</v>
      </c>
      <c r="AE33" s="3" t="str">
        <f ca="1">IFERROR(__xludf.DUMMYFUNCTION("AVERAGE.WEIGHTED(J33:K33,$AA$25:$AB$25)"),"#VALUE!")</f>
        <v>#VALUE!</v>
      </c>
      <c r="AF33" s="209">
        <v>0.50999977520175599</v>
      </c>
      <c r="AG33" s="3">
        <f t="shared" si="8"/>
        <v>0.49000022479824401</v>
      </c>
      <c r="AH33" s="209">
        <v>0.50986988160151203</v>
      </c>
      <c r="AI33" s="3">
        <f t="shared" si="9"/>
        <v>0.49013011839848797</v>
      </c>
      <c r="AJ33" s="209">
        <v>0.50951757583111101</v>
      </c>
      <c r="AK33" s="3">
        <f t="shared" si="10"/>
        <v>0.49048242416888899</v>
      </c>
      <c r="AT33" s="201"/>
      <c r="AU33" s="201">
        <v>15</v>
      </c>
      <c r="AV33" s="201" t="s">
        <v>56</v>
      </c>
      <c r="AW33" s="201">
        <v>294</v>
      </c>
      <c r="AX33" s="201" t="s">
        <v>278</v>
      </c>
      <c r="AY33" s="201">
        <v>1</v>
      </c>
      <c r="AZ33" s="201" t="s">
        <v>279</v>
      </c>
      <c r="BA33" s="201">
        <v>2018</v>
      </c>
      <c r="BB33" s="201">
        <v>25903.4773840659</v>
      </c>
      <c r="BC33" s="201"/>
      <c r="BD33" s="201"/>
    </row>
    <row r="34" spans="1:56" ht="15.75" customHeight="1" x14ac:dyDescent="0.25">
      <c r="A34" s="1">
        <v>6</v>
      </c>
      <c r="B34" s="23">
        <f t="shared" si="12"/>
        <v>2.9358657848538701E-4</v>
      </c>
      <c r="C34" s="23">
        <f t="shared" si="12"/>
        <v>3.1498571087964301E-4</v>
      </c>
      <c r="D34" s="23">
        <f t="shared" si="12"/>
        <v>2.0000000000000001E-4</v>
      </c>
      <c r="E34" s="23">
        <f t="shared" si="12"/>
        <v>2.0000000000000001E-4</v>
      </c>
      <c r="F34" s="23">
        <f t="shared" si="12"/>
        <v>2.9999999999999997E-4</v>
      </c>
      <c r="G34" s="23">
        <f t="shared" si="12"/>
        <v>2.0000000000000001E-4</v>
      </c>
      <c r="H34" s="23">
        <f t="shared" si="12"/>
        <v>2.9999999999999997E-4</v>
      </c>
      <c r="I34" s="23">
        <f t="shared" si="12"/>
        <v>2.9999999999999997E-4</v>
      </c>
      <c r="J34" s="23">
        <f t="shared" si="12"/>
        <v>2.9999999999999997E-4</v>
      </c>
      <c r="K34" s="23">
        <f t="shared" si="12"/>
        <v>2.9999999999999997E-4</v>
      </c>
      <c r="L34" s="23">
        <f t="shared" si="12"/>
        <v>1E-3</v>
      </c>
      <c r="M34" s="23">
        <f t="shared" si="12"/>
        <v>8.9999999999999998E-4</v>
      </c>
      <c r="N34" s="23">
        <f t="shared" si="12"/>
        <v>1E-3</v>
      </c>
      <c r="O34" s="23">
        <f t="shared" si="12"/>
        <v>1E-3</v>
      </c>
      <c r="P34" s="23">
        <f t="shared" si="12"/>
        <v>1E-3</v>
      </c>
      <c r="Q34" s="23">
        <f t="shared" si="12"/>
        <v>1E-3</v>
      </c>
      <c r="R34" s="23">
        <f t="shared" si="12"/>
        <v>2E-3</v>
      </c>
      <c r="S34" s="23">
        <f t="shared" si="12"/>
        <v>1E-3</v>
      </c>
      <c r="T34" s="23">
        <f t="shared" si="12"/>
        <v>2E-3</v>
      </c>
      <c r="U34" s="23">
        <f t="shared" si="12"/>
        <v>1E-3</v>
      </c>
      <c r="V34" s="24">
        <f t="shared" si="3"/>
        <v>3.0428614468251501E-4</v>
      </c>
      <c r="W34" s="24">
        <f t="shared" si="4"/>
        <v>2.0000000000000001E-4</v>
      </c>
      <c r="X34" s="24">
        <f t="shared" si="5"/>
        <v>2.5000000000000001E-4</v>
      </c>
      <c r="Y34" s="24">
        <f t="shared" si="6"/>
        <v>2.9999999999999997E-4</v>
      </c>
      <c r="Z34" s="24">
        <f t="shared" si="7"/>
        <v>2.9999999999999997E-4</v>
      </c>
      <c r="AA34" s="3">
        <f ca="1">IFERROR(__xludf.DUMMYFUNCTION("AVERAGE.WEIGHTED(B34:C34,$AF34:$AG34)"),0.0002)</f>
        <v>2.0000000000000001E-4</v>
      </c>
      <c r="AB34" s="3">
        <f ca="1">IFERROR(__xludf.DUMMYFUNCTION("AVERAGE.WEIGHTED(D34:E34,$AH34:$AI34)"),0.0002)</f>
        <v>2.0000000000000001E-4</v>
      </c>
      <c r="AC34" s="3">
        <f ca="1">IFERROR(__xludf.DUMMYFUNCTION("AVERAGE.WEIGHTED(F34:G34,$AJ34:$AK34)"),0.00025093583676757)</f>
        <v>2.5093583676756998E-4</v>
      </c>
      <c r="AD34" s="3" t="str">
        <f ca="1">IFERROR(__xludf.DUMMYFUNCTION("AVERAGE.WEIGHTED(H34:I34,$AA$25:$AB$25)"),"#VALUE!")</f>
        <v>#VALUE!</v>
      </c>
      <c r="AE34" s="3" t="str">
        <f ca="1">IFERROR(__xludf.DUMMYFUNCTION("AVERAGE.WEIGHTED(J34:K34,$AA$25:$AB$25)"),"#VALUE!")</f>
        <v>#VALUE!</v>
      </c>
      <c r="AF34" s="209">
        <v>0.50994815880564004</v>
      </c>
      <c r="AG34" s="3">
        <f t="shared" si="8"/>
        <v>0.49005184119435996</v>
      </c>
      <c r="AH34" s="209">
        <v>0.50979295354839704</v>
      </c>
      <c r="AI34" s="3">
        <f t="shared" si="9"/>
        <v>0.49020704645160296</v>
      </c>
      <c r="AJ34" s="209">
        <v>0.50935836767570197</v>
      </c>
      <c r="AK34" s="3">
        <f t="shared" si="10"/>
        <v>0.49064163232429803</v>
      </c>
      <c r="AT34" s="201"/>
      <c r="AU34" s="201">
        <v>16</v>
      </c>
      <c r="AV34" s="201" t="s">
        <v>57</v>
      </c>
      <c r="AW34" s="201">
        <v>294</v>
      </c>
      <c r="AX34" s="201" t="s">
        <v>278</v>
      </c>
      <c r="AY34" s="201">
        <v>1</v>
      </c>
      <c r="AZ34" s="201" t="s">
        <v>279</v>
      </c>
      <c r="BA34" s="201">
        <v>2018</v>
      </c>
      <c r="BB34" s="201">
        <v>34430.949127616899</v>
      </c>
      <c r="BC34" s="201"/>
      <c r="BD34" s="201"/>
    </row>
    <row r="35" spans="1:56" ht="15.75" customHeight="1" x14ac:dyDescent="0.25">
      <c r="A35" s="1">
        <v>7</v>
      </c>
      <c r="B35" s="23">
        <f t="shared" si="12"/>
        <v>2.9358657848538701E-4</v>
      </c>
      <c r="C35" s="23">
        <f t="shared" si="12"/>
        <v>3.1498571087964301E-4</v>
      </c>
      <c r="D35" s="23">
        <f t="shared" si="12"/>
        <v>2.0000000000000001E-4</v>
      </c>
      <c r="E35" s="23">
        <f t="shared" si="12"/>
        <v>2.0000000000000001E-4</v>
      </c>
      <c r="F35" s="23">
        <f t="shared" si="12"/>
        <v>2.9999999999999997E-4</v>
      </c>
      <c r="G35" s="23">
        <f t="shared" si="12"/>
        <v>2.0000000000000001E-4</v>
      </c>
      <c r="H35" s="23">
        <f t="shared" si="12"/>
        <v>2.9999999999999997E-4</v>
      </c>
      <c r="I35" s="23">
        <f t="shared" si="12"/>
        <v>2.9999999999999997E-4</v>
      </c>
      <c r="J35" s="23">
        <f t="shared" si="12"/>
        <v>2.9999999999999997E-4</v>
      </c>
      <c r="K35" s="23">
        <f t="shared" si="12"/>
        <v>2.9999999999999997E-4</v>
      </c>
      <c r="L35" s="23">
        <f t="shared" si="12"/>
        <v>1E-3</v>
      </c>
      <c r="M35" s="23">
        <f t="shared" si="12"/>
        <v>8.9999999999999998E-4</v>
      </c>
      <c r="N35" s="23">
        <f t="shared" si="12"/>
        <v>1E-3</v>
      </c>
      <c r="O35" s="23">
        <f t="shared" si="12"/>
        <v>1E-3</v>
      </c>
      <c r="P35" s="23">
        <f t="shared" si="12"/>
        <v>1E-3</v>
      </c>
      <c r="Q35" s="23">
        <f t="shared" si="12"/>
        <v>1E-3</v>
      </c>
      <c r="R35" s="23">
        <f t="shared" si="12"/>
        <v>2E-3</v>
      </c>
      <c r="S35" s="23">
        <f t="shared" si="12"/>
        <v>1E-3</v>
      </c>
      <c r="T35" s="23">
        <f t="shared" si="12"/>
        <v>2E-3</v>
      </c>
      <c r="U35" s="23">
        <f t="shared" si="12"/>
        <v>1E-3</v>
      </c>
      <c r="V35" s="24">
        <f t="shared" si="3"/>
        <v>3.0428614468251501E-4</v>
      </c>
      <c r="W35" s="24">
        <f t="shared" si="4"/>
        <v>2.0000000000000001E-4</v>
      </c>
      <c r="X35" s="24">
        <f t="shared" si="5"/>
        <v>2.5000000000000001E-4</v>
      </c>
      <c r="Y35" s="24">
        <f t="shared" si="6"/>
        <v>2.9999999999999997E-4</v>
      </c>
      <c r="Z35" s="24">
        <f t="shared" si="7"/>
        <v>2.9999999999999997E-4</v>
      </c>
      <c r="AA35" s="3">
        <f ca="1">IFERROR(__xludf.DUMMYFUNCTION("AVERAGE.WEIGHTED(B35:C35,$AF35:$AG35)"),0.0002)</f>
        <v>2.0000000000000001E-4</v>
      </c>
      <c r="AB35" s="3">
        <f ca="1">IFERROR(__xludf.DUMMYFUNCTION("AVERAGE.WEIGHTED(D35:E35,$AH35:$AI35)"),0.0002)</f>
        <v>2.0000000000000001E-4</v>
      </c>
      <c r="AC35" s="3">
        <f ca="1">IFERROR(__xludf.DUMMYFUNCTION("AVERAGE.WEIGHTED(F35:G35,$AJ35:$AK35)"),0.00025092101176585)</f>
        <v>2.5092101176584999E-4</v>
      </c>
      <c r="AD35" s="3" t="str">
        <f ca="1">IFERROR(__xludf.DUMMYFUNCTION("AVERAGE.WEIGHTED(H35:I35,$AA$25:$AB$25)"),"#VALUE!")</f>
        <v>#VALUE!</v>
      </c>
      <c r="AE35" s="3" t="str">
        <f ca="1">IFERROR(__xludf.DUMMYFUNCTION("AVERAGE.WEIGHTED(J35:K35,$AA$25:$AB$25)"),"#VALUE!")</f>
        <v>#VALUE!</v>
      </c>
      <c r="AF35" s="209">
        <v>0.50990268638035097</v>
      </c>
      <c r="AG35" s="3">
        <f t="shared" si="8"/>
        <v>0.49009731361964903</v>
      </c>
      <c r="AH35" s="209">
        <v>0.50968080385496695</v>
      </c>
      <c r="AI35" s="3">
        <f t="shared" si="9"/>
        <v>0.49031919614503305</v>
      </c>
      <c r="AJ35" s="209">
        <v>0.50921011765850499</v>
      </c>
      <c r="AK35" s="3">
        <f t="shared" si="10"/>
        <v>0.49078988234149501</v>
      </c>
      <c r="AT35" s="201"/>
      <c r="AU35" s="201">
        <v>17</v>
      </c>
      <c r="AV35" s="201" t="s">
        <v>58</v>
      </c>
      <c r="AW35" s="201">
        <v>294</v>
      </c>
      <c r="AX35" s="201" t="s">
        <v>278</v>
      </c>
      <c r="AY35" s="201">
        <v>1</v>
      </c>
      <c r="AZ35" s="201" t="s">
        <v>279</v>
      </c>
      <c r="BA35" s="201">
        <v>2018</v>
      </c>
      <c r="BB35" s="201">
        <v>43624.184537253401</v>
      </c>
      <c r="BC35" s="201"/>
      <c r="BD35" s="201"/>
    </row>
    <row r="36" spans="1:56" ht="15.75" customHeight="1" x14ac:dyDescent="0.25">
      <c r="A36" s="1">
        <v>8</v>
      </c>
      <c r="B36" s="23">
        <f t="shared" si="12"/>
        <v>2.9358657848538701E-4</v>
      </c>
      <c r="C36" s="23">
        <f t="shared" si="12"/>
        <v>3.1498571087964301E-4</v>
      </c>
      <c r="D36" s="23">
        <f t="shared" si="12"/>
        <v>2.0000000000000001E-4</v>
      </c>
      <c r="E36" s="23">
        <f t="shared" si="12"/>
        <v>2.0000000000000001E-4</v>
      </c>
      <c r="F36" s="23">
        <f t="shared" si="12"/>
        <v>2.9999999999999997E-4</v>
      </c>
      <c r="G36" s="23">
        <f t="shared" si="12"/>
        <v>2.0000000000000001E-4</v>
      </c>
      <c r="H36" s="23">
        <f t="shared" si="12"/>
        <v>2.9999999999999997E-4</v>
      </c>
      <c r="I36" s="23">
        <f t="shared" si="12"/>
        <v>2.9999999999999997E-4</v>
      </c>
      <c r="J36" s="23">
        <f t="shared" si="12"/>
        <v>2.9999999999999997E-4</v>
      </c>
      <c r="K36" s="23">
        <f t="shared" si="12"/>
        <v>2.9999999999999997E-4</v>
      </c>
      <c r="L36" s="23">
        <f t="shared" si="12"/>
        <v>1E-3</v>
      </c>
      <c r="M36" s="23">
        <f t="shared" si="12"/>
        <v>8.9999999999999998E-4</v>
      </c>
      <c r="N36" s="23">
        <f t="shared" si="12"/>
        <v>1E-3</v>
      </c>
      <c r="O36" s="23">
        <f t="shared" si="12"/>
        <v>1E-3</v>
      </c>
      <c r="P36" s="23">
        <f t="shared" si="12"/>
        <v>1E-3</v>
      </c>
      <c r="Q36" s="23">
        <f t="shared" si="12"/>
        <v>1E-3</v>
      </c>
      <c r="R36" s="23">
        <f t="shared" si="12"/>
        <v>2E-3</v>
      </c>
      <c r="S36" s="23">
        <f t="shared" si="12"/>
        <v>1E-3</v>
      </c>
      <c r="T36" s="23">
        <f t="shared" si="12"/>
        <v>2E-3</v>
      </c>
      <c r="U36" s="23">
        <f t="shared" si="12"/>
        <v>1E-3</v>
      </c>
      <c r="V36" s="24">
        <f t="shared" si="3"/>
        <v>3.0428614468251501E-4</v>
      </c>
      <c r="W36" s="24">
        <f t="shared" si="4"/>
        <v>2.0000000000000001E-4</v>
      </c>
      <c r="X36" s="24">
        <f t="shared" si="5"/>
        <v>2.5000000000000001E-4</v>
      </c>
      <c r="Y36" s="24">
        <f t="shared" si="6"/>
        <v>2.9999999999999997E-4</v>
      </c>
      <c r="Z36" s="24">
        <f t="shared" si="7"/>
        <v>2.9999999999999997E-4</v>
      </c>
      <c r="AA36" s="3">
        <f ca="1">IFERROR(__xludf.DUMMYFUNCTION("AVERAGE.WEIGHTED(B36:C36,$AF36:$AG36)"),0.0002)</f>
        <v>2.0000000000000001E-4</v>
      </c>
      <c r="AB36" s="3">
        <f ca="1">IFERROR(__xludf.DUMMYFUNCTION("AVERAGE.WEIGHTED(D36:E36,$AH36:$AI36)"),0.0002)</f>
        <v>2.0000000000000001E-4</v>
      </c>
      <c r="AC36" s="3">
        <f ca="1">IFERROR(__xludf.DUMMYFUNCTION("AVERAGE.WEIGHTED(F36:G36,$AJ36:$AK36)"),0.000250908498414037)</f>
        <v>2.5090849841403698E-4</v>
      </c>
      <c r="AD36" s="3" t="str">
        <f ca="1">IFERROR(__xludf.DUMMYFUNCTION("AVERAGE.WEIGHTED(H36:I36,$AA$25:$AB$25)"),"#VALUE!")</f>
        <v>#VALUE!</v>
      </c>
      <c r="AE36" s="3" t="str">
        <f ca="1">IFERROR(__xludf.DUMMYFUNCTION("AVERAGE.WEIGHTED(J36:K36,$AA$25:$AB$25)"),"#VALUE!")</f>
        <v>#VALUE!</v>
      </c>
      <c r="AF36" s="209">
        <v>0.50983596886170401</v>
      </c>
      <c r="AG36" s="3">
        <f t="shared" si="8"/>
        <v>0.49016403113829599</v>
      </c>
      <c r="AH36" s="209">
        <v>0.50958040293450702</v>
      </c>
      <c r="AI36" s="3">
        <f t="shared" si="9"/>
        <v>0.49041959706549298</v>
      </c>
      <c r="AJ36" s="209">
        <v>0.50908498414037495</v>
      </c>
      <c r="AK36" s="3">
        <f t="shared" si="10"/>
        <v>0.49091501585962505</v>
      </c>
      <c r="AT36" s="201"/>
      <c r="AU36" s="201">
        <v>18</v>
      </c>
      <c r="AV36" s="201" t="s">
        <v>59</v>
      </c>
      <c r="AW36" s="201">
        <v>294</v>
      </c>
      <c r="AX36" s="201" t="s">
        <v>278</v>
      </c>
      <c r="AY36" s="201">
        <v>1</v>
      </c>
      <c r="AZ36" s="201" t="s">
        <v>279</v>
      </c>
      <c r="BA36" s="201">
        <v>2018</v>
      </c>
      <c r="BB36" s="201">
        <v>51705.517693012902</v>
      </c>
      <c r="BC36" s="201"/>
      <c r="BD36" s="201"/>
    </row>
    <row r="37" spans="1:56" ht="15.75" customHeight="1" x14ac:dyDescent="0.25">
      <c r="A37" s="1">
        <v>9</v>
      </c>
      <c r="B37" s="23">
        <f t="shared" si="12"/>
        <v>2.9358657848538701E-4</v>
      </c>
      <c r="C37" s="23">
        <f t="shared" si="12"/>
        <v>3.1498571087964301E-4</v>
      </c>
      <c r="D37" s="23">
        <f t="shared" si="12"/>
        <v>2.0000000000000001E-4</v>
      </c>
      <c r="E37" s="23">
        <f t="shared" si="12"/>
        <v>2.0000000000000001E-4</v>
      </c>
      <c r="F37" s="23">
        <f t="shared" si="12"/>
        <v>2.9999999999999997E-4</v>
      </c>
      <c r="G37" s="23">
        <f t="shared" si="12"/>
        <v>2.0000000000000001E-4</v>
      </c>
      <c r="H37" s="23">
        <f t="shared" si="12"/>
        <v>2.9999999999999997E-4</v>
      </c>
      <c r="I37" s="23">
        <f t="shared" si="12"/>
        <v>2.9999999999999997E-4</v>
      </c>
      <c r="J37" s="23">
        <f t="shared" si="12"/>
        <v>2.9999999999999997E-4</v>
      </c>
      <c r="K37" s="23">
        <f t="shared" si="12"/>
        <v>2.9999999999999997E-4</v>
      </c>
      <c r="L37" s="23">
        <f t="shared" si="12"/>
        <v>1E-3</v>
      </c>
      <c r="M37" s="23">
        <f t="shared" si="12"/>
        <v>8.9999999999999998E-4</v>
      </c>
      <c r="N37" s="23">
        <f t="shared" si="12"/>
        <v>1E-3</v>
      </c>
      <c r="O37" s="23">
        <f t="shared" si="12"/>
        <v>1E-3</v>
      </c>
      <c r="P37" s="23">
        <f t="shared" si="12"/>
        <v>1E-3</v>
      </c>
      <c r="Q37" s="23">
        <f t="shared" si="12"/>
        <v>1E-3</v>
      </c>
      <c r="R37" s="23">
        <f t="shared" si="12"/>
        <v>2E-3</v>
      </c>
      <c r="S37" s="23">
        <f t="shared" si="12"/>
        <v>1E-3</v>
      </c>
      <c r="T37" s="23">
        <f t="shared" si="12"/>
        <v>2E-3</v>
      </c>
      <c r="U37" s="23">
        <f t="shared" si="12"/>
        <v>1E-3</v>
      </c>
      <c r="V37" s="24">
        <f t="shared" si="3"/>
        <v>3.0428614468251501E-4</v>
      </c>
      <c r="W37" s="24">
        <f t="shared" si="4"/>
        <v>2.0000000000000001E-4</v>
      </c>
      <c r="X37" s="24">
        <f t="shared" si="5"/>
        <v>2.5000000000000001E-4</v>
      </c>
      <c r="Y37" s="24">
        <f t="shared" si="6"/>
        <v>2.9999999999999997E-4</v>
      </c>
      <c r="Z37" s="24">
        <f t="shared" si="7"/>
        <v>2.9999999999999997E-4</v>
      </c>
      <c r="AA37" s="3">
        <f ca="1">IFERROR(__xludf.DUMMYFUNCTION("AVERAGE.WEIGHTED(B37:C37,$AF37:$AG37)"),0.0002)</f>
        <v>2.0000000000000001E-4</v>
      </c>
      <c r="AB37" s="3">
        <f ca="1">IFERROR(__xludf.DUMMYFUNCTION("AVERAGE.WEIGHTED(D37:E37,$AH37:$AI37)"),0.0002)</f>
        <v>2.0000000000000001E-4</v>
      </c>
      <c r="AC37" s="3">
        <f ca="1">IFERROR(__xludf.DUMMYFUNCTION("AVERAGE.WEIGHTED(F37:G37,$AJ37:$AK37)"),0.000250891351546463)</f>
        <v>2.5089135154646299E-4</v>
      </c>
      <c r="AD37" s="3" t="str">
        <f ca="1">IFERROR(__xludf.DUMMYFUNCTION("AVERAGE.WEIGHTED(H37:I37,$AA$25:$AB$25)"),"#VALUE!")</f>
        <v>#VALUE!</v>
      </c>
      <c r="AE37" s="3" t="str">
        <f ca="1">IFERROR(__xludf.DUMMYFUNCTION("AVERAGE.WEIGHTED(J37:K37,$AA$25:$AB$25)"),"#VALUE!")</f>
        <v>#VALUE!</v>
      </c>
      <c r="AF37" s="209">
        <v>0.50978510679129896</v>
      </c>
      <c r="AG37" s="3">
        <f t="shared" si="8"/>
        <v>0.49021489320870104</v>
      </c>
      <c r="AH37" s="209">
        <v>0.50950011215698698</v>
      </c>
      <c r="AI37" s="3">
        <f t="shared" si="9"/>
        <v>0.49049988784301302</v>
      </c>
      <c r="AJ37" s="209">
        <v>0.50891351546464003</v>
      </c>
      <c r="AK37" s="3">
        <f t="shared" si="10"/>
        <v>0.49108648453535997</v>
      </c>
      <c r="AT37" s="201"/>
      <c r="AU37" s="201">
        <v>19</v>
      </c>
      <c r="AV37" s="201" t="s">
        <v>60</v>
      </c>
      <c r="AW37" s="201">
        <v>294</v>
      </c>
      <c r="AX37" s="201" t="s">
        <v>278</v>
      </c>
      <c r="AY37" s="201">
        <v>1</v>
      </c>
      <c r="AZ37" s="201" t="s">
        <v>279</v>
      </c>
      <c r="BA37" s="201">
        <v>2018</v>
      </c>
      <c r="BB37" s="201">
        <v>60016.490160800699</v>
      </c>
      <c r="BC37" s="201"/>
      <c r="BD37" s="201"/>
    </row>
    <row r="38" spans="1:56" ht="15" x14ac:dyDescent="0.25">
      <c r="A38" s="1">
        <v>10</v>
      </c>
      <c r="B38" s="23">
        <f t="shared" ref="B38:U42" si="13">B$8</f>
        <v>2.9644342643395501E-4</v>
      </c>
      <c r="C38" s="23">
        <f t="shared" si="13"/>
        <v>3.1142713112742004E-4</v>
      </c>
      <c r="D38" s="23">
        <f t="shared" si="13"/>
        <v>4.0000000000000002E-4</v>
      </c>
      <c r="E38" s="23">
        <f t="shared" si="13"/>
        <v>2.0000000000000001E-4</v>
      </c>
      <c r="F38" s="23">
        <f t="shared" si="13"/>
        <v>4.0000000000000002E-4</v>
      </c>
      <c r="G38" s="23">
        <f t="shared" si="13"/>
        <v>2.9999999999999997E-4</v>
      </c>
      <c r="H38" s="23">
        <f t="shared" si="13"/>
        <v>4.0000000000000002E-4</v>
      </c>
      <c r="I38" s="23">
        <f t="shared" si="13"/>
        <v>2.9999999999999997E-4</v>
      </c>
      <c r="J38" s="23">
        <f t="shared" si="13"/>
        <v>4.0000000000000002E-4</v>
      </c>
      <c r="K38" s="23">
        <f t="shared" si="13"/>
        <v>2.9999999999999997E-4</v>
      </c>
      <c r="L38" s="23">
        <f t="shared" si="13"/>
        <v>2E-3</v>
      </c>
      <c r="M38" s="23">
        <f t="shared" si="13"/>
        <v>1E-3</v>
      </c>
      <c r="N38" s="23">
        <f t="shared" si="13"/>
        <v>2E-3</v>
      </c>
      <c r="O38" s="23">
        <f t="shared" si="13"/>
        <v>1E-3</v>
      </c>
      <c r="P38" s="23">
        <f t="shared" si="13"/>
        <v>2E-3</v>
      </c>
      <c r="Q38" s="23">
        <f t="shared" si="13"/>
        <v>1E-3</v>
      </c>
      <c r="R38" s="23">
        <f t="shared" si="13"/>
        <v>2E-3</v>
      </c>
      <c r="S38" s="23">
        <f t="shared" si="13"/>
        <v>1E-3</v>
      </c>
      <c r="T38" s="23">
        <f t="shared" si="13"/>
        <v>2E-3</v>
      </c>
      <c r="U38" s="23">
        <f t="shared" si="13"/>
        <v>1E-3</v>
      </c>
      <c r="V38" s="24">
        <f t="shared" si="3"/>
        <v>3.0393527878068752E-4</v>
      </c>
      <c r="W38" s="24">
        <f t="shared" si="4"/>
        <v>3.0000000000000003E-4</v>
      </c>
      <c r="X38" s="24">
        <f t="shared" si="5"/>
        <v>3.5E-4</v>
      </c>
      <c r="Y38" s="24">
        <f t="shared" si="6"/>
        <v>3.5E-4</v>
      </c>
      <c r="Z38" s="24">
        <f t="shared" si="7"/>
        <v>3.5E-4</v>
      </c>
      <c r="AA38" s="3">
        <f ca="1">IFERROR(__xludf.DUMMYFUNCTION("AVERAGE.WEIGHTED(B38:C38,$AF38:$AG38)"),0.000250971090703887)</f>
        <v>2.5097109070388701E-4</v>
      </c>
      <c r="AB38" s="3">
        <f ca="1">IFERROR(__xludf.DUMMYFUNCTION("AVERAGE.WEIGHTED(D38:E38,$AH38:$AI38)"),0.00030187791673972)</f>
        <v>3.0187791673971998E-4</v>
      </c>
      <c r="AC38" s="3">
        <f ca="1">IFERROR(__xludf.DUMMYFUNCTION("AVERAGE.WEIGHTED(F38:G38,$AJ38:$AK38)"),0.000350873680765672)</f>
        <v>3.50873680765672E-4</v>
      </c>
      <c r="AD38" s="3" t="str">
        <f ca="1">IFERROR(__xludf.DUMMYFUNCTION("AVERAGE.WEIGHTED(H38:I38,$AA$25:$AB$25)"),"#VALUE!")</f>
        <v>#VALUE!</v>
      </c>
      <c r="AE38" s="3" t="str">
        <f ca="1">IFERROR(__xludf.DUMMYFUNCTION("AVERAGE.WEIGHTED(J38:K38,$AA$25:$AB$25)"),"#VALUE!")</f>
        <v>#VALUE!</v>
      </c>
      <c r="AF38" s="209">
        <v>0.50971090703887101</v>
      </c>
      <c r="AG38" s="3">
        <f t="shared" si="8"/>
        <v>0.49028909296112899</v>
      </c>
      <c r="AH38" s="209">
        <v>0.50938958369860199</v>
      </c>
      <c r="AI38" s="3">
        <f t="shared" si="9"/>
        <v>0.49061041630139801</v>
      </c>
      <c r="AJ38" s="209">
        <v>0.50873680765672802</v>
      </c>
      <c r="AK38" s="3">
        <f t="shared" si="10"/>
        <v>0.49126319234327198</v>
      </c>
      <c r="AT38" s="201"/>
      <c r="AU38" s="201">
        <v>20</v>
      </c>
      <c r="AV38" s="201" t="s">
        <v>61</v>
      </c>
      <c r="AW38" s="201">
        <v>294</v>
      </c>
      <c r="AX38" s="201" t="s">
        <v>278</v>
      </c>
      <c r="AY38" s="201">
        <v>1</v>
      </c>
      <c r="AZ38" s="201" t="s">
        <v>279</v>
      </c>
      <c r="BA38" s="201">
        <v>2018</v>
      </c>
      <c r="BB38" s="201">
        <v>69403.668690403094</v>
      </c>
      <c r="BC38" s="201"/>
      <c r="BD38" s="201"/>
    </row>
    <row r="39" spans="1:56" ht="15" x14ac:dyDescent="0.25">
      <c r="A39" s="1">
        <v>11</v>
      </c>
      <c r="B39" s="23">
        <f t="shared" si="13"/>
        <v>2.9644342643395501E-4</v>
      </c>
      <c r="C39" s="23">
        <f t="shared" si="13"/>
        <v>3.1142713112742004E-4</v>
      </c>
      <c r="D39" s="23">
        <f t="shared" si="13"/>
        <v>4.0000000000000002E-4</v>
      </c>
      <c r="E39" s="23">
        <f t="shared" si="13"/>
        <v>2.0000000000000001E-4</v>
      </c>
      <c r="F39" s="23">
        <f t="shared" si="13"/>
        <v>4.0000000000000002E-4</v>
      </c>
      <c r="G39" s="23">
        <f t="shared" si="13"/>
        <v>2.9999999999999997E-4</v>
      </c>
      <c r="H39" s="23">
        <f t="shared" si="13"/>
        <v>4.0000000000000002E-4</v>
      </c>
      <c r="I39" s="23">
        <f t="shared" si="13"/>
        <v>2.9999999999999997E-4</v>
      </c>
      <c r="J39" s="23">
        <f t="shared" si="13"/>
        <v>4.0000000000000002E-4</v>
      </c>
      <c r="K39" s="23">
        <f t="shared" si="13"/>
        <v>2.9999999999999997E-4</v>
      </c>
      <c r="L39" s="23">
        <f t="shared" si="13"/>
        <v>2E-3</v>
      </c>
      <c r="M39" s="23">
        <f t="shared" si="13"/>
        <v>1E-3</v>
      </c>
      <c r="N39" s="23">
        <f t="shared" si="13"/>
        <v>2E-3</v>
      </c>
      <c r="O39" s="23">
        <f t="shared" si="13"/>
        <v>1E-3</v>
      </c>
      <c r="P39" s="23">
        <f t="shared" si="13"/>
        <v>2E-3</v>
      </c>
      <c r="Q39" s="23">
        <f t="shared" si="13"/>
        <v>1E-3</v>
      </c>
      <c r="R39" s="23">
        <f t="shared" si="13"/>
        <v>2E-3</v>
      </c>
      <c r="S39" s="23">
        <f t="shared" si="13"/>
        <v>1E-3</v>
      </c>
      <c r="T39" s="23">
        <f t="shared" si="13"/>
        <v>2E-3</v>
      </c>
      <c r="U39" s="23">
        <f t="shared" si="13"/>
        <v>1E-3</v>
      </c>
      <c r="V39" s="24">
        <f t="shared" si="3"/>
        <v>3.0393527878068752E-4</v>
      </c>
      <c r="W39" s="24">
        <f t="shared" si="4"/>
        <v>3.0000000000000003E-4</v>
      </c>
      <c r="X39" s="24">
        <f t="shared" si="5"/>
        <v>3.5E-4</v>
      </c>
      <c r="Y39" s="24">
        <f t="shared" si="6"/>
        <v>3.5E-4</v>
      </c>
      <c r="Z39" s="24">
        <f t="shared" si="7"/>
        <v>3.5E-4</v>
      </c>
      <c r="AA39" s="3">
        <f ca="1">IFERROR(__xludf.DUMMYFUNCTION("AVERAGE.WEIGHTED(B39:C39,$AF39:$AG39)"),0.000250960197963438)</f>
        <v>2.5096019796343801E-4</v>
      </c>
      <c r="AB39" s="3">
        <f ca="1">IFERROR(__xludf.DUMMYFUNCTION("AVERAGE.WEIGHTED(D39:E39,$AH39:$AI39)"),0.000301845930701251)</f>
        <v>3.0184593070125101E-4</v>
      </c>
      <c r="AC39" s="3">
        <f ca="1">IFERROR(__xludf.DUMMYFUNCTION("AVERAGE.WEIGHTED(F39:G39,$AJ39:$AK39)"),0.000350856246721295)</f>
        <v>3.5085624672129501E-4</v>
      </c>
      <c r="AD39" s="3" t="str">
        <f ca="1">IFERROR(__xludf.DUMMYFUNCTION("AVERAGE.WEIGHTED(H39:I39,$AA$25:$AB$25)"),"#VALUE!")</f>
        <v>#VALUE!</v>
      </c>
      <c r="AE39" s="3" t="str">
        <f ca="1">IFERROR(__xludf.DUMMYFUNCTION("AVERAGE.WEIGHTED(J39:K39,$AA$25:$AB$25)"),"#VALUE!")</f>
        <v>#VALUE!</v>
      </c>
      <c r="AF39" s="209">
        <v>0.50960197963438603</v>
      </c>
      <c r="AG39" s="3">
        <f t="shared" si="8"/>
        <v>0.49039802036561397</v>
      </c>
      <c r="AH39" s="209">
        <v>0.50922965350625704</v>
      </c>
      <c r="AI39" s="3">
        <f t="shared" si="9"/>
        <v>0.49077034649374296</v>
      </c>
      <c r="AJ39" s="209">
        <v>0.50856246721295495</v>
      </c>
      <c r="AK39" s="3">
        <f t="shared" si="10"/>
        <v>0.49143753278704505</v>
      </c>
      <c r="AT39" s="201"/>
      <c r="AU39" s="201">
        <v>30</v>
      </c>
      <c r="AV39" s="201" t="s">
        <v>280</v>
      </c>
      <c r="AW39" s="201">
        <v>294</v>
      </c>
      <c r="AX39" s="201" t="s">
        <v>278</v>
      </c>
      <c r="AY39" s="201">
        <v>1</v>
      </c>
      <c r="AZ39" s="201" t="s">
        <v>279</v>
      </c>
      <c r="BA39" s="201">
        <v>2018</v>
      </c>
      <c r="BB39" s="201">
        <v>76813.584256051501</v>
      </c>
      <c r="BC39" s="201"/>
      <c r="BD39" s="201"/>
    </row>
    <row r="40" spans="1:56" ht="15" x14ac:dyDescent="0.25">
      <c r="A40" s="1">
        <v>12</v>
      </c>
      <c r="B40" s="23">
        <f t="shared" si="13"/>
        <v>2.9644342643395501E-4</v>
      </c>
      <c r="C40" s="23">
        <f t="shared" si="13"/>
        <v>3.1142713112742004E-4</v>
      </c>
      <c r="D40" s="23">
        <f t="shared" si="13"/>
        <v>4.0000000000000002E-4</v>
      </c>
      <c r="E40" s="23">
        <f t="shared" si="13"/>
        <v>2.0000000000000001E-4</v>
      </c>
      <c r="F40" s="23">
        <f t="shared" si="13"/>
        <v>4.0000000000000002E-4</v>
      </c>
      <c r="G40" s="23">
        <f t="shared" si="13"/>
        <v>2.9999999999999997E-4</v>
      </c>
      <c r="H40" s="23">
        <f t="shared" si="13"/>
        <v>4.0000000000000002E-4</v>
      </c>
      <c r="I40" s="23">
        <f t="shared" si="13"/>
        <v>2.9999999999999997E-4</v>
      </c>
      <c r="J40" s="23">
        <f t="shared" si="13"/>
        <v>4.0000000000000002E-4</v>
      </c>
      <c r="K40" s="23">
        <f t="shared" si="13"/>
        <v>2.9999999999999997E-4</v>
      </c>
      <c r="L40" s="23">
        <f t="shared" si="13"/>
        <v>2E-3</v>
      </c>
      <c r="M40" s="23">
        <f t="shared" si="13"/>
        <v>1E-3</v>
      </c>
      <c r="N40" s="23">
        <f t="shared" si="13"/>
        <v>2E-3</v>
      </c>
      <c r="O40" s="23">
        <f t="shared" si="13"/>
        <v>1E-3</v>
      </c>
      <c r="P40" s="23">
        <f t="shared" si="13"/>
        <v>2E-3</v>
      </c>
      <c r="Q40" s="23">
        <f t="shared" si="13"/>
        <v>1E-3</v>
      </c>
      <c r="R40" s="23">
        <f t="shared" si="13"/>
        <v>2E-3</v>
      </c>
      <c r="S40" s="23">
        <f t="shared" si="13"/>
        <v>1E-3</v>
      </c>
      <c r="T40" s="23">
        <f t="shared" si="13"/>
        <v>2E-3</v>
      </c>
      <c r="U40" s="23">
        <f t="shared" si="13"/>
        <v>1E-3</v>
      </c>
      <c r="V40" s="24">
        <f t="shared" si="3"/>
        <v>3.0393527878068752E-4</v>
      </c>
      <c r="W40" s="24">
        <f t="shared" si="4"/>
        <v>3.0000000000000003E-4</v>
      </c>
      <c r="X40" s="24">
        <f t="shared" si="5"/>
        <v>3.5E-4</v>
      </c>
      <c r="Y40" s="24">
        <f t="shared" si="6"/>
        <v>3.5E-4</v>
      </c>
      <c r="Z40" s="24">
        <f t="shared" si="7"/>
        <v>3.5E-4</v>
      </c>
      <c r="AA40" s="3">
        <f ca="1">IFERROR(__xludf.DUMMYFUNCTION("AVERAGE.WEIGHTED(B40:C40,$AF40:$AG40)"),0.000250950558479106)</f>
        <v>2.5095055847910601E-4</v>
      </c>
      <c r="AB40" s="3">
        <f ca="1">IFERROR(__xludf.DUMMYFUNCTION("AVERAGE.WEIGHTED(D40:E40,$AH40:$AI40)"),0.000301815375264282)</f>
        <v>3.0181537526428198E-4</v>
      </c>
      <c r="AC40" s="3">
        <f ca="1">IFERROR(__xludf.DUMMYFUNCTION("AVERAGE.WEIGHTED(F40:G40,$AJ40:$AK40)"),0.000350835432641949)</f>
        <v>3.5083543264194898E-4</v>
      </c>
      <c r="AD40" s="3" t="str">
        <f ca="1">IFERROR(__xludf.DUMMYFUNCTION("AVERAGE.WEIGHTED(H40:I40,$AA$25:$AB$25)"),"#VALUE!")</f>
        <v>#VALUE!</v>
      </c>
      <c r="AE40" s="3" t="str">
        <f ca="1">IFERROR(__xludf.DUMMYFUNCTION("AVERAGE.WEIGHTED(J40:K40,$AA$25:$AB$25)"),"#VALUE!")</f>
        <v>#VALUE!</v>
      </c>
      <c r="AF40" s="209">
        <v>0.509505584791064</v>
      </c>
      <c r="AG40" s="3">
        <f t="shared" si="8"/>
        <v>0.490494415208936</v>
      </c>
      <c r="AH40" s="209">
        <v>0.50907687632141096</v>
      </c>
      <c r="AI40" s="3">
        <f t="shared" si="9"/>
        <v>0.49092312367858904</v>
      </c>
      <c r="AJ40" s="209">
        <v>0.50835432641949096</v>
      </c>
      <c r="AK40" s="3">
        <f t="shared" si="10"/>
        <v>0.49164567358050904</v>
      </c>
      <c r="AT40" s="201"/>
      <c r="AU40" s="201">
        <v>160</v>
      </c>
      <c r="AV40" s="201" t="s">
        <v>63</v>
      </c>
      <c r="AW40" s="201">
        <v>294</v>
      </c>
      <c r="AX40" s="201" t="s">
        <v>278</v>
      </c>
      <c r="AY40" s="201">
        <v>1</v>
      </c>
      <c r="AZ40" s="201" t="s">
        <v>279</v>
      </c>
      <c r="BA40" s="201">
        <v>2018</v>
      </c>
      <c r="BB40" s="201">
        <v>152842.537517188</v>
      </c>
      <c r="BC40" s="201"/>
      <c r="BD40" s="201"/>
    </row>
    <row r="41" spans="1:56" ht="15" x14ac:dyDescent="0.25">
      <c r="A41" s="1">
        <v>13</v>
      </c>
      <c r="B41" s="23">
        <f t="shared" si="13"/>
        <v>2.9644342643395501E-4</v>
      </c>
      <c r="C41" s="23">
        <f t="shared" si="13"/>
        <v>3.1142713112742004E-4</v>
      </c>
      <c r="D41" s="23">
        <f t="shared" si="13"/>
        <v>4.0000000000000002E-4</v>
      </c>
      <c r="E41" s="23">
        <f t="shared" si="13"/>
        <v>2.0000000000000001E-4</v>
      </c>
      <c r="F41" s="23">
        <f t="shared" si="13"/>
        <v>4.0000000000000002E-4</v>
      </c>
      <c r="G41" s="23">
        <f t="shared" si="13"/>
        <v>2.9999999999999997E-4</v>
      </c>
      <c r="H41" s="23">
        <f t="shared" si="13"/>
        <v>4.0000000000000002E-4</v>
      </c>
      <c r="I41" s="23">
        <f t="shared" si="13"/>
        <v>2.9999999999999997E-4</v>
      </c>
      <c r="J41" s="23">
        <f t="shared" si="13"/>
        <v>4.0000000000000002E-4</v>
      </c>
      <c r="K41" s="23">
        <f t="shared" si="13"/>
        <v>2.9999999999999997E-4</v>
      </c>
      <c r="L41" s="23">
        <f t="shared" si="13"/>
        <v>2E-3</v>
      </c>
      <c r="M41" s="23">
        <f t="shared" si="13"/>
        <v>1E-3</v>
      </c>
      <c r="N41" s="23">
        <f t="shared" si="13"/>
        <v>2E-3</v>
      </c>
      <c r="O41" s="23">
        <f t="shared" si="13"/>
        <v>1E-3</v>
      </c>
      <c r="P41" s="23">
        <f t="shared" si="13"/>
        <v>2E-3</v>
      </c>
      <c r="Q41" s="23">
        <f t="shared" si="13"/>
        <v>1E-3</v>
      </c>
      <c r="R41" s="23">
        <f t="shared" si="13"/>
        <v>2E-3</v>
      </c>
      <c r="S41" s="23">
        <f t="shared" si="13"/>
        <v>1E-3</v>
      </c>
      <c r="T41" s="23">
        <f t="shared" si="13"/>
        <v>2E-3</v>
      </c>
      <c r="U41" s="23">
        <f t="shared" si="13"/>
        <v>1E-3</v>
      </c>
      <c r="V41" s="24">
        <f t="shared" si="3"/>
        <v>3.0393527878068752E-4</v>
      </c>
      <c r="W41" s="24">
        <f t="shared" si="4"/>
        <v>3.0000000000000003E-4</v>
      </c>
      <c r="X41" s="24">
        <f t="shared" si="5"/>
        <v>3.5E-4</v>
      </c>
      <c r="Y41" s="24">
        <f t="shared" si="6"/>
        <v>3.5E-4</v>
      </c>
      <c r="Z41" s="24">
        <f t="shared" si="7"/>
        <v>3.5E-4</v>
      </c>
      <c r="AA41" s="3">
        <f ca="1">IFERROR(__xludf.DUMMYFUNCTION("AVERAGE.WEIGHTED(B41:C41,$AF41:$AG41)"),0.000250942473117763)</f>
        <v>2.50942473117763E-4</v>
      </c>
      <c r="AB41" s="3">
        <f ca="1">IFERROR(__xludf.DUMMYFUNCTION("AVERAGE.WEIGHTED(D41:E41,$AH41:$AI41)"),0.000301788438617583)</f>
        <v>3.01788438617583E-4</v>
      </c>
      <c r="AC41" s="3">
        <f ca="1">IFERROR(__xludf.DUMMYFUNCTION("AVERAGE.WEIGHTED(F41:G41,$AJ41:$AK41)"),0.000350817103719899)</f>
        <v>3.50817103719899E-4</v>
      </c>
      <c r="AD41" s="3" t="str">
        <f ca="1">IFERROR(__xludf.DUMMYFUNCTION("AVERAGE.WEIGHTED(H41:I41,$AA$25:$AB$25)"),"#VALUE!")</f>
        <v>#VALUE!</v>
      </c>
      <c r="AE41" s="3" t="str">
        <f ca="1">IFERROR(__xludf.DUMMYFUNCTION("AVERAGE.WEIGHTED(J41:K41,$AA$25:$AB$25)"),"#VALUE!")</f>
        <v>#VALUE!</v>
      </c>
      <c r="AF41" s="209">
        <v>0.50942473117763798</v>
      </c>
      <c r="AG41" s="3">
        <f t="shared" si="8"/>
        <v>0.49057526882236202</v>
      </c>
      <c r="AH41" s="209">
        <v>0.50894219308791699</v>
      </c>
      <c r="AI41" s="3">
        <f t="shared" si="9"/>
        <v>0.49105780691208301</v>
      </c>
      <c r="AJ41" s="209">
        <v>0.50817103719899803</v>
      </c>
      <c r="AK41" s="3">
        <f t="shared" si="10"/>
        <v>0.49182896280100197</v>
      </c>
      <c r="AT41" s="201"/>
      <c r="AU41" s="201">
        <v>31</v>
      </c>
      <c r="AV41" s="201" t="s">
        <v>281</v>
      </c>
      <c r="AW41" s="201">
        <v>294</v>
      </c>
      <c r="AX41" s="201" t="s">
        <v>278</v>
      </c>
      <c r="AY41" s="201">
        <v>1</v>
      </c>
      <c r="AZ41" s="201" t="s">
        <v>279</v>
      </c>
      <c r="BA41" s="201">
        <v>2018</v>
      </c>
      <c r="BB41" s="201">
        <v>73464.916504808905</v>
      </c>
      <c r="BC41" s="201"/>
      <c r="BD41" s="201"/>
    </row>
    <row r="42" spans="1:56" ht="15" x14ac:dyDescent="0.25">
      <c r="A42" s="1">
        <v>14</v>
      </c>
      <c r="B42" s="23">
        <f t="shared" si="13"/>
        <v>2.9644342643395501E-4</v>
      </c>
      <c r="C42" s="23">
        <f t="shared" si="13"/>
        <v>3.1142713112742004E-4</v>
      </c>
      <c r="D42" s="23">
        <f t="shared" si="13"/>
        <v>4.0000000000000002E-4</v>
      </c>
      <c r="E42" s="23">
        <f t="shared" si="13"/>
        <v>2.0000000000000001E-4</v>
      </c>
      <c r="F42" s="23">
        <f t="shared" si="13"/>
        <v>4.0000000000000002E-4</v>
      </c>
      <c r="G42" s="23">
        <f t="shared" si="13"/>
        <v>2.9999999999999997E-4</v>
      </c>
      <c r="H42" s="23">
        <f t="shared" si="13"/>
        <v>4.0000000000000002E-4</v>
      </c>
      <c r="I42" s="23">
        <f t="shared" si="13"/>
        <v>2.9999999999999997E-4</v>
      </c>
      <c r="J42" s="23">
        <f t="shared" si="13"/>
        <v>4.0000000000000002E-4</v>
      </c>
      <c r="K42" s="23">
        <f t="shared" si="13"/>
        <v>2.9999999999999997E-4</v>
      </c>
      <c r="L42" s="23">
        <f t="shared" si="13"/>
        <v>2E-3</v>
      </c>
      <c r="M42" s="23">
        <f t="shared" si="13"/>
        <v>1E-3</v>
      </c>
      <c r="N42" s="23">
        <f t="shared" si="13"/>
        <v>2E-3</v>
      </c>
      <c r="O42" s="23">
        <f t="shared" si="13"/>
        <v>1E-3</v>
      </c>
      <c r="P42" s="23">
        <f t="shared" si="13"/>
        <v>2E-3</v>
      </c>
      <c r="Q42" s="23">
        <f t="shared" si="13"/>
        <v>1E-3</v>
      </c>
      <c r="R42" s="23">
        <f t="shared" si="13"/>
        <v>2E-3</v>
      </c>
      <c r="S42" s="23">
        <f t="shared" si="13"/>
        <v>1E-3</v>
      </c>
      <c r="T42" s="23">
        <f t="shared" si="13"/>
        <v>2E-3</v>
      </c>
      <c r="U42" s="23">
        <f t="shared" si="13"/>
        <v>1E-3</v>
      </c>
      <c r="V42" s="24">
        <f t="shared" si="3"/>
        <v>3.0393527878068752E-4</v>
      </c>
      <c r="W42" s="24">
        <f t="shared" si="4"/>
        <v>3.0000000000000003E-4</v>
      </c>
      <c r="X42" s="24">
        <f t="shared" si="5"/>
        <v>3.5E-4</v>
      </c>
      <c r="Y42" s="24">
        <f t="shared" si="6"/>
        <v>3.5E-4</v>
      </c>
      <c r="Z42" s="24">
        <f t="shared" si="7"/>
        <v>3.5E-4</v>
      </c>
      <c r="AA42" s="3">
        <f ca="1">IFERROR(__xludf.DUMMYFUNCTION("AVERAGE.WEIGHTED(B42:C42,$AF42:$AG42)"),0.000250930273579698)</f>
        <v>2.5093027357969802E-4</v>
      </c>
      <c r="AB42" s="3">
        <f ca="1">IFERROR(__xludf.DUMMYFUNCTION("AVERAGE.WEIGHTED(D42:E42,$AH42:$AI42)"),0.000301749572170901)</f>
        <v>3.0174957217090102E-4</v>
      </c>
      <c r="AC42" s="3">
        <f ca="1">IFERROR(__xludf.DUMMYFUNCTION("AVERAGE.WEIGHTED(F42:G42,$AJ42:$AK42)"),0.000350795896034415)</f>
        <v>3.5079589603441501E-4</v>
      </c>
      <c r="AD42" s="3" t="str">
        <f ca="1">IFERROR(__xludf.DUMMYFUNCTION("AVERAGE.WEIGHTED(H42:I42,$AA$25:$AB$25)"),"#VALUE!")</f>
        <v>#VALUE!</v>
      </c>
      <c r="AE42" s="3" t="str">
        <f ca="1">IFERROR(__xludf.DUMMYFUNCTION("AVERAGE.WEIGHTED(J42:K42,$AA$25:$AB$25)"),"#VALUE!")</f>
        <v>#VALUE!</v>
      </c>
      <c r="AF42" s="209">
        <v>0.50930273579698304</v>
      </c>
      <c r="AG42" s="3">
        <f t="shared" si="8"/>
        <v>0.49069726420301696</v>
      </c>
      <c r="AH42" s="209">
        <v>0.50874786085450696</v>
      </c>
      <c r="AI42" s="3">
        <f t="shared" si="9"/>
        <v>0.49125213914549304</v>
      </c>
      <c r="AJ42" s="209">
        <v>0.50795896034415899</v>
      </c>
      <c r="AK42" s="3">
        <f t="shared" si="10"/>
        <v>0.49204103965584101</v>
      </c>
      <c r="AT42" s="201"/>
      <c r="AU42" s="201">
        <v>32</v>
      </c>
      <c r="AV42" s="201" t="s">
        <v>282</v>
      </c>
      <c r="AW42" s="201">
        <v>294</v>
      </c>
      <c r="AX42" s="201" t="s">
        <v>278</v>
      </c>
      <c r="AY42" s="201">
        <v>1</v>
      </c>
      <c r="AZ42" s="201" t="s">
        <v>279</v>
      </c>
      <c r="BA42" s="201">
        <v>2018</v>
      </c>
      <c r="BB42" s="201">
        <v>49789.426662585902</v>
      </c>
      <c r="BC42" s="201"/>
      <c r="BD42" s="201"/>
    </row>
    <row r="43" spans="1:56" ht="15" x14ac:dyDescent="0.25">
      <c r="A43" s="1">
        <v>15</v>
      </c>
      <c r="B43" s="23">
        <f t="shared" ref="B43:U47" si="14">B$9</f>
        <v>8.5941874873376903E-4</v>
      </c>
      <c r="C43" s="23">
        <f t="shared" si="14"/>
        <v>8.6701034968518205E-4</v>
      </c>
      <c r="D43" s="23">
        <f t="shared" si="14"/>
        <v>2E-3</v>
      </c>
      <c r="E43" s="23">
        <f t="shared" si="14"/>
        <v>5.0000000000000001E-4</v>
      </c>
      <c r="F43" s="23">
        <f t="shared" si="14"/>
        <v>2E-3</v>
      </c>
      <c r="G43" s="23">
        <f t="shared" si="14"/>
        <v>5.0000000000000001E-4</v>
      </c>
      <c r="H43" s="23">
        <f t="shared" si="14"/>
        <v>2E-3</v>
      </c>
      <c r="I43" s="23">
        <f t="shared" si="14"/>
        <v>5.0000000000000001E-4</v>
      </c>
      <c r="J43" s="23">
        <f t="shared" si="14"/>
        <v>2E-3</v>
      </c>
      <c r="K43" s="23">
        <f t="shared" si="14"/>
        <v>5.0000000000000001E-4</v>
      </c>
      <c r="L43" s="23">
        <f t="shared" si="14"/>
        <v>0.01</v>
      </c>
      <c r="M43" s="23">
        <f t="shared" si="14"/>
        <v>2E-3</v>
      </c>
      <c r="N43" s="23">
        <f t="shared" si="14"/>
        <v>0.01</v>
      </c>
      <c r="O43" s="23">
        <f t="shared" si="14"/>
        <v>2E-3</v>
      </c>
      <c r="P43" s="23">
        <f t="shared" si="14"/>
        <v>8.9999999999999993E-3</v>
      </c>
      <c r="Q43" s="23">
        <f t="shared" si="14"/>
        <v>2E-3</v>
      </c>
      <c r="R43" s="23">
        <f t="shared" si="14"/>
        <v>8.0000000000000002E-3</v>
      </c>
      <c r="S43" s="23">
        <f t="shared" si="14"/>
        <v>2E-3</v>
      </c>
      <c r="T43" s="23">
        <f t="shared" si="14"/>
        <v>8.0000000000000002E-3</v>
      </c>
      <c r="U43" s="23">
        <f t="shared" si="14"/>
        <v>2E-3</v>
      </c>
      <c r="V43" s="24">
        <f t="shared" si="3"/>
        <v>8.6321454920947559E-4</v>
      </c>
      <c r="W43" s="24">
        <f t="shared" si="4"/>
        <v>1.25E-3</v>
      </c>
      <c r="X43" s="24">
        <f t="shared" si="5"/>
        <v>1.25E-3</v>
      </c>
      <c r="Y43" s="24">
        <f t="shared" si="6"/>
        <v>1.25E-3</v>
      </c>
      <c r="Z43" s="24">
        <f t="shared" si="7"/>
        <v>1.25E-3</v>
      </c>
      <c r="AA43" s="3">
        <f ca="1">IFERROR(__xludf.DUMMYFUNCTION("AVERAGE.WEIGHTED(B43:C43,$AF43:$AG43)"),0.00121458375244667)</f>
        <v>1.2145837524466701E-3</v>
      </c>
      <c r="AB43" s="3">
        <f ca="1">IFERROR(__xludf.DUMMYFUNCTION("AVERAGE.WEIGHTED(D43:E43,$AH43:$AI43)"),0.00126278296622335)</f>
        <v>1.2627829662233501E-3</v>
      </c>
      <c r="AC43" s="3">
        <f ca="1">IFERROR(__xludf.DUMMYFUNCTION("AVERAGE.WEIGHTED(F43:G43,$AJ43:$AK43)"),0.00126159800997798)</f>
        <v>1.2615980099779801E-3</v>
      </c>
      <c r="AD43" s="3" t="str">
        <f ca="1">IFERROR(__xludf.DUMMYFUNCTION("AVERAGE.WEIGHTED(H43:I43,$AA$25:$AB$25)"),"#VALUE!")</f>
        <v>#VALUE!</v>
      </c>
      <c r="AE43" s="3" t="str">
        <f ca="1">IFERROR(__xludf.DUMMYFUNCTION("AVERAGE.WEIGHTED(J43:K43,$AA$25:$AB$25)"),"#VALUE!")</f>
        <v>#VALUE!</v>
      </c>
      <c r="AF43" s="209">
        <v>0.50911484527917095</v>
      </c>
      <c r="AG43" s="3">
        <f t="shared" si="8"/>
        <v>0.49088515472082905</v>
      </c>
      <c r="AH43" s="209">
        <v>0.50852197748223804</v>
      </c>
      <c r="AI43" s="3">
        <f t="shared" si="9"/>
        <v>0.49147802251776196</v>
      </c>
      <c r="AJ43" s="209">
        <v>0.50773200665198803</v>
      </c>
      <c r="AK43" s="3">
        <f t="shared" si="10"/>
        <v>0.49226799334801197</v>
      </c>
      <c r="AT43" s="201"/>
      <c r="AU43" s="201">
        <v>160</v>
      </c>
      <c r="AV43" s="201" t="s">
        <v>63</v>
      </c>
      <c r="AW43" s="201">
        <v>294</v>
      </c>
      <c r="AX43" s="201" t="s">
        <v>278</v>
      </c>
      <c r="AY43" s="201">
        <v>1</v>
      </c>
      <c r="AZ43" s="201" t="s">
        <v>279</v>
      </c>
      <c r="BA43" s="201">
        <v>2018</v>
      </c>
      <c r="BB43" s="201">
        <v>152842.537517188</v>
      </c>
      <c r="BC43" s="201"/>
      <c r="BD43" s="201"/>
    </row>
    <row r="44" spans="1:56" ht="15" x14ac:dyDescent="0.25">
      <c r="A44" s="1">
        <v>16</v>
      </c>
      <c r="B44" s="23">
        <f t="shared" si="14"/>
        <v>8.5941874873376903E-4</v>
      </c>
      <c r="C44" s="23">
        <f t="shared" si="14"/>
        <v>8.6701034968518205E-4</v>
      </c>
      <c r="D44" s="23">
        <f t="shared" si="14"/>
        <v>2E-3</v>
      </c>
      <c r="E44" s="23">
        <f t="shared" si="14"/>
        <v>5.0000000000000001E-4</v>
      </c>
      <c r="F44" s="23">
        <f t="shared" si="14"/>
        <v>2E-3</v>
      </c>
      <c r="G44" s="23">
        <f t="shared" si="14"/>
        <v>5.0000000000000001E-4</v>
      </c>
      <c r="H44" s="23">
        <f t="shared" si="14"/>
        <v>2E-3</v>
      </c>
      <c r="I44" s="23">
        <f t="shared" si="14"/>
        <v>5.0000000000000001E-4</v>
      </c>
      <c r="J44" s="23">
        <f t="shared" si="14"/>
        <v>2E-3</v>
      </c>
      <c r="K44" s="23">
        <f t="shared" si="14"/>
        <v>5.0000000000000001E-4</v>
      </c>
      <c r="L44" s="23">
        <f t="shared" si="14"/>
        <v>0.01</v>
      </c>
      <c r="M44" s="23">
        <f t="shared" si="14"/>
        <v>2E-3</v>
      </c>
      <c r="N44" s="23">
        <f t="shared" si="14"/>
        <v>0.01</v>
      </c>
      <c r="O44" s="23">
        <f t="shared" si="14"/>
        <v>2E-3</v>
      </c>
      <c r="P44" s="23">
        <f t="shared" si="14"/>
        <v>8.9999999999999993E-3</v>
      </c>
      <c r="Q44" s="23">
        <f t="shared" si="14"/>
        <v>2E-3</v>
      </c>
      <c r="R44" s="23">
        <f t="shared" si="14"/>
        <v>8.0000000000000002E-3</v>
      </c>
      <c r="S44" s="23">
        <f t="shared" si="14"/>
        <v>2E-3</v>
      </c>
      <c r="T44" s="23">
        <f t="shared" si="14"/>
        <v>8.0000000000000002E-3</v>
      </c>
      <c r="U44" s="23">
        <f t="shared" si="14"/>
        <v>2E-3</v>
      </c>
      <c r="V44" s="24">
        <f t="shared" si="3"/>
        <v>8.6321454920947559E-4</v>
      </c>
      <c r="W44" s="24">
        <f t="shared" si="4"/>
        <v>1.25E-3</v>
      </c>
      <c r="X44" s="24">
        <f t="shared" si="5"/>
        <v>1.25E-3</v>
      </c>
      <c r="Y44" s="24">
        <f t="shared" si="6"/>
        <v>1.25E-3</v>
      </c>
      <c r="Z44" s="24">
        <f t="shared" si="7"/>
        <v>1.25E-3</v>
      </c>
      <c r="AA44" s="3">
        <f ca="1">IFERROR(__xludf.DUMMYFUNCTION("AVERAGE.WEIGHTED(B44:C44,$AF44:$AG44)"),0.00121425748316623)</f>
        <v>1.21425748316623E-3</v>
      </c>
      <c r="AB44" s="3">
        <f ca="1">IFERROR(__xludf.DUMMYFUNCTION("AVERAGE.WEIGHTED(D44:E44,$AH44:$AI44)"),0.00126239584672377)</f>
        <v>1.26239584672377E-3</v>
      </c>
      <c r="AC44" s="3">
        <f ca="1">IFERROR(__xludf.DUMMYFUNCTION("AVERAGE.WEIGHTED(F44:G44,$AJ44:$AK44)"),0.00126136553892643)</f>
        <v>1.2613655389264299E-3</v>
      </c>
      <c r="AD44" s="3" t="str">
        <f ca="1">IFERROR(__xludf.DUMMYFUNCTION("AVERAGE.WEIGHTED(H44:I44,$AA$25:$AB$25)"),"#VALUE!")</f>
        <v>#VALUE!</v>
      </c>
      <c r="AE44" s="3" t="str">
        <f ca="1">IFERROR(__xludf.DUMMYFUNCTION("AVERAGE.WEIGHTED(J44:K44,$AA$25:$AB$25)"),"#VALUE!")</f>
        <v>#VALUE!</v>
      </c>
      <c r="AF44" s="209">
        <v>0.50891092697889695</v>
      </c>
      <c r="AG44" s="3">
        <f t="shared" si="8"/>
        <v>0.49108907302110305</v>
      </c>
      <c r="AH44" s="209">
        <v>0.50826389781584902</v>
      </c>
      <c r="AI44" s="3">
        <f t="shared" si="9"/>
        <v>0.49173610218415098</v>
      </c>
      <c r="AJ44" s="209">
        <v>0.50757702595095699</v>
      </c>
      <c r="AK44" s="3">
        <f t="shared" si="10"/>
        <v>0.49242297404904301</v>
      </c>
      <c r="AT44" s="201" t="s">
        <v>218</v>
      </c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</row>
    <row r="45" spans="1:56" ht="15" x14ac:dyDescent="0.25">
      <c r="A45" s="1">
        <v>17</v>
      </c>
      <c r="B45" s="23">
        <f t="shared" si="14"/>
        <v>8.5941874873376903E-4</v>
      </c>
      <c r="C45" s="23">
        <f t="shared" si="14"/>
        <v>8.6701034968518205E-4</v>
      </c>
      <c r="D45" s="23">
        <f t="shared" si="14"/>
        <v>2E-3</v>
      </c>
      <c r="E45" s="23">
        <f t="shared" si="14"/>
        <v>5.0000000000000001E-4</v>
      </c>
      <c r="F45" s="23">
        <f t="shared" si="14"/>
        <v>2E-3</v>
      </c>
      <c r="G45" s="23">
        <f t="shared" si="14"/>
        <v>5.0000000000000001E-4</v>
      </c>
      <c r="H45" s="23">
        <f t="shared" si="14"/>
        <v>2E-3</v>
      </c>
      <c r="I45" s="23">
        <f t="shared" si="14"/>
        <v>5.0000000000000001E-4</v>
      </c>
      <c r="J45" s="23">
        <f t="shared" si="14"/>
        <v>2E-3</v>
      </c>
      <c r="K45" s="23">
        <f t="shared" si="14"/>
        <v>5.0000000000000001E-4</v>
      </c>
      <c r="L45" s="23">
        <f t="shared" si="14"/>
        <v>0.01</v>
      </c>
      <c r="M45" s="23">
        <f t="shared" si="14"/>
        <v>2E-3</v>
      </c>
      <c r="N45" s="23">
        <f t="shared" si="14"/>
        <v>0.01</v>
      </c>
      <c r="O45" s="23">
        <f t="shared" si="14"/>
        <v>2E-3</v>
      </c>
      <c r="P45" s="23">
        <f t="shared" si="14"/>
        <v>8.9999999999999993E-3</v>
      </c>
      <c r="Q45" s="23">
        <f t="shared" si="14"/>
        <v>2E-3</v>
      </c>
      <c r="R45" s="23">
        <f t="shared" si="14"/>
        <v>8.0000000000000002E-3</v>
      </c>
      <c r="S45" s="23">
        <f t="shared" si="14"/>
        <v>2E-3</v>
      </c>
      <c r="T45" s="23">
        <f t="shared" si="14"/>
        <v>8.0000000000000002E-3</v>
      </c>
      <c r="U45" s="23">
        <f t="shared" si="14"/>
        <v>2E-3</v>
      </c>
      <c r="V45" s="24">
        <f t="shared" si="3"/>
        <v>8.6321454920947559E-4</v>
      </c>
      <c r="W45" s="24">
        <f t="shared" si="4"/>
        <v>1.25E-3</v>
      </c>
      <c r="X45" s="24">
        <f t="shared" si="5"/>
        <v>1.25E-3</v>
      </c>
      <c r="Y45" s="24">
        <f t="shared" si="6"/>
        <v>1.25E-3</v>
      </c>
      <c r="Z45" s="24">
        <f t="shared" si="7"/>
        <v>1.25E-3</v>
      </c>
      <c r="AA45" s="3">
        <f ca="1">IFERROR(__xludf.DUMMYFUNCTION("AVERAGE.WEIGHTED(B45:C45,$AF45:$AG45)"),0.00121391640221522)</f>
        <v>1.2139164022152199E-3</v>
      </c>
      <c r="AB45" s="3">
        <f ca="1">IFERROR(__xludf.DUMMYFUNCTION("AVERAGE.WEIGHTED(D45:E45,$AH45:$AI45)"),0.00126191081471679)</f>
        <v>1.2619108147167899E-3</v>
      </c>
      <c r="AC45" s="3">
        <f ca="1">IFERROR(__xludf.DUMMYFUNCTION("AVERAGE.WEIGHTED(F45:G45,$AJ45:$AK45)"),0.00126095939533563)</f>
        <v>1.26095939533563E-3</v>
      </c>
      <c r="AD45" s="3" t="str">
        <f ca="1">IFERROR(__xludf.DUMMYFUNCTION("AVERAGE.WEIGHTED(H45:I45,$AA$25:$AB$25)"),"#VALUE!")</f>
        <v>#VALUE!</v>
      </c>
      <c r="AE45" s="3" t="str">
        <f ca="1">IFERROR(__xludf.DUMMYFUNCTION("AVERAGE.WEIGHTED(J45:K45,$AA$25:$AB$25)"),"#VALUE!")</f>
        <v>#VALUE!</v>
      </c>
      <c r="AF45" s="209">
        <v>0.50869775138451701</v>
      </c>
      <c r="AG45" s="3">
        <f t="shared" si="8"/>
        <v>0.49130224861548299</v>
      </c>
      <c r="AH45" s="209">
        <v>0.50794054314452697</v>
      </c>
      <c r="AI45" s="3">
        <f t="shared" si="9"/>
        <v>0.49205945685547303</v>
      </c>
      <c r="AJ45" s="209">
        <v>0.50730626355708697</v>
      </c>
      <c r="AK45" s="3">
        <f t="shared" si="10"/>
        <v>0.49269373644291303</v>
      </c>
      <c r="AT45" s="201" t="s">
        <v>218</v>
      </c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</row>
    <row r="46" spans="1:56" ht="15" x14ac:dyDescent="0.25">
      <c r="A46" s="1">
        <v>18</v>
      </c>
      <c r="B46" s="23">
        <f t="shared" si="14"/>
        <v>8.5941874873376903E-4</v>
      </c>
      <c r="C46" s="23">
        <f t="shared" si="14"/>
        <v>8.6701034968518205E-4</v>
      </c>
      <c r="D46" s="23">
        <f t="shared" si="14"/>
        <v>2E-3</v>
      </c>
      <c r="E46" s="23">
        <f t="shared" si="14"/>
        <v>5.0000000000000001E-4</v>
      </c>
      <c r="F46" s="23">
        <f t="shared" si="14"/>
        <v>2E-3</v>
      </c>
      <c r="G46" s="23">
        <f t="shared" si="14"/>
        <v>5.0000000000000001E-4</v>
      </c>
      <c r="H46" s="23">
        <f t="shared" si="14"/>
        <v>2E-3</v>
      </c>
      <c r="I46" s="23">
        <f t="shared" si="14"/>
        <v>5.0000000000000001E-4</v>
      </c>
      <c r="J46" s="23">
        <f t="shared" si="14"/>
        <v>2E-3</v>
      </c>
      <c r="K46" s="23">
        <f t="shared" si="14"/>
        <v>5.0000000000000001E-4</v>
      </c>
      <c r="L46" s="23">
        <f t="shared" si="14"/>
        <v>0.01</v>
      </c>
      <c r="M46" s="23">
        <f t="shared" si="14"/>
        <v>2E-3</v>
      </c>
      <c r="N46" s="23">
        <f t="shared" si="14"/>
        <v>0.01</v>
      </c>
      <c r="O46" s="23">
        <f t="shared" si="14"/>
        <v>2E-3</v>
      </c>
      <c r="P46" s="23">
        <f t="shared" si="14"/>
        <v>8.9999999999999993E-3</v>
      </c>
      <c r="Q46" s="23">
        <f t="shared" si="14"/>
        <v>2E-3</v>
      </c>
      <c r="R46" s="23">
        <f t="shared" si="14"/>
        <v>8.0000000000000002E-3</v>
      </c>
      <c r="S46" s="23">
        <f t="shared" si="14"/>
        <v>2E-3</v>
      </c>
      <c r="T46" s="23">
        <f t="shared" si="14"/>
        <v>8.0000000000000002E-3</v>
      </c>
      <c r="U46" s="23">
        <f t="shared" si="14"/>
        <v>2E-3</v>
      </c>
      <c r="V46" s="24">
        <f t="shared" si="3"/>
        <v>8.6321454920947559E-4</v>
      </c>
      <c r="W46" s="24">
        <f t="shared" si="4"/>
        <v>1.25E-3</v>
      </c>
      <c r="X46" s="24">
        <f t="shared" si="5"/>
        <v>1.25E-3</v>
      </c>
      <c r="Y46" s="24">
        <f t="shared" si="6"/>
        <v>1.25E-3</v>
      </c>
      <c r="Z46" s="24">
        <f t="shared" si="7"/>
        <v>1.25E-3</v>
      </c>
      <c r="AA46" s="3">
        <f ca="1">IFERROR(__xludf.DUMMYFUNCTION("AVERAGE.WEIGHTED(B46:C46,$AF46:$AG46)"),0.00121342940390613)</f>
        <v>1.2134294039061299E-3</v>
      </c>
      <c r="AB46" s="3">
        <f ca="1">IFERROR(__xludf.DUMMYFUNCTION("AVERAGE.WEIGHTED(D46:E46,$AH46:$AI46)"),0.00126141154121485)</f>
        <v>1.2614115412148501E-3</v>
      </c>
      <c r="AC46" s="3">
        <f ca="1">IFERROR(__xludf.DUMMYFUNCTION("AVERAGE.WEIGHTED(F46:G46,$AJ46:$AK46)"),0.00126034369033356)</f>
        <v>1.26034369033356E-3</v>
      </c>
      <c r="AD46" s="3" t="str">
        <f ca="1">IFERROR(__xludf.DUMMYFUNCTION("AVERAGE.WEIGHTED(H46:I46,$AA$25:$AB$25)"),"#VALUE!")</f>
        <v>#VALUE!</v>
      </c>
      <c r="AE46" s="3" t="str">
        <f ca="1">IFERROR(__xludf.DUMMYFUNCTION("AVERAGE.WEIGHTED(J46:K46,$AA$25:$AB$25)"),"#VALUE!")</f>
        <v>#VALUE!</v>
      </c>
      <c r="AF46" s="209">
        <v>0.50839337744133195</v>
      </c>
      <c r="AG46" s="3">
        <f t="shared" si="8"/>
        <v>0.49160662255866805</v>
      </c>
      <c r="AH46" s="209">
        <v>0.50760769414323403</v>
      </c>
      <c r="AI46" s="3">
        <f t="shared" si="9"/>
        <v>0.49239230585676597</v>
      </c>
      <c r="AJ46" s="209">
        <v>0.50689579355571102</v>
      </c>
      <c r="AK46" s="3">
        <f t="shared" si="10"/>
        <v>0.49310420644428898</v>
      </c>
      <c r="AT46" s="201" t="s">
        <v>218</v>
      </c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</row>
    <row r="47" spans="1:56" ht="15" x14ac:dyDescent="0.25">
      <c r="A47" s="1">
        <v>19</v>
      </c>
      <c r="B47" s="23">
        <f t="shared" si="14"/>
        <v>8.5941874873376903E-4</v>
      </c>
      <c r="C47" s="23">
        <f t="shared" si="14"/>
        <v>8.6701034968518205E-4</v>
      </c>
      <c r="D47" s="23">
        <f t="shared" si="14"/>
        <v>2E-3</v>
      </c>
      <c r="E47" s="23">
        <f t="shared" si="14"/>
        <v>5.0000000000000001E-4</v>
      </c>
      <c r="F47" s="23">
        <f t="shared" si="14"/>
        <v>2E-3</v>
      </c>
      <c r="G47" s="23">
        <f t="shared" si="14"/>
        <v>5.0000000000000001E-4</v>
      </c>
      <c r="H47" s="23">
        <f t="shared" si="14"/>
        <v>2E-3</v>
      </c>
      <c r="I47" s="23">
        <f t="shared" si="14"/>
        <v>5.0000000000000001E-4</v>
      </c>
      <c r="J47" s="23">
        <f t="shared" si="14"/>
        <v>2E-3</v>
      </c>
      <c r="K47" s="23">
        <f t="shared" si="14"/>
        <v>5.0000000000000001E-4</v>
      </c>
      <c r="L47" s="23">
        <f t="shared" si="14"/>
        <v>0.01</v>
      </c>
      <c r="M47" s="23">
        <f t="shared" si="14"/>
        <v>2E-3</v>
      </c>
      <c r="N47" s="23">
        <f t="shared" si="14"/>
        <v>0.01</v>
      </c>
      <c r="O47" s="23">
        <f t="shared" si="14"/>
        <v>2E-3</v>
      </c>
      <c r="P47" s="23">
        <f t="shared" si="14"/>
        <v>8.9999999999999993E-3</v>
      </c>
      <c r="Q47" s="23">
        <f t="shared" si="14"/>
        <v>2E-3</v>
      </c>
      <c r="R47" s="23">
        <f t="shared" si="14"/>
        <v>8.0000000000000002E-3</v>
      </c>
      <c r="S47" s="23">
        <f t="shared" si="14"/>
        <v>2E-3</v>
      </c>
      <c r="T47" s="23">
        <f t="shared" si="14"/>
        <v>8.0000000000000002E-3</v>
      </c>
      <c r="U47" s="23">
        <f t="shared" si="14"/>
        <v>2E-3</v>
      </c>
      <c r="V47" s="24">
        <f t="shared" si="3"/>
        <v>8.6321454920947559E-4</v>
      </c>
      <c r="W47" s="24">
        <f t="shared" si="4"/>
        <v>1.25E-3</v>
      </c>
      <c r="X47" s="24">
        <f t="shared" si="5"/>
        <v>1.25E-3</v>
      </c>
      <c r="Y47" s="24">
        <f t="shared" si="6"/>
        <v>1.25E-3</v>
      </c>
      <c r="Z47" s="24">
        <f t="shared" si="7"/>
        <v>1.25E-3</v>
      </c>
      <c r="AA47" s="3">
        <f ca="1">IFERROR(__xludf.DUMMYFUNCTION("AVERAGE.WEIGHTED(B47:C47,$AF47:$AG47)"),0.00121283637763107)</f>
        <v>1.21283637763107E-3</v>
      </c>
      <c r="AB47" s="3">
        <f ca="1">IFERROR(__xludf.DUMMYFUNCTION("AVERAGE.WEIGHTED(D47:E47,$AH47:$AI47)"),0.00126081931220993)</f>
        <v>1.26081931220993E-3</v>
      </c>
      <c r="AC47" s="3">
        <f ca="1">IFERROR(__xludf.DUMMYFUNCTION("AVERAGE.WEIGHTED(F47:G47,$AJ47:$AK47)"),0.00125970648477208)</f>
        <v>1.2597064847720801E-3</v>
      </c>
      <c r="AD47" s="3" t="str">
        <f ca="1">IFERROR(__xludf.DUMMYFUNCTION("AVERAGE.WEIGHTED(H47:I47,$AA$25:$AB$25)"),"#VALUE!")</f>
        <v>#VALUE!</v>
      </c>
      <c r="AE47" s="3" t="str">
        <f ca="1">IFERROR(__xludf.DUMMYFUNCTION("AVERAGE.WEIGHTED(J47:K47,$AA$25:$AB$25)"),"#VALUE!")</f>
        <v>#VALUE!</v>
      </c>
      <c r="AF47" s="209">
        <v>0.50802273601942005</v>
      </c>
      <c r="AG47" s="3">
        <f t="shared" si="8"/>
        <v>0.49197726398057995</v>
      </c>
      <c r="AH47" s="209">
        <v>0.50721287480662602</v>
      </c>
      <c r="AI47" s="3">
        <f t="shared" si="9"/>
        <v>0.49278712519337398</v>
      </c>
      <c r="AJ47" s="209">
        <v>0.50647098984805405</v>
      </c>
      <c r="AK47" s="3">
        <f t="shared" si="10"/>
        <v>0.49352901015194595</v>
      </c>
      <c r="AT47" s="201" t="s">
        <v>218</v>
      </c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</row>
    <row r="48" spans="1:56" ht="15" x14ac:dyDescent="0.25">
      <c r="A48" s="1">
        <v>20</v>
      </c>
      <c r="B48" s="23">
        <f t="shared" ref="B48:U52" si="15">B$10</f>
        <v>1.51677235571833E-3</v>
      </c>
      <c r="C48" s="23">
        <f t="shared" si="15"/>
        <v>1.5414068840978899E-3</v>
      </c>
      <c r="D48" s="23">
        <f t="shared" si="15"/>
        <v>3.0000000000000001E-3</v>
      </c>
      <c r="E48" s="23">
        <f t="shared" si="15"/>
        <v>5.0000000000000001E-4</v>
      </c>
      <c r="F48" s="23">
        <f t="shared" si="15"/>
        <v>3.0000000000000001E-3</v>
      </c>
      <c r="G48" s="23">
        <f t="shared" si="15"/>
        <v>5.9999999999999995E-4</v>
      </c>
      <c r="H48" s="23">
        <f t="shared" si="15"/>
        <v>2E-3</v>
      </c>
      <c r="I48" s="23">
        <f t="shared" si="15"/>
        <v>5.9999999999999995E-4</v>
      </c>
      <c r="J48" s="23">
        <f t="shared" si="15"/>
        <v>3.0000000000000001E-3</v>
      </c>
      <c r="K48" s="23">
        <f t="shared" si="15"/>
        <v>5.9999999999999995E-4</v>
      </c>
      <c r="L48" s="23">
        <f t="shared" si="15"/>
        <v>1.4E-2</v>
      </c>
      <c r="M48" s="23">
        <f t="shared" si="15"/>
        <v>3.0000000000000001E-3</v>
      </c>
      <c r="N48" s="23">
        <f t="shared" si="15"/>
        <v>1.2999999999999999E-2</v>
      </c>
      <c r="O48" s="23">
        <f t="shared" si="15"/>
        <v>3.0000000000000001E-3</v>
      </c>
      <c r="P48" s="23">
        <f t="shared" si="15"/>
        <v>1.2999999999999999E-2</v>
      </c>
      <c r="Q48" s="23">
        <f t="shared" si="15"/>
        <v>3.0000000000000001E-3</v>
      </c>
      <c r="R48" s="23">
        <f t="shared" si="15"/>
        <v>1.2E-2</v>
      </c>
      <c r="S48" s="23">
        <f t="shared" si="15"/>
        <v>3.0000000000000001E-3</v>
      </c>
      <c r="T48" s="23">
        <f t="shared" si="15"/>
        <v>1.2999999999999999E-2</v>
      </c>
      <c r="U48" s="23">
        <f t="shared" si="15"/>
        <v>3.0000000000000001E-3</v>
      </c>
      <c r="V48" s="24">
        <f t="shared" si="3"/>
        <v>1.5290896199081101E-3</v>
      </c>
      <c r="W48" s="24">
        <f t="shared" si="4"/>
        <v>1.75E-3</v>
      </c>
      <c r="X48" s="24">
        <f t="shared" si="5"/>
        <v>1.8E-3</v>
      </c>
      <c r="Y48" s="24">
        <f t="shared" si="6"/>
        <v>1.2999999999999999E-3</v>
      </c>
      <c r="Z48" s="24">
        <f t="shared" si="7"/>
        <v>1.8E-3</v>
      </c>
      <c r="AA48" s="3">
        <f ca="1">IFERROR(__xludf.DUMMYFUNCTION("AVERAGE.WEIGHTED(B48:C48,$AF48:$AG48)"),0.00176900370740583)</f>
        <v>1.76900370740583E-3</v>
      </c>
      <c r="AB48" s="3">
        <f ca="1">IFERROR(__xludf.DUMMYFUNCTION("AVERAGE.WEIGHTED(D48:E48,$AH48:$AI48)"),0.00176695864628478)</f>
        <v>1.7669586462847799E-3</v>
      </c>
      <c r="AC48" s="3">
        <f ca="1">IFERROR(__xludf.DUMMYFUNCTION("AVERAGE.WEIGHTED(F48:G48,$AJ48:$AK48)"),0.00181435901208654)</f>
        <v>1.8143590120865401E-3</v>
      </c>
      <c r="AD48" s="3" t="str">
        <f ca="1">IFERROR(__xludf.DUMMYFUNCTION("AVERAGE.WEIGHTED(H48:I48,$AA$25:$AB$25)"),"#VALUE!")</f>
        <v>#VALUE!</v>
      </c>
      <c r="AE48" s="3" t="str">
        <f ca="1">IFERROR(__xludf.DUMMYFUNCTION("AVERAGE.WEIGHTED(J48:K48,$AA$25:$AB$25)"),"#VALUE!")</f>
        <v>#VALUE!</v>
      </c>
      <c r="AF48" s="209">
        <v>0.50760148296233498</v>
      </c>
      <c r="AG48" s="3">
        <f t="shared" si="8"/>
        <v>0.49239851703766502</v>
      </c>
      <c r="AH48" s="209">
        <v>0.50678345851391504</v>
      </c>
      <c r="AI48" s="3">
        <f t="shared" si="9"/>
        <v>0.49321654148608496</v>
      </c>
      <c r="AJ48" s="209">
        <v>0.50598292170272596</v>
      </c>
      <c r="AK48" s="3">
        <f t="shared" si="10"/>
        <v>0.49401707829727404</v>
      </c>
      <c r="AT48" s="201" t="s">
        <v>218</v>
      </c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</row>
    <row r="49" spans="1:56" ht="15" x14ac:dyDescent="0.25">
      <c r="A49" s="1">
        <v>21</v>
      </c>
      <c r="B49" s="23">
        <f t="shared" si="15"/>
        <v>1.51677235571833E-3</v>
      </c>
      <c r="C49" s="23">
        <f t="shared" si="15"/>
        <v>1.5414068840978899E-3</v>
      </c>
      <c r="D49" s="23">
        <f t="shared" si="15"/>
        <v>3.0000000000000001E-3</v>
      </c>
      <c r="E49" s="23">
        <f t="shared" si="15"/>
        <v>5.0000000000000001E-4</v>
      </c>
      <c r="F49" s="23">
        <f t="shared" si="15"/>
        <v>3.0000000000000001E-3</v>
      </c>
      <c r="G49" s="23">
        <f t="shared" si="15"/>
        <v>5.9999999999999995E-4</v>
      </c>
      <c r="H49" s="23">
        <f t="shared" si="15"/>
        <v>2E-3</v>
      </c>
      <c r="I49" s="23">
        <f t="shared" si="15"/>
        <v>5.9999999999999995E-4</v>
      </c>
      <c r="J49" s="23">
        <f t="shared" si="15"/>
        <v>3.0000000000000001E-3</v>
      </c>
      <c r="K49" s="23">
        <f t="shared" si="15"/>
        <v>5.9999999999999995E-4</v>
      </c>
      <c r="L49" s="23">
        <f t="shared" si="15"/>
        <v>1.4E-2</v>
      </c>
      <c r="M49" s="23">
        <f t="shared" si="15"/>
        <v>3.0000000000000001E-3</v>
      </c>
      <c r="N49" s="23">
        <f t="shared" si="15"/>
        <v>1.2999999999999999E-2</v>
      </c>
      <c r="O49" s="23">
        <f t="shared" si="15"/>
        <v>3.0000000000000001E-3</v>
      </c>
      <c r="P49" s="23">
        <f t="shared" si="15"/>
        <v>1.2999999999999999E-2</v>
      </c>
      <c r="Q49" s="23">
        <f t="shared" si="15"/>
        <v>3.0000000000000001E-3</v>
      </c>
      <c r="R49" s="23">
        <f t="shared" si="15"/>
        <v>1.2E-2</v>
      </c>
      <c r="S49" s="23">
        <f t="shared" si="15"/>
        <v>3.0000000000000001E-3</v>
      </c>
      <c r="T49" s="23">
        <f t="shared" si="15"/>
        <v>1.2999999999999999E-2</v>
      </c>
      <c r="U49" s="23">
        <f t="shared" si="15"/>
        <v>3.0000000000000001E-3</v>
      </c>
      <c r="V49" s="24">
        <f t="shared" si="3"/>
        <v>1.5290896199081101E-3</v>
      </c>
      <c r="W49" s="24">
        <f t="shared" si="4"/>
        <v>1.75E-3</v>
      </c>
      <c r="X49" s="24">
        <f t="shared" si="5"/>
        <v>1.8E-3</v>
      </c>
      <c r="Y49" s="24">
        <f t="shared" si="6"/>
        <v>1.2999999999999999E-3</v>
      </c>
      <c r="Z49" s="24">
        <f t="shared" si="7"/>
        <v>1.8E-3</v>
      </c>
      <c r="AA49" s="3">
        <f ca="1">IFERROR(__xludf.DUMMYFUNCTION("AVERAGE.WEIGHTED(B49:C49,$AF49:$AG49)"),0.00176782300409947)</f>
        <v>1.7678230040994701E-3</v>
      </c>
      <c r="AB49" s="3">
        <f ca="1">IFERROR(__xludf.DUMMYFUNCTION("AVERAGE.WEIGHTED(D49:E49,$AH49:$AI49)"),0.00176606520513524)</f>
        <v>1.76606520513524E-3</v>
      </c>
      <c r="AC49" s="3">
        <f ca="1">IFERROR(__xludf.DUMMYFUNCTION("AVERAGE.WEIGHTED(F49:G49,$AJ49:$AK49)"),0.00181289655379057)</f>
        <v>1.8128965537905701E-3</v>
      </c>
      <c r="AD49" s="3" t="str">
        <f ca="1">IFERROR(__xludf.DUMMYFUNCTION("AVERAGE.WEIGHTED(H49:I49,$AA$25:$AB$25)"),"#VALUE!")</f>
        <v>#VALUE!</v>
      </c>
      <c r="AE49" s="3" t="str">
        <f ca="1">IFERROR(__xludf.DUMMYFUNCTION("AVERAGE.WEIGHTED(J49:K49,$AA$25:$AB$25)"),"#VALUE!")</f>
        <v>#VALUE!</v>
      </c>
      <c r="AF49" s="209">
        <v>0.50712920163978903</v>
      </c>
      <c r="AG49" s="3">
        <f t="shared" si="8"/>
        <v>0.49287079836021097</v>
      </c>
      <c r="AH49" s="209">
        <v>0.506426082054098</v>
      </c>
      <c r="AI49" s="3">
        <f t="shared" si="9"/>
        <v>0.493573917945902</v>
      </c>
      <c r="AJ49" s="209">
        <v>0.50537356407940603</v>
      </c>
      <c r="AK49" s="3">
        <f t="shared" si="10"/>
        <v>0.49462643592059397</v>
      </c>
      <c r="AT49" s="201" t="s">
        <v>218</v>
      </c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</row>
    <row r="50" spans="1:56" ht="15" x14ac:dyDescent="0.25">
      <c r="A50" s="1">
        <v>22</v>
      </c>
      <c r="B50" s="23">
        <f t="shared" si="15"/>
        <v>1.51677235571833E-3</v>
      </c>
      <c r="C50" s="23">
        <f t="shared" si="15"/>
        <v>1.5414068840978899E-3</v>
      </c>
      <c r="D50" s="23">
        <f t="shared" si="15"/>
        <v>3.0000000000000001E-3</v>
      </c>
      <c r="E50" s="23">
        <f t="shared" si="15"/>
        <v>5.0000000000000001E-4</v>
      </c>
      <c r="F50" s="23">
        <f t="shared" si="15"/>
        <v>3.0000000000000001E-3</v>
      </c>
      <c r="G50" s="23">
        <f t="shared" si="15"/>
        <v>5.9999999999999995E-4</v>
      </c>
      <c r="H50" s="23">
        <f t="shared" si="15"/>
        <v>2E-3</v>
      </c>
      <c r="I50" s="23">
        <f t="shared" si="15"/>
        <v>5.9999999999999995E-4</v>
      </c>
      <c r="J50" s="23">
        <f t="shared" si="15"/>
        <v>3.0000000000000001E-3</v>
      </c>
      <c r="K50" s="23">
        <f t="shared" si="15"/>
        <v>5.9999999999999995E-4</v>
      </c>
      <c r="L50" s="23">
        <f t="shared" si="15"/>
        <v>1.4E-2</v>
      </c>
      <c r="M50" s="23">
        <f t="shared" si="15"/>
        <v>3.0000000000000001E-3</v>
      </c>
      <c r="N50" s="23">
        <f t="shared" si="15"/>
        <v>1.2999999999999999E-2</v>
      </c>
      <c r="O50" s="23">
        <f t="shared" si="15"/>
        <v>3.0000000000000001E-3</v>
      </c>
      <c r="P50" s="23">
        <f t="shared" si="15"/>
        <v>1.2999999999999999E-2</v>
      </c>
      <c r="Q50" s="23">
        <f t="shared" si="15"/>
        <v>3.0000000000000001E-3</v>
      </c>
      <c r="R50" s="23">
        <f t="shared" si="15"/>
        <v>1.2E-2</v>
      </c>
      <c r="S50" s="23">
        <f t="shared" si="15"/>
        <v>3.0000000000000001E-3</v>
      </c>
      <c r="T50" s="23">
        <f t="shared" si="15"/>
        <v>1.2999999999999999E-2</v>
      </c>
      <c r="U50" s="23">
        <f t="shared" si="15"/>
        <v>3.0000000000000001E-3</v>
      </c>
      <c r="V50" s="24">
        <f t="shared" si="3"/>
        <v>1.5290896199081101E-3</v>
      </c>
      <c r="W50" s="24">
        <f t="shared" si="4"/>
        <v>1.75E-3</v>
      </c>
      <c r="X50" s="24">
        <f t="shared" si="5"/>
        <v>1.8E-3</v>
      </c>
      <c r="Y50" s="24">
        <f t="shared" si="6"/>
        <v>1.2999999999999999E-3</v>
      </c>
      <c r="Z50" s="24">
        <f t="shared" si="7"/>
        <v>1.8E-3</v>
      </c>
      <c r="AA50" s="3">
        <f ca="1">IFERROR(__xludf.DUMMYFUNCTION("AVERAGE.WEIGHTED(B50:C50,$AF50:$AG50)"),0.0017666984760552)</f>
        <v>1.7666984760552E-3</v>
      </c>
      <c r="AB50" s="3">
        <f ca="1">IFERROR(__xludf.DUMMYFUNCTION("AVERAGE.WEIGHTED(D50:E50,$AH50:$AI50)"),0.00176494647672086)</f>
        <v>1.7649464767208599E-3</v>
      </c>
      <c r="AC50" s="3">
        <f ca="1">IFERROR(__xludf.DUMMYFUNCTION("AVERAGE.WEIGHTED(F50:G50,$AJ50:$AK50)"),0.00181142608470969)</f>
        <v>1.8114260847096901E-3</v>
      </c>
      <c r="AD50" s="3" t="str">
        <f ca="1">IFERROR(__xludf.DUMMYFUNCTION("AVERAGE.WEIGHTED(H50:I50,$AA$25:$AB$25)"),"#VALUE!")</f>
        <v>#VALUE!</v>
      </c>
      <c r="AE50" s="3" t="str">
        <f ca="1">IFERROR(__xludf.DUMMYFUNCTION("AVERAGE.WEIGHTED(J50:K50,$AA$25:$AB$25)"),"#VALUE!")</f>
        <v>#VALUE!</v>
      </c>
      <c r="AF50" s="209">
        <v>0.50667939042208099</v>
      </c>
      <c r="AG50" s="3">
        <f t="shared" si="8"/>
        <v>0.49332060957791901</v>
      </c>
      <c r="AH50" s="209">
        <v>0.50597859068834505</v>
      </c>
      <c r="AI50" s="3">
        <f t="shared" si="9"/>
        <v>0.49402140931165495</v>
      </c>
      <c r="AJ50" s="209">
        <v>0.50476086862903802</v>
      </c>
      <c r="AK50" s="3">
        <f t="shared" si="10"/>
        <v>0.49523913137096198</v>
      </c>
      <c r="AT50" s="201" t="s">
        <v>218</v>
      </c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</row>
    <row r="51" spans="1:56" ht="15" x14ac:dyDescent="0.25">
      <c r="A51" s="1">
        <v>23</v>
      </c>
      <c r="B51" s="23">
        <f t="shared" si="15"/>
        <v>1.51677235571833E-3</v>
      </c>
      <c r="C51" s="23">
        <f t="shared" si="15"/>
        <v>1.5414068840978899E-3</v>
      </c>
      <c r="D51" s="23">
        <f t="shared" si="15"/>
        <v>3.0000000000000001E-3</v>
      </c>
      <c r="E51" s="23">
        <f t="shared" si="15"/>
        <v>5.0000000000000001E-4</v>
      </c>
      <c r="F51" s="23">
        <f t="shared" si="15"/>
        <v>3.0000000000000001E-3</v>
      </c>
      <c r="G51" s="23">
        <f t="shared" si="15"/>
        <v>5.9999999999999995E-4</v>
      </c>
      <c r="H51" s="23">
        <f t="shared" si="15"/>
        <v>2E-3</v>
      </c>
      <c r="I51" s="23">
        <f t="shared" si="15"/>
        <v>5.9999999999999995E-4</v>
      </c>
      <c r="J51" s="23">
        <f t="shared" si="15"/>
        <v>3.0000000000000001E-3</v>
      </c>
      <c r="K51" s="23">
        <f t="shared" si="15"/>
        <v>5.9999999999999995E-4</v>
      </c>
      <c r="L51" s="23">
        <f t="shared" si="15"/>
        <v>1.4E-2</v>
      </c>
      <c r="M51" s="23">
        <f t="shared" si="15"/>
        <v>3.0000000000000001E-3</v>
      </c>
      <c r="N51" s="23">
        <f t="shared" si="15"/>
        <v>1.2999999999999999E-2</v>
      </c>
      <c r="O51" s="23">
        <f t="shared" si="15"/>
        <v>3.0000000000000001E-3</v>
      </c>
      <c r="P51" s="23">
        <f t="shared" si="15"/>
        <v>1.2999999999999999E-2</v>
      </c>
      <c r="Q51" s="23">
        <f t="shared" si="15"/>
        <v>3.0000000000000001E-3</v>
      </c>
      <c r="R51" s="23">
        <f t="shared" si="15"/>
        <v>1.2E-2</v>
      </c>
      <c r="S51" s="23">
        <f t="shared" si="15"/>
        <v>3.0000000000000001E-3</v>
      </c>
      <c r="T51" s="23">
        <f t="shared" si="15"/>
        <v>1.2999999999999999E-2</v>
      </c>
      <c r="U51" s="23">
        <f t="shared" si="15"/>
        <v>3.0000000000000001E-3</v>
      </c>
      <c r="V51" s="24">
        <f t="shared" si="3"/>
        <v>1.5290896199081101E-3</v>
      </c>
      <c r="W51" s="24">
        <f t="shared" si="4"/>
        <v>1.75E-3</v>
      </c>
      <c r="X51" s="24">
        <f t="shared" si="5"/>
        <v>1.8E-3</v>
      </c>
      <c r="Y51" s="24">
        <f t="shared" si="6"/>
        <v>1.2999999999999999E-3</v>
      </c>
      <c r="Z51" s="24">
        <f t="shared" si="7"/>
        <v>1.8E-3</v>
      </c>
      <c r="AA51" s="3">
        <f ca="1">IFERROR(__xludf.DUMMYFUNCTION("AVERAGE.WEIGHTED(B51:C51,$AF51:$AG51)"),0.00176550325810005)</f>
        <v>1.7655032581000501E-3</v>
      </c>
      <c r="AB51" s="3">
        <f ca="1">IFERROR(__xludf.DUMMYFUNCTION("AVERAGE.WEIGHTED(D51:E51,$AH51:$AI51)"),0.00176358041452776)</f>
        <v>1.76358041452776E-3</v>
      </c>
      <c r="AC51" s="3">
        <f ca="1">IFERROR(__xludf.DUMMYFUNCTION("AVERAGE.WEIGHTED(F51:G51,$AJ51:$AK51)"),0.00181005395061157)</f>
        <v>1.81005395061157E-3</v>
      </c>
      <c r="AD51" s="3" t="str">
        <f ca="1">IFERROR(__xludf.DUMMYFUNCTION("AVERAGE.WEIGHTED(H51:I51,$AA$25:$AB$25)"),"#VALUE!")</f>
        <v>#VALUE!</v>
      </c>
      <c r="AE51" s="3" t="str">
        <f ca="1">IFERROR(__xludf.DUMMYFUNCTION("AVERAGE.WEIGHTED(J51:K51,$AA$25:$AB$25)"),"#VALUE!")</f>
        <v>#VALUE!</v>
      </c>
      <c r="AF51" s="209">
        <v>0.50620130324002299</v>
      </c>
      <c r="AG51" s="3">
        <f t="shared" si="8"/>
        <v>0.49379869675997701</v>
      </c>
      <c r="AH51" s="209">
        <v>0.50543216581110695</v>
      </c>
      <c r="AI51" s="3">
        <f t="shared" si="9"/>
        <v>0.49456783418889305</v>
      </c>
      <c r="AJ51" s="209">
        <v>0.50418914608815801</v>
      </c>
      <c r="AK51" s="3">
        <f t="shared" si="10"/>
        <v>0.49581085391184199</v>
      </c>
      <c r="AT51" s="201" t="s">
        <v>218</v>
      </c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</row>
    <row r="52" spans="1:56" ht="15" x14ac:dyDescent="0.25">
      <c r="A52" s="1">
        <v>24</v>
      </c>
      <c r="B52" s="23">
        <f t="shared" si="15"/>
        <v>1.51677235571833E-3</v>
      </c>
      <c r="C52" s="23">
        <f t="shared" si="15"/>
        <v>1.5414068840978899E-3</v>
      </c>
      <c r="D52" s="23">
        <f t="shared" si="15"/>
        <v>3.0000000000000001E-3</v>
      </c>
      <c r="E52" s="23">
        <f t="shared" si="15"/>
        <v>5.0000000000000001E-4</v>
      </c>
      <c r="F52" s="23">
        <f t="shared" si="15"/>
        <v>3.0000000000000001E-3</v>
      </c>
      <c r="G52" s="23">
        <f t="shared" si="15"/>
        <v>5.9999999999999995E-4</v>
      </c>
      <c r="H52" s="23">
        <f t="shared" si="15"/>
        <v>2E-3</v>
      </c>
      <c r="I52" s="23">
        <f t="shared" si="15"/>
        <v>5.9999999999999995E-4</v>
      </c>
      <c r="J52" s="23">
        <f t="shared" si="15"/>
        <v>3.0000000000000001E-3</v>
      </c>
      <c r="K52" s="23">
        <f t="shared" si="15"/>
        <v>5.9999999999999995E-4</v>
      </c>
      <c r="L52" s="23">
        <f t="shared" si="15"/>
        <v>1.4E-2</v>
      </c>
      <c r="M52" s="23">
        <f t="shared" si="15"/>
        <v>3.0000000000000001E-3</v>
      </c>
      <c r="N52" s="23">
        <f t="shared" si="15"/>
        <v>1.2999999999999999E-2</v>
      </c>
      <c r="O52" s="23">
        <f t="shared" si="15"/>
        <v>3.0000000000000001E-3</v>
      </c>
      <c r="P52" s="23">
        <f t="shared" si="15"/>
        <v>1.2999999999999999E-2</v>
      </c>
      <c r="Q52" s="23">
        <f t="shared" si="15"/>
        <v>3.0000000000000001E-3</v>
      </c>
      <c r="R52" s="23">
        <f t="shared" si="15"/>
        <v>1.2E-2</v>
      </c>
      <c r="S52" s="23">
        <f t="shared" si="15"/>
        <v>3.0000000000000001E-3</v>
      </c>
      <c r="T52" s="23">
        <f t="shared" si="15"/>
        <v>1.2999999999999999E-2</v>
      </c>
      <c r="U52" s="23">
        <f t="shared" si="15"/>
        <v>3.0000000000000001E-3</v>
      </c>
      <c r="V52" s="24">
        <f t="shared" si="3"/>
        <v>1.5290896199081101E-3</v>
      </c>
      <c r="W52" s="24">
        <f t="shared" si="4"/>
        <v>1.75E-3</v>
      </c>
      <c r="X52" s="24">
        <f t="shared" si="5"/>
        <v>1.8E-3</v>
      </c>
      <c r="Y52" s="24">
        <f t="shared" si="6"/>
        <v>1.2999999999999999E-3</v>
      </c>
      <c r="Z52" s="24">
        <f t="shared" si="7"/>
        <v>1.8E-3</v>
      </c>
      <c r="AA52" s="3">
        <f ca="1">IFERROR(__xludf.DUMMYFUNCTION("AVERAGE.WEIGHTED(B52:C52,$AF52:$AG52)"),0.00176429486259785)</f>
        <v>1.7642948625978499E-3</v>
      </c>
      <c r="AB52" s="3">
        <f ca="1">IFERROR(__xludf.DUMMYFUNCTION("AVERAGE.WEIGHTED(D52:E52,$AH52:$AI52)"),0.00176228837555084)</f>
        <v>1.7622883755508401E-3</v>
      </c>
      <c r="AC52" s="3">
        <f ca="1">IFERROR(__xludf.DUMMYFUNCTION("AVERAGE.WEIGHTED(F52:G52,$AJ52:$AK52)"),0.00180852369551074)</f>
        <v>1.80852369551074E-3</v>
      </c>
      <c r="AD52" s="3" t="str">
        <f ca="1">IFERROR(__xludf.DUMMYFUNCTION("AVERAGE.WEIGHTED(H52:I52,$AA$25:$AB$25)"),"#VALUE!")</f>
        <v>#VALUE!</v>
      </c>
      <c r="AE52" s="3" t="str">
        <f ca="1">IFERROR(__xludf.DUMMYFUNCTION("AVERAGE.WEIGHTED(J52:K52,$AA$25:$AB$25)"),"#VALUE!")</f>
        <v>#VALUE!</v>
      </c>
      <c r="AF52" s="209">
        <v>0.50571794503914003</v>
      </c>
      <c r="AG52" s="3">
        <f t="shared" si="8"/>
        <v>0.49428205496085997</v>
      </c>
      <c r="AH52" s="209">
        <v>0.50491535022033895</v>
      </c>
      <c r="AI52" s="3">
        <f t="shared" si="9"/>
        <v>0.49508464977966105</v>
      </c>
      <c r="AJ52" s="209">
        <v>0.50355153979614298</v>
      </c>
      <c r="AK52" s="3">
        <f t="shared" si="10"/>
        <v>0.49644846020385702</v>
      </c>
      <c r="AT52" s="201" t="s">
        <v>218</v>
      </c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</row>
    <row r="53" spans="1:56" ht="15" x14ac:dyDescent="0.25">
      <c r="A53" s="1">
        <v>25</v>
      </c>
      <c r="B53" s="23">
        <f t="shared" ref="B53:U57" si="16">B$11</f>
        <v>1.6797752517865999E-3</v>
      </c>
      <c r="C53" s="23">
        <f t="shared" si="16"/>
        <v>1.7454246918024001E-3</v>
      </c>
      <c r="D53" s="23">
        <f t="shared" si="16"/>
        <v>3.0000000000000001E-3</v>
      </c>
      <c r="E53" s="23">
        <f t="shared" si="16"/>
        <v>6.9999999999999999E-4</v>
      </c>
      <c r="F53" s="23">
        <f t="shared" si="16"/>
        <v>3.0000000000000001E-3</v>
      </c>
      <c r="G53" s="23">
        <f t="shared" si="16"/>
        <v>6.9999999999999999E-4</v>
      </c>
      <c r="H53" s="23">
        <f t="shared" si="16"/>
        <v>3.0000000000000001E-3</v>
      </c>
      <c r="I53" s="23">
        <f t="shared" si="16"/>
        <v>6.9999999999999999E-4</v>
      </c>
      <c r="J53" s="23">
        <f t="shared" si="16"/>
        <v>3.0000000000000001E-3</v>
      </c>
      <c r="K53" s="23">
        <f t="shared" si="16"/>
        <v>8.0000000000000004E-4</v>
      </c>
      <c r="L53" s="23">
        <f t="shared" si="16"/>
        <v>1.2E-2</v>
      </c>
      <c r="M53" s="23">
        <f t="shared" si="16"/>
        <v>3.0000000000000001E-3</v>
      </c>
      <c r="N53" s="23">
        <f t="shared" si="16"/>
        <v>1.2E-2</v>
      </c>
      <c r="O53" s="23">
        <f t="shared" si="16"/>
        <v>3.0000000000000001E-3</v>
      </c>
      <c r="P53" s="23">
        <f t="shared" si="16"/>
        <v>1.2999999999999999E-2</v>
      </c>
      <c r="Q53" s="23">
        <f t="shared" si="16"/>
        <v>4.0000000000000001E-3</v>
      </c>
      <c r="R53" s="23">
        <f t="shared" si="16"/>
        <v>1.2999999999999999E-2</v>
      </c>
      <c r="S53" s="23">
        <f t="shared" si="16"/>
        <v>4.0000000000000001E-3</v>
      </c>
      <c r="T53" s="23">
        <f t="shared" si="16"/>
        <v>1.4E-2</v>
      </c>
      <c r="U53" s="23">
        <f t="shared" si="16"/>
        <v>4.0000000000000001E-3</v>
      </c>
      <c r="V53" s="24">
        <f t="shared" si="3"/>
        <v>1.7125999717944999E-3</v>
      </c>
      <c r="W53" s="24">
        <f t="shared" si="4"/>
        <v>1.8500000000000001E-3</v>
      </c>
      <c r="X53" s="24">
        <f t="shared" si="5"/>
        <v>1.8500000000000001E-3</v>
      </c>
      <c r="Y53" s="24">
        <f t="shared" si="6"/>
        <v>1.8500000000000001E-3</v>
      </c>
      <c r="Z53" s="24">
        <f t="shared" si="7"/>
        <v>1.9E-3</v>
      </c>
      <c r="AA53" s="3">
        <f ca="1">IFERROR(__xludf.DUMMYFUNCTION("AVERAGE.WEIGHTED(B53:C53,$AF53:$AG53)"),0.00130745685005393)</f>
        <v>1.30745685005393E-3</v>
      </c>
      <c r="AB53" s="3">
        <f ca="1">IFERROR(__xludf.DUMMYFUNCTION("AVERAGE.WEIGHTED(D53:E53,$AH53:$AI53)"),0.0018600293265463)</f>
        <v>1.8600293265463E-3</v>
      </c>
      <c r="AC53" s="3">
        <f ca="1">IFERROR(__xludf.DUMMYFUNCTION("AVERAGE.WEIGHTED(F53:G53,$AJ53:$AK53)"),0.00185662977430251)</f>
        <v>1.85662977430251E-3</v>
      </c>
      <c r="AD53" s="3" t="str">
        <f ca="1">IFERROR(__xludf.DUMMYFUNCTION("AVERAGE.WEIGHTED(H53:I53,$AA$25:$AB$25)"),"#VALUE!")</f>
        <v>#VALUE!</v>
      </c>
      <c r="AE53" s="3" t="str">
        <f ca="1">IFERROR(__xludf.DUMMYFUNCTION("AVERAGE.WEIGHTED(J53:K53,$AA$25:$AB$25)"),"#VALUE!")</f>
        <v>#VALUE!</v>
      </c>
      <c r="AF53" s="209">
        <v>0.50532632146709799</v>
      </c>
      <c r="AG53" s="3">
        <f t="shared" si="8"/>
        <v>0.49467367853290201</v>
      </c>
      <c r="AH53" s="209">
        <v>0.50436057675926105</v>
      </c>
      <c r="AI53" s="3">
        <f t="shared" si="9"/>
        <v>0.49563942324073895</v>
      </c>
      <c r="AJ53" s="209">
        <v>0.50288251056631195</v>
      </c>
      <c r="AK53" s="3">
        <f t="shared" si="10"/>
        <v>0.49711748943368805</v>
      </c>
      <c r="AT53" s="201" t="s">
        <v>218</v>
      </c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</row>
    <row r="54" spans="1:56" ht="15" x14ac:dyDescent="0.25">
      <c r="A54" s="1">
        <v>26</v>
      </c>
      <c r="B54" s="23">
        <f t="shared" si="16"/>
        <v>1.6797752517865999E-3</v>
      </c>
      <c r="C54" s="23">
        <f t="shared" si="16"/>
        <v>1.7454246918024001E-3</v>
      </c>
      <c r="D54" s="23">
        <f t="shared" si="16"/>
        <v>3.0000000000000001E-3</v>
      </c>
      <c r="E54" s="23">
        <f t="shared" si="16"/>
        <v>6.9999999999999999E-4</v>
      </c>
      <c r="F54" s="23">
        <f t="shared" si="16"/>
        <v>3.0000000000000001E-3</v>
      </c>
      <c r="G54" s="23">
        <f t="shared" si="16"/>
        <v>6.9999999999999999E-4</v>
      </c>
      <c r="H54" s="23">
        <f t="shared" si="16"/>
        <v>3.0000000000000001E-3</v>
      </c>
      <c r="I54" s="23">
        <f t="shared" si="16"/>
        <v>6.9999999999999999E-4</v>
      </c>
      <c r="J54" s="23">
        <f t="shared" si="16"/>
        <v>3.0000000000000001E-3</v>
      </c>
      <c r="K54" s="23">
        <f t="shared" si="16"/>
        <v>8.0000000000000004E-4</v>
      </c>
      <c r="L54" s="23">
        <f t="shared" si="16"/>
        <v>1.2E-2</v>
      </c>
      <c r="M54" s="23">
        <f t="shared" si="16"/>
        <v>3.0000000000000001E-3</v>
      </c>
      <c r="N54" s="23">
        <f t="shared" si="16"/>
        <v>1.2E-2</v>
      </c>
      <c r="O54" s="23">
        <f t="shared" si="16"/>
        <v>3.0000000000000001E-3</v>
      </c>
      <c r="P54" s="23">
        <f t="shared" si="16"/>
        <v>1.2999999999999999E-2</v>
      </c>
      <c r="Q54" s="23">
        <f t="shared" si="16"/>
        <v>4.0000000000000001E-3</v>
      </c>
      <c r="R54" s="23">
        <f t="shared" si="16"/>
        <v>1.2999999999999999E-2</v>
      </c>
      <c r="S54" s="23">
        <f t="shared" si="16"/>
        <v>4.0000000000000001E-3</v>
      </c>
      <c r="T54" s="23">
        <f t="shared" si="16"/>
        <v>1.4E-2</v>
      </c>
      <c r="U54" s="23">
        <f t="shared" si="16"/>
        <v>4.0000000000000001E-3</v>
      </c>
      <c r="V54" s="24">
        <f t="shared" si="3"/>
        <v>1.7125999717944999E-3</v>
      </c>
      <c r="W54" s="24">
        <f t="shared" si="4"/>
        <v>1.8500000000000001E-3</v>
      </c>
      <c r="X54" s="24">
        <f t="shared" si="5"/>
        <v>1.8500000000000001E-3</v>
      </c>
      <c r="Y54" s="24">
        <f t="shared" si="6"/>
        <v>1.8500000000000001E-3</v>
      </c>
      <c r="Z54" s="24">
        <f t="shared" si="7"/>
        <v>1.9E-3</v>
      </c>
      <c r="AA54" s="3">
        <f ca="1">IFERROR(__xludf.DUMMYFUNCTION("AVERAGE.WEIGHTED(B54:C54,$AF54:$AG54)"),0.00130680338229294)</f>
        <v>1.30680338229294E-3</v>
      </c>
      <c r="AB54" s="3">
        <f ca="1">IFERROR(__xludf.DUMMYFUNCTION("AVERAGE.WEIGHTED(D54:E54,$AH54:$AI54)"),0.00185851343657726)</f>
        <v>1.85851343657726E-3</v>
      </c>
      <c r="AC54" s="3">
        <f ca="1">IFERROR(__xludf.DUMMYFUNCTION("AVERAGE.WEIGHTED(F54:G54,$AJ54:$AK54)"),0.00185495999600717)</f>
        <v>1.85495999600717E-3</v>
      </c>
      <c r="AD54" s="3" t="str">
        <f ca="1">IFERROR(__xludf.DUMMYFUNCTION("AVERAGE.WEIGHTED(H54:I54,$AA$25:$AB$25)"),"#VALUE!")</f>
        <v>#VALUE!</v>
      </c>
      <c r="AE54" s="3" t="str">
        <f ca="1">IFERROR(__xludf.DUMMYFUNCTION("AVERAGE.WEIGHTED(J54:K54,$AA$25:$AB$25)"),"#VALUE!")</f>
        <v>#VALUE!</v>
      </c>
      <c r="AF54" s="209">
        <v>0.50485955878067401</v>
      </c>
      <c r="AG54" s="3">
        <f t="shared" si="8"/>
        <v>0.49514044121932599</v>
      </c>
      <c r="AH54" s="209">
        <v>0.50370149416402699</v>
      </c>
      <c r="AI54" s="3">
        <f t="shared" si="9"/>
        <v>0.49629850583597301</v>
      </c>
      <c r="AJ54" s="209">
        <v>0.50215652000311795</v>
      </c>
      <c r="AK54" s="3">
        <f t="shared" si="10"/>
        <v>0.49784347999688205</v>
      </c>
      <c r="AT54" s="201" t="s">
        <v>218</v>
      </c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</row>
    <row r="55" spans="1:56" ht="15" x14ac:dyDescent="0.25">
      <c r="A55" s="1">
        <v>27</v>
      </c>
      <c r="B55" s="23">
        <f t="shared" si="16"/>
        <v>1.6797752517865999E-3</v>
      </c>
      <c r="C55" s="23">
        <f t="shared" si="16"/>
        <v>1.7454246918024001E-3</v>
      </c>
      <c r="D55" s="23">
        <f t="shared" si="16"/>
        <v>3.0000000000000001E-3</v>
      </c>
      <c r="E55" s="23">
        <f t="shared" si="16"/>
        <v>6.9999999999999999E-4</v>
      </c>
      <c r="F55" s="23">
        <f t="shared" si="16"/>
        <v>3.0000000000000001E-3</v>
      </c>
      <c r="G55" s="23">
        <f t="shared" si="16"/>
        <v>6.9999999999999999E-4</v>
      </c>
      <c r="H55" s="23">
        <f t="shared" si="16"/>
        <v>3.0000000000000001E-3</v>
      </c>
      <c r="I55" s="23">
        <f t="shared" si="16"/>
        <v>6.9999999999999999E-4</v>
      </c>
      <c r="J55" s="23">
        <f t="shared" si="16"/>
        <v>3.0000000000000001E-3</v>
      </c>
      <c r="K55" s="23">
        <f t="shared" si="16"/>
        <v>8.0000000000000004E-4</v>
      </c>
      <c r="L55" s="23">
        <f t="shared" si="16"/>
        <v>1.2E-2</v>
      </c>
      <c r="M55" s="23">
        <f t="shared" si="16"/>
        <v>3.0000000000000001E-3</v>
      </c>
      <c r="N55" s="23">
        <f t="shared" si="16"/>
        <v>1.2E-2</v>
      </c>
      <c r="O55" s="23">
        <f t="shared" si="16"/>
        <v>3.0000000000000001E-3</v>
      </c>
      <c r="P55" s="23">
        <f t="shared" si="16"/>
        <v>1.2999999999999999E-2</v>
      </c>
      <c r="Q55" s="23">
        <f t="shared" si="16"/>
        <v>4.0000000000000001E-3</v>
      </c>
      <c r="R55" s="23">
        <f t="shared" si="16"/>
        <v>1.2999999999999999E-2</v>
      </c>
      <c r="S55" s="23">
        <f t="shared" si="16"/>
        <v>4.0000000000000001E-3</v>
      </c>
      <c r="T55" s="23">
        <f t="shared" si="16"/>
        <v>1.4E-2</v>
      </c>
      <c r="U55" s="23">
        <f t="shared" si="16"/>
        <v>4.0000000000000001E-3</v>
      </c>
      <c r="V55" s="24">
        <f t="shared" si="3"/>
        <v>1.7125999717944999E-3</v>
      </c>
      <c r="W55" s="24">
        <f t="shared" si="4"/>
        <v>1.8500000000000001E-3</v>
      </c>
      <c r="X55" s="24">
        <f t="shared" si="5"/>
        <v>1.8500000000000001E-3</v>
      </c>
      <c r="Y55" s="24">
        <f t="shared" si="6"/>
        <v>1.8500000000000001E-3</v>
      </c>
      <c r="Z55" s="24">
        <f t="shared" si="7"/>
        <v>1.9E-3</v>
      </c>
      <c r="AA55" s="3">
        <f ca="1">IFERROR(__xludf.DUMMYFUNCTION("AVERAGE.WEIGHTED(B55:C55,$AF55:$AG55)"),0.00130602094548462)</f>
        <v>1.30602094548462E-3</v>
      </c>
      <c r="AB55" s="3">
        <f ca="1">IFERROR(__xludf.DUMMYFUNCTION("AVERAGE.WEIGHTED(D55:E55,$AH55:$AI55)"),0.00185706594555919)</f>
        <v>1.8570659455591899E-3</v>
      </c>
      <c r="AC55" s="3">
        <f ca="1">IFERROR(__xludf.DUMMYFUNCTION("AVERAGE.WEIGHTED(F55:G55,$AJ55:$AK55)"),0.00185294768668419)</f>
        <v>1.8529476866841899E-3</v>
      </c>
      <c r="AD55" s="3" t="str">
        <f ca="1">IFERROR(__xludf.DUMMYFUNCTION("AVERAGE.WEIGHTED(H55:I55,$AA$25:$AB$25)"),"#VALUE!")</f>
        <v>#VALUE!</v>
      </c>
      <c r="AE55" s="3" t="str">
        <f ca="1">IFERROR(__xludf.DUMMYFUNCTION("AVERAGE.WEIGHTED(J55:K55,$AA$25:$AB$25)"),"#VALUE!")</f>
        <v>#VALUE!</v>
      </c>
      <c r="AF55" s="209">
        <v>0.50430067534616296</v>
      </c>
      <c r="AG55" s="3">
        <f t="shared" si="8"/>
        <v>0.49569932465383704</v>
      </c>
      <c r="AH55" s="209">
        <v>0.50307215024312901</v>
      </c>
      <c r="AI55" s="3">
        <f t="shared" si="9"/>
        <v>0.49692784975687099</v>
      </c>
      <c r="AJ55" s="209">
        <v>0.50128160290616997</v>
      </c>
      <c r="AK55" s="3">
        <f t="shared" si="10"/>
        <v>0.49871839709383003</v>
      </c>
      <c r="AT55" s="201" t="s">
        <v>218</v>
      </c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</row>
    <row r="56" spans="1:56" ht="15" x14ac:dyDescent="0.25">
      <c r="A56" s="1">
        <v>28</v>
      </c>
      <c r="B56" s="23">
        <f t="shared" si="16"/>
        <v>1.6797752517865999E-3</v>
      </c>
      <c r="C56" s="23">
        <f t="shared" si="16"/>
        <v>1.7454246918024001E-3</v>
      </c>
      <c r="D56" s="23">
        <f t="shared" si="16"/>
        <v>3.0000000000000001E-3</v>
      </c>
      <c r="E56" s="23">
        <f t="shared" si="16"/>
        <v>6.9999999999999999E-4</v>
      </c>
      <c r="F56" s="23">
        <f t="shared" si="16"/>
        <v>3.0000000000000001E-3</v>
      </c>
      <c r="G56" s="23">
        <f t="shared" si="16"/>
        <v>6.9999999999999999E-4</v>
      </c>
      <c r="H56" s="23">
        <f t="shared" si="16"/>
        <v>3.0000000000000001E-3</v>
      </c>
      <c r="I56" s="23">
        <f t="shared" si="16"/>
        <v>6.9999999999999999E-4</v>
      </c>
      <c r="J56" s="23">
        <f t="shared" si="16"/>
        <v>3.0000000000000001E-3</v>
      </c>
      <c r="K56" s="23">
        <f t="shared" si="16"/>
        <v>8.0000000000000004E-4</v>
      </c>
      <c r="L56" s="23">
        <f t="shared" si="16"/>
        <v>1.2E-2</v>
      </c>
      <c r="M56" s="23">
        <f t="shared" si="16"/>
        <v>3.0000000000000001E-3</v>
      </c>
      <c r="N56" s="23">
        <f t="shared" si="16"/>
        <v>1.2E-2</v>
      </c>
      <c r="O56" s="23">
        <f t="shared" si="16"/>
        <v>3.0000000000000001E-3</v>
      </c>
      <c r="P56" s="23">
        <f t="shared" si="16"/>
        <v>1.2999999999999999E-2</v>
      </c>
      <c r="Q56" s="23">
        <f t="shared" si="16"/>
        <v>4.0000000000000001E-3</v>
      </c>
      <c r="R56" s="23">
        <f t="shared" si="16"/>
        <v>1.2999999999999999E-2</v>
      </c>
      <c r="S56" s="23">
        <f t="shared" si="16"/>
        <v>4.0000000000000001E-3</v>
      </c>
      <c r="T56" s="23">
        <f t="shared" si="16"/>
        <v>1.4E-2</v>
      </c>
      <c r="U56" s="23">
        <f t="shared" si="16"/>
        <v>4.0000000000000001E-3</v>
      </c>
      <c r="V56" s="24">
        <f t="shared" si="3"/>
        <v>1.7125999717944999E-3</v>
      </c>
      <c r="W56" s="24">
        <f t="shared" si="4"/>
        <v>1.8500000000000001E-3</v>
      </c>
      <c r="X56" s="24">
        <f t="shared" si="5"/>
        <v>1.8500000000000001E-3</v>
      </c>
      <c r="Y56" s="24">
        <f t="shared" si="6"/>
        <v>1.8500000000000001E-3</v>
      </c>
      <c r="Z56" s="24">
        <f t="shared" si="7"/>
        <v>1.9E-3</v>
      </c>
      <c r="AA56" s="3">
        <f ca="1">IFERROR(__xludf.DUMMYFUNCTION("AVERAGE.WEIGHTED(B56:C56,$AF56:$AG56)"),0.00130528124253968)</f>
        <v>1.3052812425396799E-3</v>
      </c>
      <c r="AB56" s="3">
        <f ca="1">IFERROR(__xludf.DUMMYFUNCTION("AVERAGE.WEIGHTED(D56:E56,$AH56:$AI56)"),0.00185574370499316)</f>
        <v>1.85574370499316E-3</v>
      </c>
      <c r="AC56" s="3">
        <f ca="1">IFERROR(__xludf.DUMMYFUNCTION("AVERAGE.WEIGHTED(F56:G56,$AJ56:$AK56)"),0.00185078334925019)</f>
        <v>1.8507833492501899E-3</v>
      </c>
      <c r="AD56" s="3" t="str">
        <f ca="1">IFERROR(__xludf.DUMMYFUNCTION("AVERAGE.WEIGHTED(H56:I56,$AA$25:$AB$25)"),"#VALUE!")</f>
        <v>#VALUE!</v>
      </c>
      <c r="AE56" s="3" t="str">
        <f ca="1">IFERROR(__xludf.DUMMYFUNCTION("AVERAGE.WEIGHTED(J56:K56,$AA$25:$AB$25)"),"#VALUE!")</f>
        <v>#VALUE!</v>
      </c>
      <c r="AF56" s="209">
        <v>0.50377231609977202</v>
      </c>
      <c r="AG56" s="3">
        <f t="shared" si="8"/>
        <v>0.49622768390022798</v>
      </c>
      <c r="AH56" s="209">
        <v>0.50249726304050701</v>
      </c>
      <c r="AI56" s="3">
        <f t="shared" si="9"/>
        <v>0.49750273695949299</v>
      </c>
      <c r="AJ56" s="209">
        <v>0.50034058663051995</v>
      </c>
      <c r="AK56" s="3">
        <f t="shared" si="10"/>
        <v>0.49965941336948005</v>
      </c>
      <c r="AT56" s="201" t="s">
        <v>218</v>
      </c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</row>
    <row r="57" spans="1:56" ht="15" x14ac:dyDescent="0.25">
      <c r="A57" s="1">
        <v>29</v>
      </c>
      <c r="B57" s="23">
        <f t="shared" si="16"/>
        <v>1.6797752517865999E-3</v>
      </c>
      <c r="C57" s="23">
        <f t="shared" si="16"/>
        <v>1.7454246918024001E-3</v>
      </c>
      <c r="D57" s="23">
        <f t="shared" si="16"/>
        <v>3.0000000000000001E-3</v>
      </c>
      <c r="E57" s="23">
        <f t="shared" si="16"/>
        <v>6.9999999999999999E-4</v>
      </c>
      <c r="F57" s="23">
        <f t="shared" si="16"/>
        <v>3.0000000000000001E-3</v>
      </c>
      <c r="G57" s="23">
        <f t="shared" si="16"/>
        <v>6.9999999999999999E-4</v>
      </c>
      <c r="H57" s="23">
        <f t="shared" si="16"/>
        <v>3.0000000000000001E-3</v>
      </c>
      <c r="I57" s="23">
        <f t="shared" si="16"/>
        <v>6.9999999999999999E-4</v>
      </c>
      <c r="J57" s="23">
        <f t="shared" si="16"/>
        <v>3.0000000000000001E-3</v>
      </c>
      <c r="K57" s="23">
        <f t="shared" si="16"/>
        <v>8.0000000000000004E-4</v>
      </c>
      <c r="L57" s="23">
        <f t="shared" si="16"/>
        <v>1.2E-2</v>
      </c>
      <c r="M57" s="23">
        <f t="shared" si="16"/>
        <v>3.0000000000000001E-3</v>
      </c>
      <c r="N57" s="23">
        <f t="shared" si="16"/>
        <v>1.2E-2</v>
      </c>
      <c r="O57" s="23">
        <f t="shared" si="16"/>
        <v>3.0000000000000001E-3</v>
      </c>
      <c r="P57" s="23">
        <f t="shared" si="16"/>
        <v>1.2999999999999999E-2</v>
      </c>
      <c r="Q57" s="23">
        <f t="shared" si="16"/>
        <v>4.0000000000000001E-3</v>
      </c>
      <c r="R57" s="23">
        <f t="shared" si="16"/>
        <v>1.2999999999999999E-2</v>
      </c>
      <c r="S57" s="23">
        <f t="shared" si="16"/>
        <v>4.0000000000000001E-3</v>
      </c>
      <c r="T57" s="23">
        <f t="shared" si="16"/>
        <v>1.4E-2</v>
      </c>
      <c r="U57" s="23">
        <f t="shared" si="16"/>
        <v>4.0000000000000001E-3</v>
      </c>
      <c r="V57" s="24">
        <f t="shared" si="3"/>
        <v>1.7125999717944999E-3</v>
      </c>
      <c r="W57" s="24">
        <f t="shared" si="4"/>
        <v>1.8500000000000001E-3</v>
      </c>
      <c r="X57" s="24">
        <f t="shared" si="5"/>
        <v>1.8500000000000001E-3</v>
      </c>
      <c r="Y57" s="24">
        <f t="shared" si="6"/>
        <v>1.8500000000000001E-3</v>
      </c>
      <c r="Z57" s="24">
        <f t="shared" si="7"/>
        <v>1.9E-3</v>
      </c>
      <c r="AA57" s="3">
        <f ca="1">IFERROR(__xludf.DUMMYFUNCTION("AVERAGE.WEIGHTED(B57:C57,$AF57:$AG57)"),0.00130447112907241)</f>
        <v>1.3044711290724101E-3</v>
      </c>
      <c r="AB57" s="3">
        <f ca="1">IFERROR(__xludf.DUMMYFUNCTION("AVERAGE.WEIGHTED(D57:E57,$AH57:$AI57)"),0.00185423998996779)</f>
        <v>1.85423998996779E-3</v>
      </c>
      <c r="AC57" s="3">
        <f ca="1">IFERROR(__xludf.DUMMYFUNCTION("AVERAGE.WEIGHTED(F57:G57,$AJ57:$AK57)"),0.00184852465253531)</f>
        <v>1.8485246525353099E-3</v>
      </c>
      <c r="AD57" s="3" t="str">
        <f ca="1">IFERROR(__xludf.DUMMYFUNCTION("AVERAGE.WEIGHTED(H57:I57,$AA$25:$AB$25)"),"#VALUE!")</f>
        <v>#VALUE!</v>
      </c>
      <c r="AE57" s="3" t="str">
        <f ca="1">IFERROR(__xludf.DUMMYFUNCTION("AVERAGE.WEIGHTED(J57:K57,$AA$25:$AB$25)"),"#VALUE!")</f>
        <v>#VALUE!</v>
      </c>
      <c r="AF57" s="209">
        <v>0.50319366362315199</v>
      </c>
      <c r="AG57" s="3">
        <f t="shared" si="8"/>
        <v>0.49680633637684801</v>
      </c>
      <c r="AH57" s="209">
        <v>0.50184347389904205</v>
      </c>
      <c r="AI57" s="3">
        <f t="shared" si="9"/>
        <v>0.49815652610095795</v>
      </c>
      <c r="AJ57" s="209">
        <v>0.49935854458057199</v>
      </c>
      <c r="AK57" s="3">
        <f t="shared" si="10"/>
        <v>0.50064145541942806</v>
      </c>
      <c r="AT57" s="201" t="s">
        <v>218</v>
      </c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</row>
    <row r="58" spans="1:56" ht="15" x14ac:dyDescent="0.25">
      <c r="A58" s="1">
        <v>30</v>
      </c>
      <c r="B58" s="23">
        <f t="shared" ref="B58:U62" si="17">B$12</f>
        <v>1.66647272582987E-3</v>
      </c>
      <c r="C58" s="23">
        <f t="shared" si="17"/>
        <v>1.7314633368858E-3</v>
      </c>
      <c r="D58" s="23">
        <f t="shared" si="17"/>
        <v>3.0000000000000001E-3</v>
      </c>
      <c r="E58" s="23">
        <f t="shared" si="17"/>
        <v>8.9999999999999998E-4</v>
      </c>
      <c r="F58" s="23">
        <f t="shared" si="17"/>
        <v>3.0000000000000001E-3</v>
      </c>
      <c r="G58" s="23">
        <f t="shared" si="17"/>
        <v>1E-3</v>
      </c>
      <c r="H58" s="23">
        <f t="shared" si="17"/>
        <v>3.0000000000000001E-3</v>
      </c>
      <c r="I58" s="23">
        <f t="shared" si="17"/>
        <v>1E-3</v>
      </c>
      <c r="J58" s="23">
        <f t="shared" si="17"/>
        <v>3.0000000000000001E-3</v>
      </c>
      <c r="K58" s="23">
        <f t="shared" si="17"/>
        <v>1E-3</v>
      </c>
      <c r="L58" s="23">
        <f t="shared" si="17"/>
        <v>1.2E-2</v>
      </c>
      <c r="M58" s="23">
        <f t="shared" si="17"/>
        <v>4.0000000000000001E-3</v>
      </c>
      <c r="N58" s="23">
        <f t="shared" si="17"/>
        <v>1.2999999999999999E-2</v>
      </c>
      <c r="O58" s="23">
        <f t="shared" si="17"/>
        <v>4.0000000000000001E-3</v>
      </c>
      <c r="P58" s="23">
        <f t="shared" si="17"/>
        <v>1.4E-2</v>
      </c>
      <c r="Q58" s="23">
        <f t="shared" si="17"/>
        <v>5.0000000000000001E-3</v>
      </c>
      <c r="R58" s="23">
        <f t="shared" si="17"/>
        <v>1.4E-2</v>
      </c>
      <c r="S58" s="23">
        <f t="shared" si="17"/>
        <v>5.0000000000000001E-3</v>
      </c>
      <c r="T58" s="23">
        <f t="shared" si="17"/>
        <v>1.4999999999999999E-2</v>
      </c>
      <c r="U58" s="23">
        <f t="shared" si="17"/>
        <v>5.0000000000000001E-3</v>
      </c>
      <c r="V58" s="24">
        <f t="shared" si="3"/>
        <v>1.6989680313578351E-3</v>
      </c>
      <c r="W58" s="24">
        <f t="shared" si="4"/>
        <v>1.9499999999999999E-3</v>
      </c>
      <c r="X58" s="24">
        <f t="shared" si="5"/>
        <v>2E-3</v>
      </c>
      <c r="Y58" s="24">
        <f t="shared" si="6"/>
        <v>2E-3</v>
      </c>
      <c r="Z58" s="24">
        <f t="shared" si="7"/>
        <v>2E-3</v>
      </c>
      <c r="AA58" s="3">
        <f ca="1">IFERROR(__xludf.DUMMYFUNCTION("AVERAGE.WEIGHTED(B58:C58,$AF58:$AG58)"),0.0014029996237526)</f>
        <v>1.4029996237526E-3</v>
      </c>
      <c r="AB58" s="3">
        <f ca="1">IFERROR(__xludf.DUMMYFUNCTION("AVERAGE.WEIGHTED(D58:E58,$AH58:$AI58)"),0.0019524050587257)</f>
        <v>1.9524050587257E-3</v>
      </c>
      <c r="AC58" s="3">
        <f ca="1">IFERROR(__xludf.DUMMYFUNCTION("AVERAGE.WEIGHTED(F58:G58,$AJ58:$AK58)"),0.00199666833945455)</f>
        <v>1.99666833945455E-3</v>
      </c>
      <c r="AD58" s="3" t="str">
        <f ca="1">IFERROR(__xludf.DUMMYFUNCTION("AVERAGE.WEIGHTED(H58:I58,$AA$25:$AB$25)"),"#VALUE!")</f>
        <v>#VALUE!</v>
      </c>
      <c r="AE58" s="3" t="str">
        <f ca="1">IFERROR(__xludf.DUMMYFUNCTION("AVERAGE.WEIGHTED(J58:K58,$AA$25:$AB$25)"),"#VALUE!")</f>
        <v>#VALUE!</v>
      </c>
      <c r="AF58" s="209">
        <v>0.50249968646050103</v>
      </c>
      <c r="AG58" s="3">
        <f t="shared" si="8"/>
        <v>0.49750031353949897</v>
      </c>
      <c r="AH58" s="209">
        <v>0.50114526605985898</v>
      </c>
      <c r="AI58" s="3">
        <f t="shared" si="9"/>
        <v>0.49885473394014102</v>
      </c>
      <c r="AJ58" s="209">
        <v>0.49833416972727601</v>
      </c>
      <c r="AK58" s="3">
        <f t="shared" si="10"/>
        <v>0.50166583027272393</v>
      </c>
      <c r="AT58" s="201" t="s">
        <v>218</v>
      </c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</row>
    <row r="59" spans="1:56" ht="15" x14ac:dyDescent="0.25">
      <c r="A59" s="1">
        <v>31</v>
      </c>
      <c r="B59" s="23">
        <f t="shared" si="17"/>
        <v>1.66647272582987E-3</v>
      </c>
      <c r="C59" s="23">
        <f t="shared" si="17"/>
        <v>1.7314633368858E-3</v>
      </c>
      <c r="D59" s="23">
        <f t="shared" si="17"/>
        <v>3.0000000000000001E-3</v>
      </c>
      <c r="E59" s="23">
        <f t="shared" si="17"/>
        <v>8.9999999999999998E-4</v>
      </c>
      <c r="F59" s="23">
        <f t="shared" si="17"/>
        <v>3.0000000000000001E-3</v>
      </c>
      <c r="G59" s="23">
        <f t="shared" si="17"/>
        <v>1E-3</v>
      </c>
      <c r="H59" s="23">
        <f t="shared" si="17"/>
        <v>3.0000000000000001E-3</v>
      </c>
      <c r="I59" s="23">
        <f t="shared" si="17"/>
        <v>1E-3</v>
      </c>
      <c r="J59" s="23">
        <f t="shared" si="17"/>
        <v>3.0000000000000001E-3</v>
      </c>
      <c r="K59" s="23">
        <f t="shared" si="17"/>
        <v>1E-3</v>
      </c>
      <c r="L59" s="23">
        <f t="shared" si="17"/>
        <v>1.2E-2</v>
      </c>
      <c r="M59" s="23">
        <f t="shared" si="17"/>
        <v>4.0000000000000001E-3</v>
      </c>
      <c r="N59" s="23">
        <f t="shared" si="17"/>
        <v>1.2999999999999999E-2</v>
      </c>
      <c r="O59" s="23">
        <f t="shared" si="17"/>
        <v>4.0000000000000001E-3</v>
      </c>
      <c r="P59" s="23">
        <f t="shared" si="17"/>
        <v>1.4E-2</v>
      </c>
      <c r="Q59" s="23">
        <f t="shared" si="17"/>
        <v>5.0000000000000001E-3</v>
      </c>
      <c r="R59" s="23">
        <f t="shared" si="17"/>
        <v>1.4E-2</v>
      </c>
      <c r="S59" s="23">
        <f t="shared" si="17"/>
        <v>5.0000000000000001E-3</v>
      </c>
      <c r="T59" s="23">
        <f t="shared" si="17"/>
        <v>1.4999999999999999E-2</v>
      </c>
      <c r="U59" s="23">
        <f t="shared" si="17"/>
        <v>5.0000000000000001E-3</v>
      </c>
      <c r="V59" s="24">
        <f t="shared" si="3"/>
        <v>1.6989680313578351E-3</v>
      </c>
      <c r="W59" s="24">
        <f t="shared" si="4"/>
        <v>1.9499999999999999E-3</v>
      </c>
      <c r="X59" s="24">
        <f t="shared" si="5"/>
        <v>2E-3</v>
      </c>
      <c r="Y59" s="24">
        <f t="shared" si="6"/>
        <v>2E-3</v>
      </c>
      <c r="Z59" s="24">
        <f t="shared" si="7"/>
        <v>2E-3</v>
      </c>
      <c r="AA59" s="3">
        <f ca="1">IFERROR(__xludf.DUMMYFUNCTION("AVERAGE.WEIGHTED(B59:C59,$AF59:$AG59)"),0.00140221284533915)</f>
        <v>1.4022128453391499E-3</v>
      </c>
      <c r="AB59" s="3">
        <f ca="1">IFERROR(__xludf.DUMMYFUNCTION("AVERAGE.WEIGHTED(D59:E59,$AH59:$AI59)"),0.00195079453112629)</f>
        <v>1.9507945311262899E-3</v>
      </c>
      <c r="AC59" s="3">
        <f ca="1">IFERROR(__xludf.DUMMYFUNCTION("AVERAGE.WEIGHTED(F59:G59,$AJ59:$AK59)"),0.0019949350363356)</f>
        <v>1.9949350363356001E-3</v>
      </c>
      <c r="AD59" s="3" t="str">
        <f ca="1">IFERROR(__xludf.DUMMYFUNCTION("AVERAGE.WEIGHTED(H59:I59,$AA$25:$AB$25)"),"#VALUE!")</f>
        <v>#VALUE!</v>
      </c>
      <c r="AE59" s="3" t="str">
        <f ca="1">IFERROR(__xludf.DUMMYFUNCTION("AVERAGE.WEIGHTED(J59:K59,$AA$25:$AB$25)"),"#VALUE!")</f>
        <v>#VALUE!</v>
      </c>
      <c r="AF59" s="209">
        <v>0.50184403778262798</v>
      </c>
      <c r="AG59" s="3">
        <f t="shared" si="8"/>
        <v>0.49815596221737202</v>
      </c>
      <c r="AH59" s="209">
        <v>0.50037834815537996</v>
      </c>
      <c r="AI59" s="3">
        <f t="shared" si="9"/>
        <v>0.49962165184462004</v>
      </c>
      <c r="AJ59" s="209">
        <v>0.49746751816780399</v>
      </c>
      <c r="AK59" s="3">
        <f t="shared" si="10"/>
        <v>0.50253248183219601</v>
      </c>
      <c r="AT59" s="201" t="s">
        <v>218</v>
      </c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</row>
    <row r="60" spans="1:56" ht="15" x14ac:dyDescent="0.25">
      <c r="A60" s="1">
        <v>32</v>
      </c>
      <c r="B60" s="23">
        <f t="shared" si="17"/>
        <v>1.66647272582987E-3</v>
      </c>
      <c r="C60" s="23">
        <f t="shared" si="17"/>
        <v>1.7314633368858E-3</v>
      </c>
      <c r="D60" s="23">
        <f t="shared" si="17"/>
        <v>3.0000000000000001E-3</v>
      </c>
      <c r="E60" s="23">
        <f t="shared" si="17"/>
        <v>8.9999999999999998E-4</v>
      </c>
      <c r="F60" s="23">
        <f t="shared" si="17"/>
        <v>3.0000000000000001E-3</v>
      </c>
      <c r="G60" s="23">
        <f t="shared" si="17"/>
        <v>1E-3</v>
      </c>
      <c r="H60" s="23">
        <f t="shared" si="17"/>
        <v>3.0000000000000001E-3</v>
      </c>
      <c r="I60" s="23">
        <f t="shared" si="17"/>
        <v>1E-3</v>
      </c>
      <c r="J60" s="23">
        <f t="shared" si="17"/>
        <v>3.0000000000000001E-3</v>
      </c>
      <c r="K60" s="23">
        <f t="shared" si="17"/>
        <v>1E-3</v>
      </c>
      <c r="L60" s="23">
        <f t="shared" si="17"/>
        <v>1.2E-2</v>
      </c>
      <c r="M60" s="23">
        <f t="shared" si="17"/>
        <v>4.0000000000000001E-3</v>
      </c>
      <c r="N60" s="23">
        <f t="shared" si="17"/>
        <v>1.2999999999999999E-2</v>
      </c>
      <c r="O60" s="23">
        <f t="shared" si="17"/>
        <v>4.0000000000000001E-3</v>
      </c>
      <c r="P60" s="23">
        <f t="shared" si="17"/>
        <v>1.4E-2</v>
      </c>
      <c r="Q60" s="23">
        <f t="shared" si="17"/>
        <v>5.0000000000000001E-3</v>
      </c>
      <c r="R60" s="23">
        <f t="shared" si="17"/>
        <v>1.4E-2</v>
      </c>
      <c r="S60" s="23">
        <f t="shared" si="17"/>
        <v>5.0000000000000001E-3</v>
      </c>
      <c r="T60" s="23">
        <f t="shared" si="17"/>
        <v>1.4999999999999999E-2</v>
      </c>
      <c r="U60" s="23">
        <f t="shared" si="17"/>
        <v>5.0000000000000001E-3</v>
      </c>
      <c r="V60" s="24">
        <f t="shared" si="3"/>
        <v>1.6989680313578351E-3</v>
      </c>
      <c r="W60" s="24">
        <f t="shared" si="4"/>
        <v>1.9499999999999999E-3</v>
      </c>
      <c r="X60" s="24">
        <f t="shared" si="5"/>
        <v>2E-3</v>
      </c>
      <c r="Y60" s="24">
        <f t="shared" si="6"/>
        <v>2E-3</v>
      </c>
      <c r="Z60" s="24">
        <f t="shared" si="7"/>
        <v>2E-3</v>
      </c>
      <c r="AA60" s="3">
        <f ca="1">IFERROR(__xludf.DUMMYFUNCTION("AVERAGE.WEIGHTED(B60:C60,$AF60:$AG60)"),0.00140149479483467)</f>
        <v>1.40149479483467E-3</v>
      </c>
      <c r="AB60" s="3">
        <f ca="1">IFERROR(__xludf.DUMMYFUNCTION("AVERAGE.WEIGHTED(D60:E60,$AH60:$AI60)"),0.00194885335204059)</f>
        <v>1.94885335204059E-3</v>
      </c>
      <c r="AC60" s="3">
        <f ca="1">IFERROR(__xludf.DUMMYFUNCTION("AVERAGE.WEIGHTED(F60:G60,$AJ60:$AK60)"),0.00199351258004524)</f>
        <v>1.9935125800452399E-3</v>
      </c>
      <c r="AD60" s="3" t="str">
        <f ca="1">IFERROR(__xludf.DUMMYFUNCTION("AVERAGE.WEIGHTED(H60:I60,$AA$25:$AB$25)"),"#VALUE!")</f>
        <v>#VALUE!</v>
      </c>
      <c r="AE60" s="3" t="str">
        <f ca="1">IFERROR(__xludf.DUMMYFUNCTION("AVERAGE.WEIGHTED(J60:K60,$AA$25:$AB$25)"),"#VALUE!")</f>
        <v>#VALUE!</v>
      </c>
      <c r="AF60" s="209">
        <v>0.50124566236222901</v>
      </c>
      <c r="AG60" s="3">
        <f t="shared" si="8"/>
        <v>0.49875433763777099</v>
      </c>
      <c r="AH60" s="209">
        <v>0.49945397716218698</v>
      </c>
      <c r="AI60" s="3">
        <f t="shared" si="9"/>
        <v>0.50054602283781302</v>
      </c>
      <c r="AJ60" s="209">
        <v>0.49675629002262001</v>
      </c>
      <c r="AK60" s="3">
        <f t="shared" si="10"/>
        <v>0.50324370997737999</v>
      </c>
      <c r="AT60" s="201" t="s">
        <v>218</v>
      </c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</row>
    <row r="61" spans="1:56" ht="15" x14ac:dyDescent="0.25">
      <c r="A61" s="1">
        <v>33</v>
      </c>
      <c r="B61" s="23">
        <f t="shared" si="17"/>
        <v>1.66647272582987E-3</v>
      </c>
      <c r="C61" s="23">
        <f t="shared" si="17"/>
        <v>1.7314633368858E-3</v>
      </c>
      <c r="D61" s="23">
        <f t="shared" si="17"/>
        <v>3.0000000000000001E-3</v>
      </c>
      <c r="E61" s="23">
        <f t="shared" si="17"/>
        <v>8.9999999999999998E-4</v>
      </c>
      <c r="F61" s="23">
        <f t="shared" si="17"/>
        <v>3.0000000000000001E-3</v>
      </c>
      <c r="G61" s="23">
        <f t="shared" si="17"/>
        <v>1E-3</v>
      </c>
      <c r="H61" s="23">
        <f t="shared" si="17"/>
        <v>3.0000000000000001E-3</v>
      </c>
      <c r="I61" s="23">
        <f t="shared" si="17"/>
        <v>1E-3</v>
      </c>
      <c r="J61" s="23">
        <f t="shared" si="17"/>
        <v>3.0000000000000001E-3</v>
      </c>
      <c r="K61" s="23">
        <f t="shared" si="17"/>
        <v>1E-3</v>
      </c>
      <c r="L61" s="23">
        <f t="shared" si="17"/>
        <v>1.2E-2</v>
      </c>
      <c r="M61" s="23">
        <f t="shared" si="17"/>
        <v>4.0000000000000001E-3</v>
      </c>
      <c r="N61" s="23">
        <f t="shared" si="17"/>
        <v>1.2999999999999999E-2</v>
      </c>
      <c r="O61" s="23">
        <f t="shared" si="17"/>
        <v>4.0000000000000001E-3</v>
      </c>
      <c r="P61" s="23">
        <f t="shared" si="17"/>
        <v>1.4E-2</v>
      </c>
      <c r="Q61" s="23">
        <f t="shared" si="17"/>
        <v>5.0000000000000001E-3</v>
      </c>
      <c r="R61" s="23">
        <f t="shared" si="17"/>
        <v>1.4E-2</v>
      </c>
      <c r="S61" s="23">
        <f t="shared" si="17"/>
        <v>5.0000000000000001E-3</v>
      </c>
      <c r="T61" s="23">
        <f t="shared" si="17"/>
        <v>1.4999999999999999E-2</v>
      </c>
      <c r="U61" s="23">
        <f t="shared" si="17"/>
        <v>5.0000000000000001E-3</v>
      </c>
      <c r="V61" s="24">
        <f t="shared" si="3"/>
        <v>1.6989680313578351E-3</v>
      </c>
      <c r="W61" s="24">
        <f t="shared" si="4"/>
        <v>1.9499999999999999E-3</v>
      </c>
      <c r="X61" s="24">
        <f t="shared" si="5"/>
        <v>2E-3</v>
      </c>
      <c r="Y61" s="24">
        <f t="shared" si="6"/>
        <v>2E-3</v>
      </c>
      <c r="Z61" s="24">
        <f t="shared" si="7"/>
        <v>2E-3</v>
      </c>
      <c r="AA61" s="3">
        <f ca="1">IFERROR(__xludf.DUMMYFUNCTION("AVERAGE.WEIGHTED(B61:C61,$AF61:$AG61)"),0.00140066697557769)</f>
        <v>1.4006669755776901E-3</v>
      </c>
      <c r="AB61" s="3">
        <f ca="1">IFERROR(__xludf.DUMMYFUNCTION("AVERAGE.WEIGHTED(D61:E61,$AH61:$AI61)"),0.00194675906648424)</f>
        <v>1.9467590664842399E-3</v>
      </c>
      <c r="AC61" s="3">
        <f ca="1">IFERROR(__xludf.DUMMYFUNCTION("AVERAGE.WEIGHTED(F61:G61,$AJ61:$AK61)"),0.0019920964031869)</f>
        <v>1.9920964031869002E-3</v>
      </c>
      <c r="AD61" s="3" t="str">
        <f ca="1">IFERROR(__xludf.DUMMYFUNCTION("AVERAGE.WEIGHTED(H61:I61,$AA$25:$AB$25)"),"#VALUE!")</f>
        <v>#VALUE!</v>
      </c>
      <c r="AE61" s="3" t="str">
        <f ca="1">IFERROR(__xludf.DUMMYFUNCTION("AVERAGE.WEIGHTED(J61:K61,$AA$25:$AB$25)"),"#VALUE!")</f>
        <v>#VALUE!</v>
      </c>
      <c r="AF61" s="209">
        <v>0.50055581298140905</v>
      </c>
      <c r="AG61" s="3">
        <f t="shared" si="8"/>
        <v>0.49944418701859095</v>
      </c>
      <c r="AH61" s="209">
        <v>0.498456698325832</v>
      </c>
      <c r="AI61" s="3">
        <f t="shared" si="9"/>
        <v>0.50154330167416794</v>
      </c>
      <c r="AJ61" s="209">
        <v>0.49604820159345397</v>
      </c>
      <c r="AK61" s="3">
        <f t="shared" si="10"/>
        <v>0.50395179840654603</v>
      </c>
      <c r="AT61" s="201" t="s">
        <v>218</v>
      </c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</row>
    <row r="62" spans="1:56" ht="15" x14ac:dyDescent="0.25">
      <c r="A62" s="1">
        <v>34</v>
      </c>
      <c r="B62" s="23">
        <f t="shared" si="17"/>
        <v>1.66647272582987E-3</v>
      </c>
      <c r="C62" s="23">
        <f t="shared" si="17"/>
        <v>1.7314633368858E-3</v>
      </c>
      <c r="D62" s="23">
        <f t="shared" si="17"/>
        <v>3.0000000000000001E-3</v>
      </c>
      <c r="E62" s="23">
        <f t="shared" si="17"/>
        <v>8.9999999999999998E-4</v>
      </c>
      <c r="F62" s="23">
        <f t="shared" si="17"/>
        <v>3.0000000000000001E-3</v>
      </c>
      <c r="G62" s="23">
        <f t="shared" si="17"/>
        <v>1E-3</v>
      </c>
      <c r="H62" s="23">
        <f t="shared" si="17"/>
        <v>3.0000000000000001E-3</v>
      </c>
      <c r="I62" s="23">
        <f t="shared" si="17"/>
        <v>1E-3</v>
      </c>
      <c r="J62" s="23">
        <f t="shared" si="17"/>
        <v>3.0000000000000001E-3</v>
      </c>
      <c r="K62" s="23">
        <f t="shared" si="17"/>
        <v>1E-3</v>
      </c>
      <c r="L62" s="23">
        <f t="shared" si="17"/>
        <v>1.2E-2</v>
      </c>
      <c r="M62" s="23">
        <f t="shared" si="17"/>
        <v>4.0000000000000001E-3</v>
      </c>
      <c r="N62" s="23">
        <f t="shared" si="17"/>
        <v>1.2999999999999999E-2</v>
      </c>
      <c r="O62" s="23">
        <f t="shared" si="17"/>
        <v>4.0000000000000001E-3</v>
      </c>
      <c r="P62" s="23">
        <f t="shared" si="17"/>
        <v>1.4E-2</v>
      </c>
      <c r="Q62" s="23">
        <f t="shared" si="17"/>
        <v>5.0000000000000001E-3</v>
      </c>
      <c r="R62" s="23">
        <f t="shared" si="17"/>
        <v>1.4E-2</v>
      </c>
      <c r="S62" s="23">
        <f t="shared" si="17"/>
        <v>5.0000000000000001E-3</v>
      </c>
      <c r="T62" s="23">
        <f t="shared" si="17"/>
        <v>1.4999999999999999E-2</v>
      </c>
      <c r="U62" s="23">
        <f t="shared" si="17"/>
        <v>5.0000000000000001E-3</v>
      </c>
      <c r="V62" s="24">
        <f t="shared" si="3"/>
        <v>1.6989680313578351E-3</v>
      </c>
      <c r="W62" s="24">
        <f t="shared" si="4"/>
        <v>1.9499999999999999E-3</v>
      </c>
      <c r="X62" s="24">
        <f t="shared" si="5"/>
        <v>2E-3</v>
      </c>
      <c r="Y62" s="24">
        <f t="shared" si="6"/>
        <v>2E-3</v>
      </c>
      <c r="Z62" s="24">
        <f t="shared" si="7"/>
        <v>2E-3</v>
      </c>
      <c r="AA62" s="3">
        <f ca="1">IFERROR(__xludf.DUMMYFUNCTION("AVERAGE.WEIGHTED(B62:C62,$AF62:$AG62)"),0.00139977397867995)</f>
        <v>1.39977397867995E-3</v>
      </c>
      <c r="AB62" s="3">
        <f ca="1">IFERROR(__xludf.DUMMYFUNCTION("AVERAGE.WEIGHTED(D62:E62,$AH62:$AI62)"),0.00194456724326646)</f>
        <v>1.9445672432664601E-3</v>
      </c>
      <c r="AC62" s="3">
        <f ca="1">IFERROR(__xludf.DUMMYFUNCTION("AVERAGE.WEIGHTED(F62:G62,$AJ62:$AK62)"),0.00199058886410994)</f>
        <v>1.99058886410994E-3</v>
      </c>
      <c r="AD62" s="3" t="str">
        <f ca="1">IFERROR(__xludf.DUMMYFUNCTION("AVERAGE.WEIGHTED(H62:I62,$AA$25:$AB$25)"),"#VALUE!")</f>
        <v>#VALUE!</v>
      </c>
      <c r="AE62" s="3" t="str">
        <f ca="1">IFERROR(__xludf.DUMMYFUNCTION("AVERAGE.WEIGHTED(J62:K62,$AA$25:$AB$25)"),"#VALUE!")</f>
        <v>#VALUE!</v>
      </c>
      <c r="AF62" s="209">
        <v>0.49981164889996399</v>
      </c>
      <c r="AG62" s="3">
        <f t="shared" si="8"/>
        <v>0.50018835110003601</v>
      </c>
      <c r="AH62" s="209">
        <v>0.49741297298403198</v>
      </c>
      <c r="AI62" s="3">
        <f t="shared" si="9"/>
        <v>0.50258702701596802</v>
      </c>
      <c r="AJ62" s="209">
        <v>0.49529443205496998</v>
      </c>
      <c r="AK62" s="3">
        <f t="shared" si="10"/>
        <v>0.50470556794503008</v>
      </c>
      <c r="AT62" s="201" t="s">
        <v>218</v>
      </c>
      <c r="AU62" s="201"/>
      <c r="AV62" s="201"/>
      <c r="AW62" s="201"/>
      <c r="AX62" s="202"/>
      <c r="AY62" s="201"/>
      <c r="AZ62" s="201"/>
      <c r="BA62" s="201"/>
      <c r="BB62" s="201"/>
      <c r="BC62" s="201"/>
      <c r="BD62" s="201"/>
    </row>
    <row r="63" spans="1:56" ht="15" x14ac:dyDescent="0.25">
      <c r="A63" s="1">
        <v>35</v>
      </c>
      <c r="B63" s="23">
        <f t="shared" ref="B63:U67" si="18">B$13</f>
        <v>1.72574433303653E-3</v>
      </c>
      <c r="C63" s="23">
        <f t="shared" si="18"/>
        <v>1.7879893646741498E-3</v>
      </c>
      <c r="D63" s="23">
        <f t="shared" si="18"/>
        <v>3.0000000000000001E-3</v>
      </c>
      <c r="E63" s="23">
        <f t="shared" si="18"/>
        <v>1E-3</v>
      </c>
      <c r="F63" s="23">
        <f t="shared" si="18"/>
        <v>3.0000000000000001E-3</v>
      </c>
      <c r="G63" s="23">
        <f t="shared" si="18"/>
        <v>1E-3</v>
      </c>
      <c r="H63" s="23">
        <f t="shared" si="18"/>
        <v>3.0000000000000001E-3</v>
      </c>
      <c r="I63" s="23">
        <f t="shared" si="18"/>
        <v>1E-3</v>
      </c>
      <c r="J63" s="23">
        <f t="shared" si="18"/>
        <v>4.0000000000000001E-3</v>
      </c>
      <c r="K63" s="23">
        <f t="shared" si="18"/>
        <v>2E-3</v>
      </c>
      <c r="L63" s="23">
        <f t="shared" si="18"/>
        <v>1.4E-2</v>
      </c>
      <c r="M63" s="23">
        <f t="shared" si="18"/>
        <v>6.0000000000000001E-3</v>
      </c>
      <c r="N63" s="23">
        <f t="shared" si="18"/>
        <v>1.4999999999999999E-2</v>
      </c>
      <c r="O63" s="23">
        <f t="shared" si="18"/>
        <v>6.0000000000000001E-3</v>
      </c>
      <c r="P63" s="23">
        <f t="shared" si="18"/>
        <v>1.6E-2</v>
      </c>
      <c r="Q63" s="23">
        <f t="shared" si="18"/>
        <v>7.0000000000000001E-3</v>
      </c>
      <c r="R63" s="23">
        <f t="shared" si="18"/>
        <v>1.7000000000000001E-2</v>
      </c>
      <c r="S63" s="23">
        <f t="shared" si="18"/>
        <v>7.0000000000000001E-3</v>
      </c>
      <c r="T63" s="23">
        <f t="shared" si="18"/>
        <v>1.9E-2</v>
      </c>
      <c r="U63" s="23">
        <f t="shared" si="18"/>
        <v>8.0000000000000002E-3</v>
      </c>
      <c r="V63" s="24">
        <f t="shared" si="3"/>
        <v>1.7568668488553399E-3</v>
      </c>
      <c r="W63" s="24">
        <f t="shared" si="4"/>
        <v>2E-3</v>
      </c>
      <c r="X63" s="24">
        <f t="shared" si="5"/>
        <v>2E-3</v>
      </c>
      <c r="Y63" s="24">
        <f t="shared" si="6"/>
        <v>2E-3</v>
      </c>
      <c r="Z63" s="24">
        <f t="shared" si="7"/>
        <v>3.0000000000000001E-3</v>
      </c>
      <c r="AA63" s="3">
        <f ca="1">IFERROR(__xludf.DUMMYFUNCTION("AVERAGE.WEIGHTED(B63:C63,$AF63:$AG63)"),0.00199798407910305)</f>
        <v>1.99798407910305E-3</v>
      </c>
      <c r="AB63" s="3">
        <f ca="1">IFERROR(__xludf.DUMMYFUNCTION("AVERAGE.WEIGHTED(D63:E63,$AH63:$AI63)"),0.00199264654956235)</f>
        <v>1.9926465495623499E-3</v>
      </c>
      <c r="AC63" s="3">
        <f ca="1">IFERROR(__xludf.DUMMYFUNCTION("AVERAGE.WEIGHTED(F63:G63,$AJ63:$AK63)"),0.0019889935152503)</f>
        <v>1.9889935152503E-3</v>
      </c>
      <c r="AD63" s="3" t="str">
        <f ca="1">IFERROR(__xludf.DUMMYFUNCTION("AVERAGE.WEIGHTED(H63:I63,$AA$25:$AB$25)"),"#VALUE!")</f>
        <v>#VALUE!</v>
      </c>
      <c r="AE63" s="3" t="str">
        <f ca="1">IFERROR(__xludf.DUMMYFUNCTION("AVERAGE.WEIGHTED(J63:K63,$AA$25:$AB$25)"),"#VALUE!")</f>
        <v>#VALUE!</v>
      </c>
      <c r="AF63" s="209">
        <v>0.49899203955152799</v>
      </c>
      <c r="AG63" s="3">
        <f t="shared" si="8"/>
        <v>0.50100796044847207</v>
      </c>
      <c r="AH63" s="209">
        <v>0.49632327478117599</v>
      </c>
      <c r="AI63" s="3">
        <f t="shared" si="9"/>
        <v>0.50367672521882401</v>
      </c>
      <c r="AJ63" s="209">
        <v>0.494496757625151</v>
      </c>
      <c r="AK63" s="3">
        <f t="shared" si="10"/>
        <v>0.505503242374849</v>
      </c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</row>
    <row r="64" spans="1:56" ht="15" x14ac:dyDescent="0.25">
      <c r="A64" s="1">
        <v>36</v>
      </c>
      <c r="B64" s="23">
        <f t="shared" si="18"/>
        <v>1.72574433303653E-3</v>
      </c>
      <c r="C64" s="23">
        <f t="shared" si="18"/>
        <v>1.7879893646741498E-3</v>
      </c>
      <c r="D64" s="23">
        <f t="shared" si="18"/>
        <v>3.0000000000000001E-3</v>
      </c>
      <c r="E64" s="23">
        <f t="shared" si="18"/>
        <v>1E-3</v>
      </c>
      <c r="F64" s="23">
        <f t="shared" si="18"/>
        <v>3.0000000000000001E-3</v>
      </c>
      <c r="G64" s="23">
        <f t="shared" si="18"/>
        <v>1E-3</v>
      </c>
      <c r="H64" s="23">
        <f t="shared" si="18"/>
        <v>3.0000000000000001E-3</v>
      </c>
      <c r="I64" s="23">
        <f t="shared" si="18"/>
        <v>1E-3</v>
      </c>
      <c r="J64" s="23">
        <f t="shared" si="18"/>
        <v>4.0000000000000001E-3</v>
      </c>
      <c r="K64" s="23">
        <f t="shared" si="18"/>
        <v>2E-3</v>
      </c>
      <c r="L64" s="23">
        <f t="shared" si="18"/>
        <v>1.4E-2</v>
      </c>
      <c r="M64" s="23">
        <f t="shared" si="18"/>
        <v>6.0000000000000001E-3</v>
      </c>
      <c r="N64" s="23">
        <f t="shared" si="18"/>
        <v>1.4999999999999999E-2</v>
      </c>
      <c r="O64" s="23">
        <f t="shared" si="18"/>
        <v>6.0000000000000001E-3</v>
      </c>
      <c r="P64" s="23">
        <f t="shared" si="18"/>
        <v>1.6E-2</v>
      </c>
      <c r="Q64" s="23">
        <f t="shared" si="18"/>
        <v>7.0000000000000001E-3</v>
      </c>
      <c r="R64" s="23">
        <f t="shared" si="18"/>
        <v>1.7000000000000001E-2</v>
      </c>
      <c r="S64" s="23">
        <f t="shared" si="18"/>
        <v>7.0000000000000001E-3</v>
      </c>
      <c r="T64" s="23">
        <f t="shared" si="18"/>
        <v>1.9E-2</v>
      </c>
      <c r="U64" s="23">
        <f t="shared" si="18"/>
        <v>8.0000000000000002E-3</v>
      </c>
      <c r="V64" s="24">
        <f t="shared" si="3"/>
        <v>1.7568668488553399E-3</v>
      </c>
      <c r="W64" s="24">
        <f t="shared" si="4"/>
        <v>2E-3</v>
      </c>
      <c r="X64" s="24">
        <f t="shared" si="5"/>
        <v>2E-3</v>
      </c>
      <c r="Y64" s="24">
        <f t="shared" si="6"/>
        <v>2E-3</v>
      </c>
      <c r="Z64" s="24">
        <f t="shared" si="7"/>
        <v>3.0000000000000001E-3</v>
      </c>
      <c r="AA64" s="3">
        <f ca="1">IFERROR(__xludf.DUMMYFUNCTION("AVERAGE.WEIGHTED(B64:C64,$AF64:$AG64)"),0.00199601927604616)</f>
        <v>1.9960192760461598E-3</v>
      </c>
      <c r="AB64" s="3">
        <f ca="1">IFERROR(__xludf.DUMMYFUNCTION("AVERAGE.WEIGHTED(D64:E64,$AH64:$AI64)"),0.0019907807768349)</f>
        <v>1.9907807768348999E-3</v>
      </c>
      <c r="AC64" s="3">
        <f ca="1">IFERROR(__xludf.DUMMYFUNCTION("AVERAGE.WEIGHTED(F64:G64,$AJ64:$AK64)"),0.00198746303998492)</f>
        <v>1.98746303998492E-3</v>
      </c>
      <c r="AD64" s="3" t="str">
        <f ca="1">IFERROR(__xludf.DUMMYFUNCTION("AVERAGE.WEIGHTED(H64:I64,$AA$25:$AB$25)"),"#VALUE!")</f>
        <v>#VALUE!</v>
      </c>
      <c r="AE64" s="3" t="str">
        <f ca="1">IFERROR(__xludf.DUMMYFUNCTION("AVERAGE.WEIGHTED(J64:K64,$AA$25:$AB$25)"),"#VALUE!")</f>
        <v>#VALUE!</v>
      </c>
      <c r="AF64" s="209">
        <v>0.49800963802308001</v>
      </c>
      <c r="AG64" s="3">
        <f t="shared" si="8"/>
        <v>0.50199036197691993</v>
      </c>
      <c r="AH64" s="209">
        <v>0.49539038841745298</v>
      </c>
      <c r="AI64" s="3">
        <f t="shared" si="9"/>
        <v>0.50460961158254702</v>
      </c>
      <c r="AJ64" s="209">
        <v>0.49373151999246201</v>
      </c>
      <c r="AK64" s="3">
        <f t="shared" si="10"/>
        <v>0.50626848000753799</v>
      </c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</row>
    <row r="65" spans="1:56" ht="15" x14ac:dyDescent="0.25">
      <c r="A65" s="1">
        <v>37</v>
      </c>
      <c r="B65" s="23">
        <f t="shared" si="18"/>
        <v>1.72574433303653E-3</v>
      </c>
      <c r="C65" s="23">
        <f t="shared" si="18"/>
        <v>1.7879893646741498E-3</v>
      </c>
      <c r="D65" s="23">
        <f t="shared" si="18"/>
        <v>3.0000000000000001E-3</v>
      </c>
      <c r="E65" s="23">
        <f t="shared" si="18"/>
        <v>1E-3</v>
      </c>
      <c r="F65" s="23">
        <f t="shared" si="18"/>
        <v>3.0000000000000001E-3</v>
      </c>
      <c r="G65" s="23">
        <f t="shared" si="18"/>
        <v>1E-3</v>
      </c>
      <c r="H65" s="23">
        <f t="shared" si="18"/>
        <v>3.0000000000000001E-3</v>
      </c>
      <c r="I65" s="23">
        <f t="shared" si="18"/>
        <v>1E-3</v>
      </c>
      <c r="J65" s="23">
        <f t="shared" si="18"/>
        <v>4.0000000000000001E-3</v>
      </c>
      <c r="K65" s="23">
        <f t="shared" si="18"/>
        <v>2E-3</v>
      </c>
      <c r="L65" s="23">
        <f t="shared" si="18"/>
        <v>1.4E-2</v>
      </c>
      <c r="M65" s="23">
        <f t="shared" si="18"/>
        <v>6.0000000000000001E-3</v>
      </c>
      <c r="N65" s="23">
        <f t="shared" si="18"/>
        <v>1.4999999999999999E-2</v>
      </c>
      <c r="O65" s="23">
        <f t="shared" si="18"/>
        <v>6.0000000000000001E-3</v>
      </c>
      <c r="P65" s="23">
        <f t="shared" si="18"/>
        <v>1.6E-2</v>
      </c>
      <c r="Q65" s="23">
        <f t="shared" si="18"/>
        <v>7.0000000000000001E-3</v>
      </c>
      <c r="R65" s="23">
        <f t="shared" si="18"/>
        <v>1.7000000000000001E-2</v>
      </c>
      <c r="S65" s="23">
        <f t="shared" si="18"/>
        <v>7.0000000000000001E-3</v>
      </c>
      <c r="T65" s="23">
        <f t="shared" si="18"/>
        <v>1.9E-2</v>
      </c>
      <c r="U65" s="23">
        <f t="shared" si="18"/>
        <v>8.0000000000000002E-3</v>
      </c>
      <c r="V65" s="24">
        <f t="shared" si="3"/>
        <v>1.7568668488553399E-3</v>
      </c>
      <c r="W65" s="24">
        <f t="shared" si="4"/>
        <v>2E-3</v>
      </c>
      <c r="X65" s="24">
        <f t="shared" si="5"/>
        <v>2E-3</v>
      </c>
      <c r="Y65" s="24">
        <f t="shared" si="6"/>
        <v>2E-3</v>
      </c>
      <c r="Z65" s="24">
        <f t="shared" si="7"/>
        <v>3.0000000000000001E-3</v>
      </c>
      <c r="AA65" s="3">
        <f ca="1">IFERROR(__xludf.DUMMYFUNCTION("AVERAGE.WEIGHTED(B65:C65,$AF65:$AG65)"),0.00199389667792801)</f>
        <v>1.9938966779280099E-3</v>
      </c>
      <c r="AB65" s="3">
        <f ca="1">IFERROR(__xludf.DUMMYFUNCTION("AVERAGE.WEIGHTED(D65:E65,$AH65:$AI65)"),0.0019892272698652)</f>
        <v>1.9892272698652002E-3</v>
      </c>
      <c r="AC65" s="3">
        <f ca="1">IFERROR(__xludf.DUMMYFUNCTION("AVERAGE.WEIGHTED(F65:G65,$AJ65:$AK65)"),0.0019860857859124)</f>
        <v>1.9860857859124001E-3</v>
      </c>
      <c r="AD65" s="3" t="str">
        <f ca="1">IFERROR(__xludf.DUMMYFUNCTION("AVERAGE.WEIGHTED(H65:I65,$AA$25:$AB$25)"),"#VALUE!")</f>
        <v>#VALUE!</v>
      </c>
      <c r="AE65" s="3" t="str">
        <f ca="1">IFERROR(__xludf.DUMMYFUNCTION("AVERAGE.WEIGHTED(J65:K65,$AA$25:$AB$25)"),"#VALUE!")</f>
        <v>#VALUE!</v>
      </c>
      <c r="AF65" s="209">
        <v>0.49694833896400498</v>
      </c>
      <c r="AG65" s="3">
        <f t="shared" si="8"/>
        <v>0.50305166103599497</v>
      </c>
      <c r="AH65" s="209">
        <v>0.49461363493260302</v>
      </c>
      <c r="AI65" s="3">
        <f t="shared" si="9"/>
        <v>0.50538636506739698</v>
      </c>
      <c r="AJ65" s="209">
        <v>0.49304289295620302</v>
      </c>
      <c r="AK65" s="3">
        <f t="shared" si="10"/>
        <v>0.50695710704379704</v>
      </c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</row>
    <row r="66" spans="1:56" ht="15" x14ac:dyDescent="0.25">
      <c r="A66" s="1">
        <v>38</v>
      </c>
      <c r="B66" s="23">
        <f t="shared" si="18"/>
        <v>1.72574433303653E-3</v>
      </c>
      <c r="C66" s="23">
        <f t="shared" si="18"/>
        <v>1.7879893646741498E-3</v>
      </c>
      <c r="D66" s="23">
        <f t="shared" si="18"/>
        <v>3.0000000000000001E-3</v>
      </c>
      <c r="E66" s="23">
        <f t="shared" si="18"/>
        <v>1E-3</v>
      </c>
      <c r="F66" s="23">
        <f t="shared" si="18"/>
        <v>3.0000000000000001E-3</v>
      </c>
      <c r="G66" s="23">
        <f t="shared" si="18"/>
        <v>1E-3</v>
      </c>
      <c r="H66" s="23">
        <f t="shared" si="18"/>
        <v>3.0000000000000001E-3</v>
      </c>
      <c r="I66" s="23">
        <f t="shared" si="18"/>
        <v>1E-3</v>
      </c>
      <c r="J66" s="23">
        <f t="shared" si="18"/>
        <v>4.0000000000000001E-3</v>
      </c>
      <c r="K66" s="23">
        <f t="shared" si="18"/>
        <v>2E-3</v>
      </c>
      <c r="L66" s="23">
        <f t="shared" si="18"/>
        <v>1.4E-2</v>
      </c>
      <c r="M66" s="23">
        <f t="shared" si="18"/>
        <v>6.0000000000000001E-3</v>
      </c>
      <c r="N66" s="23">
        <f t="shared" si="18"/>
        <v>1.4999999999999999E-2</v>
      </c>
      <c r="O66" s="23">
        <f t="shared" si="18"/>
        <v>6.0000000000000001E-3</v>
      </c>
      <c r="P66" s="23">
        <f t="shared" si="18"/>
        <v>1.6E-2</v>
      </c>
      <c r="Q66" s="23">
        <f t="shared" si="18"/>
        <v>7.0000000000000001E-3</v>
      </c>
      <c r="R66" s="23">
        <f t="shared" si="18"/>
        <v>1.7000000000000001E-2</v>
      </c>
      <c r="S66" s="23">
        <f t="shared" si="18"/>
        <v>7.0000000000000001E-3</v>
      </c>
      <c r="T66" s="23">
        <f t="shared" si="18"/>
        <v>1.9E-2</v>
      </c>
      <c r="U66" s="23">
        <f t="shared" si="18"/>
        <v>8.0000000000000002E-3</v>
      </c>
      <c r="V66" s="24">
        <f t="shared" si="3"/>
        <v>1.7568668488553399E-3</v>
      </c>
      <c r="W66" s="24">
        <f t="shared" si="4"/>
        <v>2E-3</v>
      </c>
      <c r="X66" s="24">
        <f t="shared" si="5"/>
        <v>2E-3</v>
      </c>
      <c r="Y66" s="24">
        <f t="shared" si="6"/>
        <v>2E-3</v>
      </c>
      <c r="Z66" s="24">
        <f t="shared" si="7"/>
        <v>3.0000000000000001E-3</v>
      </c>
      <c r="AA66" s="3">
        <f ca="1">IFERROR(__xludf.DUMMYFUNCTION("AVERAGE.WEIGHTED(B66:C66,$AF66:$AG66)"),0.00199166675980069)</f>
        <v>1.9916667598006898E-3</v>
      </c>
      <c r="AB66" s="3">
        <f ca="1">IFERROR(__xludf.DUMMYFUNCTION("AVERAGE.WEIGHTED(D66:E66,$AH66:$AI66)"),0.0019876723969139)</f>
        <v>1.9876723969139E-3</v>
      </c>
      <c r="AC66" s="3">
        <f ca="1">IFERROR(__xludf.DUMMYFUNCTION("AVERAGE.WEIGHTED(F66:G66,$AJ66:$AK66)"),0.00198467355248248)</f>
        <v>1.9846735524824801E-3</v>
      </c>
      <c r="AD66" s="3" t="str">
        <f ca="1">IFERROR(__xludf.DUMMYFUNCTION("AVERAGE.WEIGHTED(H66:I66,$AA$25:$AB$25)"),"#VALUE!")</f>
        <v>#VALUE!</v>
      </c>
      <c r="AE66" s="3" t="str">
        <f ca="1">IFERROR(__xludf.DUMMYFUNCTION("AVERAGE.WEIGHTED(J66:K66,$AA$25:$AB$25)"),"#VALUE!")</f>
        <v>#VALUE!</v>
      </c>
      <c r="AF66" s="209">
        <v>0.49583337990034498</v>
      </c>
      <c r="AG66" s="3">
        <f t="shared" si="8"/>
        <v>0.50416662009965507</v>
      </c>
      <c r="AH66" s="209">
        <v>0.49383619845695198</v>
      </c>
      <c r="AI66" s="3">
        <f t="shared" si="9"/>
        <v>0.50616380154304808</v>
      </c>
      <c r="AJ66" s="209">
        <v>0.492336776241241</v>
      </c>
      <c r="AK66" s="3">
        <f t="shared" si="10"/>
        <v>0.50766322375875905</v>
      </c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</row>
    <row r="67" spans="1:56" ht="15" x14ac:dyDescent="0.25">
      <c r="A67" s="1">
        <v>39</v>
      </c>
      <c r="B67" s="23">
        <f t="shared" si="18"/>
        <v>1.72574433303653E-3</v>
      </c>
      <c r="C67" s="23">
        <f t="shared" si="18"/>
        <v>1.7879893646741498E-3</v>
      </c>
      <c r="D67" s="23">
        <f t="shared" si="18"/>
        <v>3.0000000000000001E-3</v>
      </c>
      <c r="E67" s="23">
        <f t="shared" si="18"/>
        <v>1E-3</v>
      </c>
      <c r="F67" s="23">
        <f t="shared" si="18"/>
        <v>3.0000000000000001E-3</v>
      </c>
      <c r="G67" s="23">
        <f t="shared" si="18"/>
        <v>1E-3</v>
      </c>
      <c r="H67" s="23">
        <f t="shared" si="18"/>
        <v>3.0000000000000001E-3</v>
      </c>
      <c r="I67" s="23">
        <f t="shared" si="18"/>
        <v>1E-3</v>
      </c>
      <c r="J67" s="23">
        <f t="shared" si="18"/>
        <v>4.0000000000000001E-3</v>
      </c>
      <c r="K67" s="23">
        <f t="shared" si="18"/>
        <v>2E-3</v>
      </c>
      <c r="L67" s="23">
        <f t="shared" si="18"/>
        <v>1.4E-2</v>
      </c>
      <c r="M67" s="23">
        <f t="shared" si="18"/>
        <v>6.0000000000000001E-3</v>
      </c>
      <c r="N67" s="23">
        <f t="shared" si="18"/>
        <v>1.4999999999999999E-2</v>
      </c>
      <c r="O67" s="23">
        <f t="shared" si="18"/>
        <v>6.0000000000000001E-3</v>
      </c>
      <c r="P67" s="23">
        <f t="shared" si="18"/>
        <v>1.6E-2</v>
      </c>
      <c r="Q67" s="23">
        <f t="shared" si="18"/>
        <v>7.0000000000000001E-3</v>
      </c>
      <c r="R67" s="23">
        <f t="shared" si="18"/>
        <v>1.7000000000000001E-2</v>
      </c>
      <c r="S67" s="23">
        <f t="shared" si="18"/>
        <v>7.0000000000000001E-3</v>
      </c>
      <c r="T67" s="23">
        <f t="shared" si="18"/>
        <v>1.9E-2</v>
      </c>
      <c r="U67" s="23">
        <f t="shared" si="18"/>
        <v>8.0000000000000002E-3</v>
      </c>
      <c r="V67" s="24">
        <f t="shared" si="3"/>
        <v>1.7568668488553399E-3</v>
      </c>
      <c r="W67" s="24">
        <f t="shared" si="4"/>
        <v>2E-3</v>
      </c>
      <c r="X67" s="24">
        <f t="shared" si="5"/>
        <v>2E-3</v>
      </c>
      <c r="Y67" s="24">
        <f t="shared" si="6"/>
        <v>2E-3</v>
      </c>
      <c r="Z67" s="24">
        <f t="shared" si="7"/>
        <v>3.0000000000000001E-3</v>
      </c>
      <c r="AA67" s="3">
        <f ca="1">IFERROR(__xludf.DUMMYFUNCTION("AVERAGE.WEIGHTED(B67:C67,$AF67:$AG67)"),0.0019893270396091)</f>
        <v>1.9893270396090998E-3</v>
      </c>
      <c r="AB67" s="3">
        <f ca="1">IFERROR(__xludf.DUMMYFUNCTION("AVERAGE.WEIGHTED(D67:E67,$AH67:$AI67)"),0.00198601272554769)</f>
        <v>1.9860127255476902E-3</v>
      </c>
      <c r="AC67" s="3">
        <f ca="1">IFERROR(__xludf.DUMMYFUNCTION("AVERAGE.WEIGHTED(F67:G67,$AJ67:$AK67)"),0.00198326465381838)</f>
        <v>1.9832646538183799E-3</v>
      </c>
      <c r="AD67" s="3" t="str">
        <f ca="1">IFERROR(__xludf.DUMMYFUNCTION("AVERAGE.WEIGHTED(H67:I67,$AA$25:$AB$25)"),"#VALUE!")</f>
        <v>#VALUE!</v>
      </c>
      <c r="AE67" s="3" t="str">
        <f ca="1">IFERROR(__xludf.DUMMYFUNCTION("AVERAGE.WEIGHTED(J67:K67,$AA$25:$AB$25)"),"#VALUE!")</f>
        <v>#VALUE!</v>
      </c>
      <c r="AF67" s="209">
        <v>0.49466351980455098</v>
      </c>
      <c r="AG67" s="3">
        <f t="shared" si="8"/>
        <v>0.50533648019544897</v>
      </c>
      <c r="AH67" s="209">
        <v>0.49300636277384502</v>
      </c>
      <c r="AI67" s="3">
        <f t="shared" si="9"/>
        <v>0.50699363722615498</v>
      </c>
      <c r="AJ67" s="209">
        <v>0.49163232690919101</v>
      </c>
      <c r="AK67" s="3">
        <f t="shared" si="10"/>
        <v>0.50836767309080899</v>
      </c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</row>
    <row r="68" spans="1:56" ht="15" x14ac:dyDescent="0.25">
      <c r="A68" s="1">
        <v>40</v>
      </c>
      <c r="B68" s="23">
        <f t="shared" ref="B68:U72" si="19">B$14</f>
        <v>1.8498027406281599E-3</v>
      </c>
      <c r="C68" s="23">
        <f t="shared" si="19"/>
        <v>1.90287772927966E-3</v>
      </c>
      <c r="D68" s="23">
        <f t="shared" si="19"/>
        <v>4.0000000000000001E-3</v>
      </c>
      <c r="E68" s="23">
        <f t="shared" si="19"/>
        <v>2E-3</v>
      </c>
      <c r="F68" s="23">
        <f t="shared" si="19"/>
        <v>4.0000000000000001E-3</v>
      </c>
      <c r="G68" s="23">
        <f t="shared" si="19"/>
        <v>2E-3</v>
      </c>
      <c r="H68" s="23">
        <f t="shared" si="19"/>
        <v>4.0000000000000001E-3</v>
      </c>
      <c r="I68" s="23">
        <f t="shared" si="19"/>
        <v>2E-3</v>
      </c>
      <c r="J68" s="23">
        <f t="shared" si="19"/>
        <v>5.0000000000000001E-3</v>
      </c>
      <c r="K68" s="23">
        <f t="shared" si="19"/>
        <v>2E-3</v>
      </c>
      <c r="L68" s="23">
        <f t="shared" si="19"/>
        <v>1.7000000000000001E-2</v>
      </c>
      <c r="M68" s="23">
        <f t="shared" si="19"/>
        <v>8.9999999999999993E-3</v>
      </c>
      <c r="N68" s="23">
        <f t="shared" si="19"/>
        <v>1.9E-2</v>
      </c>
      <c r="O68" s="23">
        <f t="shared" si="19"/>
        <v>8.9999999999999993E-3</v>
      </c>
      <c r="P68" s="23">
        <f t="shared" si="19"/>
        <v>2.1000000000000001E-2</v>
      </c>
      <c r="Q68" s="23">
        <f t="shared" si="19"/>
        <v>0.01</v>
      </c>
      <c r="R68" s="23">
        <f t="shared" si="19"/>
        <v>2.1999999999999999E-2</v>
      </c>
      <c r="S68" s="23">
        <f t="shared" si="19"/>
        <v>0.01</v>
      </c>
      <c r="T68" s="23">
        <f t="shared" si="19"/>
        <v>2.5000000000000001E-2</v>
      </c>
      <c r="U68" s="23">
        <f t="shared" si="19"/>
        <v>1.2E-2</v>
      </c>
      <c r="V68" s="24">
        <f t="shared" si="3"/>
        <v>1.8763402349539098E-3</v>
      </c>
      <c r="W68" s="24">
        <f t="shared" si="4"/>
        <v>3.0000000000000001E-3</v>
      </c>
      <c r="X68" s="24">
        <f t="shared" si="5"/>
        <v>3.0000000000000001E-3</v>
      </c>
      <c r="Y68" s="24">
        <f t="shared" si="6"/>
        <v>3.0000000000000001E-3</v>
      </c>
      <c r="Z68" s="24">
        <f t="shared" si="7"/>
        <v>3.5000000000000001E-3</v>
      </c>
      <c r="AA68" s="3">
        <f ca="1">IFERROR(__xludf.DUMMYFUNCTION("AVERAGE.WEIGHTED(B68:C68,$AF68:$AG68)"),0.00249364312399271)</f>
        <v>2.49364312399271E-3</v>
      </c>
      <c r="AB68" s="3">
        <f ca="1">IFERROR(__xludf.DUMMYFUNCTION("AVERAGE.WEIGHTED(D68:E68,$AH68:$AI68)"),0.00298425074681068)</f>
        <v>2.9842507468106801E-3</v>
      </c>
      <c r="AC68" s="3">
        <f ca="1">IFERROR(__xludf.DUMMYFUNCTION("AVERAGE.WEIGHTED(F68:G68,$AJ68:$AK68)"),0.00298187433258594)</f>
        <v>2.9818743325859399E-3</v>
      </c>
      <c r="AD68" s="3" t="str">
        <f ca="1">IFERROR(__xludf.DUMMYFUNCTION("AVERAGE.WEIGHTED(H68:I68,$AA$25:$AB$25)"),"#VALUE!")</f>
        <v>#VALUE!</v>
      </c>
      <c r="AE68" s="3" t="str">
        <f ca="1">IFERROR(__xludf.DUMMYFUNCTION("AVERAGE.WEIGHTED(J68:K68,$AA$25:$AB$25)"),"#VALUE!")</f>
        <v>#VALUE!</v>
      </c>
      <c r="AF68" s="209">
        <v>0.49364312399271598</v>
      </c>
      <c r="AG68" s="3">
        <f t="shared" si="8"/>
        <v>0.50635687600728407</v>
      </c>
      <c r="AH68" s="209">
        <v>0.49212537340534201</v>
      </c>
      <c r="AI68" s="3">
        <f t="shared" si="9"/>
        <v>0.50787462659465799</v>
      </c>
      <c r="AJ68" s="209">
        <v>0.49093716629297002</v>
      </c>
      <c r="AK68" s="3">
        <f t="shared" si="10"/>
        <v>0.50906283370702998</v>
      </c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</row>
    <row r="69" spans="1:56" ht="15" x14ac:dyDescent="0.25">
      <c r="A69" s="1">
        <v>41</v>
      </c>
      <c r="B69" s="23">
        <f t="shared" si="19"/>
        <v>1.8498027406281599E-3</v>
      </c>
      <c r="C69" s="23">
        <f t="shared" si="19"/>
        <v>1.90287772927966E-3</v>
      </c>
      <c r="D69" s="23">
        <f t="shared" si="19"/>
        <v>4.0000000000000001E-3</v>
      </c>
      <c r="E69" s="23">
        <f t="shared" si="19"/>
        <v>2E-3</v>
      </c>
      <c r="F69" s="23">
        <f t="shared" si="19"/>
        <v>4.0000000000000001E-3</v>
      </c>
      <c r="G69" s="23">
        <f t="shared" si="19"/>
        <v>2E-3</v>
      </c>
      <c r="H69" s="23">
        <f t="shared" si="19"/>
        <v>4.0000000000000001E-3</v>
      </c>
      <c r="I69" s="23">
        <f t="shared" si="19"/>
        <v>2E-3</v>
      </c>
      <c r="J69" s="23">
        <f t="shared" si="19"/>
        <v>5.0000000000000001E-3</v>
      </c>
      <c r="K69" s="23">
        <f t="shared" si="19"/>
        <v>2E-3</v>
      </c>
      <c r="L69" s="23">
        <f t="shared" si="19"/>
        <v>1.7000000000000001E-2</v>
      </c>
      <c r="M69" s="23">
        <f t="shared" si="19"/>
        <v>8.9999999999999993E-3</v>
      </c>
      <c r="N69" s="23">
        <f t="shared" si="19"/>
        <v>1.9E-2</v>
      </c>
      <c r="O69" s="23">
        <f t="shared" si="19"/>
        <v>8.9999999999999993E-3</v>
      </c>
      <c r="P69" s="23">
        <f t="shared" si="19"/>
        <v>2.1000000000000001E-2</v>
      </c>
      <c r="Q69" s="23">
        <f t="shared" si="19"/>
        <v>0.01</v>
      </c>
      <c r="R69" s="23">
        <f t="shared" si="19"/>
        <v>2.1999999999999999E-2</v>
      </c>
      <c r="S69" s="23">
        <f t="shared" si="19"/>
        <v>0.01</v>
      </c>
      <c r="T69" s="23">
        <f t="shared" si="19"/>
        <v>2.5000000000000001E-2</v>
      </c>
      <c r="U69" s="23">
        <f t="shared" si="19"/>
        <v>1.2E-2</v>
      </c>
      <c r="V69" s="24">
        <f t="shared" si="3"/>
        <v>1.8763402349539098E-3</v>
      </c>
      <c r="W69" s="24">
        <f t="shared" si="4"/>
        <v>3.0000000000000001E-3</v>
      </c>
      <c r="X69" s="24">
        <f t="shared" si="5"/>
        <v>3.0000000000000001E-3</v>
      </c>
      <c r="Y69" s="24">
        <f t="shared" si="6"/>
        <v>3.0000000000000001E-3</v>
      </c>
      <c r="Z69" s="24">
        <f t="shared" si="7"/>
        <v>3.5000000000000001E-3</v>
      </c>
      <c r="AA69" s="3">
        <f ca="1">IFERROR(__xludf.DUMMYFUNCTION("AVERAGE.WEIGHTED(B69:C69,$AF69:$AG69)"),0.00249277340499344)</f>
        <v>2.49277340499344E-3</v>
      </c>
      <c r="AB69" s="3">
        <f ca="1">IFERROR(__xludf.DUMMYFUNCTION("AVERAGE.WEIGHTED(D69:E69,$AH69:$AI69)"),0.00298254086360926)</f>
        <v>2.9825408636092602E-3</v>
      </c>
      <c r="AC69" s="3">
        <f ca="1">IFERROR(__xludf.DUMMYFUNCTION("AVERAGE.WEIGHTED(F69:G69,$AJ69:$AK69)"),0.00298044264036726)</f>
        <v>2.9804426403672599E-3</v>
      </c>
      <c r="AD69" s="3" t="str">
        <f ca="1">IFERROR(__xludf.DUMMYFUNCTION("AVERAGE.WEIGHTED(H69:I69,$AA$25:$AB$25)"),"#VALUE!")</f>
        <v>#VALUE!</v>
      </c>
      <c r="AE69" s="3" t="str">
        <f ca="1">IFERROR(__xludf.DUMMYFUNCTION("AVERAGE.WEIGHTED(J69:K69,$AA$25:$AB$25)"),"#VALUE!")</f>
        <v>#VALUE!</v>
      </c>
      <c r="AF69" s="209">
        <v>0.49277340499344802</v>
      </c>
      <c r="AG69" s="3">
        <f t="shared" si="8"/>
        <v>0.50722659500655198</v>
      </c>
      <c r="AH69" s="209">
        <v>0.49127043180463098</v>
      </c>
      <c r="AI69" s="3">
        <f t="shared" si="9"/>
        <v>0.50872956819536896</v>
      </c>
      <c r="AJ69" s="209">
        <v>0.49022132018363002</v>
      </c>
      <c r="AK69" s="3">
        <f t="shared" si="10"/>
        <v>0.50977867981636993</v>
      </c>
      <c r="AT69" s="201"/>
      <c r="AU69" s="201"/>
      <c r="AV69" s="201"/>
      <c r="AW69" s="201"/>
      <c r="AX69" s="202"/>
      <c r="AY69" s="201"/>
      <c r="AZ69" s="201"/>
      <c r="BA69" s="201"/>
      <c r="BB69" s="201"/>
      <c r="BC69" s="201"/>
      <c r="BD69" s="201"/>
    </row>
    <row r="70" spans="1:56" ht="15" x14ac:dyDescent="0.25">
      <c r="A70" s="1">
        <v>42</v>
      </c>
      <c r="B70" s="23">
        <f t="shared" si="19"/>
        <v>1.8498027406281599E-3</v>
      </c>
      <c r="C70" s="23">
        <f t="shared" si="19"/>
        <v>1.90287772927966E-3</v>
      </c>
      <c r="D70" s="23">
        <f t="shared" si="19"/>
        <v>4.0000000000000001E-3</v>
      </c>
      <c r="E70" s="23">
        <f t="shared" si="19"/>
        <v>2E-3</v>
      </c>
      <c r="F70" s="23">
        <f t="shared" si="19"/>
        <v>4.0000000000000001E-3</v>
      </c>
      <c r="G70" s="23">
        <f t="shared" si="19"/>
        <v>2E-3</v>
      </c>
      <c r="H70" s="23">
        <f t="shared" si="19"/>
        <v>4.0000000000000001E-3</v>
      </c>
      <c r="I70" s="23">
        <f t="shared" si="19"/>
        <v>2E-3</v>
      </c>
      <c r="J70" s="23">
        <f t="shared" si="19"/>
        <v>5.0000000000000001E-3</v>
      </c>
      <c r="K70" s="23">
        <f t="shared" si="19"/>
        <v>2E-3</v>
      </c>
      <c r="L70" s="23">
        <f t="shared" si="19"/>
        <v>1.7000000000000001E-2</v>
      </c>
      <c r="M70" s="23">
        <f t="shared" si="19"/>
        <v>8.9999999999999993E-3</v>
      </c>
      <c r="N70" s="23">
        <f t="shared" si="19"/>
        <v>1.9E-2</v>
      </c>
      <c r="O70" s="23">
        <f t="shared" si="19"/>
        <v>8.9999999999999993E-3</v>
      </c>
      <c r="P70" s="23">
        <f t="shared" si="19"/>
        <v>2.1000000000000001E-2</v>
      </c>
      <c r="Q70" s="23">
        <f t="shared" si="19"/>
        <v>0.01</v>
      </c>
      <c r="R70" s="23">
        <f t="shared" si="19"/>
        <v>2.1999999999999999E-2</v>
      </c>
      <c r="S70" s="23">
        <f t="shared" si="19"/>
        <v>0.01</v>
      </c>
      <c r="T70" s="23">
        <f t="shared" si="19"/>
        <v>2.5000000000000001E-2</v>
      </c>
      <c r="U70" s="23">
        <f t="shared" si="19"/>
        <v>1.2E-2</v>
      </c>
      <c r="V70" s="24">
        <f t="shared" si="3"/>
        <v>1.8763402349539098E-3</v>
      </c>
      <c r="W70" s="24">
        <f t="shared" si="4"/>
        <v>3.0000000000000001E-3</v>
      </c>
      <c r="X70" s="24">
        <f t="shared" si="5"/>
        <v>3.0000000000000001E-3</v>
      </c>
      <c r="Y70" s="24">
        <f t="shared" si="6"/>
        <v>3.0000000000000001E-3</v>
      </c>
      <c r="Z70" s="24">
        <f t="shared" si="7"/>
        <v>3.5000000000000001E-3</v>
      </c>
      <c r="AA70" s="3">
        <f ca="1">IFERROR(__xludf.DUMMYFUNCTION("AVERAGE.WEIGHTED(B70:C70,$AF70:$AG70)"),0.00249189603309441)</f>
        <v>2.49189603309441E-3</v>
      </c>
      <c r="AB70" s="3">
        <f ca="1">IFERROR(__xludf.DUMMYFUNCTION("AVERAGE.WEIGHTED(D70:E70,$AH70:$AI70)"),0.00298096581626749)</f>
        <v>2.9809658162674901E-3</v>
      </c>
      <c r="AC70" s="3">
        <f ca="1">IFERROR(__xludf.DUMMYFUNCTION("AVERAGE.WEIGHTED(F70:G70,$AJ70:$AK70)"),0.00297899042124535)</f>
        <v>2.9789904212453502E-3</v>
      </c>
      <c r="AD70" s="3" t="str">
        <f ca="1">IFERROR(__xludf.DUMMYFUNCTION("AVERAGE.WEIGHTED(H70:I70,$AA$25:$AB$25)"),"#VALUE!")</f>
        <v>#VALUE!</v>
      </c>
      <c r="AE70" s="3" t="str">
        <f ca="1">IFERROR(__xludf.DUMMYFUNCTION("AVERAGE.WEIGHTED(J70:K70,$AA$25:$AB$25)"),"#VALUE!")</f>
        <v>#VALUE!</v>
      </c>
      <c r="AF70" s="209">
        <v>0.49189603309441499</v>
      </c>
      <c r="AG70" s="3">
        <f t="shared" si="8"/>
        <v>0.50810396690558501</v>
      </c>
      <c r="AH70" s="209">
        <v>0.49048290813374701</v>
      </c>
      <c r="AI70" s="3">
        <f t="shared" si="9"/>
        <v>0.50951709186625305</v>
      </c>
      <c r="AJ70" s="209">
        <v>0.48949521062267598</v>
      </c>
      <c r="AK70" s="3">
        <f t="shared" si="10"/>
        <v>0.51050478937732402</v>
      </c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</row>
    <row r="71" spans="1:56" ht="15" x14ac:dyDescent="0.25">
      <c r="A71" s="1">
        <v>43</v>
      </c>
      <c r="B71" s="23">
        <f t="shared" si="19"/>
        <v>1.8498027406281599E-3</v>
      </c>
      <c r="C71" s="23">
        <f t="shared" si="19"/>
        <v>1.90287772927966E-3</v>
      </c>
      <c r="D71" s="23">
        <f t="shared" si="19"/>
        <v>4.0000000000000001E-3</v>
      </c>
      <c r="E71" s="23">
        <f t="shared" si="19"/>
        <v>2E-3</v>
      </c>
      <c r="F71" s="23">
        <f t="shared" si="19"/>
        <v>4.0000000000000001E-3</v>
      </c>
      <c r="G71" s="23">
        <f t="shared" si="19"/>
        <v>2E-3</v>
      </c>
      <c r="H71" s="23">
        <f t="shared" si="19"/>
        <v>4.0000000000000001E-3</v>
      </c>
      <c r="I71" s="23">
        <f t="shared" si="19"/>
        <v>2E-3</v>
      </c>
      <c r="J71" s="23">
        <f t="shared" si="19"/>
        <v>5.0000000000000001E-3</v>
      </c>
      <c r="K71" s="23">
        <f t="shared" si="19"/>
        <v>2E-3</v>
      </c>
      <c r="L71" s="23">
        <f t="shared" si="19"/>
        <v>1.7000000000000001E-2</v>
      </c>
      <c r="M71" s="23">
        <f t="shared" si="19"/>
        <v>8.9999999999999993E-3</v>
      </c>
      <c r="N71" s="23">
        <f t="shared" si="19"/>
        <v>1.9E-2</v>
      </c>
      <c r="O71" s="23">
        <f t="shared" si="19"/>
        <v>8.9999999999999993E-3</v>
      </c>
      <c r="P71" s="23">
        <f t="shared" si="19"/>
        <v>2.1000000000000001E-2</v>
      </c>
      <c r="Q71" s="23">
        <f t="shared" si="19"/>
        <v>0.01</v>
      </c>
      <c r="R71" s="23">
        <f t="shared" si="19"/>
        <v>2.1999999999999999E-2</v>
      </c>
      <c r="S71" s="23">
        <f t="shared" si="19"/>
        <v>0.01</v>
      </c>
      <c r="T71" s="23">
        <f t="shared" si="19"/>
        <v>2.5000000000000001E-2</v>
      </c>
      <c r="U71" s="23">
        <f t="shared" si="19"/>
        <v>1.2E-2</v>
      </c>
      <c r="V71" s="24">
        <f t="shared" si="3"/>
        <v>1.8763402349539098E-3</v>
      </c>
      <c r="W71" s="24">
        <f t="shared" si="4"/>
        <v>3.0000000000000001E-3</v>
      </c>
      <c r="X71" s="24">
        <f t="shared" si="5"/>
        <v>3.0000000000000001E-3</v>
      </c>
      <c r="Y71" s="24">
        <f t="shared" si="6"/>
        <v>3.0000000000000001E-3</v>
      </c>
      <c r="Z71" s="24">
        <f t="shared" si="7"/>
        <v>3.5000000000000001E-3</v>
      </c>
      <c r="AA71" s="3">
        <f ca="1">IFERROR(__xludf.DUMMYFUNCTION("AVERAGE.WEIGHTED(B71:C71,$AF71:$AG71)"),0.00249095794371498)</f>
        <v>2.4909579437149801E-3</v>
      </c>
      <c r="AB71" s="3">
        <f ca="1">IFERROR(__xludf.DUMMYFUNCTION("AVERAGE.WEIGHTED(D71:E71,$AH71:$AI71)"),0.00297932821737137)</f>
        <v>2.9793282173713699E-3</v>
      </c>
      <c r="AC71" s="3">
        <f ca="1">IFERROR(__xludf.DUMMYFUNCTION("AVERAGE.WEIGHTED(F71:G71,$AJ71:$AK71)"),0.0029774898955948)</f>
        <v>2.9774898955948E-3</v>
      </c>
      <c r="AD71" s="3" t="str">
        <f ca="1">IFERROR(__xludf.DUMMYFUNCTION("AVERAGE.WEIGHTED(H71:I71,$AA$25:$AB$25)"),"#VALUE!")</f>
        <v>#VALUE!</v>
      </c>
      <c r="AE71" s="3" t="str">
        <f ca="1">IFERROR(__xludf.DUMMYFUNCTION("AVERAGE.WEIGHTED(J71:K71,$AA$25:$AB$25)"),"#VALUE!")</f>
        <v>#VALUE!</v>
      </c>
      <c r="AF71" s="209">
        <v>0.49095794371498702</v>
      </c>
      <c r="AG71" s="3">
        <f t="shared" si="8"/>
        <v>0.50904205628501298</v>
      </c>
      <c r="AH71" s="209">
        <v>0.489664108685685</v>
      </c>
      <c r="AI71" s="3">
        <f t="shared" si="9"/>
        <v>0.510335891314315</v>
      </c>
      <c r="AJ71" s="209">
        <v>0.48874494779740402</v>
      </c>
      <c r="AK71" s="3">
        <f t="shared" si="10"/>
        <v>0.51125505220259604</v>
      </c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</row>
    <row r="72" spans="1:56" ht="15" x14ac:dyDescent="0.25">
      <c r="A72" s="1">
        <v>44</v>
      </c>
      <c r="B72" s="23">
        <f t="shared" si="19"/>
        <v>1.8498027406281599E-3</v>
      </c>
      <c r="C72" s="23">
        <f t="shared" si="19"/>
        <v>1.90287772927966E-3</v>
      </c>
      <c r="D72" s="23">
        <f t="shared" si="19"/>
        <v>4.0000000000000001E-3</v>
      </c>
      <c r="E72" s="23">
        <f t="shared" si="19"/>
        <v>2E-3</v>
      </c>
      <c r="F72" s="23">
        <f t="shared" si="19"/>
        <v>4.0000000000000001E-3</v>
      </c>
      <c r="G72" s="23">
        <f t="shared" si="19"/>
        <v>2E-3</v>
      </c>
      <c r="H72" s="23">
        <f t="shared" si="19"/>
        <v>4.0000000000000001E-3</v>
      </c>
      <c r="I72" s="23">
        <f t="shared" si="19"/>
        <v>2E-3</v>
      </c>
      <c r="J72" s="23">
        <f t="shared" si="19"/>
        <v>5.0000000000000001E-3</v>
      </c>
      <c r="K72" s="23">
        <f t="shared" si="19"/>
        <v>2E-3</v>
      </c>
      <c r="L72" s="23">
        <f t="shared" si="19"/>
        <v>1.7000000000000001E-2</v>
      </c>
      <c r="M72" s="23">
        <f t="shared" si="19"/>
        <v>8.9999999999999993E-3</v>
      </c>
      <c r="N72" s="23">
        <f t="shared" si="19"/>
        <v>1.9E-2</v>
      </c>
      <c r="O72" s="23">
        <f t="shared" si="19"/>
        <v>8.9999999999999993E-3</v>
      </c>
      <c r="P72" s="23">
        <f t="shared" si="19"/>
        <v>2.1000000000000001E-2</v>
      </c>
      <c r="Q72" s="23">
        <f t="shared" si="19"/>
        <v>0.01</v>
      </c>
      <c r="R72" s="23">
        <f t="shared" si="19"/>
        <v>2.1999999999999999E-2</v>
      </c>
      <c r="S72" s="23">
        <f t="shared" si="19"/>
        <v>0.01</v>
      </c>
      <c r="T72" s="23">
        <f t="shared" si="19"/>
        <v>2.5000000000000001E-2</v>
      </c>
      <c r="U72" s="23">
        <f t="shared" si="19"/>
        <v>1.2E-2</v>
      </c>
      <c r="V72" s="24">
        <f t="shared" si="3"/>
        <v>1.8763402349539098E-3</v>
      </c>
      <c r="W72" s="24">
        <f t="shared" si="4"/>
        <v>3.0000000000000001E-3</v>
      </c>
      <c r="X72" s="24">
        <f t="shared" si="5"/>
        <v>3.0000000000000001E-3</v>
      </c>
      <c r="Y72" s="24">
        <f t="shared" si="6"/>
        <v>3.0000000000000001E-3</v>
      </c>
      <c r="Z72" s="24">
        <f t="shared" si="7"/>
        <v>3.5000000000000001E-3</v>
      </c>
      <c r="AA72" s="3">
        <f ca="1">IFERROR(__xludf.DUMMYFUNCTION("AVERAGE.WEIGHTED(B72:C72,$AF72:$AG72)"),0.00248996310518786)</f>
        <v>2.4899631051878601E-3</v>
      </c>
      <c r="AB72" s="3">
        <f ca="1">IFERROR(__xludf.DUMMYFUNCTION("AVERAGE.WEIGHTED(D72:E72,$AH72:$AI72)"),0.00297766394960145)</f>
        <v>2.9776639496014502E-3</v>
      </c>
      <c r="AC72" s="3">
        <f ca="1">IFERROR(__xludf.DUMMYFUNCTION("AVERAGE.WEIGHTED(F72:G72,$AJ72:$AK72)"),0.0029759354659343)</f>
        <v>2.9759354659343001E-3</v>
      </c>
      <c r="AD72" s="3" t="str">
        <f ca="1">IFERROR(__xludf.DUMMYFUNCTION("AVERAGE.WEIGHTED(H72:I72,$AA$25:$AB$25)"),"#VALUE!")</f>
        <v>#VALUE!</v>
      </c>
      <c r="AE72" s="3" t="str">
        <f ca="1">IFERROR(__xludf.DUMMYFUNCTION("AVERAGE.WEIGHTED(J72:K72,$AA$25:$AB$25)"),"#VALUE!")</f>
        <v>#VALUE!</v>
      </c>
      <c r="AF72" s="209">
        <v>0.48996310518786201</v>
      </c>
      <c r="AG72" s="3">
        <f t="shared" si="8"/>
        <v>0.51003689481213799</v>
      </c>
      <c r="AH72" s="209">
        <v>0.48883197480072899</v>
      </c>
      <c r="AI72" s="3">
        <f t="shared" si="9"/>
        <v>0.51116802519927096</v>
      </c>
      <c r="AJ72" s="209">
        <v>0.48796773296715401</v>
      </c>
      <c r="AK72" s="3">
        <f t="shared" si="10"/>
        <v>0.51203226703284599</v>
      </c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</row>
    <row r="73" spans="1:56" ht="15" x14ac:dyDescent="0.25">
      <c r="A73" s="1">
        <v>45</v>
      </c>
      <c r="B73" s="23">
        <f t="shared" ref="B73:U77" si="20">B$15</f>
        <v>2.28949226423036E-3</v>
      </c>
      <c r="C73" s="23">
        <f t="shared" si="20"/>
        <v>2.3721698808186801E-3</v>
      </c>
      <c r="D73" s="23">
        <f t="shared" si="20"/>
        <v>5.0000000000000001E-3</v>
      </c>
      <c r="E73" s="23">
        <f t="shared" si="20"/>
        <v>3.0000000000000001E-3</v>
      </c>
      <c r="F73" s="23">
        <f t="shared" si="20"/>
        <v>6.0000000000000001E-3</v>
      </c>
      <c r="G73" s="23">
        <f t="shared" si="20"/>
        <v>3.0000000000000001E-3</v>
      </c>
      <c r="H73" s="23">
        <f t="shared" si="20"/>
        <v>6.0000000000000001E-3</v>
      </c>
      <c r="I73" s="23">
        <f t="shared" si="20"/>
        <v>3.0000000000000001E-3</v>
      </c>
      <c r="J73" s="23">
        <f t="shared" si="20"/>
        <v>7.0000000000000001E-3</v>
      </c>
      <c r="K73" s="23">
        <f t="shared" si="20"/>
        <v>3.0000000000000001E-3</v>
      </c>
      <c r="L73" s="23">
        <f t="shared" si="20"/>
        <v>2.4E-2</v>
      </c>
      <c r="M73" s="23">
        <f t="shared" si="20"/>
        <v>1.2999999999999999E-2</v>
      </c>
      <c r="N73" s="23">
        <f t="shared" si="20"/>
        <v>2.5999999999999999E-2</v>
      </c>
      <c r="O73" s="23">
        <f t="shared" si="20"/>
        <v>1.2999999999999999E-2</v>
      </c>
      <c r="P73" s="23">
        <f t="shared" si="20"/>
        <v>2.8000000000000001E-2</v>
      </c>
      <c r="Q73" s="23">
        <f t="shared" si="20"/>
        <v>1.4999999999999999E-2</v>
      </c>
      <c r="R73" s="23">
        <f t="shared" si="20"/>
        <v>3.1E-2</v>
      </c>
      <c r="S73" s="23">
        <f t="shared" si="20"/>
        <v>1.6E-2</v>
      </c>
      <c r="T73" s="23">
        <f t="shared" si="20"/>
        <v>3.3000000000000002E-2</v>
      </c>
      <c r="U73" s="23">
        <f t="shared" si="20"/>
        <v>1.7000000000000001E-2</v>
      </c>
      <c r="V73" s="24">
        <f t="shared" si="3"/>
        <v>2.33083107252452E-3</v>
      </c>
      <c r="W73" s="24">
        <f t="shared" si="4"/>
        <v>4.0000000000000001E-3</v>
      </c>
      <c r="X73" s="24">
        <f t="shared" si="5"/>
        <v>4.5000000000000005E-3</v>
      </c>
      <c r="Y73" s="24">
        <f t="shared" si="6"/>
        <v>4.5000000000000005E-3</v>
      </c>
      <c r="Z73" s="24">
        <f t="shared" si="7"/>
        <v>5.0000000000000001E-3</v>
      </c>
      <c r="AA73" s="3">
        <f ca="1">IFERROR(__xludf.DUMMYFUNCTION("AVERAGE.WEIGHTED(B73:C73,$AF73:$AG73)"),0.00397797708230741)</f>
        <v>3.9779770823074097E-3</v>
      </c>
      <c r="AB73" s="3">
        <f ca="1">IFERROR(__xludf.DUMMYFUNCTION("AVERAGE.WEIGHTED(D73:E73,$AH73:$AI73)"),0.00397598912105223)</f>
        <v>3.97598912105223E-3</v>
      </c>
      <c r="AC73" s="3">
        <f ca="1">IFERROR(__xludf.DUMMYFUNCTION("AVERAGE.WEIGHTED(F73:G73,$AJ73:$AK73)"),0.00446134194187833)</f>
        <v>4.4613419418783303E-3</v>
      </c>
      <c r="AD73" s="3" t="str">
        <f ca="1">IFERROR(__xludf.DUMMYFUNCTION("AVERAGE.WEIGHTED(H73:I73,$AA$25:$AB$25)"),"#VALUE!")</f>
        <v>#VALUE!</v>
      </c>
      <c r="AE73" s="3" t="str">
        <f ca="1">IFERROR(__xludf.DUMMYFUNCTION("AVERAGE.WEIGHTED(J73:K73,$AA$25:$AB$25)"),"#VALUE!")</f>
        <v>#VALUE!</v>
      </c>
      <c r="AF73" s="209">
        <v>0.48898854115370799</v>
      </c>
      <c r="AG73" s="3">
        <f t="shared" si="8"/>
        <v>0.51101145884629195</v>
      </c>
      <c r="AH73" s="209">
        <v>0.48799456052611501</v>
      </c>
      <c r="AI73" s="3">
        <f t="shared" si="9"/>
        <v>0.51200543947388499</v>
      </c>
      <c r="AJ73" s="209">
        <v>0.487113980626113</v>
      </c>
      <c r="AK73" s="3">
        <f t="shared" si="10"/>
        <v>0.512886019373887</v>
      </c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</row>
    <row r="74" spans="1:56" ht="15" x14ac:dyDescent="0.25">
      <c r="A74" s="1">
        <v>46</v>
      </c>
      <c r="B74" s="23">
        <f t="shared" si="20"/>
        <v>2.28949226423036E-3</v>
      </c>
      <c r="C74" s="23">
        <f t="shared" si="20"/>
        <v>2.3721698808186801E-3</v>
      </c>
      <c r="D74" s="23">
        <f t="shared" si="20"/>
        <v>5.0000000000000001E-3</v>
      </c>
      <c r="E74" s="23">
        <f t="shared" si="20"/>
        <v>3.0000000000000001E-3</v>
      </c>
      <c r="F74" s="23">
        <f t="shared" si="20"/>
        <v>6.0000000000000001E-3</v>
      </c>
      <c r="G74" s="23">
        <f t="shared" si="20"/>
        <v>3.0000000000000001E-3</v>
      </c>
      <c r="H74" s="23">
        <f t="shared" si="20"/>
        <v>6.0000000000000001E-3</v>
      </c>
      <c r="I74" s="23">
        <f t="shared" si="20"/>
        <v>3.0000000000000001E-3</v>
      </c>
      <c r="J74" s="23">
        <f t="shared" si="20"/>
        <v>7.0000000000000001E-3</v>
      </c>
      <c r="K74" s="23">
        <f t="shared" si="20"/>
        <v>3.0000000000000001E-3</v>
      </c>
      <c r="L74" s="23">
        <f t="shared" si="20"/>
        <v>2.4E-2</v>
      </c>
      <c r="M74" s="23">
        <f t="shared" si="20"/>
        <v>1.2999999999999999E-2</v>
      </c>
      <c r="N74" s="23">
        <f t="shared" si="20"/>
        <v>2.5999999999999999E-2</v>
      </c>
      <c r="O74" s="23">
        <f t="shared" si="20"/>
        <v>1.2999999999999999E-2</v>
      </c>
      <c r="P74" s="23">
        <f t="shared" si="20"/>
        <v>2.8000000000000001E-2</v>
      </c>
      <c r="Q74" s="23">
        <f t="shared" si="20"/>
        <v>1.4999999999999999E-2</v>
      </c>
      <c r="R74" s="23">
        <f t="shared" si="20"/>
        <v>3.1E-2</v>
      </c>
      <c r="S74" s="23">
        <f t="shared" si="20"/>
        <v>1.6E-2</v>
      </c>
      <c r="T74" s="23">
        <f t="shared" si="20"/>
        <v>3.3000000000000002E-2</v>
      </c>
      <c r="U74" s="23">
        <f t="shared" si="20"/>
        <v>1.7000000000000001E-2</v>
      </c>
      <c r="V74" s="24">
        <f t="shared" si="3"/>
        <v>2.33083107252452E-3</v>
      </c>
      <c r="W74" s="24">
        <f t="shared" si="4"/>
        <v>4.0000000000000001E-3</v>
      </c>
      <c r="X74" s="24">
        <f t="shared" si="5"/>
        <v>4.5000000000000005E-3</v>
      </c>
      <c r="Y74" s="24">
        <f t="shared" si="6"/>
        <v>4.5000000000000005E-3</v>
      </c>
      <c r="Z74" s="24">
        <f t="shared" si="7"/>
        <v>5.0000000000000001E-3</v>
      </c>
      <c r="AA74" s="3">
        <f ca="1">IFERROR(__xludf.DUMMYFUNCTION("AVERAGE.WEIGHTED(B74:C74,$AF74:$AG74)"),0.00397614285038153)</f>
        <v>3.9761428503815302E-3</v>
      </c>
      <c r="AB74" s="3">
        <f ca="1">IFERROR(__xludf.DUMMYFUNCTION("AVERAGE.WEIGHTED(D74:E74,$AH74:$AI74)"),0.00397424884037679)</f>
        <v>3.9742488403767904E-3</v>
      </c>
      <c r="AC74" s="3">
        <f ca="1">IFERROR(__xludf.DUMMYFUNCTION("AVERAGE.WEIGHTED(F74:G74,$AJ74:$AK74)"),0.00445860658061346)</f>
        <v>4.4586065806134596E-3</v>
      </c>
      <c r="AD74" s="3" t="str">
        <f ca="1">IFERROR(__xludf.DUMMYFUNCTION("AVERAGE.WEIGHTED(H74:I74,$AA$25:$AB$25)"),"#VALUE!")</f>
        <v>#VALUE!</v>
      </c>
      <c r="AE74" s="3" t="str">
        <f ca="1">IFERROR(__xludf.DUMMYFUNCTION("AVERAGE.WEIGHTED(J74:K74,$AA$25:$AB$25)"),"#VALUE!")</f>
        <v>#VALUE!</v>
      </c>
      <c r="AF74" s="209">
        <v>0.48807142519076702</v>
      </c>
      <c r="AG74" s="3">
        <f t="shared" si="8"/>
        <v>0.51192857480923304</v>
      </c>
      <c r="AH74" s="209">
        <v>0.48712442018839702</v>
      </c>
      <c r="AI74" s="3">
        <f t="shared" si="9"/>
        <v>0.51287557981160292</v>
      </c>
      <c r="AJ74" s="209">
        <v>0.48620219353782002</v>
      </c>
      <c r="AK74" s="3">
        <f t="shared" si="10"/>
        <v>0.51379780646217998</v>
      </c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</row>
    <row r="75" spans="1:56" ht="15" x14ac:dyDescent="0.25">
      <c r="A75" s="1">
        <v>47</v>
      </c>
      <c r="B75" s="23">
        <f t="shared" si="20"/>
        <v>2.28949226423036E-3</v>
      </c>
      <c r="C75" s="23">
        <f t="shared" si="20"/>
        <v>2.3721698808186801E-3</v>
      </c>
      <c r="D75" s="23">
        <f t="shared" si="20"/>
        <v>5.0000000000000001E-3</v>
      </c>
      <c r="E75" s="23">
        <f t="shared" si="20"/>
        <v>3.0000000000000001E-3</v>
      </c>
      <c r="F75" s="23">
        <f t="shared" si="20"/>
        <v>6.0000000000000001E-3</v>
      </c>
      <c r="G75" s="23">
        <f t="shared" si="20"/>
        <v>3.0000000000000001E-3</v>
      </c>
      <c r="H75" s="23">
        <f t="shared" si="20"/>
        <v>6.0000000000000001E-3</v>
      </c>
      <c r="I75" s="23">
        <f t="shared" si="20"/>
        <v>3.0000000000000001E-3</v>
      </c>
      <c r="J75" s="23">
        <f t="shared" si="20"/>
        <v>7.0000000000000001E-3</v>
      </c>
      <c r="K75" s="23">
        <f t="shared" si="20"/>
        <v>3.0000000000000001E-3</v>
      </c>
      <c r="L75" s="23">
        <f t="shared" si="20"/>
        <v>2.4E-2</v>
      </c>
      <c r="M75" s="23">
        <f t="shared" si="20"/>
        <v>1.2999999999999999E-2</v>
      </c>
      <c r="N75" s="23">
        <f t="shared" si="20"/>
        <v>2.5999999999999999E-2</v>
      </c>
      <c r="O75" s="23">
        <f t="shared" si="20"/>
        <v>1.2999999999999999E-2</v>
      </c>
      <c r="P75" s="23">
        <f t="shared" si="20"/>
        <v>2.8000000000000001E-2</v>
      </c>
      <c r="Q75" s="23">
        <f t="shared" si="20"/>
        <v>1.4999999999999999E-2</v>
      </c>
      <c r="R75" s="23">
        <f t="shared" si="20"/>
        <v>3.1E-2</v>
      </c>
      <c r="S75" s="23">
        <f t="shared" si="20"/>
        <v>1.6E-2</v>
      </c>
      <c r="T75" s="23">
        <f t="shared" si="20"/>
        <v>3.3000000000000002E-2</v>
      </c>
      <c r="U75" s="23">
        <f t="shared" si="20"/>
        <v>1.7000000000000001E-2</v>
      </c>
      <c r="V75" s="24">
        <f t="shared" si="3"/>
        <v>2.33083107252452E-3</v>
      </c>
      <c r="W75" s="24">
        <f t="shared" si="4"/>
        <v>4.0000000000000001E-3</v>
      </c>
      <c r="X75" s="24">
        <f t="shared" si="5"/>
        <v>4.5000000000000005E-3</v>
      </c>
      <c r="Y75" s="24">
        <f t="shared" si="6"/>
        <v>4.5000000000000005E-3</v>
      </c>
      <c r="Z75" s="24">
        <f t="shared" si="7"/>
        <v>5.0000000000000001E-3</v>
      </c>
      <c r="AA75" s="3">
        <f ca="1">IFERROR(__xludf.DUMMYFUNCTION("AVERAGE.WEIGHTED(B75:C75,$AF75:$AG75)"),0.00397421178415796)</f>
        <v>3.97421178415796E-3</v>
      </c>
      <c r="AB75" s="3">
        <f ca="1">IFERROR(__xludf.DUMMYFUNCTION("AVERAGE.WEIGHTED(D75:E75,$AH75:$AI75)"),0.00397245918429518)</f>
        <v>3.97245918429518E-3</v>
      </c>
      <c r="AC75" s="3">
        <f ca="1">IFERROR(__xludf.DUMMYFUNCTION("AVERAGE.WEIGHTED(F75:G75,$AJ75:$AK75)"),0.00445575623191168)</f>
        <v>4.4557562319116799E-3</v>
      </c>
      <c r="AD75" s="3" t="str">
        <f ca="1">IFERROR(__xludf.DUMMYFUNCTION("AVERAGE.WEIGHTED(H75:I75,$AA$25:$AB$25)"),"#VALUE!")</f>
        <v>#VALUE!</v>
      </c>
      <c r="AE75" s="3" t="str">
        <f ca="1">IFERROR(__xludf.DUMMYFUNCTION("AVERAGE.WEIGHTED(J75:K75,$AA$25:$AB$25)"),"#VALUE!")</f>
        <v>#VALUE!</v>
      </c>
      <c r="AF75" s="209">
        <v>0.48710589207897997</v>
      </c>
      <c r="AG75" s="3">
        <f t="shared" si="8"/>
        <v>0.51289410792102008</v>
      </c>
      <c r="AH75" s="209">
        <v>0.48622959214758998</v>
      </c>
      <c r="AI75" s="3">
        <f t="shared" si="9"/>
        <v>0.51377040785241002</v>
      </c>
      <c r="AJ75" s="209">
        <v>0.48525207730389402</v>
      </c>
      <c r="AK75" s="3">
        <f t="shared" si="10"/>
        <v>0.51474792269610603</v>
      </c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</row>
    <row r="76" spans="1:56" ht="15" x14ac:dyDescent="0.25">
      <c r="A76" s="1">
        <v>48</v>
      </c>
      <c r="B76" s="23">
        <f t="shared" si="20"/>
        <v>2.28949226423036E-3</v>
      </c>
      <c r="C76" s="23">
        <f t="shared" si="20"/>
        <v>2.3721698808186801E-3</v>
      </c>
      <c r="D76" s="23">
        <f t="shared" si="20"/>
        <v>5.0000000000000001E-3</v>
      </c>
      <c r="E76" s="23">
        <f t="shared" si="20"/>
        <v>3.0000000000000001E-3</v>
      </c>
      <c r="F76" s="23">
        <f t="shared" si="20"/>
        <v>6.0000000000000001E-3</v>
      </c>
      <c r="G76" s="23">
        <f t="shared" si="20"/>
        <v>3.0000000000000001E-3</v>
      </c>
      <c r="H76" s="23">
        <f t="shared" si="20"/>
        <v>6.0000000000000001E-3</v>
      </c>
      <c r="I76" s="23">
        <f t="shared" si="20"/>
        <v>3.0000000000000001E-3</v>
      </c>
      <c r="J76" s="23">
        <f t="shared" si="20"/>
        <v>7.0000000000000001E-3</v>
      </c>
      <c r="K76" s="23">
        <f t="shared" si="20"/>
        <v>3.0000000000000001E-3</v>
      </c>
      <c r="L76" s="23">
        <f t="shared" si="20"/>
        <v>2.4E-2</v>
      </c>
      <c r="M76" s="23">
        <f t="shared" si="20"/>
        <v>1.2999999999999999E-2</v>
      </c>
      <c r="N76" s="23">
        <f t="shared" si="20"/>
        <v>2.5999999999999999E-2</v>
      </c>
      <c r="O76" s="23">
        <f t="shared" si="20"/>
        <v>1.2999999999999999E-2</v>
      </c>
      <c r="P76" s="23">
        <f t="shared" si="20"/>
        <v>2.8000000000000001E-2</v>
      </c>
      <c r="Q76" s="23">
        <f t="shared" si="20"/>
        <v>1.4999999999999999E-2</v>
      </c>
      <c r="R76" s="23">
        <f t="shared" si="20"/>
        <v>3.1E-2</v>
      </c>
      <c r="S76" s="23">
        <f t="shared" si="20"/>
        <v>1.6E-2</v>
      </c>
      <c r="T76" s="23">
        <f t="shared" si="20"/>
        <v>3.3000000000000002E-2</v>
      </c>
      <c r="U76" s="23">
        <f t="shared" si="20"/>
        <v>1.7000000000000001E-2</v>
      </c>
      <c r="V76" s="24">
        <f t="shared" si="3"/>
        <v>2.33083107252452E-3</v>
      </c>
      <c r="W76" s="24">
        <f t="shared" si="4"/>
        <v>4.0000000000000001E-3</v>
      </c>
      <c r="X76" s="24">
        <f t="shared" si="5"/>
        <v>4.5000000000000005E-3</v>
      </c>
      <c r="Y76" s="24">
        <f t="shared" si="6"/>
        <v>4.5000000000000005E-3</v>
      </c>
      <c r="Z76" s="24">
        <f t="shared" si="7"/>
        <v>5.0000000000000001E-3</v>
      </c>
      <c r="AA76" s="3">
        <f ca="1">IFERROR(__xludf.DUMMYFUNCTION("AVERAGE.WEIGHTED(B76:C76,$AF76:$AG76)"),0.00397220924792817)</f>
        <v>3.9722092479281702E-3</v>
      </c>
      <c r="AB76" s="3">
        <f ca="1">IFERROR(__xludf.DUMMYFUNCTION("AVERAGE.WEIGHTED(D76:E76,$AH76:$AI76)"),0.00397057564193124)</f>
        <v>3.9705756419312404E-3</v>
      </c>
      <c r="AC76" s="3">
        <f ca="1">IFERROR(__xludf.DUMMYFUNCTION("AVERAGE.WEIGHTED(F76:G76,$AJ76:$AK76)"),0.00445271240146738)</f>
        <v>4.4527124014673803E-3</v>
      </c>
      <c r="AD76" s="3" t="str">
        <f ca="1">IFERROR(__xludf.DUMMYFUNCTION("AVERAGE.WEIGHTED(H76:I76,$AA$25:$AB$25)"),"#VALUE!")</f>
        <v>#VALUE!</v>
      </c>
      <c r="AE76" s="3" t="str">
        <f ca="1">IFERROR(__xludf.DUMMYFUNCTION("AVERAGE.WEIGHTED(J76:K76,$AA$25:$AB$25)"),"#VALUE!")</f>
        <v>#VALUE!</v>
      </c>
      <c r="AF76" s="209">
        <v>0.48610462396408499</v>
      </c>
      <c r="AG76" s="3">
        <f t="shared" si="8"/>
        <v>0.51389537603591506</v>
      </c>
      <c r="AH76" s="209">
        <v>0.48528782096562301</v>
      </c>
      <c r="AI76" s="3">
        <f t="shared" si="9"/>
        <v>0.51471217903437694</v>
      </c>
      <c r="AJ76" s="209">
        <v>0.48423746715579602</v>
      </c>
      <c r="AK76" s="3">
        <f t="shared" si="10"/>
        <v>0.51576253284420392</v>
      </c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</row>
    <row r="77" spans="1:56" ht="15" x14ac:dyDescent="0.25">
      <c r="A77" s="1">
        <v>49</v>
      </c>
      <c r="B77" s="23">
        <f t="shared" si="20"/>
        <v>2.28949226423036E-3</v>
      </c>
      <c r="C77" s="23">
        <f t="shared" si="20"/>
        <v>2.3721698808186801E-3</v>
      </c>
      <c r="D77" s="23">
        <f t="shared" si="20"/>
        <v>5.0000000000000001E-3</v>
      </c>
      <c r="E77" s="23">
        <f t="shared" si="20"/>
        <v>3.0000000000000001E-3</v>
      </c>
      <c r="F77" s="23">
        <f t="shared" si="20"/>
        <v>6.0000000000000001E-3</v>
      </c>
      <c r="G77" s="23">
        <f t="shared" si="20"/>
        <v>3.0000000000000001E-3</v>
      </c>
      <c r="H77" s="23">
        <f t="shared" si="20"/>
        <v>6.0000000000000001E-3</v>
      </c>
      <c r="I77" s="23">
        <f t="shared" si="20"/>
        <v>3.0000000000000001E-3</v>
      </c>
      <c r="J77" s="23">
        <f t="shared" si="20"/>
        <v>7.0000000000000001E-3</v>
      </c>
      <c r="K77" s="23">
        <f t="shared" si="20"/>
        <v>3.0000000000000001E-3</v>
      </c>
      <c r="L77" s="23">
        <f t="shared" si="20"/>
        <v>2.4E-2</v>
      </c>
      <c r="M77" s="23">
        <f t="shared" si="20"/>
        <v>1.2999999999999999E-2</v>
      </c>
      <c r="N77" s="23">
        <f t="shared" si="20"/>
        <v>2.5999999999999999E-2</v>
      </c>
      <c r="O77" s="23">
        <f t="shared" si="20"/>
        <v>1.2999999999999999E-2</v>
      </c>
      <c r="P77" s="23">
        <f t="shared" si="20"/>
        <v>2.8000000000000001E-2</v>
      </c>
      <c r="Q77" s="23">
        <f t="shared" si="20"/>
        <v>1.4999999999999999E-2</v>
      </c>
      <c r="R77" s="23">
        <f t="shared" si="20"/>
        <v>3.1E-2</v>
      </c>
      <c r="S77" s="23">
        <f t="shared" si="20"/>
        <v>1.6E-2</v>
      </c>
      <c r="T77" s="23">
        <f t="shared" si="20"/>
        <v>3.3000000000000002E-2</v>
      </c>
      <c r="U77" s="23">
        <f t="shared" si="20"/>
        <v>1.7000000000000001E-2</v>
      </c>
      <c r="V77" s="24">
        <f t="shared" si="3"/>
        <v>2.33083107252452E-3</v>
      </c>
      <c r="W77" s="24">
        <f t="shared" si="4"/>
        <v>4.0000000000000001E-3</v>
      </c>
      <c r="X77" s="24">
        <f t="shared" si="5"/>
        <v>4.5000000000000005E-3</v>
      </c>
      <c r="Y77" s="24">
        <f t="shared" si="6"/>
        <v>4.5000000000000005E-3</v>
      </c>
      <c r="Z77" s="24">
        <f t="shared" si="7"/>
        <v>5.0000000000000001E-3</v>
      </c>
      <c r="AA77" s="3">
        <f ca="1">IFERROR(__xludf.DUMMYFUNCTION("AVERAGE.WEIGHTED(B77:C77,$AF77:$AG77)"),0.00397014709018561)</f>
        <v>3.9701470901856101E-3</v>
      </c>
      <c r="AB77" s="3">
        <f ca="1">IFERROR(__xludf.DUMMYFUNCTION("AVERAGE.WEIGHTED(D77:E77,$AH77:$AI77)"),0.00396858078302978)</f>
        <v>3.9685807830297801E-3</v>
      </c>
      <c r="AC77" s="3">
        <f ca="1">IFERROR(__xludf.DUMMYFUNCTION("AVERAGE.WEIGHTED(F77:G77,$AJ77:$AK77)"),0.0044495998690806)</f>
        <v>4.4495998690806003E-3</v>
      </c>
      <c r="AD77" s="3" t="str">
        <f ca="1">IFERROR(__xludf.DUMMYFUNCTION("AVERAGE.WEIGHTED(H77:I77,$AA$25:$AB$25)"),"#VALUE!")</f>
        <v>#VALUE!</v>
      </c>
      <c r="AE77" s="3" t="str">
        <f ca="1">IFERROR(__xludf.DUMMYFUNCTION("AVERAGE.WEIGHTED(J77:K77,$AA$25:$AB$25)"),"#VALUE!")</f>
        <v>#VALUE!</v>
      </c>
      <c r="AF77" s="209">
        <v>0.48507354509280698</v>
      </c>
      <c r="AG77" s="3">
        <f t="shared" si="8"/>
        <v>0.51492645490719302</v>
      </c>
      <c r="AH77" s="209">
        <v>0.48429039151489001</v>
      </c>
      <c r="AI77" s="3">
        <f t="shared" si="9"/>
        <v>0.51570960848511005</v>
      </c>
      <c r="AJ77" s="209">
        <v>0.48319995636020202</v>
      </c>
      <c r="AK77" s="3">
        <f t="shared" si="10"/>
        <v>0.51680004363979792</v>
      </c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</row>
    <row r="78" spans="1:56" ht="15" x14ac:dyDescent="0.25">
      <c r="A78" s="1">
        <v>50</v>
      </c>
      <c r="B78" s="23">
        <f t="shared" ref="B78:U82" si="21">B$16</f>
        <v>3.2386506864446802E-3</v>
      </c>
      <c r="C78" s="23">
        <f t="shared" si="21"/>
        <v>3.3253439451900401E-3</v>
      </c>
      <c r="D78" s="23">
        <f t="shared" si="21"/>
        <v>8.0000000000000002E-3</v>
      </c>
      <c r="E78" s="23">
        <f t="shared" si="21"/>
        <v>4.0000000000000001E-3</v>
      </c>
      <c r="F78" s="23">
        <f t="shared" si="21"/>
        <v>8.0000000000000002E-3</v>
      </c>
      <c r="G78" s="23">
        <f t="shared" si="21"/>
        <v>4.0000000000000001E-3</v>
      </c>
      <c r="H78" s="23">
        <f t="shared" si="21"/>
        <v>8.9999999999999993E-3</v>
      </c>
      <c r="I78" s="23">
        <f t="shared" si="21"/>
        <v>5.0000000000000001E-3</v>
      </c>
      <c r="J78" s="23">
        <f t="shared" si="21"/>
        <v>8.9999999999999993E-3</v>
      </c>
      <c r="K78" s="23">
        <f t="shared" si="21"/>
        <v>5.0000000000000001E-3</v>
      </c>
      <c r="L78" s="23">
        <f t="shared" si="21"/>
        <v>3.4000000000000002E-2</v>
      </c>
      <c r="M78" s="23">
        <f t="shared" si="21"/>
        <v>1.9E-2</v>
      </c>
      <c r="N78" s="23">
        <f t="shared" si="21"/>
        <v>3.6999999999999998E-2</v>
      </c>
      <c r="O78" s="23">
        <f t="shared" si="21"/>
        <v>0.02</v>
      </c>
      <c r="P78" s="23">
        <f t="shared" si="21"/>
        <v>4.1000000000000002E-2</v>
      </c>
      <c r="Q78" s="23">
        <f t="shared" si="21"/>
        <v>2.1999999999999999E-2</v>
      </c>
      <c r="R78" s="23">
        <f t="shared" si="21"/>
        <v>4.2000000000000003E-2</v>
      </c>
      <c r="S78" s="23">
        <f t="shared" si="21"/>
        <v>2.1999999999999999E-2</v>
      </c>
      <c r="T78" s="23">
        <f t="shared" si="21"/>
        <v>4.5999999999999999E-2</v>
      </c>
      <c r="U78" s="23">
        <f t="shared" si="21"/>
        <v>2.5000000000000001E-2</v>
      </c>
      <c r="V78" s="24">
        <f t="shared" si="3"/>
        <v>3.2819973158173602E-3</v>
      </c>
      <c r="W78" s="24">
        <f t="shared" si="4"/>
        <v>6.0000000000000001E-3</v>
      </c>
      <c r="X78" s="24">
        <f t="shared" si="5"/>
        <v>6.0000000000000001E-3</v>
      </c>
      <c r="Y78" s="24">
        <f t="shared" si="6"/>
        <v>6.9999999999999993E-3</v>
      </c>
      <c r="Z78" s="24">
        <f t="shared" si="7"/>
        <v>6.9999999999999993E-3</v>
      </c>
      <c r="AA78" s="3">
        <f ca="1">IFERROR(__xludf.DUMMYFUNCTION("AVERAGE.WEIGHTED(B78:C78,$AF78:$AG78)"),0.00545196234453419)</f>
        <v>5.4519623445341897E-3</v>
      </c>
      <c r="AB78" s="3">
        <f ca="1">IFERROR(__xludf.DUMMYFUNCTION("AVERAGE.WEIGHTED(D78:E78,$AH78:$AI78)"),0.00593273340395214)</f>
        <v>5.9327334039521399E-3</v>
      </c>
      <c r="AC78" s="3">
        <f ca="1">IFERROR(__xludf.DUMMYFUNCTION("AVERAGE.WEIGHTED(F78:G78,$AJ78:$AK78)"),0.00592836161412)</f>
        <v>5.9283616141199997E-3</v>
      </c>
      <c r="AD78" s="3" t="str">
        <f ca="1">IFERROR(__xludf.DUMMYFUNCTION("AVERAGE.WEIGHTED(H78:I78,$AA$25:$AB$25)"),"#VALUE!")</f>
        <v>#VALUE!</v>
      </c>
      <c r="AE78" s="3" t="str">
        <f ca="1">IFERROR(__xludf.DUMMYFUNCTION("AVERAGE.WEIGHTED(J78:K78,$AA$25:$AB$25)"),"#VALUE!")</f>
        <v>#VALUE!</v>
      </c>
      <c r="AF78" s="209">
        <v>0.48398744817806599</v>
      </c>
      <c r="AG78" s="3">
        <f t="shared" si="8"/>
        <v>0.51601255182193406</v>
      </c>
      <c r="AH78" s="209">
        <v>0.483183350988035</v>
      </c>
      <c r="AI78" s="3">
        <f t="shared" si="9"/>
        <v>0.516816649011965</v>
      </c>
      <c r="AJ78" s="209">
        <v>0.48209040352999999</v>
      </c>
      <c r="AK78" s="3">
        <f t="shared" si="10"/>
        <v>0.51790959647000001</v>
      </c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</row>
    <row r="79" spans="1:56" ht="15" x14ac:dyDescent="0.25">
      <c r="A79" s="1">
        <v>51</v>
      </c>
      <c r="B79" s="23">
        <f t="shared" si="21"/>
        <v>3.2386506864446802E-3</v>
      </c>
      <c r="C79" s="23">
        <f t="shared" si="21"/>
        <v>3.3253439451900401E-3</v>
      </c>
      <c r="D79" s="23">
        <f t="shared" si="21"/>
        <v>8.0000000000000002E-3</v>
      </c>
      <c r="E79" s="23">
        <f t="shared" si="21"/>
        <v>4.0000000000000001E-3</v>
      </c>
      <c r="F79" s="23">
        <f t="shared" si="21"/>
        <v>8.0000000000000002E-3</v>
      </c>
      <c r="G79" s="23">
        <f t="shared" si="21"/>
        <v>4.0000000000000001E-3</v>
      </c>
      <c r="H79" s="23">
        <f t="shared" si="21"/>
        <v>8.9999999999999993E-3</v>
      </c>
      <c r="I79" s="23">
        <f t="shared" si="21"/>
        <v>5.0000000000000001E-3</v>
      </c>
      <c r="J79" s="23">
        <f t="shared" si="21"/>
        <v>8.9999999999999993E-3</v>
      </c>
      <c r="K79" s="23">
        <f t="shared" si="21"/>
        <v>5.0000000000000001E-3</v>
      </c>
      <c r="L79" s="23">
        <f t="shared" si="21"/>
        <v>3.4000000000000002E-2</v>
      </c>
      <c r="M79" s="23">
        <f t="shared" si="21"/>
        <v>1.9E-2</v>
      </c>
      <c r="N79" s="23">
        <f t="shared" si="21"/>
        <v>3.6999999999999998E-2</v>
      </c>
      <c r="O79" s="23">
        <f t="shared" si="21"/>
        <v>0.02</v>
      </c>
      <c r="P79" s="23">
        <f t="shared" si="21"/>
        <v>4.1000000000000002E-2</v>
      </c>
      <c r="Q79" s="23">
        <f t="shared" si="21"/>
        <v>2.1999999999999999E-2</v>
      </c>
      <c r="R79" s="23">
        <f t="shared" si="21"/>
        <v>4.2000000000000003E-2</v>
      </c>
      <c r="S79" s="23">
        <f t="shared" si="21"/>
        <v>2.1999999999999999E-2</v>
      </c>
      <c r="T79" s="23">
        <f t="shared" si="21"/>
        <v>4.5999999999999999E-2</v>
      </c>
      <c r="U79" s="23">
        <f t="shared" si="21"/>
        <v>2.5000000000000001E-2</v>
      </c>
      <c r="V79" s="24">
        <f t="shared" si="3"/>
        <v>3.2819973158173602E-3</v>
      </c>
      <c r="W79" s="24">
        <f t="shared" si="4"/>
        <v>6.0000000000000001E-3</v>
      </c>
      <c r="X79" s="24">
        <f t="shared" si="5"/>
        <v>6.0000000000000001E-3</v>
      </c>
      <c r="Y79" s="24">
        <f t="shared" si="6"/>
        <v>6.9999999999999993E-3</v>
      </c>
      <c r="Z79" s="24">
        <f t="shared" si="7"/>
        <v>6.9999999999999993E-3</v>
      </c>
      <c r="AA79" s="3">
        <f ca="1">IFERROR(__xludf.DUMMYFUNCTION("AVERAGE.WEIGHTED(B79:C79,$AF79:$AG79)"),0.00544857110580438)</f>
        <v>5.4485711058043802E-3</v>
      </c>
      <c r="AB79" s="3">
        <f ca="1">IFERROR(__xludf.DUMMYFUNCTION("AVERAGE.WEIGHTED(D79:E79,$AH79:$AI79)"),0.00592793515484808)</f>
        <v>5.9279351548480802E-3</v>
      </c>
      <c r="AC79" s="3">
        <f ca="1">IFERROR(__xludf.DUMMYFUNCTION("AVERAGE.WEIGHTED(F79:G79,$AJ79:$AK79)"),0.00592353678610451)</f>
        <v>5.9235367861045097E-3</v>
      </c>
      <c r="AD79" s="3" t="str">
        <f ca="1">IFERROR(__xludf.DUMMYFUNCTION("AVERAGE.WEIGHTED(H79:I79,$AA$25:$AB$25)"),"#VALUE!")</f>
        <v>#VALUE!</v>
      </c>
      <c r="AE79" s="3" t="str">
        <f ca="1">IFERROR(__xludf.DUMMYFUNCTION("AVERAGE.WEIGHTED(J79:K79,$AA$25:$AB$25)"),"#VALUE!")</f>
        <v>#VALUE!</v>
      </c>
      <c r="AF79" s="209">
        <v>0.48285703526812801</v>
      </c>
      <c r="AG79" s="3">
        <f t="shared" si="8"/>
        <v>0.51714296473187193</v>
      </c>
      <c r="AH79" s="209">
        <v>0.48198378871202102</v>
      </c>
      <c r="AI79" s="3">
        <f t="shared" si="9"/>
        <v>0.51801621128797892</v>
      </c>
      <c r="AJ79" s="209">
        <v>0.48088419652612902</v>
      </c>
      <c r="AK79" s="3">
        <f t="shared" si="10"/>
        <v>0.51911580347387098</v>
      </c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</row>
    <row r="80" spans="1:56" ht="15" x14ac:dyDescent="0.25">
      <c r="A80" s="1">
        <v>52</v>
      </c>
      <c r="B80" s="23">
        <f t="shared" si="21"/>
        <v>3.2386506864446802E-3</v>
      </c>
      <c r="C80" s="23">
        <f t="shared" si="21"/>
        <v>3.3253439451900401E-3</v>
      </c>
      <c r="D80" s="23">
        <f t="shared" si="21"/>
        <v>8.0000000000000002E-3</v>
      </c>
      <c r="E80" s="23">
        <f t="shared" si="21"/>
        <v>4.0000000000000001E-3</v>
      </c>
      <c r="F80" s="23">
        <f t="shared" si="21"/>
        <v>8.0000000000000002E-3</v>
      </c>
      <c r="G80" s="23">
        <f t="shared" si="21"/>
        <v>4.0000000000000001E-3</v>
      </c>
      <c r="H80" s="23">
        <f t="shared" si="21"/>
        <v>8.9999999999999993E-3</v>
      </c>
      <c r="I80" s="23">
        <f t="shared" si="21"/>
        <v>5.0000000000000001E-3</v>
      </c>
      <c r="J80" s="23">
        <f t="shared" si="21"/>
        <v>8.9999999999999993E-3</v>
      </c>
      <c r="K80" s="23">
        <f t="shared" si="21"/>
        <v>5.0000000000000001E-3</v>
      </c>
      <c r="L80" s="23">
        <f t="shared" si="21"/>
        <v>3.4000000000000002E-2</v>
      </c>
      <c r="M80" s="23">
        <f t="shared" si="21"/>
        <v>1.9E-2</v>
      </c>
      <c r="N80" s="23">
        <f t="shared" si="21"/>
        <v>3.6999999999999998E-2</v>
      </c>
      <c r="O80" s="23">
        <f t="shared" si="21"/>
        <v>0.02</v>
      </c>
      <c r="P80" s="23">
        <f t="shared" si="21"/>
        <v>4.1000000000000002E-2</v>
      </c>
      <c r="Q80" s="23">
        <f t="shared" si="21"/>
        <v>2.1999999999999999E-2</v>
      </c>
      <c r="R80" s="23">
        <f t="shared" si="21"/>
        <v>4.2000000000000003E-2</v>
      </c>
      <c r="S80" s="23">
        <f t="shared" si="21"/>
        <v>2.1999999999999999E-2</v>
      </c>
      <c r="T80" s="23">
        <f t="shared" si="21"/>
        <v>4.5999999999999999E-2</v>
      </c>
      <c r="U80" s="23">
        <f t="shared" si="21"/>
        <v>2.5000000000000001E-2</v>
      </c>
      <c r="V80" s="24">
        <f t="shared" si="3"/>
        <v>3.2819973158173602E-3</v>
      </c>
      <c r="W80" s="24">
        <f t="shared" si="4"/>
        <v>6.0000000000000001E-3</v>
      </c>
      <c r="X80" s="24">
        <f t="shared" si="5"/>
        <v>6.0000000000000001E-3</v>
      </c>
      <c r="Y80" s="24">
        <f t="shared" si="6"/>
        <v>6.9999999999999993E-3</v>
      </c>
      <c r="Z80" s="24">
        <f t="shared" si="7"/>
        <v>6.9999999999999993E-3</v>
      </c>
      <c r="AA80" s="3">
        <f ca="1">IFERROR(__xludf.DUMMYFUNCTION("AVERAGE.WEIGHTED(B80:C80,$AF80:$AG80)"),0.0054449774249613)</f>
        <v>5.4449774249612998E-3</v>
      </c>
      <c r="AB80" s="3">
        <f ca="1">IFERROR(__xludf.DUMMYFUNCTION("AVERAGE.WEIGHTED(D80:E80,$AH80:$AI80)"),0.00592286845326908)</f>
        <v>5.9228684532690798E-3</v>
      </c>
      <c r="AC80" s="3">
        <f ca="1">IFERROR(__xludf.DUMMYFUNCTION("AVERAGE.WEIGHTED(F80:G80,$AJ80:$AK80)"),0.00591850781078484)</f>
        <v>5.9185078107848402E-3</v>
      </c>
      <c r="AD80" s="3" t="str">
        <f ca="1">IFERROR(__xludf.DUMMYFUNCTION("AVERAGE.WEIGHTED(H80:I80,$AA$25:$AB$25)"),"#VALUE!")</f>
        <v>#VALUE!</v>
      </c>
      <c r="AE80" s="3" t="str">
        <f ca="1">IFERROR(__xludf.DUMMYFUNCTION("AVERAGE.WEIGHTED(J80:K80,$AA$25:$AB$25)"),"#VALUE!")</f>
        <v>#VALUE!</v>
      </c>
      <c r="AF80" s="209">
        <v>0.481659141653767</v>
      </c>
      <c r="AG80" s="3">
        <f t="shared" si="8"/>
        <v>0.518340858346233</v>
      </c>
      <c r="AH80" s="209">
        <v>0.48071711331727102</v>
      </c>
      <c r="AI80" s="3">
        <f t="shared" si="9"/>
        <v>0.51928288668272904</v>
      </c>
      <c r="AJ80" s="209">
        <v>0.47962695269621097</v>
      </c>
      <c r="AK80" s="3">
        <f t="shared" si="10"/>
        <v>0.52037304730378908</v>
      </c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</row>
    <row r="81" spans="1:56" ht="15" x14ac:dyDescent="0.25">
      <c r="A81" s="1">
        <v>53</v>
      </c>
      <c r="B81" s="23">
        <f t="shared" si="21"/>
        <v>3.2386506864446802E-3</v>
      </c>
      <c r="C81" s="23">
        <f t="shared" si="21"/>
        <v>3.3253439451900401E-3</v>
      </c>
      <c r="D81" s="23">
        <f t="shared" si="21"/>
        <v>8.0000000000000002E-3</v>
      </c>
      <c r="E81" s="23">
        <f t="shared" si="21"/>
        <v>4.0000000000000001E-3</v>
      </c>
      <c r="F81" s="23">
        <f t="shared" si="21"/>
        <v>8.0000000000000002E-3</v>
      </c>
      <c r="G81" s="23">
        <f t="shared" si="21"/>
        <v>4.0000000000000001E-3</v>
      </c>
      <c r="H81" s="23">
        <f t="shared" si="21"/>
        <v>8.9999999999999993E-3</v>
      </c>
      <c r="I81" s="23">
        <f t="shared" si="21"/>
        <v>5.0000000000000001E-3</v>
      </c>
      <c r="J81" s="23">
        <f t="shared" si="21"/>
        <v>8.9999999999999993E-3</v>
      </c>
      <c r="K81" s="23">
        <f t="shared" si="21"/>
        <v>5.0000000000000001E-3</v>
      </c>
      <c r="L81" s="23">
        <f t="shared" si="21"/>
        <v>3.4000000000000002E-2</v>
      </c>
      <c r="M81" s="23">
        <f t="shared" si="21"/>
        <v>1.9E-2</v>
      </c>
      <c r="N81" s="23">
        <f t="shared" si="21"/>
        <v>3.6999999999999998E-2</v>
      </c>
      <c r="O81" s="23">
        <f t="shared" si="21"/>
        <v>0.02</v>
      </c>
      <c r="P81" s="23">
        <f t="shared" si="21"/>
        <v>4.1000000000000002E-2</v>
      </c>
      <c r="Q81" s="23">
        <f t="shared" si="21"/>
        <v>2.1999999999999999E-2</v>
      </c>
      <c r="R81" s="23">
        <f t="shared" si="21"/>
        <v>4.2000000000000003E-2</v>
      </c>
      <c r="S81" s="23">
        <f t="shared" si="21"/>
        <v>2.1999999999999999E-2</v>
      </c>
      <c r="T81" s="23">
        <f t="shared" si="21"/>
        <v>4.5999999999999999E-2</v>
      </c>
      <c r="U81" s="23">
        <f t="shared" si="21"/>
        <v>2.5000000000000001E-2</v>
      </c>
      <c r="V81" s="24">
        <f t="shared" si="3"/>
        <v>3.2819973158173602E-3</v>
      </c>
      <c r="W81" s="24">
        <f t="shared" si="4"/>
        <v>6.0000000000000001E-3</v>
      </c>
      <c r="X81" s="24">
        <f t="shared" si="5"/>
        <v>6.0000000000000001E-3</v>
      </c>
      <c r="Y81" s="24">
        <f t="shared" si="6"/>
        <v>6.9999999999999993E-3</v>
      </c>
      <c r="Z81" s="24">
        <f t="shared" si="7"/>
        <v>6.9999999999999993E-3</v>
      </c>
      <c r="AA81" s="3">
        <f ca="1">IFERROR(__xludf.DUMMYFUNCTION("AVERAGE.WEIGHTED(B81:C81,$AF81:$AG81)"),0.00544117562338572)</f>
        <v>5.4411756233857201E-3</v>
      </c>
      <c r="AB81" s="3">
        <f ca="1">IFERROR(__xludf.DUMMYFUNCTION("AVERAGE.WEIGHTED(D81:E81,$AH81:$AI81)"),0.00591745915413149)</f>
        <v>5.9174591541314896E-3</v>
      </c>
      <c r="AC81" s="3">
        <f ca="1">IFERROR(__xludf.DUMMYFUNCTION("AVERAGE.WEIGHTED(F81:G81,$AJ81:$AK81)"),0.0059134416631227)</f>
        <v>5.9134416631227002E-3</v>
      </c>
      <c r="AD81" s="3" t="str">
        <f ca="1">IFERROR(__xludf.DUMMYFUNCTION("AVERAGE.WEIGHTED(H81:I81,$AA$25:$AB$25)"),"#VALUE!")</f>
        <v>#VALUE!</v>
      </c>
      <c r="AE81" s="3" t="str">
        <f ca="1">IFERROR(__xludf.DUMMYFUNCTION("AVERAGE.WEIGHTED(J81:K81,$AA$25:$AB$25)"),"#VALUE!")</f>
        <v>#VALUE!</v>
      </c>
      <c r="AF81" s="209">
        <v>0.48039187446190901</v>
      </c>
      <c r="AG81" s="3">
        <f t="shared" si="8"/>
        <v>0.51960812553809099</v>
      </c>
      <c r="AH81" s="209">
        <v>0.47936478853287401</v>
      </c>
      <c r="AI81" s="3">
        <f t="shared" si="9"/>
        <v>0.52063521146712599</v>
      </c>
      <c r="AJ81" s="209">
        <v>0.47836041578067701</v>
      </c>
      <c r="AK81" s="3">
        <f t="shared" si="10"/>
        <v>0.52163958421932299</v>
      </c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</row>
    <row r="82" spans="1:56" ht="15" x14ac:dyDescent="0.25">
      <c r="A82" s="1">
        <v>54</v>
      </c>
      <c r="B82" s="23">
        <f t="shared" si="21"/>
        <v>3.2386506864446802E-3</v>
      </c>
      <c r="C82" s="23">
        <f t="shared" si="21"/>
        <v>3.3253439451900401E-3</v>
      </c>
      <c r="D82" s="23">
        <f t="shared" si="21"/>
        <v>8.0000000000000002E-3</v>
      </c>
      <c r="E82" s="23">
        <f t="shared" si="21"/>
        <v>4.0000000000000001E-3</v>
      </c>
      <c r="F82" s="23">
        <f t="shared" si="21"/>
        <v>8.0000000000000002E-3</v>
      </c>
      <c r="G82" s="23">
        <f t="shared" si="21"/>
        <v>4.0000000000000001E-3</v>
      </c>
      <c r="H82" s="23">
        <f t="shared" si="21"/>
        <v>8.9999999999999993E-3</v>
      </c>
      <c r="I82" s="23">
        <f t="shared" si="21"/>
        <v>5.0000000000000001E-3</v>
      </c>
      <c r="J82" s="23">
        <f t="shared" si="21"/>
        <v>8.9999999999999993E-3</v>
      </c>
      <c r="K82" s="23">
        <f t="shared" si="21"/>
        <v>5.0000000000000001E-3</v>
      </c>
      <c r="L82" s="23">
        <f t="shared" si="21"/>
        <v>3.4000000000000002E-2</v>
      </c>
      <c r="M82" s="23">
        <f t="shared" si="21"/>
        <v>1.9E-2</v>
      </c>
      <c r="N82" s="23">
        <f t="shared" si="21"/>
        <v>3.6999999999999998E-2</v>
      </c>
      <c r="O82" s="23">
        <f t="shared" si="21"/>
        <v>0.02</v>
      </c>
      <c r="P82" s="23">
        <f t="shared" si="21"/>
        <v>4.1000000000000002E-2</v>
      </c>
      <c r="Q82" s="23">
        <f t="shared" si="21"/>
        <v>2.1999999999999999E-2</v>
      </c>
      <c r="R82" s="23">
        <f t="shared" si="21"/>
        <v>4.2000000000000003E-2</v>
      </c>
      <c r="S82" s="23">
        <f t="shared" si="21"/>
        <v>2.1999999999999999E-2</v>
      </c>
      <c r="T82" s="23">
        <f t="shared" si="21"/>
        <v>4.5999999999999999E-2</v>
      </c>
      <c r="U82" s="23">
        <f t="shared" si="21"/>
        <v>2.5000000000000001E-2</v>
      </c>
      <c r="V82" s="24">
        <f t="shared" si="3"/>
        <v>3.2819973158173602E-3</v>
      </c>
      <c r="W82" s="24">
        <f t="shared" si="4"/>
        <v>6.0000000000000001E-3</v>
      </c>
      <c r="X82" s="24">
        <f t="shared" si="5"/>
        <v>6.0000000000000001E-3</v>
      </c>
      <c r="Y82" s="24">
        <f t="shared" si="6"/>
        <v>6.9999999999999993E-3</v>
      </c>
      <c r="Z82" s="24">
        <f t="shared" si="7"/>
        <v>6.9999999999999993E-3</v>
      </c>
      <c r="AA82" s="3">
        <f ca="1">IFERROR(__xludf.DUMMYFUNCTION("AVERAGE.WEIGHTED(B82:C82,$AF82:$AG82)"),0.00543701823658682)</f>
        <v>5.4370182365868196E-3</v>
      </c>
      <c r="AB82" s="3">
        <f ca="1">IFERROR(__xludf.DUMMYFUNCTION("AVERAGE.WEIGHTED(D82:E82,$AH82:$AI82)"),0.00591189800941898)</f>
        <v>5.91189800941898E-3</v>
      </c>
      <c r="AC82" s="3">
        <f ca="1">IFERROR(__xludf.DUMMYFUNCTION("AVERAGE.WEIGHTED(F82:G82,$AJ82:$AK82)"),0.00590836134942966)</f>
        <v>5.9083613494296597E-3</v>
      </c>
      <c r="AD82" s="3" t="str">
        <f ca="1">IFERROR(__xludf.DUMMYFUNCTION("AVERAGE.WEIGHTED(H82:I82,$AA$25:$AB$25)"),"#VALUE!")</f>
        <v>#VALUE!</v>
      </c>
      <c r="AE82" s="3" t="str">
        <f ca="1">IFERROR(__xludf.DUMMYFUNCTION("AVERAGE.WEIGHTED(J82:K82,$AA$25:$AB$25)"),"#VALUE!")</f>
        <v>#VALUE!</v>
      </c>
      <c r="AF82" s="209">
        <v>0.47900607886227398</v>
      </c>
      <c r="AG82" s="3">
        <f t="shared" si="8"/>
        <v>0.52099392113772602</v>
      </c>
      <c r="AH82" s="209">
        <v>0.47797450235474498</v>
      </c>
      <c r="AI82" s="3">
        <f t="shared" si="9"/>
        <v>0.52202549764525497</v>
      </c>
      <c r="AJ82" s="209">
        <v>0.47709033735741702</v>
      </c>
      <c r="AK82" s="3">
        <f t="shared" si="10"/>
        <v>0.52290966264258298</v>
      </c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</row>
    <row r="83" spans="1:56" ht="15" x14ac:dyDescent="0.25">
      <c r="A83" s="1">
        <v>55</v>
      </c>
      <c r="B83" s="23">
        <f t="shared" ref="B83:U87" si="22">B$17</f>
        <v>4.8071743737607298E-3</v>
      </c>
      <c r="C83" s="23">
        <f t="shared" si="22"/>
        <v>4.9472369335626497E-3</v>
      </c>
      <c r="D83" s="23">
        <f t="shared" si="22"/>
        <v>1.0999999999999999E-2</v>
      </c>
      <c r="E83" s="23">
        <f t="shared" si="22"/>
        <v>6.0000000000000001E-3</v>
      </c>
      <c r="F83" s="23">
        <f t="shared" si="22"/>
        <v>1.2E-2</v>
      </c>
      <c r="G83" s="23">
        <f t="shared" si="22"/>
        <v>6.0000000000000001E-3</v>
      </c>
      <c r="H83" s="23">
        <f t="shared" si="22"/>
        <v>1.2E-2</v>
      </c>
      <c r="I83" s="23">
        <f t="shared" si="22"/>
        <v>7.0000000000000001E-3</v>
      </c>
      <c r="J83" s="23">
        <f t="shared" si="22"/>
        <v>1.4E-2</v>
      </c>
      <c r="K83" s="23">
        <f t="shared" si="22"/>
        <v>8.0000000000000002E-3</v>
      </c>
      <c r="L83" s="23">
        <f t="shared" si="22"/>
        <v>0.05</v>
      </c>
      <c r="M83" s="23">
        <f t="shared" si="22"/>
        <v>2.8000000000000001E-2</v>
      </c>
      <c r="N83" s="23">
        <f t="shared" si="22"/>
        <v>5.3999999999999999E-2</v>
      </c>
      <c r="O83" s="23">
        <f t="shared" si="22"/>
        <v>0.03</v>
      </c>
      <c r="P83" s="23">
        <f t="shared" si="22"/>
        <v>5.7000000000000002E-2</v>
      </c>
      <c r="Q83" s="23">
        <f t="shared" si="22"/>
        <v>3.1E-2</v>
      </c>
      <c r="R83" s="23">
        <f t="shared" si="22"/>
        <v>0.06</v>
      </c>
      <c r="S83" s="23">
        <f t="shared" si="22"/>
        <v>3.3000000000000002E-2</v>
      </c>
      <c r="T83" s="23">
        <f t="shared" si="22"/>
        <v>6.6000000000000003E-2</v>
      </c>
      <c r="U83" s="23">
        <f t="shared" si="22"/>
        <v>3.6999999999999998E-2</v>
      </c>
      <c r="V83" s="24">
        <f t="shared" si="3"/>
        <v>4.8772056536616898E-3</v>
      </c>
      <c r="W83" s="24">
        <f t="shared" si="4"/>
        <v>8.5000000000000006E-3</v>
      </c>
      <c r="X83" s="24">
        <f t="shared" si="5"/>
        <v>9.0000000000000011E-3</v>
      </c>
      <c r="Y83" s="24">
        <f t="shared" si="6"/>
        <v>9.4999999999999998E-3</v>
      </c>
      <c r="Z83" s="24">
        <f t="shared" si="7"/>
        <v>1.0999999999999999E-2</v>
      </c>
      <c r="AA83" s="3">
        <f ca="1">IFERROR(__xludf.DUMMYFUNCTION("AVERAGE.WEIGHTED(B83:C83,$AF83:$AG83)"),0.00791007927585184)</f>
        <v>7.91007927585184E-3</v>
      </c>
      <c r="AB83" s="3">
        <f ca="1">IFERROR(__xludf.DUMMYFUNCTION("AVERAGE.WEIGHTED(D83:E83,$AH83:$AI83)"),0.0083824746222167)</f>
        <v>8.3824746222166992E-3</v>
      </c>
      <c r="AC83" s="3">
        <f ca="1">IFERROR(__xludf.DUMMYFUNCTION("AVERAGE.WEIGHTED(F83:G83,$AJ83:$AK83)"),0.00885463701947087)</f>
        <v>8.8546370194708696E-3</v>
      </c>
      <c r="AD83" s="3" t="str">
        <f ca="1">IFERROR(__xludf.DUMMYFUNCTION("AVERAGE.WEIGHTED(H83:I83,$AA$25:$AB$25)"),"#VALUE!")</f>
        <v>#VALUE!</v>
      </c>
      <c r="AE83" s="3" t="str">
        <f ca="1">IFERROR(__xludf.DUMMYFUNCTION("AVERAGE.WEIGHTED(J83:K83,$AA$25:$AB$25)"),"#VALUE!")</f>
        <v>#VALUE!</v>
      </c>
      <c r="AF83" s="209">
        <v>0.47751981896296197</v>
      </c>
      <c r="AG83" s="3">
        <f t="shared" si="8"/>
        <v>0.52248018103703808</v>
      </c>
      <c r="AH83" s="209">
        <v>0.47649492444334002</v>
      </c>
      <c r="AI83" s="3">
        <f t="shared" si="9"/>
        <v>0.52350507555665993</v>
      </c>
      <c r="AJ83" s="209">
        <v>0.47577283657847902</v>
      </c>
      <c r="AK83" s="3">
        <f t="shared" si="10"/>
        <v>0.52422716342152098</v>
      </c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</row>
    <row r="84" spans="1:56" ht="15" x14ac:dyDescent="0.25">
      <c r="A84" s="1">
        <v>56</v>
      </c>
      <c r="B84" s="23">
        <f t="shared" si="22"/>
        <v>4.8071743737607298E-3</v>
      </c>
      <c r="C84" s="23">
        <f t="shared" si="22"/>
        <v>4.9472369335626497E-3</v>
      </c>
      <c r="D84" s="23">
        <f t="shared" si="22"/>
        <v>1.0999999999999999E-2</v>
      </c>
      <c r="E84" s="23">
        <f t="shared" si="22"/>
        <v>6.0000000000000001E-3</v>
      </c>
      <c r="F84" s="23">
        <f t="shared" si="22"/>
        <v>1.2E-2</v>
      </c>
      <c r="G84" s="23">
        <f t="shared" si="22"/>
        <v>6.0000000000000001E-3</v>
      </c>
      <c r="H84" s="23">
        <f t="shared" si="22"/>
        <v>1.2E-2</v>
      </c>
      <c r="I84" s="23">
        <f t="shared" si="22"/>
        <v>7.0000000000000001E-3</v>
      </c>
      <c r="J84" s="23">
        <f t="shared" si="22"/>
        <v>1.4E-2</v>
      </c>
      <c r="K84" s="23">
        <f t="shared" si="22"/>
        <v>8.0000000000000002E-3</v>
      </c>
      <c r="L84" s="23">
        <f t="shared" si="22"/>
        <v>0.05</v>
      </c>
      <c r="M84" s="23">
        <f t="shared" si="22"/>
        <v>2.8000000000000001E-2</v>
      </c>
      <c r="N84" s="23">
        <f t="shared" si="22"/>
        <v>5.3999999999999999E-2</v>
      </c>
      <c r="O84" s="23">
        <f t="shared" si="22"/>
        <v>0.03</v>
      </c>
      <c r="P84" s="23">
        <f t="shared" si="22"/>
        <v>5.7000000000000002E-2</v>
      </c>
      <c r="Q84" s="23">
        <f t="shared" si="22"/>
        <v>3.1E-2</v>
      </c>
      <c r="R84" s="23">
        <f t="shared" si="22"/>
        <v>0.06</v>
      </c>
      <c r="S84" s="23">
        <f t="shared" si="22"/>
        <v>3.3000000000000002E-2</v>
      </c>
      <c r="T84" s="23">
        <f t="shared" si="22"/>
        <v>6.6000000000000003E-2</v>
      </c>
      <c r="U84" s="23">
        <f t="shared" si="22"/>
        <v>3.6999999999999998E-2</v>
      </c>
      <c r="V84" s="24">
        <f t="shared" si="3"/>
        <v>4.8772056536616898E-3</v>
      </c>
      <c r="W84" s="24">
        <f t="shared" si="4"/>
        <v>8.5000000000000006E-3</v>
      </c>
      <c r="X84" s="24">
        <f t="shared" si="5"/>
        <v>9.0000000000000011E-3</v>
      </c>
      <c r="Y84" s="24">
        <f t="shared" si="6"/>
        <v>9.4999999999999998E-3</v>
      </c>
      <c r="Z84" s="24">
        <f t="shared" si="7"/>
        <v>1.0999999999999999E-2</v>
      </c>
      <c r="AA84" s="3">
        <f ca="1">IFERROR(__xludf.DUMMYFUNCTION("AVERAGE.WEIGHTED(B84:C84,$AF84:$AG84)"),0.00790383651514498)</f>
        <v>7.9038365151449796E-3</v>
      </c>
      <c r="AB84" s="3">
        <f ca="1">IFERROR(__xludf.DUMMYFUNCTION("AVERAGE.WEIGHTED(D84:E84,$AH84:$AI84)"),0.00837452231347585)</f>
        <v>8.37452231347585E-3</v>
      </c>
      <c r="AC84" s="3">
        <f ca="1">IFERROR(__xludf.DUMMYFUNCTION("AVERAGE.WEIGHTED(F84:G84,$AJ84:$AK84)"),0.00884668833352011)</f>
        <v>8.8466883335201092E-3</v>
      </c>
      <c r="AD84" s="3" t="str">
        <f ca="1">IFERROR(__xludf.DUMMYFUNCTION("AVERAGE.WEIGHTED(H84:I84,$AA$25:$AB$25)"),"#VALUE!")</f>
        <v>#VALUE!</v>
      </c>
      <c r="AE84" s="3" t="str">
        <f ca="1">IFERROR(__xludf.DUMMYFUNCTION("AVERAGE.WEIGHTED(J84:K84,$AA$25:$AB$25)"),"#VALUE!")</f>
        <v>#VALUE!</v>
      </c>
      <c r="AF84" s="209">
        <v>0.47595912878624602</v>
      </c>
      <c r="AG84" s="3">
        <f t="shared" si="8"/>
        <v>0.52404087121375398</v>
      </c>
      <c r="AH84" s="209">
        <v>0.474904462695171</v>
      </c>
      <c r="AI84" s="3">
        <f t="shared" si="9"/>
        <v>0.52509553730482894</v>
      </c>
      <c r="AJ84" s="209">
        <v>0.47444805558668601</v>
      </c>
      <c r="AK84" s="3">
        <f t="shared" si="10"/>
        <v>0.52555194441331399</v>
      </c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</row>
    <row r="85" spans="1:56" ht="15" x14ac:dyDescent="0.25">
      <c r="A85" s="1">
        <v>57</v>
      </c>
      <c r="B85" s="23">
        <f t="shared" si="22"/>
        <v>4.8071743737607298E-3</v>
      </c>
      <c r="C85" s="23">
        <f t="shared" si="22"/>
        <v>4.9472369335626497E-3</v>
      </c>
      <c r="D85" s="23">
        <f t="shared" si="22"/>
        <v>1.0999999999999999E-2</v>
      </c>
      <c r="E85" s="23">
        <f t="shared" si="22"/>
        <v>6.0000000000000001E-3</v>
      </c>
      <c r="F85" s="23">
        <f t="shared" si="22"/>
        <v>1.2E-2</v>
      </c>
      <c r="G85" s="23">
        <f t="shared" si="22"/>
        <v>6.0000000000000001E-3</v>
      </c>
      <c r="H85" s="23">
        <f t="shared" si="22"/>
        <v>1.2E-2</v>
      </c>
      <c r="I85" s="23">
        <f t="shared" si="22"/>
        <v>7.0000000000000001E-3</v>
      </c>
      <c r="J85" s="23">
        <f t="shared" si="22"/>
        <v>1.4E-2</v>
      </c>
      <c r="K85" s="23">
        <f t="shared" si="22"/>
        <v>8.0000000000000002E-3</v>
      </c>
      <c r="L85" s="23">
        <f t="shared" si="22"/>
        <v>0.05</v>
      </c>
      <c r="M85" s="23">
        <f t="shared" si="22"/>
        <v>2.8000000000000001E-2</v>
      </c>
      <c r="N85" s="23">
        <f t="shared" si="22"/>
        <v>5.3999999999999999E-2</v>
      </c>
      <c r="O85" s="23">
        <f t="shared" si="22"/>
        <v>0.03</v>
      </c>
      <c r="P85" s="23">
        <f t="shared" si="22"/>
        <v>5.7000000000000002E-2</v>
      </c>
      <c r="Q85" s="23">
        <f t="shared" si="22"/>
        <v>3.1E-2</v>
      </c>
      <c r="R85" s="23">
        <f t="shared" si="22"/>
        <v>0.06</v>
      </c>
      <c r="S85" s="23">
        <f t="shared" si="22"/>
        <v>3.3000000000000002E-2</v>
      </c>
      <c r="T85" s="23">
        <f t="shared" si="22"/>
        <v>6.6000000000000003E-2</v>
      </c>
      <c r="U85" s="23">
        <f t="shared" si="22"/>
        <v>3.6999999999999998E-2</v>
      </c>
      <c r="V85" s="24">
        <f t="shared" si="3"/>
        <v>4.8772056536616898E-3</v>
      </c>
      <c r="W85" s="24">
        <f t="shared" si="4"/>
        <v>8.5000000000000006E-3</v>
      </c>
      <c r="X85" s="24">
        <f t="shared" si="5"/>
        <v>9.0000000000000011E-3</v>
      </c>
      <c r="Y85" s="24">
        <f t="shared" si="6"/>
        <v>9.4999999999999998E-3</v>
      </c>
      <c r="Z85" s="24">
        <f t="shared" si="7"/>
        <v>1.0999999999999999E-2</v>
      </c>
      <c r="AA85" s="3">
        <f ca="1">IFERROR(__xludf.DUMMYFUNCTION("AVERAGE.WEIGHTED(B85:C85,$AF85:$AG85)"),0.00789720399252817)</f>
        <v>7.8972039925281692E-3</v>
      </c>
      <c r="AB85" s="3">
        <f ca="1">IFERROR(__xludf.DUMMYFUNCTION("AVERAGE.WEIGHTED(D85:E85,$AH85:$AI85)"),0.0083662601105386)</f>
        <v>8.3662601105385995E-3</v>
      </c>
      <c r="AC85" s="3">
        <f ca="1">IFERROR(__xludf.DUMMYFUNCTION("AVERAGE.WEIGHTED(F85:G85,$AJ85:$AK85)"),0.00883783940192658)</f>
        <v>8.8378394019265807E-3</v>
      </c>
      <c r="AD85" s="3" t="str">
        <f ca="1">IFERROR(__xludf.DUMMYFUNCTION("AVERAGE.WEIGHTED(H85:I85,$AA$25:$AB$25)"),"#VALUE!")</f>
        <v>#VALUE!</v>
      </c>
      <c r="AE85" s="3" t="str">
        <f ca="1">IFERROR(__xludf.DUMMYFUNCTION("AVERAGE.WEIGHTED(J85:K85,$AA$25:$AB$25)"),"#VALUE!")</f>
        <v>#VALUE!</v>
      </c>
      <c r="AF85" s="209">
        <v>0.47430099813204402</v>
      </c>
      <c r="AG85" s="3">
        <f t="shared" si="8"/>
        <v>0.52569900186795593</v>
      </c>
      <c r="AH85" s="209">
        <v>0.47325202210772099</v>
      </c>
      <c r="AI85" s="3">
        <f t="shared" si="9"/>
        <v>0.52674797789227901</v>
      </c>
      <c r="AJ85" s="209">
        <v>0.472973233654431</v>
      </c>
      <c r="AK85" s="3">
        <f t="shared" si="10"/>
        <v>0.527026766345569</v>
      </c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</row>
    <row r="86" spans="1:56" ht="15" x14ac:dyDescent="0.25">
      <c r="A86" s="1">
        <v>58</v>
      </c>
      <c r="B86" s="23">
        <f t="shared" si="22"/>
        <v>4.8071743737607298E-3</v>
      </c>
      <c r="C86" s="23">
        <f t="shared" si="22"/>
        <v>4.9472369335626497E-3</v>
      </c>
      <c r="D86" s="23">
        <f t="shared" si="22"/>
        <v>1.0999999999999999E-2</v>
      </c>
      <c r="E86" s="23">
        <f t="shared" si="22"/>
        <v>6.0000000000000001E-3</v>
      </c>
      <c r="F86" s="23">
        <f t="shared" si="22"/>
        <v>1.2E-2</v>
      </c>
      <c r="G86" s="23">
        <f t="shared" si="22"/>
        <v>6.0000000000000001E-3</v>
      </c>
      <c r="H86" s="23">
        <f t="shared" si="22"/>
        <v>1.2E-2</v>
      </c>
      <c r="I86" s="23">
        <f t="shared" si="22"/>
        <v>7.0000000000000001E-3</v>
      </c>
      <c r="J86" s="23">
        <f t="shared" si="22"/>
        <v>1.4E-2</v>
      </c>
      <c r="K86" s="23">
        <f t="shared" si="22"/>
        <v>8.0000000000000002E-3</v>
      </c>
      <c r="L86" s="23">
        <f t="shared" si="22"/>
        <v>0.05</v>
      </c>
      <c r="M86" s="23">
        <f t="shared" si="22"/>
        <v>2.8000000000000001E-2</v>
      </c>
      <c r="N86" s="23">
        <f t="shared" si="22"/>
        <v>5.3999999999999999E-2</v>
      </c>
      <c r="O86" s="23">
        <f t="shared" si="22"/>
        <v>0.03</v>
      </c>
      <c r="P86" s="23">
        <f t="shared" si="22"/>
        <v>5.7000000000000002E-2</v>
      </c>
      <c r="Q86" s="23">
        <f t="shared" si="22"/>
        <v>3.1E-2</v>
      </c>
      <c r="R86" s="23">
        <f t="shared" si="22"/>
        <v>0.06</v>
      </c>
      <c r="S86" s="23">
        <f t="shared" si="22"/>
        <v>3.3000000000000002E-2</v>
      </c>
      <c r="T86" s="23">
        <f t="shared" si="22"/>
        <v>6.6000000000000003E-2</v>
      </c>
      <c r="U86" s="23">
        <f t="shared" si="22"/>
        <v>3.6999999999999998E-2</v>
      </c>
      <c r="V86" s="24">
        <f t="shared" si="3"/>
        <v>4.8772056536616898E-3</v>
      </c>
      <c r="W86" s="24">
        <f t="shared" si="4"/>
        <v>8.5000000000000006E-3</v>
      </c>
      <c r="X86" s="24">
        <f t="shared" si="5"/>
        <v>9.0000000000000011E-3</v>
      </c>
      <c r="Y86" s="24">
        <f t="shared" si="6"/>
        <v>9.4999999999999998E-3</v>
      </c>
      <c r="Z86" s="24">
        <f t="shared" si="7"/>
        <v>1.0999999999999999E-2</v>
      </c>
      <c r="AA86" s="3">
        <f ca="1">IFERROR(__xludf.DUMMYFUNCTION("AVERAGE.WEIGHTED(B86:C86,$AF86:$AG86)"),0.00789031869690624)</f>
        <v>7.8903186969062396E-3</v>
      </c>
      <c r="AB86" s="3">
        <f ca="1">IFERROR(__xludf.DUMMYFUNCTION("AVERAGE.WEIGHTED(D86:E86,$AH86:$AI86)"),0.00835788509500027)</f>
        <v>8.3578850950002705E-3</v>
      </c>
      <c r="AC86" s="3">
        <f ca="1">IFERROR(__xludf.DUMMYFUNCTION("AVERAGE.WEIGHTED(F86:G86,$AJ86:$AK86)"),0.00882698800933527)</f>
        <v>8.8269880093352696E-3</v>
      </c>
      <c r="AD86" s="3" t="str">
        <f ca="1">IFERROR(__xludf.DUMMYFUNCTION("AVERAGE.WEIGHTED(H86:I86,$AA$25:$AB$25)"),"#VALUE!")</f>
        <v>#VALUE!</v>
      </c>
      <c r="AE86" s="3" t="str">
        <f ca="1">IFERROR(__xludf.DUMMYFUNCTION("AVERAGE.WEIGHTED(J86:K86,$AA$25:$AB$25)"),"#VALUE!")</f>
        <v>#VALUE!</v>
      </c>
      <c r="AF86" s="209">
        <v>0.47257967422656</v>
      </c>
      <c r="AG86" s="3">
        <f t="shared" si="8"/>
        <v>0.52742032577344</v>
      </c>
      <c r="AH86" s="209">
        <v>0.471577019000055</v>
      </c>
      <c r="AI86" s="3">
        <f t="shared" si="9"/>
        <v>0.528422980999945</v>
      </c>
      <c r="AJ86" s="209">
        <v>0.47116466822254599</v>
      </c>
      <c r="AK86" s="3">
        <f t="shared" si="10"/>
        <v>0.52883533177745401</v>
      </c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</row>
    <row r="87" spans="1:56" ht="15" x14ac:dyDescent="0.25">
      <c r="A87" s="1">
        <v>59</v>
      </c>
      <c r="B87" s="23">
        <f t="shared" si="22"/>
        <v>4.8071743737607298E-3</v>
      </c>
      <c r="C87" s="23">
        <f t="shared" si="22"/>
        <v>4.9472369335626497E-3</v>
      </c>
      <c r="D87" s="23">
        <f t="shared" si="22"/>
        <v>1.0999999999999999E-2</v>
      </c>
      <c r="E87" s="23">
        <f t="shared" si="22"/>
        <v>6.0000000000000001E-3</v>
      </c>
      <c r="F87" s="23">
        <f t="shared" si="22"/>
        <v>1.2E-2</v>
      </c>
      <c r="G87" s="23">
        <f t="shared" si="22"/>
        <v>6.0000000000000001E-3</v>
      </c>
      <c r="H87" s="23">
        <f t="shared" si="22"/>
        <v>1.2E-2</v>
      </c>
      <c r="I87" s="23">
        <f t="shared" si="22"/>
        <v>7.0000000000000001E-3</v>
      </c>
      <c r="J87" s="23">
        <f t="shared" si="22"/>
        <v>1.4E-2</v>
      </c>
      <c r="K87" s="23">
        <f t="shared" si="22"/>
        <v>8.0000000000000002E-3</v>
      </c>
      <c r="L87" s="23">
        <f t="shared" si="22"/>
        <v>0.05</v>
      </c>
      <c r="M87" s="23">
        <f t="shared" si="22"/>
        <v>2.8000000000000001E-2</v>
      </c>
      <c r="N87" s="23">
        <f t="shared" si="22"/>
        <v>5.3999999999999999E-2</v>
      </c>
      <c r="O87" s="23">
        <f t="shared" si="22"/>
        <v>0.03</v>
      </c>
      <c r="P87" s="23">
        <f t="shared" si="22"/>
        <v>5.7000000000000002E-2</v>
      </c>
      <c r="Q87" s="23">
        <f t="shared" si="22"/>
        <v>3.1E-2</v>
      </c>
      <c r="R87" s="23">
        <f t="shared" si="22"/>
        <v>0.06</v>
      </c>
      <c r="S87" s="23">
        <f t="shared" si="22"/>
        <v>3.3000000000000002E-2</v>
      </c>
      <c r="T87" s="23">
        <f t="shared" si="22"/>
        <v>6.6000000000000003E-2</v>
      </c>
      <c r="U87" s="23">
        <f t="shared" si="22"/>
        <v>3.6999999999999998E-2</v>
      </c>
      <c r="V87" s="24">
        <f t="shared" si="3"/>
        <v>4.8772056536616898E-3</v>
      </c>
      <c r="W87" s="24">
        <f t="shared" si="4"/>
        <v>8.5000000000000006E-3</v>
      </c>
      <c r="X87" s="24">
        <f t="shared" si="5"/>
        <v>9.0000000000000011E-3</v>
      </c>
      <c r="Y87" s="24">
        <f t="shared" si="6"/>
        <v>9.4999999999999998E-3</v>
      </c>
      <c r="Z87" s="24">
        <f t="shared" si="7"/>
        <v>1.0999999999999999E-2</v>
      </c>
      <c r="AA87" s="3">
        <f ca="1">IFERROR(__xludf.DUMMYFUNCTION("AVERAGE.WEIGHTED(B87:C87,$AF87:$AG87)"),0.00788289101963464)</f>
        <v>7.8828910196346406E-3</v>
      </c>
      <c r="AB87" s="3">
        <f ca="1">IFERROR(__xludf.DUMMYFUNCTION("AVERAGE.WEIGHTED(D87:E87,$AH87:$AI87)"),0.00834939771977803)</f>
        <v>8.3493977197780303E-3</v>
      </c>
      <c r="AC87" s="3">
        <f ca="1">IFERROR(__xludf.DUMMYFUNCTION("AVERAGE.WEIGHTED(F87:G87,$AJ87:$AK87)"),0.00881471153986689)</f>
        <v>8.8147115398668902E-3</v>
      </c>
      <c r="AD87" s="3" t="str">
        <f ca="1">IFERROR(__xludf.DUMMYFUNCTION("AVERAGE.WEIGHTED(H87:I87,$AA$25:$AB$25)"),"#VALUE!")</f>
        <v>#VALUE!</v>
      </c>
      <c r="AE87" s="3" t="str">
        <f ca="1">IFERROR(__xludf.DUMMYFUNCTION("AVERAGE.WEIGHTED(J87:K87,$AA$25:$AB$25)"),"#VALUE!")</f>
        <v>#VALUE!</v>
      </c>
      <c r="AF87" s="209">
        <v>0.470722754908661</v>
      </c>
      <c r="AG87" s="3">
        <f t="shared" si="8"/>
        <v>0.529277245091339</v>
      </c>
      <c r="AH87" s="209">
        <v>0.46987954395560699</v>
      </c>
      <c r="AI87" s="3">
        <f t="shared" si="9"/>
        <v>0.53012045604439306</v>
      </c>
      <c r="AJ87" s="209">
        <v>0.46911858997781603</v>
      </c>
      <c r="AK87" s="3">
        <f t="shared" si="10"/>
        <v>0.53088141002218392</v>
      </c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</row>
    <row r="88" spans="1:56" ht="15" x14ac:dyDescent="0.25">
      <c r="A88" s="1">
        <v>60</v>
      </c>
      <c r="B88" s="23">
        <f t="shared" ref="B88:U92" si="23">B$18</f>
        <v>7.9044460184792692E-3</v>
      </c>
      <c r="C88" s="23">
        <f t="shared" si="23"/>
        <v>8.0769732419688611E-3</v>
      </c>
      <c r="D88" s="23">
        <f t="shared" si="23"/>
        <v>1.6E-2</v>
      </c>
      <c r="E88" s="23">
        <f t="shared" si="23"/>
        <v>8.9999999999999993E-3</v>
      </c>
      <c r="F88" s="23">
        <f t="shared" si="23"/>
        <v>1.7000000000000001E-2</v>
      </c>
      <c r="G88" s="23">
        <f t="shared" si="23"/>
        <v>0.01</v>
      </c>
      <c r="H88" s="23">
        <f t="shared" si="23"/>
        <v>1.7999999999999999E-2</v>
      </c>
      <c r="I88" s="23">
        <f t="shared" si="23"/>
        <v>0.01</v>
      </c>
      <c r="J88" s="23">
        <f t="shared" si="23"/>
        <v>0.02</v>
      </c>
      <c r="K88" s="23">
        <f t="shared" si="23"/>
        <v>1.2E-2</v>
      </c>
      <c r="L88" s="23">
        <f t="shared" si="23"/>
        <v>7.4999999999999997E-2</v>
      </c>
      <c r="M88" s="23">
        <f t="shared" si="23"/>
        <v>4.2999999999999997E-2</v>
      </c>
      <c r="N88" s="23">
        <f t="shared" si="23"/>
        <v>7.5999999999999998E-2</v>
      </c>
      <c r="O88" s="23">
        <f t="shared" si="23"/>
        <v>4.3999999999999997E-2</v>
      </c>
      <c r="P88" s="23">
        <f t="shared" si="23"/>
        <v>8.2000000000000003E-2</v>
      </c>
      <c r="Q88" s="23">
        <f t="shared" si="23"/>
        <v>4.7E-2</v>
      </c>
      <c r="R88" s="23">
        <f t="shared" si="23"/>
        <v>8.5999999999999993E-2</v>
      </c>
      <c r="S88" s="23">
        <f t="shared" si="23"/>
        <v>0.05</v>
      </c>
      <c r="T88" s="23">
        <f t="shared" si="23"/>
        <v>9.4E-2</v>
      </c>
      <c r="U88" s="23">
        <f t="shared" si="23"/>
        <v>5.7000000000000002E-2</v>
      </c>
      <c r="V88" s="24">
        <f t="shared" si="3"/>
        <v>7.990709630224066E-3</v>
      </c>
      <c r="W88" s="24">
        <f t="shared" si="4"/>
        <v>1.2500000000000001E-2</v>
      </c>
      <c r="X88" s="24">
        <f t="shared" si="5"/>
        <v>1.3500000000000002E-2</v>
      </c>
      <c r="Y88" s="24">
        <f t="shared" si="6"/>
        <v>1.3999999999999999E-2</v>
      </c>
      <c r="Z88" s="24">
        <f t="shared" si="7"/>
        <v>1.6E-2</v>
      </c>
      <c r="AA88" s="3">
        <f ca="1">IFERROR(__xludf.DUMMYFUNCTION("AVERAGE.WEIGHTED(B88:C88,$AF88:$AG88)"),0.0122809018685801)</f>
        <v>1.2280901868580101E-2</v>
      </c>
      <c r="AB88" s="3">
        <f ca="1">IFERROR(__xludf.DUMMYFUNCTION("AVERAGE.WEIGHTED(D88:E88,$AH88:$AI88)"),0.0122766712072912)</f>
        <v>1.2276671207291199E-2</v>
      </c>
      <c r="AC88" s="3">
        <f ca="1">IFERROR(__xludf.DUMMYFUNCTION("AVERAGE.WEIGHTED(F88:G88,$AJ88:$AK88)"),0.0132720983577572)</f>
        <v>1.32720983577572E-2</v>
      </c>
      <c r="AD88" s="3" t="str">
        <f ca="1">IFERROR(__xludf.DUMMYFUNCTION("AVERAGE.WEIGHTED(H88:I88,$AA$25:$AB$25)"),"#VALUE!")</f>
        <v>#VALUE!</v>
      </c>
      <c r="AE88" s="3" t="str">
        <f ca="1">IFERROR(__xludf.DUMMYFUNCTION("AVERAGE.WEIGHTED(J88:K88,$AA$25:$AB$25)"),"#VALUE!")</f>
        <v>#VALUE!</v>
      </c>
      <c r="AF88" s="209">
        <v>0.46870026694001998</v>
      </c>
      <c r="AG88" s="3">
        <f t="shared" si="8"/>
        <v>0.53129973305998002</v>
      </c>
      <c r="AH88" s="209">
        <v>0.46809588675588798</v>
      </c>
      <c r="AI88" s="3">
        <f t="shared" si="9"/>
        <v>0.53190411324411202</v>
      </c>
      <c r="AJ88" s="209">
        <v>0.46744262253675201</v>
      </c>
      <c r="AK88" s="3">
        <f t="shared" si="10"/>
        <v>0.53255737746324794</v>
      </c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</row>
    <row r="89" spans="1:56" ht="15" x14ac:dyDescent="0.25">
      <c r="A89" s="1">
        <v>61</v>
      </c>
      <c r="B89" s="23">
        <f t="shared" si="23"/>
        <v>7.9044460184792692E-3</v>
      </c>
      <c r="C89" s="23">
        <f t="shared" si="23"/>
        <v>8.0769732419688611E-3</v>
      </c>
      <c r="D89" s="23">
        <f t="shared" si="23"/>
        <v>1.6E-2</v>
      </c>
      <c r="E89" s="23">
        <f t="shared" si="23"/>
        <v>8.9999999999999993E-3</v>
      </c>
      <c r="F89" s="23">
        <f t="shared" si="23"/>
        <v>1.7000000000000001E-2</v>
      </c>
      <c r="G89" s="23">
        <f t="shared" si="23"/>
        <v>0.01</v>
      </c>
      <c r="H89" s="23">
        <f t="shared" si="23"/>
        <v>1.7999999999999999E-2</v>
      </c>
      <c r="I89" s="23">
        <f t="shared" si="23"/>
        <v>0.01</v>
      </c>
      <c r="J89" s="23">
        <f t="shared" si="23"/>
        <v>0.02</v>
      </c>
      <c r="K89" s="23">
        <f t="shared" si="23"/>
        <v>1.2E-2</v>
      </c>
      <c r="L89" s="23">
        <f t="shared" si="23"/>
        <v>7.4999999999999997E-2</v>
      </c>
      <c r="M89" s="23">
        <f t="shared" si="23"/>
        <v>4.2999999999999997E-2</v>
      </c>
      <c r="N89" s="23">
        <f t="shared" si="23"/>
        <v>7.5999999999999998E-2</v>
      </c>
      <c r="O89" s="23">
        <f t="shared" si="23"/>
        <v>4.3999999999999997E-2</v>
      </c>
      <c r="P89" s="23">
        <f t="shared" si="23"/>
        <v>8.2000000000000003E-2</v>
      </c>
      <c r="Q89" s="23">
        <f t="shared" si="23"/>
        <v>4.7E-2</v>
      </c>
      <c r="R89" s="23">
        <f t="shared" si="23"/>
        <v>8.5999999999999993E-2</v>
      </c>
      <c r="S89" s="23">
        <f t="shared" si="23"/>
        <v>0.05</v>
      </c>
      <c r="T89" s="23">
        <f t="shared" si="23"/>
        <v>9.4E-2</v>
      </c>
      <c r="U89" s="23">
        <f t="shared" si="23"/>
        <v>5.7000000000000002E-2</v>
      </c>
      <c r="V89" s="24">
        <f t="shared" si="3"/>
        <v>7.990709630224066E-3</v>
      </c>
      <c r="W89" s="24">
        <f t="shared" si="4"/>
        <v>1.2500000000000001E-2</v>
      </c>
      <c r="X89" s="24">
        <f t="shared" si="5"/>
        <v>1.3500000000000002E-2</v>
      </c>
      <c r="Y89" s="24">
        <f t="shared" si="6"/>
        <v>1.3999999999999999E-2</v>
      </c>
      <c r="Z89" s="24">
        <f t="shared" si="7"/>
        <v>1.6E-2</v>
      </c>
      <c r="AA89" s="3">
        <f ca="1">IFERROR(__xludf.DUMMYFUNCTION("AVERAGE.WEIGHTED(B89:C89,$AF89:$AG89)"),0.0122658924615007)</f>
        <v>1.2265892461500699E-2</v>
      </c>
      <c r="AB89" s="3">
        <f ca="1">IFERROR(__xludf.DUMMYFUNCTION("AVERAGE.WEIGHTED(D89:E89,$AH89:$AI89)"),0.0122638111600103)</f>
        <v>1.22638111600103E-2</v>
      </c>
      <c r="AC89" s="3">
        <f ca="1">IFERROR(__xludf.DUMMYFUNCTION("AVERAGE.WEIGHTED(F89:G89,$AJ89:$AK89)"),0.0132649265979563)</f>
        <v>1.3264926597956301E-2</v>
      </c>
      <c r="AD89" s="3" t="str">
        <f ca="1">IFERROR(__xludf.DUMMYFUNCTION("AVERAGE.WEIGHTED(H89:I89,$AA$25:$AB$25)"),"#VALUE!")</f>
        <v>#VALUE!</v>
      </c>
      <c r="AE89" s="3" t="str">
        <f ca="1">IFERROR(__xludf.DUMMYFUNCTION("AVERAGE.WEIGHTED(J89:K89,$AA$25:$AB$25)"),"#VALUE!")</f>
        <v>#VALUE!</v>
      </c>
      <c r="AF89" s="209">
        <v>0.46655606592867999</v>
      </c>
      <c r="AG89" s="3">
        <f t="shared" si="8"/>
        <v>0.53344393407131996</v>
      </c>
      <c r="AH89" s="209">
        <v>0.46625873714433602</v>
      </c>
      <c r="AI89" s="3">
        <f t="shared" si="9"/>
        <v>0.53374126285566392</v>
      </c>
      <c r="AJ89" s="209">
        <v>0.46641808542232999</v>
      </c>
      <c r="AK89" s="3">
        <f t="shared" si="10"/>
        <v>0.53358191457767001</v>
      </c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</row>
    <row r="90" spans="1:56" ht="15" x14ac:dyDescent="0.25">
      <c r="A90" s="1">
        <v>62</v>
      </c>
      <c r="B90" s="23">
        <f t="shared" si="23"/>
        <v>7.9044460184792692E-3</v>
      </c>
      <c r="C90" s="23">
        <f t="shared" si="23"/>
        <v>8.0769732419688611E-3</v>
      </c>
      <c r="D90" s="23">
        <f t="shared" si="23"/>
        <v>1.6E-2</v>
      </c>
      <c r="E90" s="23">
        <f t="shared" si="23"/>
        <v>8.9999999999999993E-3</v>
      </c>
      <c r="F90" s="23">
        <f t="shared" si="23"/>
        <v>1.7000000000000001E-2</v>
      </c>
      <c r="G90" s="23">
        <f t="shared" si="23"/>
        <v>0.01</v>
      </c>
      <c r="H90" s="23">
        <f t="shared" si="23"/>
        <v>1.7999999999999999E-2</v>
      </c>
      <c r="I90" s="23">
        <f t="shared" si="23"/>
        <v>0.01</v>
      </c>
      <c r="J90" s="23">
        <f t="shared" si="23"/>
        <v>0.02</v>
      </c>
      <c r="K90" s="23">
        <f t="shared" si="23"/>
        <v>1.2E-2</v>
      </c>
      <c r="L90" s="23">
        <f t="shared" si="23"/>
        <v>7.4999999999999997E-2</v>
      </c>
      <c r="M90" s="23">
        <f t="shared" si="23"/>
        <v>4.2999999999999997E-2</v>
      </c>
      <c r="N90" s="23">
        <f t="shared" si="23"/>
        <v>7.5999999999999998E-2</v>
      </c>
      <c r="O90" s="23">
        <f t="shared" si="23"/>
        <v>4.3999999999999997E-2</v>
      </c>
      <c r="P90" s="23">
        <f t="shared" si="23"/>
        <v>8.2000000000000003E-2</v>
      </c>
      <c r="Q90" s="23">
        <f t="shared" si="23"/>
        <v>4.7E-2</v>
      </c>
      <c r="R90" s="23">
        <f t="shared" si="23"/>
        <v>8.5999999999999993E-2</v>
      </c>
      <c r="S90" s="23">
        <f t="shared" si="23"/>
        <v>0.05</v>
      </c>
      <c r="T90" s="23">
        <f t="shared" si="23"/>
        <v>9.4E-2</v>
      </c>
      <c r="U90" s="23">
        <f t="shared" si="23"/>
        <v>5.7000000000000002E-2</v>
      </c>
      <c r="V90" s="24">
        <f t="shared" si="3"/>
        <v>7.990709630224066E-3</v>
      </c>
      <c r="W90" s="24">
        <f t="shared" si="4"/>
        <v>1.2500000000000001E-2</v>
      </c>
      <c r="X90" s="24">
        <f t="shared" si="5"/>
        <v>1.3500000000000002E-2</v>
      </c>
      <c r="Y90" s="24">
        <f t="shared" si="6"/>
        <v>1.3999999999999999E-2</v>
      </c>
      <c r="Z90" s="24">
        <f t="shared" si="7"/>
        <v>1.6E-2</v>
      </c>
      <c r="AA90" s="3">
        <f ca="1">IFERROR(__xludf.DUMMYFUNCTION("AVERAGE.WEIGHTED(B90:C90,$AF90:$AG90)"),0.0122503646052672)</f>
        <v>1.2250364605267201E-2</v>
      </c>
      <c r="AB90" s="3">
        <f ca="1">IFERROR(__xludf.DUMMYFUNCTION("AVERAGE.WEIGHTED(D90:E90,$AH90:$AI90)"),0.0122495709741844)</f>
        <v>1.2249570974184399E-2</v>
      </c>
      <c r="AC90" s="3">
        <f ca="1">IFERROR(__xludf.DUMMYFUNCTION("AVERAGE.WEIGHTED(F90:G90,$AJ90:$AK90)"),0.0132567387582146)</f>
        <v>1.3256738758214599E-2</v>
      </c>
      <c r="AD90" s="3" t="str">
        <f ca="1">IFERROR(__xludf.DUMMYFUNCTION("AVERAGE.WEIGHTED(H90:I90,$AA$25:$AB$25)"),"#VALUE!")</f>
        <v>#VALUE!</v>
      </c>
      <c r="AE90" s="3" t="str">
        <f ca="1">IFERROR(__xludf.DUMMYFUNCTION("AVERAGE.WEIGHTED(J90:K90,$AA$25:$AB$25)"),"#VALUE!")</f>
        <v>#VALUE!</v>
      </c>
      <c r="AF90" s="209">
        <v>0.464337800752464</v>
      </c>
      <c r="AG90" s="3">
        <f t="shared" si="8"/>
        <v>0.535662199247536</v>
      </c>
      <c r="AH90" s="209">
        <v>0.46422442488349702</v>
      </c>
      <c r="AI90" s="3">
        <f t="shared" si="9"/>
        <v>0.53577557511650298</v>
      </c>
      <c r="AJ90" s="209">
        <v>0.46524839403065998</v>
      </c>
      <c r="AK90" s="3">
        <f t="shared" si="10"/>
        <v>0.53475160596934002</v>
      </c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</row>
    <row r="91" spans="1:56" ht="15" x14ac:dyDescent="0.25">
      <c r="A91" s="1">
        <v>63</v>
      </c>
      <c r="B91" s="23">
        <f t="shared" si="23"/>
        <v>7.9044460184792692E-3</v>
      </c>
      <c r="C91" s="23">
        <f t="shared" si="23"/>
        <v>8.0769732419688611E-3</v>
      </c>
      <c r="D91" s="23">
        <f t="shared" si="23"/>
        <v>1.6E-2</v>
      </c>
      <c r="E91" s="23">
        <f t="shared" si="23"/>
        <v>8.9999999999999993E-3</v>
      </c>
      <c r="F91" s="23">
        <f t="shared" si="23"/>
        <v>1.7000000000000001E-2</v>
      </c>
      <c r="G91" s="23">
        <f t="shared" si="23"/>
        <v>0.01</v>
      </c>
      <c r="H91" s="23">
        <f t="shared" si="23"/>
        <v>1.7999999999999999E-2</v>
      </c>
      <c r="I91" s="23">
        <f t="shared" si="23"/>
        <v>0.01</v>
      </c>
      <c r="J91" s="23">
        <f t="shared" si="23"/>
        <v>0.02</v>
      </c>
      <c r="K91" s="23">
        <f t="shared" si="23"/>
        <v>1.2E-2</v>
      </c>
      <c r="L91" s="23">
        <f t="shared" si="23"/>
        <v>7.4999999999999997E-2</v>
      </c>
      <c r="M91" s="23">
        <f t="shared" si="23"/>
        <v>4.2999999999999997E-2</v>
      </c>
      <c r="N91" s="23">
        <f t="shared" si="23"/>
        <v>7.5999999999999998E-2</v>
      </c>
      <c r="O91" s="23">
        <f t="shared" si="23"/>
        <v>4.3999999999999997E-2</v>
      </c>
      <c r="P91" s="23">
        <f t="shared" si="23"/>
        <v>8.2000000000000003E-2</v>
      </c>
      <c r="Q91" s="23">
        <f t="shared" si="23"/>
        <v>4.7E-2</v>
      </c>
      <c r="R91" s="23">
        <f t="shared" si="23"/>
        <v>8.5999999999999993E-2</v>
      </c>
      <c r="S91" s="23">
        <f t="shared" si="23"/>
        <v>0.05</v>
      </c>
      <c r="T91" s="23">
        <f t="shared" si="23"/>
        <v>9.4E-2</v>
      </c>
      <c r="U91" s="23">
        <f t="shared" si="23"/>
        <v>5.7000000000000002E-2</v>
      </c>
      <c r="V91" s="24">
        <f t="shared" si="3"/>
        <v>7.990709630224066E-3</v>
      </c>
      <c r="W91" s="24">
        <f t="shared" si="4"/>
        <v>1.2500000000000001E-2</v>
      </c>
      <c r="X91" s="24">
        <f t="shared" si="5"/>
        <v>1.3500000000000002E-2</v>
      </c>
      <c r="Y91" s="24">
        <f t="shared" si="6"/>
        <v>1.3999999999999999E-2</v>
      </c>
      <c r="Z91" s="24">
        <f t="shared" si="7"/>
        <v>1.6E-2</v>
      </c>
      <c r="AA91" s="3">
        <f ca="1">IFERROR(__xludf.DUMMYFUNCTION("AVERAGE.WEIGHTED(B91:C91,$AF91:$AG91)"),0.0122344588783523)</f>
        <v>1.2234458878352301E-2</v>
      </c>
      <c r="AB91" s="3">
        <f ca="1">IFERROR(__xludf.DUMMYFUNCTION("AVERAGE.WEIGHTED(D91:E91,$AH91:$AI91)"),0.0122326240823533)</f>
        <v>1.22326240823533E-2</v>
      </c>
      <c r="AC91" s="3">
        <f ca="1">IFERROR(__xludf.DUMMYFUNCTION("AVERAGE.WEIGHTED(F91:G91,$AJ91:$AK91)"),0.0132435663918008)</f>
        <v>1.32435663918008E-2</v>
      </c>
      <c r="AD91" s="3" t="str">
        <f ca="1">IFERROR(__xludf.DUMMYFUNCTION("AVERAGE.WEIGHTED(H91:I91,$AA$25:$AB$25)"),"#VALUE!")</f>
        <v>#VALUE!</v>
      </c>
      <c r="AE91" s="3" t="str">
        <f ca="1">IFERROR(__xludf.DUMMYFUNCTION("AVERAGE.WEIGHTED(J91:K91,$AA$25:$AB$25)"),"#VALUE!")</f>
        <v>#VALUE!</v>
      </c>
      <c r="AF91" s="209">
        <v>0.46206555405033201</v>
      </c>
      <c r="AG91" s="3">
        <f t="shared" si="8"/>
        <v>0.53793444594966799</v>
      </c>
      <c r="AH91" s="209">
        <v>0.46180344033618698</v>
      </c>
      <c r="AI91" s="3">
        <f t="shared" si="9"/>
        <v>0.53819655966381297</v>
      </c>
      <c r="AJ91" s="209">
        <v>0.46336662740012602</v>
      </c>
      <c r="AK91" s="3">
        <f t="shared" si="10"/>
        <v>0.53663337259987398</v>
      </c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</row>
    <row r="92" spans="1:56" ht="15" x14ac:dyDescent="0.25">
      <c r="A92" s="1">
        <v>64</v>
      </c>
      <c r="B92" s="23">
        <f t="shared" si="23"/>
        <v>7.9044460184792692E-3</v>
      </c>
      <c r="C92" s="23">
        <f t="shared" si="23"/>
        <v>8.0769732419688611E-3</v>
      </c>
      <c r="D92" s="23">
        <f t="shared" si="23"/>
        <v>1.6E-2</v>
      </c>
      <c r="E92" s="23">
        <f t="shared" si="23"/>
        <v>8.9999999999999993E-3</v>
      </c>
      <c r="F92" s="23">
        <f t="shared" si="23"/>
        <v>1.7000000000000001E-2</v>
      </c>
      <c r="G92" s="23">
        <f t="shared" si="23"/>
        <v>0.01</v>
      </c>
      <c r="H92" s="23">
        <f t="shared" si="23"/>
        <v>1.7999999999999999E-2</v>
      </c>
      <c r="I92" s="23">
        <f t="shared" si="23"/>
        <v>0.01</v>
      </c>
      <c r="J92" s="23">
        <f t="shared" si="23"/>
        <v>0.02</v>
      </c>
      <c r="K92" s="23">
        <f t="shared" si="23"/>
        <v>1.2E-2</v>
      </c>
      <c r="L92" s="23">
        <f t="shared" si="23"/>
        <v>7.4999999999999997E-2</v>
      </c>
      <c r="M92" s="23">
        <f t="shared" si="23"/>
        <v>4.2999999999999997E-2</v>
      </c>
      <c r="N92" s="23">
        <f t="shared" si="23"/>
        <v>7.5999999999999998E-2</v>
      </c>
      <c r="O92" s="23">
        <f t="shared" si="23"/>
        <v>4.3999999999999997E-2</v>
      </c>
      <c r="P92" s="23">
        <f t="shared" si="23"/>
        <v>8.2000000000000003E-2</v>
      </c>
      <c r="Q92" s="23">
        <f t="shared" si="23"/>
        <v>4.7E-2</v>
      </c>
      <c r="R92" s="23">
        <f t="shared" si="23"/>
        <v>8.5999999999999993E-2</v>
      </c>
      <c r="S92" s="23">
        <f t="shared" si="23"/>
        <v>0.05</v>
      </c>
      <c r="T92" s="23">
        <f t="shared" si="23"/>
        <v>9.4E-2</v>
      </c>
      <c r="U92" s="23">
        <f t="shared" si="23"/>
        <v>5.7000000000000002E-2</v>
      </c>
      <c r="V92" s="24">
        <f t="shared" si="3"/>
        <v>7.990709630224066E-3</v>
      </c>
      <c r="W92" s="24">
        <f t="shared" si="4"/>
        <v>1.2500000000000001E-2</v>
      </c>
      <c r="X92" s="24">
        <f t="shared" si="5"/>
        <v>1.3500000000000002E-2</v>
      </c>
      <c r="Y92" s="24">
        <f t="shared" si="6"/>
        <v>1.3999999999999999E-2</v>
      </c>
      <c r="Z92" s="24">
        <f t="shared" si="7"/>
        <v>1.6E-2</v>
      </c>
      <c r="AA92" s="3">
        <f ca="1">IFERROR(__xludf.DUMMYFUNCTION("AVERAGE.WEIGHTED(B92:C92,$AF92:$AG92)"),0.012217799302875)</f>
        <v>1.2217799302875001E-2</v>
      </c>
      <c r="AB92" s="3">
        <f ca="1">IFERROR(__xludf.DUMMYFUNCTION("AVERAGE.WEIGHTED(D92:E92,$AH92:$AI92)"),0.0122136535516861)</f>
        <v>1.2213653551686099E-2</v>
      </c>
      <c r="AC92" s="3">
        <f ca="1">IFERROR(__xludf.DUMMYFUNCTION("AVERAGE.WEIGHTED(F92:G92,$AJ92:$AK92)"),0.0132573786788384)</f>
        <v>1.3257378678838401E-2</v>
      </c>
      <c r="AD92" s="3" t="str">
        <f ca="1">IFERROR(__xludf.DUMMYFUNCTION("AVERAGE.WEIGHTED(H92:I92,$AA$25:$AB$25)"),"#VALUE!")</f>
        <v>#VALUE!</v>
      </c>
      <c r="AE92" s="3" t="str">
        <f ca="1">IFERROR(__xludf.DUMMYFUNCTION("AVERAGE.WEIGHTED(J92:K92,$AA$25:$AB$25)"),"#VALUE!")</f>
        <v>#VALUE!</v>
      </c>
      <c r="AF92" s="209">
        <v>0.45968561469642899</v>
      </c>
      <c r="AG92" s="3">
        <f t="shared" si="8"/>
        <v>0.54031438530357101</v>
      </c>
      <c r="AH92" s="209">
        <v>0.45909336452659799</v>
      </c>
      <c r="AI92" s="3">
        <f t="shared" si="9"/>
        <v>0.54090663547340201</v>
      </c>
      <c r="AJ92" s="209">
        <v>0.46533981126263602</v>
      </c>
      <c r="AK92" s="3">
        <f t="shared" si="10"/>
        <v>0.53466018873736398</v>
      </c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</row>
    <row r="93" spans="1:56" ht="15" x14ac:dyDescent="0.25">
      <c r="A93" s="1">
        <v>65</v>
      </c>
      <c r="B93" s="23">
        <f t="shared" ref="B93:U97" si="24">B$19</f>
        <v>1.21836504392135E-2</v>
      </c>
      <c r="C93" s="23">
        <f t="shared" si="24"/>
        <v>1.24253218174981E-2</v>
      </c>
      <c r="D93" s="23">
        <f t="shared" si="24"/>
        <v>2.4E-2</v>
      </c>
      <c r="E93" s="23">
        <f t="shared" si="24"/>
        <v>1.4E-2</v>
      </c>
      <c r="F93" s="23">
        <f t="shared" si="24"/>
        <v>2.5999999999999999E-2</v>
      </c>
      <c r="G93" s="23">
        <f t="shared" si="24"/>
        <v>1.4999999999999999E-2</v>
      </c>
      <c r="H93" s="23">
        <f t="shared" si="24"/>
        <v>2.7E-2</v>
      </c>
      <c r="I93" s="23">
        <f t="shared" si="24"/>
        <v>1.6E-2</v>
      </c>
      <c r="J93" s="23">
        <f t="shared" si="24"/>
        <v>0.03</v>
      </c>
      <c r="K93" s="23">
        <f t="shared" si="24"/>
        <v>1.7999999999999999E-2</v>
      </c>
      <c r="L93" s="23">
        <f t="shared" si="24"/>
        <v>0.11</v>
      </c>
      <c r="M93" s="23">
        <f t="shared" si="24"/>
        <v>6.5000000000000002E-2</v>
      </c>
      <c r="N93" s="23">
        <f t="shared" si="24"/>
        <v>0.11</v>
      </c>
      <c r="O93" s="23">
        <f t="shared" si="24"/>
        <v>6.9000000000000006E-2</v>
      </c>
      <c r="P93" s="23">
        <f t="shared" si="24"/>
        <v>0.12</v>
      </c>
      <c r="Q93" s="23">
        <f t="shared" si="24"/>
        <v>7.3999999999999996E-2</v>
      </c>
      <c r="R93" s="23">
        <f t="shared" si="24"/>
        <v>0.12</v>
      </c>
      <c r="S93" s="23">
        <f t="shared" si="24"/>
        <v>7.6999999999999999E-2</v>
      </c>
      <c r="T93" s="23">
        <f t="shared" si="24"/>
        <v>0.14000000000000001</v>
      </c>
      <c r="U93" s="23">
        <f t="shared" si="24"/>
        <v>8.6999999999999994E-2</v>
      </c>
      <c r="V93" s="24">
        <f t="shared" si="3"/>
        <v>1.23044861283558E-2</v>
      </c>
      <c r="W93" s="24">
        <f t="shared" si="4"/>
        <v>1.9E-2</v>
      </c>
      <c r="X93" s="24">
        <f t="shared" si="5"/>
        <v>2.0499999999999997E-2</v>
      </c>
      <c r="Y93" s="24">
        <f t="shared" si="6"/>
        <v>2.1499999999999998E-2</v>
      </c>
      <c r="Z93" s="24">
        <f t="shared" si="7"/>
        <v>2.4E-2</v>
      </c>
      <c r="AA93" s="3">
        <f ca="1">IFERROR(__xludf.DUMMYFUNCTION("AVERAGE.WEIGHTED(B93:C93,$AF93:$AG93)"),0.0175723675829915)</f>
        <v>1.7572367582991501E-2</v>
      </c>
      <c r="AB93" s="3">
        <f ca="1">IFERROR(__xludf.DUMMYFUNCTION("AVERAGE.WEIGHTED(D93:E93,$AH93:$AI93)"),0.0185683155542407)</f>
        <v>1.85683155542407E-2</v>
      </c>
      <c r="AC93" s="3">
        <f ca="1">IFERROR(__xludf.DUMMYFUNCTION("AVERAGE.WEIGHTED(F93:G93,$AJ93:$AK93)"),0.0201465578066727)</f>
        <v>2.01465578066727E-2</v>
      </c>
      <c r="AD93" s="3" t="str">
        <f ca="1">IFERROR(__xludf.DUMMYFUNCTION("AVERAGE.WEIGHTED(H93:I93,$AA$25:$AB$25)"),"#VALUE!")</f>
        <v>#VALUE!</v>
      </c>
      <c r="AE93" s="3" t="str">
        <f ca="1">IFERROR(__xludf.DUMMYFUNCTION("AVERAGE.WEIGHTED(J93:K93,$AA$25:$AB$25)"),"#VALUE!")</f>
        <v>#VALUE!</v>
      </c>
      <c r="AF93" s="209">
        <v>0.457236758299152</v>
      </c>
      <c r="AG93" s="3">
        <f t="shared" si="8"/>
        <v>0.542763241700848</v>
      </c>
      <c r="AH93" s="209">
        <v>0.45683155542407899</v>
      </c>
      <c r="AI93" s="3">
        <f t="shared" si="9"/>
        <v>0.54316844457592106</v>
      </c>
      <c r="AJ93" s="209">
        <v>0.46786889151570099</v>
      </c>
      <c r="AK93" s="3">
        <f t="shared" si="10"/>
        <v>0.53213110848429901</v>
      </c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</row>
    <row r="94" spans="1:56" ht="15" x14ac:dyDescent="0.25">
      <c r="A94" s="1">
        <v>66</v>
      </c>
      <c r="B94" s="23">
        <f t="shared" si="24"/>
        <v>1.21836504392135E-2</v>
      </c>
      <c r="C94" s="23">
        <f t="shared" si="24"/>
        <v>1.24253218174981E-2</v>
      </c>
      <c r="D94" s="23">
        <f t="shared" si="24"/>
        <v>2.4E-2</v>
      </c>
      <c r="E94" s="23">
        <f t="shared" si="24"/>
        <v>1.4E-2</v>
      </c>
      <c r="F94" s="23">
        <f t="shared" si="24"/>
        <v>2.5999999999999999E-2</v>
      </c>
      <c r="G94" s="23">
        <f t="shared" si="24"/>
        <v>1.4999999999999999E-2</v>
      </c>
      <c r="H94" s="23">
        <f t="shared" si="24"/>
        <v>2.7E-2</v>
      </c>
      <c r="I94" s="23">
        <f t="shared" si="24"/>
        <v>1.6E-2</v>
      </c>
      <c r="J94" s="23">
        <f t="shared" si="24"/>
        <v>0.03</v>
      </c>
      <c r="K94" s="23">
        <f t="shared" si="24"/>
        <v>1.7999999999999999E-2</v>
      </c>
      <c r="L94" s="23">
        <f t="shared" si="24"/>
        <v>0.11</v>
      </c>
      <c r="M94" s="23">
        <f t="shared" si="24"/>
        <v>6.5000000000000002E-2</v>
      </c>
      <c r="N94" s="23">
        <f t="shared" si="24"/>
        <v>0.11</v>
      </c>
      <c r="O94" s="23">
        <f t="shared" si="24"/>
        <v>6.9000000000000006E-2</v>
      </c>
      <c r="P94" s="23">
        <f t="shared" si="24"/>
        <v>0.12</v>
      </c>
      <c r="Q94" s="23">
        <f t="shared" si="24"/>
        <v>7.3999999999999996E-2</v>
      </c>
      <c r="R94" s="23">
        <f t="shared" si="24"/>
        <v>0.12</v>
      </c>
      <c r="S94" s="23">
        <f t="shared" si="24"/>
        <v>7.6999999999999999E-2</v>
      </c>
      <c r="T94" s="23">
        <f t="shared" si="24"/>
        <v>0.14000000000000001</v>
      </c>
      <c r="U94" s="23">
        <f t="shared" si="24"/>
        <v>8.6999999999999994E-2</v>
      </c>
      <c r="V94" s="24">
        <f t="shared" si="3"/>
        <v>1.23044861283558E-2</v>
      </c>
      <c r="W94" s="24">
        <f t="shared" si="4"/>
        <v>1.9E-2</v>
      </c>
      <c r="X94" s="24">
        <f t="shared" si="5"/>
        <v>2.0499999999999997E-2</v>
      </c>
      <c r="Y94" s="24">
        <f t="shared" si="6"/>
        <v>2.1499999999999998E-2</v>
      </c>
      <c r="Z94" s="24">
        <f t="shared" si="7"/>
        <v>2.4E-2</v>
      </c>
      <c r="AA94" s="3">
        <f ca="1">IFERROR(__xludf.DUMMYFUNCTION("AVERAGE.WEIGHTED(B94:C94,$AF94:$AG94)"),0.0175457971712434)</f>
        <v>1.75457971712434E-2</v>
      </c>
      <c r="AB94" s="3">
        <f ca="1">IFERROR(__xludf.DUMMYFUNCTION("AVERAGE.WEIGHTED(D94:E94,$AH94:$AI94)"),0.0185538830715532)</f>
        <v>1.8553883071553201E-2</v>
      </c>
      <c r="AC94" s="3">
        <f ca="1">IFERROR(__xludf.DUMMYFUNCTION("AVERAGE.WEIGHTED(F94:G94,$AJ94:$AK94)"),0.0201295101169013)</f>
        <v>2.0129510116901301E-2</v>
      </c>
      <c r="AD94" s="3" t="str">
        <f ca="1">IFERROR(__xludf.DUMMYFUNCTION("AVERAGE.WEIGHTED(H94:I94,$AA$25:$AB$25)"),"#VALUE!")</f>
        <v>#VALUE!</v>
      </c>
      <c r="AE94" s="3" t="str">
        <f ca="1">IFERROR(__xludf.DUMMYFUNCTION("AVERAGE.WEIGHTED(J94:K94,$AA$25:$AB$25)"),"#VALUE!")</f>
        <v>#VALUE!</v>
      </c>
      <c r="AF94" s="209">
        <v>0.45457971712434198</v>
      </c>
      <c r="AG94" s="3">
        <f t="shared" si="8"/>
        <v>0.54542028287565802</v>
      </c>
      <c r="AH94" s="209">
        <v>0.45538830715532302</v>
      </c>
      <c r="AI94" s="3">
        <f t="shared" si="9"/>
        <v>0.54461169284467692</v>
      </c>
      <c r="AJ94" s="209">
        <v>0.46631910153648298</v>
      </c>
      <c r="AK94" s="3">
        <f t="shared" si="10"/>
        <v>0.53368089846351707</v>
      </c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</row>
    <row r="95" spans="1:56" ht="15" x14ac:dyDescent="0.25">
      <c r="A95" s="1">
        <v>67</v>
      </c>
      <c r="B95" s="23">
        <f t="shared" si="24"/>
        <v>1.21836504392135E-2</v>
      </c>
      <c r="C95" s="23">
        <f t="shared" si="24"/>
        <v>1.24253218174981E-2</v>
      </c>
      <c r="D95" s="23">
        <f t="shared" si="24"/>
        <v>2.4E-2</v>
      </c>
      <c r="E95" s="23">
        <f t="shared" si="24"/>
        <v>1.4E-2</v>
      </c>
      <c r="F95" s="23">
        <f t="shared" si="24"/>
        <v>2.5999999999999999E-2</v>
      </c>
      <c r="G95" s="23">
        <f t="shared" si="24"/>
        <v>1.4999999999999999E-2</v>
      </c>
      <c r="H95" s="23">
        <f t="shared" si="24"/>
        <v>2.7E-2</v>
      </c>
      <c r="I95" s="23">
        <f t="shared" si="24"/>
        <v>1.6E-2</v>
      </c>
      <c r="J95" s="23">
        <f t="shared" si="24"/>
        <v>0.03</v>
      </c>
      <c r="K95" s="23">
        <f t="shared" si="24"/>
        <v>1.7999999999999999E-2</v>
      </c>
      <c r="L95" s="23">
        <f t="shared" si="24"/>
        <v>0.11</v>
      </c>
      <c r="M95" s="23">
        <f t="shared" si="24"/>
        <v>6.5000000000000002E-2</v>
      </c>
      <c r="N95" s="23">
        <f t="shared" si="24"/>
        <v>0.11</v>
      </c>
      <c r="O95" s="23">
        <f t="shared" si="24"/>
        <v>6.9000000000000006E-2</v>
      </c>
      <c r="P95" s="23">
        <f t="shared" si="24"/>
        <v>0.12</v>
      </c>
      <c r="Q95" s="23">
        <f t="shared" si="24"/>
        <v>7.3999999999999996E-2</v>
      </c>
      <c r="R95" s="23">
        <f t="shared" si="24"/>
        <v>0.12</v>
      </c>
      <c r="S95" s="23">
        <f t="shared" si="24"/>
        <v>7.6999999999999999E-2</v>
      </c>
      <c r="T95" s="23">
        <f t="shared" si="24"/>
        <v>0.14000000000000001</v>
      </c>
      <c r="U95" s="23">
        <f t="shared" si="24"/>
        <v>8.6999999999999994E-2</v>
      </c>
      <c r="V95" s="24">
        <f t="shared" si="3"/>
        <v>1.23044861283558E-2</v>
      </c>
      <c r="W95" s="24">
        <f t="shared" si="4"/>
        <v>1.9E-2</v>
      </c>
      <c r="X95" s="24">
        <f t="shared" si="5"/>
        <v>2.0499999999999997E-2</v>
      </c>
      <c r="Y95" s="24">
        <f t="shared" si="6"/>
        <v>2.1499999999999998E-2</v>
      </c>
      <c r="Z95" s="24">
        <f t="shared" si="7"/>
        <v>2.4E-2</v>
      </c>
      <c r="AA95" s="3">
        <f ca="1">IFERROR(__xludf.DUMMYFUNCTION("AVERAGE.WEIGHTED(B95:C95,$AF95:$AG95)"),0.0175151327937693)</f>
        <v>1.75151327937693E-2</v>
      </c>
      <c r="AB95" s="3">
        <f ca="1">IFERROR(__xludf.DUMMYFUNCTION("AVERAGE.WEIGHTED(D95:E95,$AH95:$AI95)"),0.0185380030056221)</f>
        <v>1.8538003005622101E-2</v>
      </c>
      <c r="AC95" s="3">
        <f ca="1">IFERROR(__xludf.DUMMYFUNCTION("AVERAGE.WEIGHTED(F95:G95,$AJ95:$AK95)"),0.0201068175180729)</f>
        <v>2.01068175180729E-2</v>
      </c>
      <c r="AD95" s="3" t="str">
        <f ca="1">IFERROR(__xludf.DUMMYFUNCTION("AVERAGE.WEIGHTED(H95:I95,$AA$25:$AB$25)"),"#VALUE!")</f>
        <v>#VALUE!</v>
      </c>
      <c r="AE95" s="3" t="str">
        <f ca="1">IFERROR(__xludf.DUMMYFUNCTION("AVERAGE.WEIGHTED(J95:K95,$AA$25:$AB$25)"),"#VALUE!")</f>
        <v>#VALUE!</v>
      </c>
      <c r="AF95" s="209">
        <v>0.45151327937693198</v>
      </c>
      <c r="AG95" s="3">
        <f t="shared" si="8"/>
        <v>0.54848672062306802</v>
      </c>
      <c r="AH95" s="209">
        <v>0.45380030056221199</v>
      </c>
      <c r="AI95" s="3">
        <f t="shared" si="9"/>
        <v>0.54619969943778801</v>
      </c>
      <c r="AJ95" s="209">
        <v>0.46425613800663301</v>
      </c>
      <c r="AK95" s="3">
        <f t="shared" si="10"/>
        <v>0.53574386199336699</v>
      </c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</row>
    <row r="96" spans="1:56" ht="15" x14ac:dyDescent="0.25">
      <c r="A96" s="1">
        <v>68</v>
      </c>
      <c r="B96" s="23">
        <f t="shared" si="24"/>
        <v>1.21836504392135E-2</v>
      </c>
      <c r="C96" s="23">
        <f t="shared" si="24"/>
        <v>1.24253218174981E-2</v>
      </c>
      <c r="D96" s="23">
        <f t="shared" si="24"/>
        <v>2.4E-2</v>
      </c>
      <c r="E96" s="23">
        <f t="shared" si="24"/>
        <v>1.4E-2</v>
      </c>
      <c r="F96" s="23">
        <f t="shared" si="24"/>
        <v>2.5999999999999999E-2</v>
      </c>
      <c r="G96" s="23">
        <f t="shared" si="24"/>
        <v>1.4999999999999999E-2</v>
      </c>
      <c r="H96" s="23">
        <f t="shared" si="24"/>
        <v>2.7E-2</v>
      </c>
      <c r="I96" s="23">
        <f t="shared" si="24"/>
        <v>1.6E-2</v>
      </c>
      <c r="J96" s="23">
        <f t="shared" si="24"/>
        <v>0.03</v>
      </c>
      <c r="K96" s="23">
        <f t="shared" si="24"/>
        <v>1.7999999999999999E-2</v>
      </c>
      <c r="L96" s="23">
        <f t="shared" si="24"/>
        <v>0.11</v>
      </c>
      <c r="M96" s="23">
        <f t="shared" si="24"/>
        <v>6.5000000000000002E-2</v>
      </c>
      <c r="N96" s="23">
        <f t="shared" si="24"/>
        <v>0.11</v>
      </c>
      <c r="O96" s="23">
        <f t="shared" si="24"/>
        <v>6.9000000000000006E-2</v>
      </c>
      <c r="P96" s="23">
        <f t="shared" si="24"/>
        <v>0.12</v>
      </c>
      <c r="Q96" s="23">
        <f t="shared" si="24"/>
        <v>7.3999999999999996E-2</v>
      </c>
      <c r="R96" s="23">
        <f t="shared" si="24"/>
        <v>0.12</v>
      </c>
      <c r="S96" s="23">
        <f t="shared" si="24"/>
        <v>7.6999999999999999E-2</v>
      </c>
      <c r="T96" s="23">
        <f t="shared" si="24"/>
        <v>0.14000000000000001</v>
      </c>
      <c r="U96" s="23">
        <f t="shared" si="24"/>
        <v>8.6999999999999994E-2</v>
      </c>
      <c r="V96" s="24">
        <f t="shared" si="3"/>
        <v>1.23044861283558E-2</v>
      </c>
      <c r="W96" s="24">
        <f t="shared" si="4"/>
        <v>1.9E-2</v>
      </c>
      <c r="X96" s="24">
        <f t="shared" si="5"/>
        <v>2.0499999999999997E-2</v>
      </c>
      <c r="Y96" s="24">
        <f t="shared" si="6"/>
        <v>2.1499999999999998E-2</v>
      </c>
      <c r="Z96" s="24">
        <f t="shared" si="7"/>
        <v>2.4E-2</v>
      </c>
      <c r="AA96" s="3">
        <f ca="1">IFERROR(__xludf.DUMMYFUNCTION("AVERAGE.WEIGHTED(B96:C96,$AF96:$AG96)"),0.0174811536057447)</f>
        <v>1.74811536057447E-2</v>
      </c>
      <c r="AB96" s="3">
        <f ca="1">IFERROR(__xludf.DUMMYFUNCTION("AVERAGE.WEIGHTED(D96:E96,$AH96:$AI96)"),0.0185135402224788)</f>
        <v>1.8513540222478801E-2</v>
      </c>
      <c r="AC96" s="3">
        <f ca="1">IFERROR(__xludf.DUMMYFUNCTION("AVERAGE.WEIGHTED(F96:G96,$AJ96:$AK96)"),0.0200795543841182)</f>
        <v>2.0079554384118199E-2</v>
      </c>
      <c r="AD96" s="3" t="str">
        <f ca="1">IFERROR(__xludf.DUMMYFUNCTION("AVERAGE.WEIGHTED(H96:I96,$AA$25:$AB$25)"),"#VALUE!")</f>
        <v>#VALUE!</v>
      </c>
      <c r="AE96" s="3" t="str">
        <f ca="1">IFERROR(__xludf.DUMMYFUNCTION("AVERAGE.WEIGHTED(J96:K96,$AA$25:$AB$25)"),"#VALUE!")</f>
        <v>#VALUE!</v>
      </c>
      <c r="AF96" s="209">
        <v>0.44811536057447698</v>
      </c>
      <c r="AG96" s="3">
        <f t="shared" si="8"/>
        <v>0.55188463942552302</v>
      </c>
      <c r="AH96" s="209">
        <v>0.45135402224788301</v>
      </c>
      <c r="AI96" s="3">
        <f t="shared" si="9"/>
        <v>0.54864597775211699</v>
      </c>
      <c r="AJ96" s="209">
        <v>0.46177767128347402</v>
      </c>
      <c r="AK96" s="3">
        <f t="shared" si="10"/>
        <v>0.53822232871652598</v>
      </c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</row>
    <row r="97" spans="1:56" ht="15" x14ac:dyDescent="0.25">
      <c r="A97" s="1">
        <v>69</v>
      </c>
      <c r="B97" s="23">
        <f t="shared" si="24"/>
        <v>1.21836504392135E-2</v>
      </c>
      <c r="C97" s="23">
        <f t="shared" si="24"/>
        <v>1.24253218174981E-2</v>
      </c>
      <c r="D97" s="23">
        <f t="shared" si="24"/>
        <v>2.4E-2</v>
      </c>
      <c r="E97" s="23">
        <f t="shared" si="24"/>
        <v>1.4E-2</v>
      </c>
      <c r="F97" s="23">
        <f t="shared" si="24"/>
        <v>2.5999999999999999E-2</v>
      </c>
      <c r="G97" s="23">
        <f t="shared" si="24"/>
        <v>1.4999999999999999E-2</v>
      </c>
      <c r="H97" s="23">
        <f t="shared" si="24"/>
        <v>2.7E-2</v>
      </c>
      <c r="I97" s="23">
        <f t="shared" si="24"/>
        <v>1.6E-2</v>
      </c>
      <c r="J97" s="23">
        <f t="shared" si="24"/>
        <v>0.03</v>
      </c>
      <c r="K97" s="23">
        <f t="shared" si="24"/>
        <v>1.7999999999999999E-2</v>
      </c>
      <c r="L97" s="23">
        <f t="shared" si="24"/>
        <v>0.11</v>
      </c>
      <c r="M97" s="23">
        <f t="shared" si="24"/>
        <v>6.5000000000000002E-2</v>
      </c>
      <c r="N97" s="23">
        <f t="shared" si="24"/>
        <v>0.11</v>
      </c>
      <c r="O97" s="23">
        <f t="shared" si="24"/>
        <v>6.9000000000000006E-2</v>
      </c>
      <c r="P97" s="23">
        <f t="shared" si="24"/>
        <v>0.12</v>
      </c>
      <c r="Q97" s="23">
        <f t="shared" si="24"/>
        <v>7.3999999999999996E-2</v>
      </c>
      <c r="R97" s="23">
        <f t="shared" si="24"/>
        <v>0.12</v>
      </c>
      <c r="S97" s="23">
        <f t="shared" si="24"/>
        <v>7.6999999999999999E-2</v>
      </c>
      <c r="T97" s="23">
        <f t="shared" si="24"/>
        <v>0.14000000000000001</v>
      </c>
      <c r="U97" s="23">
        <f t="shared" si="24"/>
        <v>8.6999999999999994E-2</v>
      </c>
      <c r="V97" s="24">
        <f t="shared" si="3"/>
        <v>1.23044861283558E-2</v>
      </c>
      <c r="W97" s="24">
        <f t="shared" si="4"/>
        <v>1.9E-2</v>
      </c>
      <c r="X97" s="24">
        <f t="shared" si="5"/>
        <v>2.0499999999999997E-2</v>
      </c>
      <c r="Y97" s="24">
        <f t="shared" si="6"/>
        <v>2.1499999999999998E-2</v>
      </c>
      <c r="Z97" s="24">
        <f t="shared" si="7"/>
        <v>2.4E-2</v>
      </c>
      <c r="AA97" s="3">
        <f ca="1">IFERROR(__xludf.DUMMYFUNCTION("AVERAGE.WEIGHTED(B97:C97,$AF97:$AG97)"),0.017452398360064)</f>
        <v>1.7452398360064E-2</v>
      </c>
      <c r="AB97" s="3">
        <f ca="1">IFERROR(__xludf.DUMMYFUNCTION("AVERAGE.WEIGHTED(D97:E97,$AH97:$AI97)"),0.0185261918035198)</f>
        <v>1.85261918035198E-2</v>
      </c>
      <c r="AC97" s="3">
        <f ca="1">IFERROR(__xludf.DUMMYFUNCTION("AVERAGE.WEIGHTED(F97:G97,$AJ97:$AK97)"),0.020047777427803)</f>
        <v>2.0047777427803001E-2</v>
      </c>
      <c r="AD97" s="3" t="str">
        <f ca="1">IFERROR(__xludf.DUMMYFUNCTION("AVERAGE.WEIGHTED(H97:I97,$AA$25:$AB$25)"),"#VALUE!")</f>
        <v>#VALUE!</v>
      </c>
      <c r="AE97" s="3" t="str">
        <f ca="1">IFERROR(__xludf.DUMMYFUNCTION("AVERAGE.WEIGHTED(J97:K97,$AA$25:$AB$25)"),"#VALUE!")</f>
        <v>#VALUE!</v>
      </c>
      <c r="AF97" s="209">
        <v>0.44523983600640399</v>
      </c>
      <c r="AG97" s="3">
        <f t="shared" si="8"/>
        <v>0.55476016399359596</v>
      </c>
      <c r="AH97" s="209">
        <v>0.45261918035198601</v>
      </c>
      <c r="AI97" s="3">
        <f t="shared" si="9"/>
        <v>0.54738081964801399</v>
      </c>
      <c r="AJ97" s="209">
        <v>0.45888885707300198</v>
      </c>
      <c r="AK97" s="3">
        <f t="shared" si="10"/>
        <v>0.54111114292699802</v>
      </c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</row>
    <row r="98" spans="1:56" ht="15" x14ac:dyDescent="0.25">
      <c r="A98" s="1">
        <v>70</v>
      </c>
      <c r="B98" s="23">
        <f t="shared" ref="B98:U102" si="25">B$20</f>
        <v>1.9901272383305E-2</v>
      </c>
      <c r="C98" s="23">
        <f t="shared" si="25"/>
        <v>2.01381873667421E-2</v>
      </c>
      <c r="D98" s="23">
        <f t="shared" si="25"/>
        <v>3.5999999999999997E-2</v>
      </c>
      <c r="E98" s="23">
        <f t="shared" si="25"/>
        <v>2.3E-2</v>
      </c>
      <c r="F98" s="23">
        <f t="shared" si="25"/>
        <v>3.7999999999999999E-2</v>
      </c>
      <c r="G98" s="23">
        <f t="shared" si="25"/>
        <v>2.4E-2</v>
      </c>
      <c r="H98" s="23">
        <f t="shared" si="25"/>
        <v>4.2000000000000003E-2</v>
      </c>
      <c r="I98" s="23">
        <f t="shared" si="25"/>
        <v>2.5999999999999999E-2</v>
      </c>
      <c r="J98" s="23">
        <f t="shared" si="25"/>
        <v>4.4999999999999998E-2</v>
      </c>
      <c r="K98" s="23">
        <f t="shared" si="25"/>
        <v>2.8000000000000001E-2</v>
      </c>
      <c r="L98" s="23">
        <f t="shared" si="25"/>
        <v>0.16</v>
      </c>
      <c r="M98" s="23">
        <f t="shared" si="25"/>
        <v>0.1</v>
      </c>
      <c r="N98" s="23">
        <f t="shared" si="25"/>
        <v>0.17</v>
      </c>
      <c r="O98" s="23">
        <f t="shared" si="25"/>
        <v>0.11</v>
      </c>
      <c r="P98" s="23">
        <f t="shared" si="25"/>
        <v>0.18</v>
      </c>
      <c r="Q98" s="23">
        <f t="shared" si="25"/>
        <v>0.11</v>
      </c>
      <c r="R98" s="23">
        <f t="shared" si="25"/>
        <v>0.19</v>
      </c>
      <c r="S98" s="23">
        <f t="shared" si="25"/>
        <v>0.12</v>
      </c>
      <c r="T98" s="23">
        <f t="shared" si="25"/>
        <v>0.2</v>
      </c>
      <c r="U98" s="23">
        <f t="shared" si="25"/>
        <v>0.13</v>
      </c>
      <c r="V98" s="24">
        <f t="shared" si="3"/>
        <v>2.001972987502355E-2</v>
      </c>
      <c r="W98" s="24">
        <f t="shared" si="4"/>
        <v>2.9499999999999998E-2</v>
      </c>
      <c r="X98" s="24">
        <f t="shared" si="5"/>
        <v>3.1E-2</v>
      </c>
      <c r="Y98" s="24">
        <f t="shared" si="6"/>
        <v>3.4000000000000002E-2</v>
      </c>
      <c r="Z98" s="24">
        <f t="shared" si="7"/>
        <v>3.6499999999999998E-2</v>
      </c>
      <c r="AA98" s="3">
        <f ca="1">IFERROR(__xludf.DUMMYFUNCTION("AVERAGE.WEIGHTED(B98:C98,$AF98:$AG98)"),0.0277633824488046)</f>
        <v>2.7763382448804601E-2</v>
      </c>
      <c r="AB98" s="3">
        <f ca="1">IFERROR(__xludf.DUMMYFUNCTION("AVERAGE.WEIGHTED(D98:E98,$AH98:$AI98)"),0.0289060534064538)</f>
        <v>2.8906053406453799E-2</v>
      </c>
      <c r="AC98" s="3">
        <f ca="1">IFERROR(__xludf.DUMMYFUNCTION("AVERAGE.WEIGHTED(F98:G98,$AJ98:$AK98)"),0.0303713382733021)</f>
        <v>3.0371338273302101E-2</v>
      </c>
      <c r="AD98" s="3" t="str">
        <f ca="1">IFERROR(__xludf.DUMMYFUNCTION("AVERAGE.WEIGHTED(H98:I98,$AA$25:$AB$25)"),"#VALUE!")</f>
        <v>#VALUE!</v>
      </c>
      <c r="AE98" s="3" t="str">
        <f ca="1">IFERROR(__xludf.DUMMYFUNCTION("AVERAGE.WEIGHTED(J98:K98,$AA$25:$AB$25)"),"#VALUE!")</f>
        <v>#VALUE!</v>
      </c>
      <c r="AF98" s="209">
        <v>0.443337111446508</v>
      </c>
      <c r="AG98" s="3">
        <f t="shared" si="8"/>
        <v>0.556662888553492</v>
      </c>
      <c r="AH98" s="209">
        <v>0.45431180049644698</v>
      </c>
      <c r="AI98" s="3">
        <f t="shared" si="9"/>
        <v>0.54568819950355296</v>
      </c>
      <c r="AJ98" s="209">
        <v>0.45509559095015101</v>
      </c>
      <c r="AK98" s="3">
        <f t="shared" si="10"/>
        <v>0.54490440904984894</v>
      </c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</row>
    <row r="99" spans="1:56" ht="15" x14ac:dyDescent="0.25">
      <c r="A99" s="1">
        <v>71</v>
      </c>
      <c r="B99" s="23">
        <f t="shared" si="25"/>
        <v>1.9901272383305E-2</v>
      </c>
      <c r="C99" s="23">
        <f t="shared" si="25"/>
        <v>2.01381873667421E-2</v>
      </c>
      <c r="D99" s="23">
        <f t="shared" si="25"/>
        <v>3.5999999999999997E-2</v>
      </c>
      <c r="E99" s="23">
        <f t="shared" si="25"/>
        <v>2.3E-2</v>
      </c>
      <c r="F99" s="23">
        <f t="shared" si="25"/>
        <v>3.7999999999999999E-2</v>
      </c>
      <c r="G99" s="23">
        <f t="shared" si="25"/>
        <v>2.4E-2</v>
      </c>
      <c r="H99" s="23">
        <f t="shared" si="25"/>
        <v>4.2000000000000003E-2</v>
      </c>
      <c r="I99" s="23">
        <f t="shared" si="25"/>
        <v>2.5999999999999999E-2</v>
      </c>
      <c r="J99" s="23">
        <f t="shared" si="25"/>
        <v>4.4999999999999998E-2</v>
      </c>
      <c r="K99" s="23">
        <f t="shared" si="25"/>
        <v>2.8000000000000001E-2</v>
      </c>
      <c r="L99" s="23">
        <f t="shared" si="25"/>
        <v>0.16</v>
      </c>
      <c r="M99" s="23">
        <f t="shared" si="25"/>
        <v>0.1</v>
      </c>
      <c r="N99" s="23">
        <f t="shared" si="25"/>
        <v>0.17</v>
      </c>
      <c r="O99" s="23">
        <f t="shared" si="25"/>
        <v>0.11</v>
      </c>
      <c r="P99" s="23">
        <f t="shared" si="25"/>
        <v>0.18</v>
      </c>
      <c r="Q99" s="23">
        <f t="shared" si="25"/>
        <v>0.11</v>
      </c>
      <c r="R99" s="23">
        <f t="shared" si="25"/>
        <v>0.19</v>
      </c>
      <c r="S99" s="23">
        <f t="shared" si="25"/>
        <v>0.12</v>
      </c>
      <c r="T99" s="23">
        <f t="shared" si="25"/>
        <v>0.2</v>
      </c>
      <c r="U99" s="23">
        <f t="shared" si="25"/>
        <v>0.13</v>
      </c>
      <c r="V99" s="24">
        <f t="shared" si="3"/>
        <v>2.001972987502355E-2</v>
      </c>
      <c r="W99" s="24">
        <f t="shared" si="4"/>
        <v>2.9499999999999998E-2</v>
      </c>
      <c r="X99" s="24">
        <f t="shared" si="5"/>
        <v>3.1E-2</v>
      </c>
      <c r="Y99" s="24">
        <f t="shared" si="6"/>
        <v>3.4000000000000002E-2</v>
      </c>
      <c r="Z99" s="24">
        <f t="shared" si="7"/>
        <v>3.6499999999999998E-2</v>
      </c>
      <c r="AA99" s="3">
        <f ca="1">IFERROR(__xludf.DUMMYFUNCTION("AVERAGE.WEIGHTED(B99:C99,$AF99:$AG99)"),0.0277362136821498)</f>
        <v>2.7736213682149801E-2</v>
      </c>
      <c r="AB99" s="3">
        <f ca="1">IFERROR(__xludf.DUMMYFUNCTION("AVERAGE.WEIGHTED(D99:E99,$AH99:$AI99)"),0.0288737105895095)</f>
        <v>2.8873710589509501E-2</v>
      </c>
      <c r="AC99" s="3">
        <f ca="1">IFERROR(__xludf.DUMMYFUNCTION("AVERAGE.WEIGHTED(F99:G99,$AJ99:$AK99)"),0.0303032535720433)</f>
        <v>3.03032535720433E-2</v>
      </c>
      <c r="AD99" s="3" t="str">
        <f ca="1">IFERROR(__xludf.DUMMYFUNCTION("AVERAGE.WEIGHTED(H99:I99,$AA$25:$AB$25)"),"#VALUE!")</f>
        <v>#VALUE!</v>
      </c>
      <c r="AE99" s="3" t="str">
        <f ca="1">IFERROR(__xludf.DUMMYFUNCTION("AVERAGE.WEIGHTED(J99:K99,$AA$25:$AB$25)"),"#VALUE!")</f>
        <v>#VALUE!</v>
      </c>
      <c r="AF99" s="209">
        <v>0.44124720631921799</v>
      </c>
      <c r="AG99" s="3">
        <f t="shared" si="8"/>
        <v>0.55875279368078201</v>
      </c>
      <c r="AH99" s="209">
        <v>0.45182389150073199</v>
      </c>
      <c r="AI99" s="3">
        <f t="shared" si="9"/>
        <v>0.54817610849926801</v>
      </c>
      <c r="AJ99" s="209">
        <v>0.450232398003099</v>
      </c>
      <c r="AK99" s="3">
        <f t="shared" si="10"/>
        <v>0.549767601996901</v>
      </c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</row>
    <row r="100" spans="1:56" ht="15" x14ac:dyDescent="0.25">
      <c r="A100" s="1">
        <v>72</v>
      </c>
      <c r="B100" s="23">
        <f t="shared" si="25"/>
        <v>1.9901272383305E-2</v>
      </c>
      <c r="C100" s="23">
        <f t="shared" si="25"/>
        <v>2.01381873667421E-2</v>
      </c>
      <c r="D100" s="23">
        <f t="shared" si="25"/>
        <v>3.5999999999999997E-2</v>
      </c>
      <c r="E100" s="23">
        <f t="shared" si="25"/>
        <v>2.3E-2</v>
      </c>
      <c r="F100" s="23">
        <f t="shared" si="25"/>
        <v>3.7999999999999999E-2</v>
      </c>
      <c r="G100" s="23">
        <f t="shared" si="25"/>
        <v>2.4E-2</v>
      </c>
      <c r="H100" s="23">
        <f t="shared" si="25"/>
        <v>4.2000000000000003E-2</v>
      </c>
      <c r="I100" s="23">
        <f t="shared" si="25"/>
        <v>2.5999999999999999E-2</v>
      </c>
      <c r="J100" s="23">
        <f t="shared" si="25"/>
        <v>4.4999999999999998E-2</v>
      </c>
      <c r="K100" s="23">
        <f t="shared" si="25"/>
        <v>2.8000000000000001E-2</v>
      </c>
      <c r="L100" s="23">
        <f t="shared" si="25"/>
        <v>0.16</v>
      </c>
      <c r="M100" s="23">
        <f t="shared" si="25"/>
        <v>0.1</v>
      </c>
      <c r="N100" s="23">
        <f t="shared" si="25"/>
        <v>0.17</v>
      </c>
      <c r="O100" s="23">
        <f t="shared" si="25"/>
        <v>0.11</v>
      </c>
      <c r="P100" s="23">
        <f t="shared" si="25"/>
        <v>0.18</v>
      </c>
      <c r="Q100" s="23">
        <f t="shared" si="25"/>
        <v>0.11</v>
      </c>
      <c r="R100" s="23">
        <f t="shared" si="25"/>
        <v>0.19</v>
      </c>
      <c r="S100" s="23">
        <f t="shared" si="25"/>
        <v>0.12</v>
      </c>
      <c r="T100" s="23">
        <f t="shared" si="25"/>
        <v>0.2</v>
      </c>
      <c r="U100" s="23">
        <f t="shared" si="25"/>
        <v>0.13</v>
      </c>
      <c r="V100" s="24">
        <f t="shared" si="3"/>
        <v>2.001972987502355E-2</v>
      </c>
      <c r="W100" s="24">
        <f t="shared" si="4"/>
        <v>2.9499999999999998E-2</v>
      </c>
      <c r="X100" s="24">
        <f t="shared" si="5"/>
        <v>3.1E-2</v>
      </c>
      <c r="Y100" s="24">
        <f t="shared" si="6"/>
        <v>3.4000000000000002E-2</v>
      </c>
      <c r="Z100" s="24">
        <f t="shared" si="7"/>
        <v>3.6499999999999998E-2</v>
      </c>
      <c r="AA100" s="3">
        <f ca="1">IFERROR(__xludf.DUMMYFUNCTION("AVERAGE.WEIGHTED(B100:C100,$AF100:$AG100)"),0.0276952620150171)</f>
        <v>2.76952620150171E-2</v>
      </c>
      <c r="AB100" s="3">
        <f ca="1">IFERROR(__xludf.DUMMYFUNCTION("AVERAGE.WEIGHTED(D100:E100,$AH100:$AI100)"),0.0288333042628699)</f>
        <v>2.88333042628699E-2</v>
      </c>
      <c r="AC100" s="3">
        <f ca="1">IFERROR(__xludf.DUMMYFUNCTION("AVERAGE.WEIGHTED(F100:G100,$AJ100:$AK100)"),0.0302271058608048)</f>
        <v>3.02271058608048E-2</v>
      </c>
      <c r="AD100" s="3" t="str">
        <f ca="1">IFERROR(__xludf.DUMMYFUNCTION("AVERAGE.WEIGHTED(H100:I100,$AA$25:$AB$25)"),"#VALUE!")</f>
        <v>#VALUE!</v>
      </c>
      <c r="AE100" s="3" t="str">
        <f ca="1">IFERROR(__xludf.DUMMYFUNCTION("AVERAGE.WEIGHTED(J100:K100,$AA$25:$AB$25)"),"#VALUE!")</f>
        <v>#VALUE!</v>
      </c>
      <c r="AF100" s="209">
        <v>0.438097078078241</v>
      </c>
      <c r="AG100" s="3">
        <f t="shared" si="8"/>
        <v>0.56190292192175906</v>
      </c>
      <c r="AH100" s="209">
        <v>0.44871571252845799</v>
      </c>
      <c r="AI100" s="3">
        <f t="shared" si="9"/>
        <v>0.55128428747154201</v>
      </c>
      <c r="AJ100" s="209">
        <v>0.44479327577177802</v>
      </c>
      <c r="AK100" s="3">
        <f t="shared" si="10"/>
        <v>0.55520672422822193</v>
      </c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</row>
    <row r="101" spans="1:56" ht="15" x14ac:dyDescent="0.25">
      <c r="A101" s="1">
        <v>73</v>
      </c>
      <c r="B101" s="23">
        <f t="shared" si="25"/>
        <v>1.9901272383305E-2</v>
      </c>
      <c r="C101" s="23">
        <f t="shared" si="25"/>
        <v>2.01381873667421E-2</v>
      </c>
      <c r="D101" s="23">
        <f t="shared" si="25"/>
        <v>3.5999999999999997E-2</v>
      </c>
      <c r="E101" s="23">
        <f t="shared" si="25"/>
        <v>2.3E-2</v>
      </c>
      <c r="F101" s="23">
        <f t="shared" si="25"/>
        <v>3.7999999999999999E-2</v>
      </c>
      <c r="G101" s="23">
        <f t="shared" si="25"/>
        <v>2.4E-2</v>
      </c>
      <c r="H101" s="23">
        <f t="shared" si="25"/>
        <v>4.2000000000000003E-2</v>
      </c>
      <c r="I101" s="23">
        <f t="shared" si="25"/>
        <v>2.5999999999999999E-2</v>
      </c>
      <c r="J101" s="23">
        <f t="shared" si="25"/>
        <v>4.4999999999999998E-2</v>
      </c>
      <c r="K101" s="23">
        <f t="shared" si="25"/>
        <v>2.8000000000000001E-2</v>
      </c>
      <c r="L101" s="23">
        <f t="shared" si="25"/>
        <v>0.16</v>
      </c>
      <c r="M101" s="23">
        <f t="shared" si="25"/>
        <v>0.1</v>
      </c>
      <c r="N101" s="23">
        <f t="shared" si="25"/>
        <v>0.17</v>
      </c>
      <c r="O101" s="23">
        <f t="shared" si="25"/>
        <v>0.11</v>
      </c>
      <c r="P101" s="23">
        <f t="shared" si="25"/>
        <v>0.18</v>
      </c>
      <c r="Q101" s="23">
        <f t="shared" si="25"/>
        <v>0.11</v>
      </c>
      <c r="R101" s="23">
        <f t="shared" si="25"/>
        <v>0.19</v>
      </c>
      <c r="S101" s="23">
        <f t="shared" si="25"/>
        <v>0.12</v>
      </c>
      <c r="T101" s="23">
        <f t="shared" si="25"/>
        <v>0.2</v>
      </c>
      <c r="U101" s="23">
        <f t="shared" si="25"/>
        <v>0.13</v>
      </c>
      <c r="V101" s="24">
        <f t="shared" si="3"/>
        <v>2.001972987502355E-2</v>
      </c>
      <c r="W101" s="24">
        <f t="shared" si="4"/>
        <v>2.9499999999999998E-2</v>
      </c>
      <c r="X101" s="24">
        <f t="shared" si="5"/>
        <v>3.1E-2</v>
      </c>
      <c r="Y101" s="24">
        <f t="shared" si="6"/>
        <v>3.4000000000000002E-2</v>
      </c>
      <c r="Z101" s="24">
        <f t="shared" si="7"/>
        <v>3.6499999999999998E-2</v>
      </c>
      <c r="AA101" s="3">
        <f ca="1">IFERROR(__xludf.DUMMYFUNCTION("AVERAGE.WEIGHTED(B101:C101,$AF101:$AG101)"),0.0277001190521491)</f>
        <v>2.77001190521491E-2</v>
      </c>
      <c r="AB101" s="3">
        <f ca="1">IFERROR(__xludf.DUMMYFUNCTION("AVERAGE.WEIGHTED(D101:E101,$AH101:$AI101)"),0.0287862637999478)</f>
        <v>2.8786263799947798E-2</v>
      </c>
      <c r="AC101" s="3">
        <f ca="1">IFERROR(__xludf.DUMMYFUNCTION("AVERAGE.WEIGHTED(F101:G101,$AJ101:$AK101)"),0.0301417517936417)</f>
        <v>3.0141751793641699E-2</v>
      </c>
      <c r="AD101" s="3" t="str">
        <f ca="1">IFERROR(__xludf.DUMMYFUNCTION("AVERAGE.WEIGHTED(H101:I101,$AA$25:$AB$25)"),"#VALUE!")</f>
        <v>#VALUE!</v>
      </c>
      <c r="AE101" s="3" t="str">
        <f ca="1">IFERROR(__xludf.DUMMYFUNCTION("AVERAGE.WEIGHTED(J101:K101,$AA$25:$AB$25)"),"#VALUE!")</f>
        <v>#VALUE!</v>
      </c>
      <c r="AF101" s="209">
        <v>0.43847069631916802</v>
      </c>
      <c r="AG101" s="3">
        <f t="shared" si="8"/>
        <v>0.56152930368083198</v>
      </c>
      <c r="AH101" s="209">
        <v>0.44509721538060298</v>
      </c>
      <c r="AI101" s="3">
        <f t="shared" si="9"/>
        <v>0.55490278461939702</v>
      </c>
      <c r="AJ101" s="209">
        <v>0.438696556688696</v>
      </c>
      <c r="AK101" s="3">
        <f t="shared" si="10"/>
        <v>0.561303443311304</v>
      </c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</row>
    <row r="102" spans="1:56" ht="15" x14ac:dyDescent="0.25">
      <c r="A102" s="1">
        <v>74</v>
      </c>
      <c r="B102" s="23">
        <f t="shared" si="25"/>
        <v>1.9901272383305E-2</v>
      </c>
      <c r="C102" s="23">
        <f t="shared" si="25"/>
        <v>2.01381873667421E-2</v>
      </c>
      <c r="D102" s="23">
        <f t="shared" si="25"/>
        <v>3.5999999999999997E-2</v>
      </c>
      <c r="E102" s="23">
        <f t="shared" si="25"/>
        <v>2.3E-2</v>
      </c>
      <c r="F102" s="23">
        <f t="shared" si="25"/>
        <v>3.7999999999999999E-2</v>
      </c>
      <c r="G102" s="23">
        <f t="shared" si="25"/>
        <v>2.4E-2</v>
      </c>
      <c r="H102" s="23">
        <f t="shared" si="25"/>
        <v>4.2000000000000003E-2</v>
      </c>
      <c r="I102" s="23">
        <f t="shared" si="25"/>
        <v>2.5999999999999999E-2</v>
      </c>
      <c r="J102" s="23">
        <f t="shared" si="25"/>
        <v>4.4999999999999998E-2</v>
      </c>
      <c r="K102" s="23">
        <f t="shared" si="25"/>
        <v>2.8000000000000001E-2</v>
      </c>
      <c r="L102" s="23">
        <f t="shared" si="25"/>
        <v>0.16</v>
      </c>
      <c r="M102" s="23">
        <f t="shared" si="25"/>
        <v>0.1</v>
      </c>
      <c r="N102" s="23">
        <f t="shared" si="25"/>
        <v>0.17</v>
      </c>
      <c r="O102" s="23">
        <f t="shared" si="25"/>
        <v>0.11</v>
      </c>
      <c r="P102" s="23">
        <f t="shared" si="25"/>
        <v>0.18</v>
      </c>
      <c r="Q102" s="23">
        <f t="shared" si="25"/>
        <v>0.11</v>
      </c>
      <c r="R102" s="23">
        <f t="shared" si="25"/>
        <v>0.19</v>
      </c>
      <c r="S102" s="23">
        <f t="shared" si="25"/>
        <v>0.12</v>
      </c>
      <c r="T102" s="23">
        <f t="shared" si="25"/>
        <v>0.2</v>
      </c>
      <c r="U102" s="23">
        <f t="shared" si="25"/>
        <v>0.13</v>
      </c>
      <c r="V102" s="24">
        <f t="shared" si="3"/>
        <v>2.001972987502355E-2</v>
      </c>
      <c r="W102" s="24">
        <f t="shared" si="4"/>
        <v>2.9499999999999998E-2</v>
      </c>
      <c r="X102" s="24">
        <f t="shared" si="5"/>
        <v>3.1E-2</v>
      </c>
      <c r="Y102" s="24">
        <f t="shared" si="6"/>
        <v>3.4000000000000002E-2</v>
      </c>
      <c r="Z102" s="24">
        <f t="shared" si="7"/>
        <v>3.6499999999999998E-2</v>
      </c>
      <c r="AA102" s="3">
        <f ca="1">IFERROR(__xludf.DUMMYFUNCTION("AVERAGE.WEIGHTED(B102:C102,$AF102:$AG102)"),0.0277086427013933)</f>
        <v>2.77086427013933E-2</v>
      </c>
      <c r="AB102" s="3">
        <f ca="1">IFERROR(__xludf.DUMMYFUNCTION("AVERAGE.WEIGHTED(D102:E102,$AH102:$AI102)"),0.0287328251256242)</f>
        <v>2.8732825125624199E-2</v>
      </c>
      <c r="AC102" s="3">
        <f ca="1">IFERROR(__xludf.DUMMYFUNCTION("AVERAGE.WEIGHTED(F102:G102,$AJ102:$AK102)"),0.0300368822874481)</f>
        <v>3.0036882287448101E-2</v>
      </c>
      <c r="AD102" s="3" t="str">
        <f ca="1">IFERROR(__xludf.DUMMYFUNCTION("AVERAGE.WEIGHTED(H102:I102,$AA$25:$AB$25)"),"#VALUE!")</f>
        <v>#VALUE!</v>
      </c>
      <c r="AE102" s="3" t="str">
        <f ca="1">IFERROR(__xludf.DUMMYFUNCTION("AVERAGE.WEIGHTED(J102:K102,$AA$25:$AB$25)"),"#VALUE!")</f>
        <v>#VALUE!</v>
      </c>
      <c r="AF102" s="209">
        <v>0.439126361645644</v>
      </c>
      <c r="AG102" s="3">
        <f t="shared" si="8"/>
        <v>0.560873638354356</v>
      </c>
      <c r="AH102" s="209">
        <v>0.44098654812494298</v>
      </c>
      <c r="AI102" s="3">
        <f t="shared" si="9"/>
        <v>0.55901345187505702</v>
      </c>
      <c r="AJ102" s="209">
        <v>0.43120587767486801</v>
      </c>
      <c r="AK102" s="3">
        <f t="shared" si="10"/>
        <v>0.56879412232513205</v>
      </c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</row>
    <row r="103" spans="1:56" ht="15" x14ac:dyDescent="0.25">
      <c r="A103" s="1">
        <v>75</v>
      </c>
      <c r="B103" s="23">
        <f t="shared" ref="B103:U107" si="26">B$21</f>
        <v>3.2169855966094701E-2</v>
      </c>
      <c r="C103" s="23">
        <f t="shared" si="26"/>
        <v>3.2465612179069396E-2</v>
      </c>
      <c r="D103" s="23">
        <f t="shared" si="26"/>
        <v>5.5E-2</v>
      </c>
      <c r="E103" s="23">
        <f t="shared" si="26"/>
        <v>3.6999999999999998E-2</v>
      </c>
      <c r="F103" s="23">
        <f t="shared" si="26"/>
        <v>6.2E-2</v>
      </c>
      <c r="G103" s="23">
        <f t="shared" si="26"/>
        <v>0.04</v>
      </c>
      <c r="H103" s="23">
        <f t="shared" si="26"/>
        <v>6.4000000000000001E-2</v>
      </c>
      <c r="I103" s="23">
        <f t="shared" si="26"/>
        <v>4.1000000000000002E-2</v>
      </c>
      <c r="J103" s="23">
        <f t="shared" si="26"/>
        <v>7.0000000000000007E-2</v>
      </c>
      <c r="K103" s="23">
        <f t="shared" si="26"/>
        <v>4.4999999999999998E-2</v>
      </c>
      <c r="L103" s="23">
        <f t="shared" si="26"/>
        <v>0.23</v>
      </c>
      <c r="M103" s="23">
        <f t="shared" si="26"/>
        <v>0.16</v>
      </c>
      <c r="N103" s="23">
        <f t="shared" si="26"/>
        <v>0.24</v>
      </c>
      <c r="O103" s="23">
        <f t="shared" si="26"/>
        <v>0.17</v>
      </c>
      <c r="P103" s="23">
        <f t="shared" si="26"/>
        <v>0.27</v>
      </c>
      <c r="Q103" s="23">
        <f t="shared" si="26"/>
        <v>0.18</v>
      </c>
      <c r="R103" s="23">
        <f t="shared" si="26"/>
        <v>0.27</v>
      </c>
      <c r="S103" s="23">
        <f t="shared" si="26"/>
        <v>0.19</v>
      </c>
      <c r="T103" s="23">
        <f t="shared" si="26"/>
        <v>0.3</v>
      </c>
      <c r="U103" s="23">
        <f t="shared" si="26"/>
        <v>0.2</v>
      </c>
      <c r="V103" s="24">
        <f t="shared" si="3"/>
        <v>3.2317734072582052E-2</v>
      </c>
      <c r="W103" s="24">
        <f t="shared" si="4"/>
        <v>4.5999999999999999E-2</v>
      </c>
      <c r="X103" s="24">
        <f t="shared" si="5"/>
        <v>5.1000000000000004E-2</v>
      </c>
      <c r="Y103" s="24">
        <f t="shared" si="6"/>
        <v>5.2500000000000005E-2</v>
      </c>
      <c r="Z103" s="24">
        <f t="shared" si="7"/>
        <v>5.7500000000000002E-2</v>
      </c>
      <c r="AA103" s="3">
        <f ca="1">IFERROR(__xludf.DUMMYFUNCTION("AVERAGE.WEIGHTED(B103:C103,$AF103:$AG103)"),0.0424037108999149)</f>
        <v>4.2403710899914897E-2</v>
      </c>
      <c r="AB103" s="3">
        <f ca="1">IFERROR(__xludf.DUMMYFUNCTION("AVERAGE.WEIGHTED(D103:E103,$AH103:$AI103)"),0.0448453062440025)</f>
        <v>4.48453062440025E-2</v>
      </c>
      <c r="AC103" s="3">
        <f ca="1">IFERROR(__xludf.DUMMYFUNCTION("AVERAGE.WEIGHTED(F103:G103,$AJ103:$AK103)"),0.0493151084230517)</f>
        <v>4.9315108423051701E-2</v>
      </c>
      <c r="AD103" s="3" t="str">
        <f ca="1">IFERROR(__xludf.DUMMYFUNCTION("AVERAGE.WEIGHTED(H103:I103,$AA$25:$AB$25)"),"#VALUE!")</f>
        <v>#VALUE!</v>
      </c>
      <c r="AE103" s="3" t="str">
        <f ca="1">IFERROR(__xludf.DUMMYFUNCTION("AVERAGE.WEIGHTED(J103:K103,$AA$25:$AB$25)"),"#VALUE!")</f>
        <v>#VALUE!</v>
      </c>
      <c r="AF103" s="209">
        <v>0.43551240587735002</v>
      </c>
      <c r="AG103" s="3">
        <f t="shared" si="8"/>
        <v>0.56448759412264993</v>
      </c>
      <c r="AH103" s="209">
        <v>0.43585034688902902</v>
      </c>
      <c r="AI103" s="3">
        <f t="shared" si="9"/>
        <v>0.56414965311097098</v>
      </c>
      <c r="AJ103" s="209">
        <v>0.42341401922962402</v>
      </c>
      <c r="AK103" s="3">
        <f t="shared" si="10"/>
        <v>0.57658598077037593</v>
      </c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</row>
    <row r="104" spans="1:56" ht="15" x14ac:dyDescent="0.25">
      <c r="A104" s="1">
        <v>76</v>
      </c>
      <c r="B104" s="23">
        <f t="shared" si="26"/>
        <v>3.2169855966094701E-2</v>
      </c>
      <c r="C104" s="23">
        <f t="shared" si="26"/>
        <v>3.2465612179069396E-2</v>
      </c>
      <c r="D104" s="23">
        <f t="shared" si="26"/>
        <v>5.5E-2</v>
      </c>
      <c r="E104" s="23">
        <f t="shared" si="26"/>
        <v>3.6999999999999998E-2</v>
      </c>
      <c r="F104" s="23">
        <f t="shared" si="26"/>
        <v>6.2E-2</v>
      </c>
      <c r="G104" s="23">
        <f t="shared" si="26"/>
        <v>0.04</v>
      </c>
      <c r="H104" s="23">
        <f t="shared" si="26"/>
        <v>6.4000000000000001E-2</v>
      </c>
      <c r="I104" s="23">
        <f t="shared" si="26"/>
        <v>4.1000000000000002E-2</v>
      </c>
      <c r="J104" s="23">
        <f t="shared" si="26"/>
        <v>7.0000000000000007E-2</v>
      </c>
      <c r="K104" s="23">
        <f t="shared" si="26"/>
        <v>4.4999999999999998E-2</v>
      </c>
      <c r="L104" s="23">
        <f t="shared" si="26"/>
        <v>0.23</v>
      </c>
      <c r="M104" s="23">
        <f t="shared" si="26"/>
        <v>0.16</v>
      </c>
      <c r="N104" s="23">
        <f t="shared" si="26"/>
        <v>0.24</v>
      </c>
      <c r="O104" s="23">
        <f t="shared" si="26"/>
        <v>0.17</v>
      </c>
      <c r="P104" s="23">
        <f t="shared" si="26"/>
        <v>0.27</v>
      </c>
      <c r="Q104" s="23">
        <f t="shared" si="26"/>
        <v>0.18</v>
      </c>
      <c r="R104" s="23">
        <f t="shared" si="26"/>
        <v>0.27</v>
      </c>
      <c r="S104" s="23">
        <f t="shared" si="26"/>
        <v>0.19</v>
      </c>
      <c r="T104" s="23">
        <f t="shared" si="26"/>
        <v>0.3</v>
      </c>
      <c r="U104" s="23">
        <f t="shared" si="26"/>
        <v>0.2</v>
      </c>
      <c r="V104" s="24">
        <f t="shared" si="3"/>
        <v>3.2317734072582052E-2</v>
      </c>
      <c r="W104" s="24">
        <f t="shared" si="4"/>
        <v>4.5999999999999999E-2</v>
      </c>
      <c r="X104" s="24">
        <f t="shared" si="5"/>
        <v>5.1000000000000004E-2</v>
      </c>
      <c r="Y104" s="24">
        <f t="shared" si="6"/>
        <v>5.2500000000000005E-2</v>
      </c>
      <c r="Z104" s="24">
        <f t="shared" si="7"/>
        <v>5.7500000000000002E-2</v>
      </c>
      <c r="AA104" s="3">
        <f ca="1">IFERROR(__xludf.DUMMYFUNCTION("AVERAGE.WEIGHTED(B104:C104,$AF104:$AG104)"),0.042330541200258)</f>
        <v>4.2330541200257997E-2</v>
      </c>
      <c r="AB104" s="3">
        <f ca="1">IFERROR(__xludf.DUMMYFUNCTION("AVERAGE.WEIGHTED(D104:E104,$AH104:$AI104)"),0.0447307085631789)</f>
        <v>4.47307085631789E-2</v>
      </c>
      <c r="AC104" s="3">
        <f ca="1">IFERROR(__xludf.DUMMYFUNCTION("AVERAGE.WEIGHTED(F104:G104,$AJ104:$AK104)"),0.0491688104269457)</f>
        <v>4.9168810426945701E-2</v>
      </c>
      <c r="AD104" s="3" t="str">
        <f ca="1">IFERROR(__xludf.DUMMYFUNCTION("AVERAGE.WEIGHTED(H104:I104,$AA$25:$AB$25)"),"#VALUE!")</f>
        <v>#VALUE!</v>
      </c>
      <c r="AE104" s="3" t="str">
        <f ca="1">IFERROR(__xludf.DUMMYFUNCTION("AVERAGE.WEIGHTED(J104:K104,$AA$25:$AB$25)"),"#VALUE!")</f>
        <v>#VALUE!</v>
      </c>
      <c r="AF104" s="209">
        <v>0.43120830589753301</v>
      </c>
      <c r="AG104" s="3">
        <f t="shared" si="8"/>
        <v>0.56879169410246699</v>
      </c>
      <c r="AH104" s="209">
        <v>0.42948380906549699</v>
      </c>
      <c r="AI104" s="3">
        <f t="shared" si="9"/>
        <v>0.57051619093450301</v>
      </c>
      <c r="AJ104" s="209">
        <v>0.41676411031571697</v>
      </c>
      <c r="AK104" s="3">
        <f t="shared" si="10"/>
        <v>0.58323588968428308</v>
      </c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</row>
    <row r="105" spans="1:56" ht="15" x14ac:dyDescent="0.25">
      <c r="A105" s="1">
        <v>77</v>
      </c>
      <c r="B105" s="23">
        <f t="shared" si="26"/>
        <v>3.2169855966094701E-2</v>
      </c>
      <c r="C105" s="23">
        <f t="shared" si="26"/>
        <v>3.2465612179069396E-2</v>
      </c>
      <c r="D105" s="23">
        <f t="shared" si="26"/>
        <v>5.5E-2</v>
      </c>
      <c r="E105" s="23">
        <f t="shared" si="26"/>
        <v>3.6999999999999998E-2</v>
      </c>
      <c r="F105" s="23">
        <f t="shared" si="26"/>
        <v>6.2E-2</v>
      </c>
      <c r="G105" s="23">
        <f t="shared" si="26"/>
        <v>0.04</v>
      </c>
      <c r="H105" s="23">
        <f t="shared" si="26"/>
        <v>6.4000000000000001E-2</v>
      </c>
      <c r="I105" s="23">
        <f t="shared" si="26"/>
        <v>4.1000000000000002E-2</v>
      </c>
      <c r="J105" s="23">
        <f t="shared" si="26"/>
        <v>7.0000000000000007E-2</v>
      </c>
      <c r="K105" s="23">
        <f t="shared" si="26"/>
        <v>4.4999999999999998E-2</v>
      </c>
      <c r="L105" s="23">
        <f t="shared" si="26"/>
        <v>0.23</v>
      </c>
      <c r="M105" s="23">
        <f t="shared" si="26"/>
        <v>0.16</v>
      </c>
      <c r="N105" s="23">
        <f t="shared" si="26"/>
        <v>0.24</v>
      </c>
      <c r="O105" s="23">
        <f t="shared" si="26"/>
        <v>0.17</v>
      </c>
      <c r="P105" s="23">
        <f t="shared" si="26"/>
        <v>0.27</v>
      </c>
      <c r="Q105" s="23">
        <f t="shared" si="26"/>
        <v>0.18</v>
      </c>
      <c r="R105" s="23">
        <f t="shared" si="26"/>
        <v>0.27</v>
      </c>
      <c r="S105" s="23">
        <f t="shared" si="26"/>
        <v>0.19</v>
      </c>
      <c r="T105" s="23">
        <f t="shared" si="26"/>
        <v>0.3</v>
      </c>
      <c r="U105" s="23">
        <f t="shared" si="26"/>
        <v>0.2</v>
      </c>
      <c r="V105" s="24">
        <f t="shared" si="3"/>
        <v>3.2317734072582052E-2</v>
      </c>
      <c r="W105" s="24">
        <f t="shared" si="4"/>
        <v>4.5999999999999999E-2</v>
      </c>
      <c r="X105" s="24">
        <f t="shared" si="5"/>
        <v>5.1000000000000004E-2</v>
      </c>
      <c r="Y105" s="24">
        <f t="shared" si="6"/>
        <v>5.2500000000000005E-2</v>
      </c>
      <c r="Z105" s="24">
        <f t="shared" si="7"/>
        <v>5.7500000000000002E-2</v>
      </c>
      <c r="AA105" s="3">
        <f ca="1">IFERROR(__xludf.DUMMYFUNCTION("AVERAGE.WEIGHTED(B105:C105,$AF105:$AG105)"),0.042248129483234)</f>
        <v>4.2248129483233997E-2</v>
      </c>
      <c r="AB105" s="3">
        <f ca="1">IFERROR(__xludf.DUMMYFUNCTION("AVERAGE.WEIGHTED(D105:E105,$AH105:$AI105)"),0.0446040824660739)</f>
        <v>4.4604082466073898E-2</v>
      </c>
      <c r="AC105" s="3">
        <f ca="1">IFERROR(__xludf.DUMMYFUNCTION("AVERAGE.WEIGHTED(F105:G105,$AJ105:$AK105)"),0.0490335595623791)</f>
        <v>4.9033559562379099E-2</v>
      </c>
      <c r="AD105" s="3" t="str">
        <f ca="1">IFERROR(__xludf.DUMMYFUNCTION("AVERAGE.WEIGHTED(H105:I105,$AA$25:$AB$25)"),"#VALUE!")</f>
        <v>#VALUE!</v>
      </c>
      <c r="AE105" s="3" t="str">
        <f ca="1">IFERROR(__xludf.DUMMYFUNCTION("AVERAGE.WEIGHTED(J105:K105,$AA$25:$AB$25)"),"#VALUE!")</f>
        <v>#VALUE!</v>
      </c>
      <c r="AF105" s="209">
        <v>0.42636055783729399</v>
      </c>
      <c r="AG105" s="3">
        <f t="shared" si="8"/>
        <v>0.57363944216270601</v>
      </c>
      <c r="AH105" s="209">
        <v>0.42244902589299899</v>
      </c>
      <c r="AI105" s="3">
        <f t="shared" si="9"/>
        <v>0.57755097410700107</v>
      </c>
      <c r="AJ105" s="209">
        <v>0.41061634374450601</v>
      </c>
      <c r="AK105" s="3">
        <f t="shared" si="10"/>
        <v>0.58938365625549394</v>
      </c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</row>
    <row r="106" spans="1:56" ht="15" x14ac:dyDescent="0.25">
      <c r="A106" s="1">
        <v>78</v>
      </c>
      <c r="B106" s="23">
        <f t="shared" si="26"/>
        <v>3.2169855966094701E-2</v>
      </c>
      <c r="C106" s="23">
        <f t="shared" si="26"/>
        <v>3.2465612179069396E-2</v>
      </c>
      <c r="D106" s="23">
        <f t="shared" si="26"/>
        <v>5.5E-2</v>
      </c>
      <c r="E106" s="23">
        <f t="shared" si="26"/>
        <v>3.6999999999999998E-2</v>
      </c>
      <c r="F106" s="23">
        <f t="shared" si="26"/>
        <v>6.2E-2</v>
      </c>
      <c r="G106" s="23">
        <f t="shared" si="26"/>
        <v>0.04</v>
      </c>
      <c r="H106" s="23">
        <f t="shared" si="26"/>
        <v>6.4000000000000001E-2</v>
      </c>
      <c r="I106" s="23">
        <f t="shared" si="26"/>
        <v>4.1000000000000002E-2</v>
      </c>
      <c r="J106" s="23">
        <f t="shared" si="26"/>
        <v>7.0000000000000007E-2</v>
      </c>
      <c r="K106" s="23">
        <f t="shared" si="26"/>
        <v>4.4999999999999998E-2</v>
      </c>
      <c r="L106" s="23">
        <f t="shared" si="26"/>
        <v>0.23</v>
      </c>
      <c r="M106" s="23">
        <f t="shared" si="26"/>
        <v>0.16</v>
      </c>
      <c r="N106" s="23">
        <f t="shared" si="26"/>
        <v>0.24</v>
      </c>
      <c r="O106" s="23">
        <f t="shared" si="26"/>
        <v>0.17</v>
      </c>
      <c r="P106" s="23">
        <f t="shared" si="26"/>
        <v>0.27</v>
      </c>
      <c r="Q106" s="23">
        <f t="shared" si="26"/>
        <v>0.18</v>
      </c>
      <c r="R106" s="23">
        <f t="shared" si="26"/>
        <v>0.27</v>
      </c>
      <c r="S106" s="23">
        <f t="shared" si="26"/>
        <v>0.19</v>
      </c>
      <c r="T106" s="23">
        <f t="shared" si="26"/>
        <v>0.3</v>
      </c>
      <c r="U106" s="23">
        <f t="shared" si="26"/>
        <v>0.2</v>
      </c>
      <c r="V106" s="24">
        <f t="shared" si="3"/>
        <v>3.2317734072582052E-2</v>
      </c>
      <c r="W106" s="24">
        <f t="shared" si="4"/>
        <v>4.5999999999999999E-2</v>
      </c>
      <c r="X106" s="24">
        <f t="shared" si="5"/>
        <v>5.1000000000000004E-2</v>
      </c>
      <c r="Y106" s="24">
        <f t="shared" si="6"/>
        <v>5.2500000000000005E-2</v>
      </c>
      <c r="Z106" s="24">
        <f t="shared" si="7"/>
        <v>5.7500000000000002E-2</v>
      </c>
      <c r="AA106" s="3">
        <f ca="1">IFERROR(__xludf.DUMMYFUNCTION("AVERAGE.WEIGHTED(B106:C106,$AF106:$AG106)"),0.0421573272586863)</f>
        <v>4.2157327258686303E-2</v>
      </c>
      <c r="AB106" s="3">
        <f ca="1">IFERROR(__xludf.DUMMYFUNCTION("AVERAGE.WEIGHTED(D106:E106,$AH106:$AI106)"),0.0444650759025953)</f>
        <v>4.4465075902595297E-2</v>
      </c>
      <c r="AC106" s="3">
        <f ca="1">IFERROR(__xludf.DUMMYFUNCTION("AVERAGE.WEIGHTED(F106:G106,$AJ106:$AK106)"),0.0489046478441487)</f>
        <v>4.8904647844148698E-2</v>
      </c>
      <c r="AD106" s="3" t="str">
        <f ca="1">IFERROR(__xludf.DUMMYFUNCTION("AVERAGE.WEIGHTED(H106:I106,$AA$25:$AB$25)"),"#VALUE!")</f>
        <v>#VALUE!</v>
      </c>
      <c r="AE106" s="3" t="str">
        <f ca="1">IFERROR(__xludf.DUMMYFUNCTION("AVERAGE.WEIGHTED(J106:K106,$AA$25:$AB$25)"),"#VALUE!")</f>
        <v>#VALUE!</v>
      </c>
      <c r="AF106" s="209">
        <v>0.42101925051095901</v>
      </c>
      <c r="AG106" s="3">
        <f t="shared" si="8"/>
        <v>0.57898074948904099</v>
      </c>
      <c r="AH106" s="209">
        <v>0.41472643903307699</v>
      </c>
      <c r="AI106" s="3">
        <f t="shared" si="9"/>
        <v>0.58527356096692307</v>
      </c>
      <c r="AJ106" s="209">
        <v>0.404756720188578</v>
      </c>
      <c r="AK106" s="3">
        <f t="shared" si="10"/>
        <v>0.595243279811422</v>
      </c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</row>
    <row r="107" spans="1:56" ht="15" x14ac:dyDescent="0.25">
      <c r="A107" s="1">
        <v>79</v>
      </c>
      <c r="B107" s="23">
        <f t="shared" si="26"/>
        <v>3.2169855966094701E-2</v>
      </c>
      <c r="C107" s="23">
        <f t="shared" si="26"/>
        <v>3.2465612179069396E-2</v>
      </c>
      <c r="D107" s="23">
        <f t="shared" si="26"/>
        <v>5.5E-2</v>
      </c>
      <c r="E107" s="23">
        <f t="shared" si="26"/>
        <v>3.6999999999999998E-2</v>
      </c>
      <c r="F107" s="23">
        <f t="shared" si="26"/>
        <v>6.2E-2</v>
      </c>
      <c r="G107" s="23">
        <f t="shared" si="26"/>
        <v>0.04</v>
      </c>
      <c r="H107" s="23">
        <f t="shared" si="26"/>
        <v>6.4000000000000001E-2</v>
      </c>
      <c r="I107" s="23">
        <f t="shared" si="26"/>
        <v>4.1000000000000002E-2</v>
      </c>
      <c r="J107" s="23">
        <f t="shared" si="26"/>
        <v>7.0000000000000007E-2</v>
      </c>
      <c r="K107" s="23">
        <f t="shared" si="26"/>
        <v>4.4999999999999998E-2</v>
      </c>
      <c r="L107" s="23">
        <f t="shared" si="26"/>
        <v>0.23</v>
      </c>
      <c r="M107" s="23">
        <f t="shared" si="26"/>
        <v>0.16</v>
      </c>
      <c r="N107" s="23">
        <f t="shared" si="26"/>
        <v>0.24</v>
      </c>
      <c r="O107" s="23">
        <f t="shared" si="26"/>
        <v>0.17</v>
      </c>
      <c r="P107" s="23">
        <f t="shared" si="26"/>
        <v>0.27</v>
      </c>
      <c r="Q107" s="23">
        <f t="shared" si="26"/>
        <v>0.18</v>
      </c>
      <c r="R107" s="23">
        <f t="shared" si="26"/>
        <v>0.27</v>
      </c>
      <c r="S107" s="23">
        <f t="shared" si="26"/>
        <v>0.19</v>
      </c>
      <c r="T107" s="23">
        <f t="shared" si="26"/>
        <v>0.3</v>
      </c>
      <c r="U107" s="23">
        <f t="shared" si="26"/>
        <v>0.2</v>
      </c>
      <c r="V107" s="24">
        <f t="shared" si="3"/>
        <v>3.2317734072582052E-2</v>
      </c>
      <c r="W107" s="24">
        <f t="shared" si="4"/>
        <v>4.5999999999999999E-2</v>
      </c>
      <c r="X107" s="24">
        <f t="shared" si="5"/>
        <v>5.1000000000000004E-2</v>
      </c>
      <c r="Y107" s="24">
        <f t="shared" si="6"/>
        <v>5.2500000000000005E-2</v>
      </c>
      <c r="Z107" s="24">
        <f t="shared" si="7"/>
        <v>5.7500000000000002E-2</v>
      </c>
      <c r="AA107" s="3">
        <f ca="1">IFERROR(__xludf.DUMMYFUNCTION("AVERAGE.WEIGHTED(B107:C107,$AF107:$AG107)"),0.0420485213178229)</f>
        <v>4.2048521317822898E-2</v>
      </c>
      <c r="AB107" s="3">
        <f ca="1">IFERROR(__xludf.DUMMYFUNCTION("AVERAGE.WEIGHTED(D107:E107,$AH107:$AI107)"),0.0442994808834849)</f>
        <v>4.4299480883484899E-2</v>
      </c>
      <c r="AC107" s="3">
        <f ca="1">IFERROR(__xludf.DUMMYFUNCTION("AVERAGE.WEIGHTED(F107:G107,$AJ107:$AK107)"),0.0487913039821706)</f>
        <v>4.8791303982170603E-2</v>
      </c>
      <c r="AD107" s="3" t="str">
        <f ca="1">IFERROR(__xludf.DUMMYFUNCTION("AVERAGE.WEIGHTED(H107:I107,$AA$25:$AB$25)"),"#VALUE!")</f>
        <v>#VALUE!</v>
      </c>
      <c r="AE107" s="3" t="str">
        <f ca="1">IFERROR(__xludf.DUMMYFUNCTION("AVERAGE.WEIGHTED(J107:K107,$AA$25:$AB$25)"),"#VALUE!")</f>
        <v>#VALUE!</v>
      </c>
      <c r="AF107" s="209">
        <v>0.41461890104840599</v>
      </c>
      <c r="AG107" s="3">
        <f t="shared" si="8"/>
        <v>0.58538109895159396</v>
      </c>
      <c r="AH107" s="209">
        <v>0.40552671574916599</v>
      </c>
      <c r="AI107" s="3">
        <f t="shared" si="9"/>
        <v>0.59447328425083401</v>
      </c>
      <c r="AJ107" s="209">
        <v>0.399604726462302</v>
      </c>
      <c r="AK107" s="3">
        <f t="shared" si="10"/>
        <v>0.60039527353769806</v>
      </c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</row>
    <row r="108" spans="1:56" ht="15" x14ac:dyDescent="0.25">
      <c r="A108" s="1">
        <v>80</v>
      </c>
      <c r="B108" s="23">
        <f t="shared" ref="B108:U123" si="27">B$22</f>
        <v>5.1255278340479299E-2</v>
      </c>
      <c r="C108" s="23">
        <f t="shared" si="27"/>
        <v>5.1226821896104099E-2</v>
      </c>
      <c r="D108" s="23">
        <f t="shared" si="27"/>
        <v>9.0999999999999998E-2</v>
      </c>
      <c r="E108" s="23">
        <f t="shared" si="27"/>
        <v>6.5000000000000002E-2</v>
      </c>
      <c r="F108" s="23">
        <f t="shared" si="27"/>
        <v>9.7000000000000003E-2</v>
      </c>
      <c r="G108" s="23">
        <f t="shared" si="27"/>
        <v>6.8000000000000005E-2</v>
      </c>
      <c r="H108" s="23">
        <f t="shared" si="27"/>
        <v>0.1</v>
      </c>
      <c r="I108" s="23">
        <f t="shared" si="27"/>
        <v>7.0000000000000007E-2</v>
      </c>
      <c r="J108" s="23">
        <f t="shared" si="27"/>
        <v>0.11</v>
      </c>
      <c r="K108" s="23">
        <f t="shared" si="27"/>
        <v>0.08</v>
      </c>
      <c r="L108" s="23">
        <f t="shared" si="27"/>
        <v>0.33</v>
      </c>
      <c r="M108" s="23">
        <f t="shared" si="27"/>
        <v>0.25</v>
      </c>
      <c r="N108" s="23">
        <f t="shared" si="27"/>
        <v>0.37</v>
      </c>
      <c r="O108" s="23">
        <f t="shared" si="27"/>
        <v>0.28000000000000003</v>
      </c>
      <c r="P108" s="23">
        <f t="shared" si="27"/>
        <v>0.39</v>
      </c>
      <c r="Q108" s="23">
        <f t="shared" si="27"/>
        <v>0.28999999999999998</v>
      </c>
      <c r="R108" s="23">
        <f t="shared" si="27"/>
        <v>0.41</v>
      </c>
      <c r="S108" s="23">
        <f t="shared" si="27"/>
        <v>0.3</v>
      </c>
      <c r="T108" s="23">
        <f t="shared" si="27"/>
        <v>0.43</v>
      </c>
      <c r="U108" s="23">
        <f t="shared" si="27"/>
        <v>0.33</v>
      </c>
      <c r="V108" s="24">
        <f t="shared" si="3"/>
        <v>5.1241050118291699E-2</v>
      </c>
      <c r="W108" s="24">
        <f t="shared" si="4"/>
        <v>7.8E-2</v>
      </c>
      <c r="X108" s="24">
        <f t="shared" si="5"/>
        <v>8.2500000000000004E-2</v>
      </c>
      <c r="Y108" s="24">
        <f t="shared" si="6"/>
        <v>8.5000000000000006E-2</v>
      </c>
      <c r="Z108" s="24">
        <f t="shared" si="7"/>
        <v>9.5000000000000001E-2</v>
      </c>
      <c r="AA108" s="3">
        <f ca="1">IFERROR(__xludf.DUMMYFUNCTION("AVERAGE.WEIGHTED(B108:C108,$AF108:$AG108)"),0.0663531307567778)</f>
        <v>6.6353130756777803E-2</v>
      </c>
      <c r="AB108" s="3">
        <f ca="1">IFERROR(__xludf.DUMMYFUNCTION("AVERAGE.WEIGHTED(D108:E108,$AH108:$AI108)"),0.0752889175495974)</f>
        <v>7.5288917549597406E-2</v>
      </c>
      <c r="AC108" s="3">
        <f ca="1">IFERROR(__xludf.DUMMYFUNCTION("AVERAGE.WEIGHTED(F108:G108,$AJ108:$AK108)"),0.0794459965715417)</f>
        <v>7.9445996571541694E-2</v>
      </c>
      <c r="AD108" s="3" t="str">
        <f ca="1">IFERROR(__xludf.DUMMYFUNCTION("AVERAGE.WEIGHTED(H108:I108,$AA$25:$AB$25)"),"#VALUE!")</f>
        <v>#VALUE!</v>
      </c>
      <c r="AE108" s="3" t="str">
        <f ca="1">IFERROR(__xludf.DUMMYFUNCTION("AVERAGE.WEIGHTED(J108:K108,$AA$25:$AB$25)"),"#VALUE!")</f>
        <v>#VALUE!</v>
      </c>
      <c r="AF108" s="209">
        <v>0.40665785899034301</v>
      </c>
      <c r="AG108" s="3">
        <f t="shared" si="8"/>
        <v>0.59334214100965699</v>
      </c>
      <c r="AH108" s="209">
        <v>0.39572759806144098</v>
      </c>
      <c r="AI108" s="3">
        <f t="shared" si="9"/>
        <v>0.60427240193855902</v>
      </c>
      <c r="AJ108" s="209">
        <v>0.39468953694971398</v>
      </c>
      <c r="AK108" s="3">
        <f t="shared" si="10"/>
        <v>0.60531046305028602</v>
      </c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</row>
    <row r="109" spans="1:56" ht="15" x14ac:dyDescent="0.25">
      <c r="A109" s="1">
        <v>81</v>
      </c>
      <c r="B109" s="23">
        <f t="shared" si="27"/>
        <v>5.1255278340479299E-2</v>
      </c>
      <c r="C109" s="23">
        <f t="shared" si="27"/>
        <v>5.1226821896104099E-2</v>
      </c>
      <c r="D109" s="23">
        <f t="shared" si="27"/>
        <v>9.0999999999999998E-2</v>
      </c>
      <c r="E109" s="23">
        <f t="shared" si="27"/>
        <v>6.5000000000000002E-2</v>
      </c>
      <c r="F109" s="23">
        <f t="shared" si="27"/>
        <v>9.7000000000000003E-2</v>
      </c>
      <c r="G109" s="23">
        <f t="shared" si="27"/>
        <v>6.8000000000000005E-2</v>
      </c>
      <c r="H109" s="23">
        <f t="shared" si="27"/>
        <v>0.1</v>
      </c>
      <c r="I109" s="23">
        <f t="shared" si="27"/>
        <v>7.0000000000000007E-2</v>
      </c>
      <c r="J109" s="23">
        <f t="shared" si="27"/>
        <v>0.11</v>
      </c>
      <c r="K109" s="23">
        <f t="shared" si="27"/>
        <v>0.08</v>
      </c>
      <c r="L109" s="23">
        <f t="shared" si="27"/>
        <v>0.33</v>
      </c>
      <c r="M109" s="23">
        <f t="shared" si="27"/>
        <v>0.25</v>
      </c>
      <c r="N109" s="23">
        <f t="shared" si="27"/>
        <v>0.37</v>
      </c>
      <c r="O109" s="23">
        <f t="shared" si="27"/>
        <v>0.28000000000000003</v>
      </c>
      <c r="P109" s="23">
        <f t="shared" si="27"/>
        <v>0.39</v>
      </c>
      <c r="Q109" s="23">
        <f t="shared" si="27"/>
        <v>0.28999999999999998</v>
      </c>
      <c r="R109" s="23">
        <f t="shared" si="27"/>
        <v>0.41</v>
      </c>
      <c r="S109" s="23">
        <f t="shared" si="27"/>
        <v>0.3</v>
      </c>
      <c r="T109" s="23">
        <f t="shared" si="27"/>
        <v>0.43</v>
      </c>
      <c r="U109" s="23">
        <f t="shared" si="27"/>
        <v>0.33</v>
      </c>
      <c r="V109" s="24">
        <f t="shared" si="3"/>
        <v>5.1241050118291699E-2</v>
      </c>
      <c r="W109" s="24">
        <f t="shared" si="4"/>
        <v>7.8E-2</v>
      </c>
      <c r="X109" s="24">
        <f t="shared" si="5"/>
        <v>8.2500000000000004E-2</v>
      </c>
      <c r="Y109" s="24">
        <f t="shared" si="6"/>
        <v>8.5000000000000006E-2</v>
      </c>
      <c r="Z109" s="24">
        <f t="shared" si="7"/>
        <v>9.5000000000000001E-2</v>
      </c>
      <c r="AA109" s="3">
        <f ca="1">IFERROR(__xludf.DUMMYFUNCTION("AVERAGE.WEIGHTED(B109:C109,$AF109:$AG109)"),0.0661446692602123)</f>
        <v>6.6144669260212299E-2</v>
      </c>
      <c r="AB109" s="3">
        <f ca="1">IFERROR(__xludf.DUMMYFUNCTION("AVERAGE.WEIGHTED(D109:E109,$AH109:$AI109)"),0.0750535519825763)</f>
        <v>7.5053551982576294E-2</v>
      </c>
      <c r="AC109" s="3">
        <f ca="1">IFERROR(__xludf.DUMMYFUNCTION("AVERAGE.WEIGHTED(F109:G109,$AJ109:$AK109)"),0.07930851201544)</f>
        <v>7.9308512015439994E-2</v>
      </c>
      <c r="AD109" s="3" t="str">
        <f ca="1">IFERROR(__xludf.DUMMYFUNCTION("AVERAGE.WEIGHTED(H109:I109,$AA$25:$AB$25)"),"#VALUE!")</f>
        <v>#VALUE!</v>
      </c>
      <c r="AE109" s="3" t="str">
        <f ca="1">IFERROR(__xludf.DUMMYFUNCTION("AVERAGE.WEIGHTED(J109:K109,$AA$25:$AB$25)"),"#VALUE!")</f>
        <v>#VALUE!</v>
      </c>
      <c r="AF109" s="209">
        <v>0.39759431566140602</v>
      </c>
      <c r="AG109" s="3">
        <f t="shared" si="8"/>
        <v>0.60240568433859398</v>
      </c>
      <c r="AH109" s="209">
        <v>0.38667507625293801</v>
      </c>
      <c r="AI109" s="3">
        <f t="shared" si="9"/>
        <v>0.61332492374706193</v>
      </c>
      <c r="AJ109" s="209">
        <v>0.38994869018758699</v>
      </c>
      <c r="AK109" s="3">
        <f t="shared" si="10"/>
        <v>0.61005130981241296</v>
      </c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</row>
    <row r="110" spans="1:56" ht="15" x14ac:dyDescent="0.25">
      <c r="A110" s="1">
        <v>82</v>
      </c>
      <c r="B110" s="23">
        <f t="shared" si="27"/>
        <v>5.1255278340479299E-2</v>
      </c>
      <c r="C110" s="23">
        <f t="shared" si="27"/>
        <v>5.1226821896104099E-2</v>
      </c>
      <c r="D110" s="23">
        <f t="shared" si="27"/>
        <v>9.0999999999999998E-2</v>
      </c>
      <c r="E110" s="23">
        <f t="shared" si="27"/>
        <v>6.5000000000000002E-2</v>
      </c>
      <c r="F110" s="23">
        <f t="shared" si="27"/>
        <v>9.7000000000000003E-2</v>
      </c>
      <c r="G110" s="23">
        <f t="shared" si="27"/>
        <v>6.8000000000000005E-2</v>
      </c>
      <c r="H110" s="23">
        <f t="shared" si="27"/>
        <v>0.1</v>
      </c>
      <c r="I110" s="23">
        <f t="shared" si="27"/>
        <v>7.0000000000000007E-2</v>
      </c>
      <c r="J110" s="23">
        <f t="shared" si="27"/>
        <v>0.11</v>
      </c>
      <c r="K110" s="23">
        <f t="shared" si="27"/>
        <v>0.08</v>
      </c>
      <c r="L110" s="23">
        <f t="shared" si="27"/>
        <v>0.33</v>
      </c>
      <c r="M110" s="23">
        <f t="shared" si="27"/>
        <v>0.25</v>
      </c>
      <c r="N110" s="23">
        <f t="shared" si="27"/>
        <v>0.37</v>
      </c>
      <c r="O110" s="23">
        <f t="shared" si="27"/>
        <v>0.28000000000000003</v>
      </c>
      <c r="P110" s="23">
        <f t="shared" si="27"/>
        <v>0.39</v>
      </c>
      <c r="Q110" s="23">
        <f t="shared" si="27"/>
        <v>0.28999999999999998</v>
      </c>
      <c r="R110" s="23">
        <f t="shared" si="27"/>
        <v>0.41</v>
      </c>
      <c r="S110" s="23">
        <f t="shared" si="27"/>
        <v>0.3</v>
      </c>
      <c r="T110" s="23">
        <f t="shared" si="27"/>
        <v>0.43</v>
      </c>
      <c r="U110" s="23">
        <f t="shared" si="27"/>
        <v>0.33</v>
      </c>
      <c r="V110" s="24">
        <f t="shared" si="3"/>
        <v>5.1241050118291699E-2</v>
      </c>
      <c r="W110" s="24">
        <f t="shared" si="4"/>
        <v>7.8E-2</v>
      </c>
      <c r="X110" s="24">
        <f t="shared" si="5"/>
        <v>8.2500000000000004E-2</v>
      </c>
      <c r="Y110" s="24">
        <f t="shared" si="6"/>
        <v>8.5000000000000006E-2</v>
      </c>
      <c r="Z110" s="24">
        <f t="shared" si="7"/>
        <v>9.5000000000000001E-2</v>
      </c>
      <c r="AA110" s="3">
        <f ca="1">IFERROR(__xludf.DUMMYFUNCTION("AVERAGE.WEIGHTED(B110:C110,$AF110:$AG110)"),0.06591388922627)</f>
        <v>6.5913889226270006E-2</v>
      </c>
      <c r="AB110" s="3">
        <f ca="1">IFERROR(__xludf.DUMMYFUNCTION("AVERAGE.WEIGHTED(D110:E110,$AH110:$AI110)"),0.07482229649668)</f>
        <v>7.4822296496679999E-2</v>
      </c>
      <c r="AC110" s="3">
        <f ca="1">IFERROR(__xludf.DUMMYFUNCTION("AVERAGE.WEIGHTED(F110:G110,$AJ110:$AK110)"),0.0791759975632044)</f>
        <v>7.9175997563204398E-2</v>
      </c>
      <c r="AD110" s="3" t="str">
        <f ca="1">IFERROR(__xludf.DUMMYFUNCTION("AVERAGE.WEIGHTED(H110:I110,$AA$25:$AB$25)"),"#VALUE!")</f>
        <v>#VALUE!</v>
      </c>
      <c r="AE110" s="3" t="str">
        <f ca="1">IFERROR(__xludf.DUMMYFUNCTION("AVERAGE.WEIGHTED(J110:K110,$AA$25:$AB$25)"),"#VALUE!")</f>
        <v>#VALUE!</v>
      </c>
      <c r="AF110" s="209">
        <v>0.38756040114217399</v>
      </c>
      <c r="AG110" s="3">
        <f t="shared" si="8"/>
        <v>0.61243959885782595</v>
      </c>
      <c r="AH110" s="209">
        <v>0.377780634487693</v>
      </c>
      <c r="AI110" s="3">
        <f t="shared" si="9"/>
        <v>0.62221936551230694</v>
      </c>
      <c r="AJ110" s="209">
        <v>0.38537922631739302</v>
      </c>
      <c r="AK110" s="3">
        <f t="shared" si="10"/>
        <v>0.61462077368260704</v>
      </c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</row>
    <row r="111" spans="1:56" ht="15" x14ac:dyDescent="0.25">
      <c r="A111" s="1">
        <v>83</v>
      </c>
      <c r="B111" s="23">
        <f t="shared" si="27"/>
        <v>5.1255278340479299E-2</v>
      </c>
      <c r="C111" s="23">
        <f t="shared" si="27"/>
        <v>5.1226821896104099E-2</v>
      </c>
      <c r="D111" s="23">
        <f t="shared" si="27"/>
        <v>9.0999999999999998E-2</v>
      </c>
      <c r="E111" s="23">
        <f t="shared" si="27"/>
        <v>6.5000000000000002E-2</v>
      </c>
      <c r="F111" s="23">
        <f t="shared" si="27"/>
        <v>9.7000000000000003E-2</v>
      </c>
      <c r="G111" s="23">
        <f t="shared" si="27"/>
        <v>6.8000000000000005E-2</v>
      </c>
      <c r="H111" s="23">
        <f t="shared" si="27"/>
        <v>0.1</v>
      </c>
      <c r="I111" s="23">
        <f t="shared" si="27"/>
        <v>7.0000000000000007E-2</v>
      </c>
      <c r="J111" s="23">
        <f t="shared" si="27"/>
        <v>0.11</v>
      </c>
      <c r="K111" s="23">
        <f t="shared" si="27"/>
        <v>0.08</v>
      </c>
      <c r="L111" s="23">
        <f t="shared" si="27"/>
        <v>0.33</v>
      </c>
      <c r="M111" s="23">
        <f t="shared" si="27"/>
        <v>0.25</v>
      </c>
      <c r="N111" s="23">
        <f t="shared" si="27"/>
        <v>0.37</v>
      </c>
      <c r="O111" s="23">
        <f t="shared" si="27"/>
        <v>0.28000000000000003</v>
      </c>
      <c r="P111" s="23">
        <f t="shared" si="27"/>
        <v>0.39</v>
      </c>
      <c r="Q111" s="23">
        <f t="shared" si="27"/>
        <v>0.28999999999999998</v>
      </c>
      <c r="R111" s="23">
        <f t="shared" si="27"/>
        <v>0.41</v>
      </c>
      <c r="S111" s="23">
        <f t="shared" si="27"/>
        <v>0.3</v>
      </c>
      <c r="T111" s="23">
        <f t="shared" si="27"/>
        <v>0.43</v>
      </c>
      <c r="U111" s="23">
        <f t="shared" si="27"/>
        <v>0.33</v>
      </c>
      <c r="V111" s="24">
        <f t="shared" si="3"/>
        <v>5.1241050118291699E-2</v>
      </c>
      <c r="W111" s="24">
        <f t="shared" si="4"/>
        <v>7.8E-2</v>
      </c>
      <c r="X111" s="24">
        <f t="shared" si="5"/>
        <v>8.2500000000000004E-2</v>
      </c>
      <c r="Y111" s="24">
        <f t="shared" si="6"/>
        <v>8.5000000000000006E-2</v>
      </c>
      <c r="Z111" s="24">
        <f t="shared" si="7"/>
        <v>9.5000000000000001E-2</v>
      </c>
      <c r="AA111" s="3">
        <f ca="1">IFERROR(__xludf.DUMMYFUNCTION("AVERAGE.WEIGHTED(B111:C111,$AF111:$AG111)"),0.0656407798336023)</f>
        <v>6.5640779833602295E-2</v>
      </c>
      <c r="AB111" s="3">
        <f ca="1">IFERROR(__xludf.DUMMYFUNCTION("AVERAGE.WEIGHTED(D111:E111,$AH111:$AI111)"),0.0745881416620657)</f>
        <v>7.4588141662065705E-2</v>
      </c>
      <c r="AC111" s="3">
        <f ca="1">IFERROR(__xludf.DUMMYFUNCTION("AVERAGE.WEIGHTED(F111:G111,$AJ111:$AK111)"),0.0790271781493088)</f>
        <v>7.9027178149308805E-2</v>
      </c>
      <c r="AD111" s="3" t="str">
        <f ca="1">IFERROR(__xludf.DUMMYFUNCTION("AVERAGE.WEIGHTED(H111:I111,$AA$25:$AB$25)"),"#VALUE!")</f>
        <v>#VALUE!</v>
      </c>
      <c r="AE111" s="3" t="str">
        <f ca="1">IFERROR(__xludf.DUMMYFUNCTION("AVERAGE.WEIGHTED(J111:K111,$AA$25:$AB$25)"),"#VALUE!")</f>
        <v>#VALUE!</v>
      </c>
      <c r="AF111" s="209">
        <v>0.37568607972184298</v>
      </c>
      <c r="AG111" s="3">
        <f t="shared" si="8"/>
        <v>0.62431392027815702</v>
      </c>
      <c r="AH111" s="209">
        <v>0.36877467931022201</v>
      </c>
      <c r="AI111" s="3">
        <f t="shared" si="9"/>
        <v>0.63122532068977799</v>
      </c>
      <c r="AJ111" s="209">
        <v>0.38024752238995901</v>
      </c>
      <c r="AK111" s="3">
        <f t="shared" si="10"/>
        <v>0.61975247761004093</v>
      </c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</row>
    <row r="112" spans="1:56" ht="15" x14ac:dyDescent="0.25">
      <c r="A112" s="1">
        <v>84</v>
      </c>
      <c r="B112" s="23">
        <f t="shared" si="27"/>
        <v>5.1255278340479299E-2</v>
      </c>
      <c r="C112" s="23">
        <f t="shared" si="27"/>
        <v>5.1226821896104099E-2</v>
      </c>
      <c r="D112" s="23">
        <f t="shared" si="27"/>
        <v>9.0999999999999998E-2</v>
      </c>
      <c r="E112" s="23">
        <f t="shared" si="27"/>
        <v>6.5000000000000002E-2</v>
      </c>
      <c r="F112" s="23">
        <f t="shared" si="27"/>
        <v>9.7000000000000003E-2</v>
      </c>
      <c r="G112" s="23">
        <f t="shared" si="27"/>
        <v>6.8000000000000005E-2</v>
      </c>
      <c r="H112" s="23">
        <f t="shared" si="27"/>
        <v>0.1</v>
      </c>
      <c r="I112" s="23">
        <f t="shared" si="27"/>
        <v>7.0000000000000007E-2</v>
      </c>
      <c r="J112" s="23">
        <f t="shared" si="27"/>
        <v>0.11</v>
      </c>
      <c r="K112" s="23">
        <f t="shared" si="27"/>
        <v>0.08</v>
      </c>
      <c r="L112" s="23">
        <f t="shared" si="27"/>
        <v>0.33</v>
      </c>
      <c r="M112" s="23">
        <f t="shared" si="27"/>
        <v>0.25</v>
      </c>
      <c r="N112" s="23">
        <f t="shared" si="27"/>
        <v>0.37</v>
      </c>
      <c r="O112" s="23">
        <f t="shared" si="27"/>
        <v>0.28000000000000003</v>
      </c>
      <c r="P112" s="23">
        <f t="shared" si="27"/>
        <v>0.39</v>
      </c>
      <c r="Q112" s="23">
        <f t="shared" si="27"/>
        <v>0.28999999999999998</v>
      </c>
      <c r="R112" s="23">
        <f t="shared" si="27"/>
        <v>0.41</v>
      </c>
      <c r="S112" s="23">
        <f t="shared" si="27"/>
        <v>0.3</v>
      </c>
      <c r="T112" s="23">
        <f t="shared" si="27"/>
        <v>0.43</v>
      </c>
      <c r="U112" s="23">
        <f t="shared" si="27"/>
        <v>0.33</v>
      </c>
      <c r="V112" s="24">
        <f t="shared" si="3"/>
        <v>5.1241050118291699E-2</v>
      </c>
      <c r="W112" s="24">
        <f t="shared" si="4"/>
        <v>7.8E-2</v>
      </c>
      <c r="X112" s="24">
        <f t="shared" si="5"/>
        <v>8.2500000000000004E-2</v>
      </c>
      <c r="Y112" s="24">
        <f t="shared" si="6"/>
        <v>8.5000000000000006E-2</v>
      </c>
      <c r="Z112" s="24">
        <f t="shared" si="7"/>
        <v>9.5000000000000001E-2</v>
      </c>
      <c r="AA112" s="3">
        <f ca="1">IFERROR(__xludf.DUMMYFUNCTION("AVERAGE.WEIGHTED(B112:C112,$AF112:$AG112)"),0.06535242302162)</f>
        <v>6.5352423021620004E-2</v>
      </c>
      <c r="AB112" s="3">
        <f ca="1">IFERROR(__xludf.DUMMYFUNCTION("AVERAGE.WEIGHTED(D112:E112,$AH112:$AI112)"),0.0743665616390398)</f>
        <v>7.4366561639039805E-2</v>
      </c>
      <c r="AC112" s="3">
        <f ca="1">IFERROR(__xludf.DUMMYFUNCTION("AVERAGE.WEIGHTED(F112:G112,$AJ112:$AK112)"),0.0788621766641115)</f>
        <v>7.8862176664111494E-2</v>
      </c>
      <c r="AD112" s="3" t="str">
        <f ca="1">IFERROR(__xludf.DUMMYFUNCTION("AVERAGE.WEIGHTED(H112:I112,$AA$25:$AB$25)"),"#VALUE!")</f>
        <v>#VALUE!</v>
      </c>
      <c r="AE112" s="3" t="str">
        <f ca="1">IFERROR(__xludf.DUMMYFUNCTION("AVERAGE.WEIGHTED(J112:K112,$AA$25:$AB$25)"),"#VALUE!")</f>
        <v>#VALUE!</v>
      </c>
      <c r="AF112" s="209">
        <v>0.363148827026957</v>
      </c>
      <c r="AG112" s="3">
        <f t="shared" si="8"/>
        <v>0.63685117297304306</v>
      </c>
      <c r="AH112" s="209">
        <v>0.36025237073230099</v>
      </c>
      <c r="AI112" s="3">
        <f t="shared" si="9"/>
        <v>0.63974762926769901</v>
      </c>
      <c r="AJ112" s="209">
        <v>0.37455781600384702</v>
      </c>
      <c r="AK112" s="3">
        <f t="shared" si="10"/>
        <v>0.62544218399615303</v>
      </c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</row>
    <row r="113" spans="1:56" ht="15" x14ac:dyDescent="0.25">
      <c r="A113" s="1">
        <v>85</v>
      </c>
      <c r="B113" s="23">
        <f t="shared" ref="B113:K128" si="28">B$23</f>
        <v>0.10387284992507401</v>
      </c>
      <c r="C113" s="23">
        <f t="shared" si="28"/>
        <v>0.10362433151376599</v>
      </c>
      <c r="D113" s="23">
        <f t="shared" si="28"/>
        <v>0.19</v>
      </c>
      <c r="E113" s="23">
        <f t="shared" si="28"/>
        <v>0.15</v>
      </c>
      <c r="F113" s="23">
        <f t="shared" si="28"/>
        <v>0.21</v>
      </c>
      <c r="G113" s="23">
        <f t="shared" si="28"/>
        <v>0.17</v>
      </c>
      <c r="H113" s="23">
        <f t="shared" si="28"/>
        <v>0.21</v>
      </c>
      <c r="I113" s="23">
        <f t="shared" si="28"/>
        <v>0.17</v>
      </c>
      <c r="J113" s="23">
        <f t="shared" si="28"/>
        <v>0.21</v>
      </c>
      <c r="K113" s="23">
        <f t="shared" si="28"/>
        <v>0.18</v>
      </c>
      <c r="L113" s="23">
        <f t="shared" si="27"/>
        <v>0.33</v>
      </c>
      <c r="M113" s="23">
        <f t="shared" si="27"/>
        <v>0.25</v>
      </c>
      <c r="N113" s="23">
        <f t="shared" si="27"/>
        <v>0.37</v>
      </c>
      <c r="O113" s="23">
        <f t="shared" si="27"/>
        <v>0.28000000000000003</v>
      </c>
      <c r="P113" s="23">
        <f t="shared" si="27"/>
        <v>0.39</v>
      </c>
      <c r="Q113" s="23">
        <f t="shared" si="27"/>
        <v>0.28999999999999998</v>
      </c>
      <c r="R113" s="23">
        <f t="shared" si="27"/>
        <v>0.41</v>
      </c>
      <c r="S113" s="23">
        <f t="shared" si="27"/>
        <v>0.3</v>
      </c>
      <c r="T113" s="23">
        <f t="shared" si="27"/>
        <v>0.43</v>
      </c>
      <c r="U113" s="23">
        <f t="shared" si="27"/>
        <v>0.33</v>
      </c>
      <c r="V113" s="24">
        <f t="shared" si="3"/>
        <v>0.10374859071942</v>
      </c>
      <c r="W113" s="24">
        <f t="shared" si="4"/>
        <v>0.16999999999999998</v>
      </c>
      <c r="X113" s="24">
        <f t="shared" si="5"/>
        <v>0.19</v>
      </c>
      <c r="Y113" s="24">
        <f t="shared" si="6"/>
        <v>0.19</v>
      </c>
      <c r="Z113" s="24">
        <f t="shared" si="7"/>
        <v>0.19500000000000001</v>
      </c>
      <c r="AA113" s="3">
        <f ca="1">IFERROR(__xludf.DUMMYFUNCTION("AVERAGE.WEIGHTED(B113:C113,$AF113:$AG113)"),0.154062048840423)</f>
        <v>0.15406204884042299</v>
      </c>
      <c r="AB113" s="3">
        <f ca="1">IFERROR(__xludf.DUMMYFUNCTION("AVERAGE.WEIGHTED(D113:E113,$AH113:$AI113)"),0.164088755397719)</f>
        <v>0.164088755397719</v>
      </c>
      <c r="AC113" s="3">
        <f ca="1">IFERROR(__xludf.DUMMYFUNCTION("AVERAGE.WEIGHTED(F113:G113,$AJ113:$AK113)"),0.184729886389983)</f>
        <v>0.184729886389983</v>
      </c>
      <c r="AD113" s="3" t="str">
        <f ca="1">IFERROR(__xludf.DUMMYFUNCTION("AVERAGE.WEIGHTED(H113:I113,$AA$25:$AB$25)"),"#VALUE!")</f>
        <v>#VALUE!</v>
      </c>
      <c r="AE113" s="3" t="str">
        <f ca="1">IFERROR(__xludf.DUMMYFUNCTION("AVERAGE.WEIGHTED(J113:K113,$AA$25:$AB$25)"),"#VALUE!")</f>
        <v>#VALUE!</v>
      </c>
      <c r="AF113" s="209">
        <v>0.35155122101059699</v>
      </c>
      <c r="AG113" s="3">
        <f t="shared" si="8"/>
        <v>0.64844877898940301</v>
      </c>
      <c r="AH113" s="209">
        <v>0.35221888494298698</v>
      </c>
      <c r="AI113" s="3">
        <f t="shared" si="9"/>
        <v>0.64778111505701297</v>
      </c>
      <c r="AJ113" s="209">
        <v>0.36824715974959399</v>
      </c>
      <c r="AK113" s="3">
        <f t="shared" si="10"/>
        <v>0.63175284025040601</v>
      </c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</row>
    <row r="114" spans="1:56" ht="15" x14ac:dyDescent="0.25">
      <c r="A114" s="1">
        <v>86</v>
      </c>
      <c r="B114" s="23">
        <f t="shared" si="28"/>
        <v>0.10387284992507401</v>
      </c>
      <c r="C114" s="23">
        <f t="shared" si="28"/>
        <v>0.10362433151376599</v>
      </c>
      <c r="D114" s="23">
        <f t="shared" si="28"/>
        <v>0.19</v>
      </c>
      <c r="E114" s="23">
        <f t="shared" si="28"/>
        <v>0.15</v>
      </c>
      <c r="F114" s="23">
        <f t="shared" si="28"/>
        <v>0.21</v>
      </c>
      <c r="G114" s="23">
        <f t="shared" si="28"/>
        <v>0.17</v>
      </c>
      <c r="H114" s="23">
        <f t="shared" si="28"/>
        <v>0.21</v>
      </c>
      <c r="I114" s="23">
        <f t="shared" si="28"/>
        <v>0.17</v>
      </c>
      <c r="J114" s="23">
        <f t="shared" si="28"/>
        <v>0.21</v>
      </c>
      <c r="K114" s="23">
        <f t="shared" si="28"/>
        <v>0.18</v>
      </c>
      <c r="L114" s="23">
        <f t="shared" si="27"/>
        <v>0.33</v>
      </c>
      <c r="M114" s="23">
        <f t="shared" si="27"/>
        <v>0.25</v>
      </c>
      <c r="N114" s="23">
        <f t="shared" si="27"/>
        <v>0.37</v>
      </c>
      <c r="O114" s="23">
        <f t="shared" si="27"/>
        <v>0.28000000000000003</v>
      </c>
      <c r="P114" s="23">
        <f t="shared" si="27"/>
        <v>0.39</v>
      </c>
      <c r="Q114" s="23">
        <f t="shared" si="27"/>
        <v>0.28999999999999998</v>
      </c>
      <c r="R114" s="23">
        <f t="shared" si="27"/>
        <v>0.41</v>
      </c>
      <c r="S114" s="23">
        <f t="shared" si="27"/>
        <v>0.3</v>
      </c>
      <c r="T114" s="23">
        <f t="shared" si="27"/>
        <v>0.43</v>
      </c>
      <c r="U114" s="23">
        <f t="shared" si="27"/>
        <v>0.33</v>
      </c>
      <c r="V114" s="24">
        <f t="shared" si="3"/>
        <v>0.10374859071942</v>
      </c>
      <c r="W114" s="24">
        <f t="shared" si="4"/>
        <v>0.16999999999999998</v>
      </c>
      <c r="X114" s="24">
        <f t="shared" si="5"/>
        <v>0.19</v>
      </c>
      <c r="Y114" s="24">
        <f t="shared" si="6"/>
        <v>0.19</v>
      </c>
      <c r="Z114" s="24">
        <f t="shared" si="7"/>
        <v>0.19500000000000001</v>
      </c>
      <c r="AA114" s="3">
        <f ca="1">IFERROR(__xludf.DUMMYFUNCTION("AVERAGE.WEIGHTED(B114:C114,$AF114:$AG114)"),0.153601703979983)</f>
        <v>0.15360170397998299</v>
      </c>
      <c r="AB114" s="3">
        <f ca="1">IFERROR(__xludf.DUMMYFUNCTION("AVERAGE.WEIGHTED(D114:E114,$AH114:$AI114)"),0.163789388995664)</f>
        <v>0.163789388995664</v>
      </c>
      <c r="AC114" s="3">
        <f ca="1">IFERROR(__xludf.DUMMYFUNCTION("AVERAGE.WEIGHTED(F114:G114,$AJ114:$AK114)"),0.184422667080862)</f>
        <v>0.184422667080862</v>
      </c>
      <c r="AD114" s="3" t="str">
        <f ca="1">IFERROR(__xludf.DUMMYFUNCTION("AVERAGE.WEIGHTED(H114:I114,$AA$25:$AB$25)"),"#VALUE!")</f>
        <v>#VALUE!</v>
      </c>
      <c r="AE114" s="3" t="str">
        <f ca="1">IFERROR(__xludf.DUMMYFUNCTION("AVERAGE.WEIGHTED(J114:K114,$AA$25:$AB$25)"),"#VALUE!")</f>
        <v>#VALUE!</v>
      </c>
      <c r="AF114" s="209">
        <v>0.34004259949959498</v>
      </c>
      <c r="AG114" s="3">
        <f t="shared" si="8"/>
        <v>0.65995740050040497</v>
      </c>
      <c r="AH114" s="209">
        <v>0.34473472489161</v>
      </c>
      <c r="AI114" s="3">
        <f t="shared" si="9"/>
        <v>0.65526527510839006</v>
      </c>
      <c r="AJ114" s="209">
        <v>0.36056667702154999</v>
      </c>
      <c r="AK114" s="3">
        <f t="shared" si="10"/>
        <v>0.63943332297845001</v>
      </c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</row>
    <row r="115" spans="1:56" ht="15" x14ac:dyDescent="0.25">
      <c r="A115" s="1">
        <v>87</v>
      </c>
      <c r="B115" s="23">
        <f t="shared" si="28"/>
        <v>0.10387284992507401</v>
      </c>
      <c r="C115" s="23">
        <f t="shared" si="28"/>
        <v>0.10362433151376599</v>
      </c>
      <c r="D115" s="23">
        <f t="shared" si="28"/>
        <v>0.19</v>
      </c>
      <c r="E115" s="23">
        <f t="shared" si="28"/>
        <v>0.15</v>
      </c>
      <c r="F115" s="23">
        <f t="shared" si="28"/>
        <v>0.21</v>
      </c>
      <c r="G115" s="23">
        <f t="shared" si="28"/>
        <v>0.17</v>
      </c>
      <c r="H115" s="23">
        <f t="shared" si="28"/>
        <v>0.21</v>
      </c>
      <c r="I115" s="23">
        <f t="shared" si="28"/>
        <v>0.17</v>
      </c>
      <c r="J115" s="23">
        <f t="shared" si="28"/>
        <v>0.21</v>
      </c>
      <c r="K115" s="23">
        <f t="shared" si="28"/>
        <v>0.18</v>
      </c>
      <c r="L115" s="23">
        <f t="shared" si="27"/>
        <v>0.33</v>
      </c>
      <c r="M115" s="23">
        <f t="shared" si="27"/>
        <v>0.25</v>
      </c>
      <c r="N115" s="23">
        <f t="shared" si="27"/>
        <v>0.37</v>
      </c>
      <c r="O115" s="23">
        <f t="shared" si="27"/>
        <v>0.28000000000000003</v>
      </c>
      <c r="P115" s="23">
        <f t="shared" si="27"/>
        <v>0.39</v>
      </c>
      <c r="Q115" s="23">
        <f t="shared" si="27"/>
        <v>0.28999999999999998</v>
      </c>
      <c r="R115" s="23">
        <f t="shared" si="27"/>
        <v>0.41</v>
      </c>
      <c r="S115" s="23">
        <f t="shared" si="27"/>
        <v>0.3</v>
      </c>
      <c r="T115" s="23">
        <f t="shared" si="27"/>
        <v>0.43</v>
      </c>
      <c r="U115" s="23">
        <f t="shared" si="27"/>
        <v>0.33</v>
      </c>
      <c r="V115" s="24">
        <f t="shared" si="3"/>
        <v>0.10374859071942</v>
      </c>
      <c r="W115" s="24">
        <f t="shared" si="4"/>
        <v>0.16999999999999998</v>
      </c>
      <c r="X115" s="24">
        <f t="shared" si="5"/>
        <v>0.19</v>
      </c>
      <c r="Y115" s="24">
        <f t="shared" si="6"/>
        <v>0.19</v>
      </c>
      <c r="Z115" s="24">
        <f t="shared" si="7"/>
        <v>0.19500000000000001</v>
      </c>
      <c r="AA115" s="3">
        <f ca="1">IFERROR(__xludf.DUMMYFUNCTION("AVERAGE.WEIGHTED(B115:C115,$AF115:$AG115)"),0.153122290180481)</f>
        <v>0.15312229018048101</v>
      </c>
      <c r="AB115" s="3">
        <f ca="1">IFERROR(__xludf.DUMMYFUNCTION("AVERAGE.WEIGHTED(D115:E115,$AH115:$AI115)"),0.163494402880126)</f>
        <v>0.16349440288012601</v>
      </c>
      <c r="AC115" s="3">
        <f ca="1">IFERROR(__xludf.DUMMYFUNCTION("AVERAGE.WEIGHTED(F115:G115,$AJ115:$AK115)"),0.184046073376117)</f>
        <v>0.184046073376117</v>
      </c>
      <c r="AD115" s="3" t="str">
        <f ca="1">IFERROR(__xludf.DUMMYFUNCTION("AVERAGE.WEIGHTED(H115:I115,$AA$25:$AB$25)"),"#VALUE!")</f>
        <v>#VALUE!</v>
      </c>
      <c r="AE115" s="3" t="str">
        <f ca="1">IFERROR(__xludf.DUMMYFUNCTION("AVERAGE.WEIGHTED(J115:K115,$AA$25:$AB$25)"),"#VALUE!")</f>
        <v>#VALUE!</v>
      </c>
      <c r="AF115" s="209">
        <v>0.32805725451202999</v>
      </c>
      <c r="AG115" s="3">
        <f t="shared" si="8"/>
        <v>0.67194274548797006</v>
      </c>
      <c r="AH115" s="209">
        <v>0.33736007200314999</v>
      </c>
      <c r="AI115" s="3">
        <f t="shared" si="9"/>
        <v>0.66263992799685001</v>
      </c>
      <c r="AJ115" s="209">
        <v>0.35115183440293801</v>
      </c>
      <c r="AK115" s="3">
        <f t="shared" si="10"/>
        <v>0.64884816559706193</v>
      </c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</row>
    <row r="116" spans="1:56" ht="15" x14ac:dyDescent="0.25">
      <c r="A116" s="1">
        <v>88</v>
      </c>
      <c r="B116" s="23">
        <f t="shared" si="28"/>
        <v>0.10387284992507401</v>
      </c>
      <c r="C116" s="23">
        <f t="shared" si="28"/>
        <v>0.10362433151376599</v>
      </c>
      <c r="D116" s="23">
        <f t="shared" si="28"/>
        <v>0.19</v>
      </c>
      <c r="E116" s="23">
        <f t="shared" si="28"/>
        <v>0.15</v>
      </c>
      <c r="F116" s="23">
        <f t="shared" si="28"/>
        <v>0.21</v>
      </c>
      <c r="G116" s="23">
        <f t="shared" si="28"/>
        <v>0.17</v>
      </c>
      <c r="H116" s="23">
        <f t="shared" si="28"/>
        <v>0.21</v>
      </c>
      <c r="I116" s="23">
        <f t="shared" si="28"/>
        <v>0.17</v>
      </c>
      <c r="J116" s="23">
        <f t="shared" si="28"/>
        <v>0.21</v>
      </c>
      <c r="K116" s="23">
        <f t="shared" si="28"/>
        <v>0.18</v>
      </c>
      <c r="L116" s="23">
        <f t="shared" si="27"/>
        <v>0.33</v>
      </c>
      <c r="M116" s="23">
        <f t="shared" si="27"/>
        <v>0.25</v>
      </c>
      <c r="N116" s="23">
        <f t="shared" si="27"/>
        <v>0.37</v>
      </c>
      <c r="O116" s="23">
        <f t="shared" si="27"/>
        <v>0.28000000000000003</v>
      </c>
      <c r="P116" s="23">
        <f t="shared" si="27"/>
        <v>0.39</v>
      </c>
      <c r="Q116" s="23">
        <f t="shared" si="27"/>
        <v>0.28999999999999998</v>
      </c>
      <c r="R116" s="23">
        <f t="shared" si="27"/>
        <v>0.41</v>
      </c>
      <c r="S116" s="23">
        <f t="shared" si="27"/>
        <v>0.3</v>
      </c>
      <c r="T116" s="23">
        <f t="shared" si="27"/>
        <v>0.43</v>
      </c>
      <c r="U116" s="23">
        <f t="shared" si="27"/>
        <v>0.33</v>
      </c>
      <c r="V116" s="24">
        <f t="shared" si="3"/>
        <v>0.10374859071942</v>
      </c>
      <c r="W116" s="24">
        <f t="shared" si="4"/>
        <v>0.16999999999999998</v>
      </c>
      <c r="X116" s="24">
        <f t="shared" si="5"/>
        <v>0.19</v>
      </c>
      <c r="Y116" s="24">
        <f t="shared" si="6"/>
        <v>0.19</v>
      </c>
      <c r="Z116" s="24">
        <f t="shared" si="7"/>
        <v>0.19500000000000001</v>
      </c>
      <c r="AA116" s="3">
        <f ca="1">IFERROR(__xludf.DUMMYFUNCTION("AVERAGE.WEIGHTED(B116:C116,$AF116:$AG116)"),0.152642419771302)</f>
        <v>0.152642419771302</v>
      </c>
      <c r="AB116" s="3">
        <f ca="1">IFERROR(__xludf.DUMMYFUNCTION("AVERAGE.WEIGHTED(D116:E116,$AH116:$AI116)"),0.163157817969661)</f>
        <v>0.163157817969661</v>
      </c>
      <c r="AC116" s="3">
        <f ca="1">IFERROR(__xludf.DUMMYFUNCTION("AVERAGE.WEIGHTED(F116:G116,$AJ116:$AK116)"),0.183599129233064)</f>
        <v>0.18359912923306401</v>
      </c>
      <c r="AD116" s="3" t="str">
        <f ca="1">IFERROR(__xludf.DUMMYFUNCTION("AVERAGE.WEIGHTED(H116:I116,$AA$25:$AB$25)"),"#VALUE!")</f>
        <v>#VALUE!</v>
      </c>
      <c r="AE116" s="3" t="str">
        <f ca="1">IFERROR(__xludf.DUMMYFUNCTION("AVERAGE.WEIGHTED(J116:K116,$AA$25:$AB$25)"),"#VALUE!")</f>
        <v>#VALUE!</v>
      </c>
      <c r="AF116" s="209">
        <v>0.31606049428255301</v>
      </c>
      <c r="AG116" s="3">
        <f t="shared" si="8"/>
        <v>0.68393950571744699</v>
      </c>
      <c r="AH116" s="209">
        <v>0.32894544924154001</v>
      </c>
      <c r="AI116" s="3">
        <f t="shared" si="9"/>
        <v>0.67105455075845999</v>
      </c>
      <c r="AJ116" s="209">
        <v>0.33997823082661699</v>
      </c>
      <c r="AK116" s="3">
        <f t="shared" si="10"/>
        <v>0.66002176917338296</v>
      </c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</row>
    <row r="117" spans="1:56" ht="15" x14ac:dyDescent="0.25">
      <c r="A117" s="1">
        <v>89</v>
      </c>
      <c r="B117" s="23">
        <f t="shared" si="28"/>
        <v>0.10387284992507401</v>
      </c>
      <c r="C117" s="23">
        <f t="shared" si="28"/>
        <v>0.10362433151376599</v>
      </c>
      <c r="D117" s="23">
        <f t="shared" si="28"/>
        <v>0.19</v>
      </c>
      <c r="E117" s="23">
        <f t="shared" si="28"/>
        <v>0.15</v>
      </c>
      <c r="F117" s="23">
        <f t="shared" si="28"/>
        <v>0.21</v>
      </c>
      <c r="G117" s="23">
        <f t="shared" si="28"/>
        <v>0.17</v>
      </c>
      <c r="H117" s="23">
        <f t="shared" si="28"/>
        <v>0.21</v>
      </c>
      <c r="I117" s="23">
        <f t="shared" si="28"/>
        <v>0.17</v>
      </c>
      <c r="J117" s="23">
        <f t="shared" si="28"/>
        <v>0.21</v>
      </c>
      <c r="K117" s="23">
        <f t="shared" si="28"/>
        <v>0.18</v>
      </c>
      <c r="L117" s="23">
        <f t="shared" si="27"/>
        <v>0.33</v>
      </c>
      <c r="M117" s="23">
        <f t="shared" si="27"/>
        <v>0.25</v>
      </c>
      <c r="N117" s="23">
        <f t="shared" si="27"/>
        <v>0.37</v>
      </c>
      <c r="O117" s="23">
        <f t="shared" si="27"/>
        <v>0.28000000000000003</v>
      </c>
      <c r="P117" s="23">
        <f t="shared" si="27"/>
        <v>0.39</v>
      </c>
      <c r="Q117" s="23">
        <f t="shared" si="27"/>
        <v>0.28999999999999998</v>
      </c>
      <c r="R117" s="23">
        <f t="shared" si="27"/>
        <v>0.41</v>
      </c>
      <c r="S117" s="23">
        <f t="shared" si="27"/>
        <v>0.3</v>
      </c>
      <c r="T117" s="23">
        <f t="shared" si="27"/>
        <v>0.43</v>
      </c>
      <c r="U117" s="23">
        <f t="shared" si="27"/>
        <v>0.33</v>
      </c>
      <c r="V117" s="24">
        <f t="shared" si="3"/>
        <v>0.10374859071942</v>
      </c>
      <c r="W117" s="24">
        <f t="shared" si="4"/>
        <v>0.16999999999999998</v>
      </c>
      <c r="X117" s="24">
        <f t="shared" si="5"/>
        <v>0.19</v>
      </c>
      <c r="Y117" s="24">
        <f t="shared" si="6"/>
        <v>0.19</v>
      </c>
      <c r="Z117" s="24">
        <f t="shared" si="7"/>
        <v>0.19500000000000001</v>
      </c>
      <c r="AA117" s="3">
        <f ca="1">IFERROR(__xludf.DUMMYFUNCTION("AVERAGE.WEIGHTED(B117:C117,$AF117:$AG117)"),0.152161392161392)</f>
        <v>0.15216139216139199</v>
      </c>
      <c r="AB117" s="3">
        <f ca="1">IFERROR(__xludf.DUMMYFUNCTION("AVERAGE.WEIGHTED(D117:E117,$AH117:$AI117)"),0.162758470263196)</f>
        <v>0.16275847026319601</v>
      </c>
      <c r="AC117" s="3">
        <f ca="1">IFERROR(__xludf.DUMMYFUNCTION("AVERAGE.WEIGHTED(F117:G117,$AJ117:$AK117)"),0.18308736328897)</f>
        <v>0.18308736328896999</v>
      </c>
      <c r="AD117" s="3" t="str">
        <f ca="1">IFERROR(__xludf.DUMMYFUNCTION("AVERAGE.WEIGHTED(H117:I117,$AA$25:$AB$25)"),"#VALUE!")</f>
        <v>#VALUE!</v>
      </c>
      <c r="AE117" s="3" t="str">
        <f ca="1">IFERROR(__xludf.DUMMYFUNCTION("AVERAGE.WEIGHTED(J117:K117,$AA$25:$AB$25)"),"#VALUE!")</f>
        <v>#VALUE!</v>
      </c>
      <c r="AF117" s="209">
        <v>0.30403480403480398</v>
      </c>
      <c r="AG117" s="3">
        <f t="shared" si="8"/>
        <v>0.69596519596519602</v>
      </c>
      <c r="AH117" s="209">
        <v>0.318961756579904</v>
      </c>
      <c r="AI117" s="3">
        <f t="shared" si="9"/>
        <v>0.681038243420096</v>
      </c>
      <c r="AJ117" s="209">
        <v>0.32718408222427198</v>
      </c>
      <c r="AK117" s="3">
        <f t="shared" si="10"/>
        <v>0.67281591777572802</v>
      </c>
    </row>
    <row r="118" spans="1:56" ht="15" x14ac:dyDescent="0.25">
      <c r="A118" s="1">
        <v>90</v>
      </c>
      <c r="B118" s="23">
        <f t="shared" si="28"/>
        <v>0.10387284992507401</v>
      </c>
      <c r="C118" s="23">
        <f t="shared" si="28"/>
        <v>0.10362433151376599</v>
      </c>
      <c r="D118" s="23">
        <f t="shared" si="28"/>
        <v>0.19</v>
      </c>
      <c r="E118" s="23">
        <f t="shared" si="28"/>
        <v>0.15</v>
      </c>
      <c r="F118" s="23">
        <f t="shared" si="28"/>
        <v>0.21</v>
      </c>
      <c r="G118" s="23">
        <f t="shared" si="28"/>
        <v>0.17</v>
      </c>
      <c r="H118" s="23">
        <f t="shared" si="28"/>
        <v>0.21</v>
      </c>
      <c r="I118" s="23">
        <f t="shared" si="28"/>
        <v>0.17</v>
      </c>
      <c r="J118" s="23">
        <f t="shared" si="28"/>
        <v>0.21</v>
      </c>
      <c r="K118" s="23">
        <f t="shared" si="28"/>
        <v>0.18</v>
      </c>
      <c r="L118" s="23">
        <f t="shared" si="27"/>
        <v>0.33</v>
      </c>
      <c r="M118" s="23">
        <f t="shared" si="27"/>
        <v>0.25</v>
      </c>
      <c r="N118" s="23">
        <f t="shared" si="27"/>
        <v>0.37</v>
      </c>
      <c r="O118" s="23">
        <f t="shared" si="27"/>
        <v>0.28000000000000003</v>
      </c>
      <c r="P118" s="23">
        <f t="shared" si="27"/>
        <v>0.39</v>
      </c>
      <c r="Q118" s="23">
        <f t="shared" si="27"/>
        <v>0.28999999999999998</v>
      </c>
      <c r="R118" s="23">
        <f t="shared" si="27"/>
        <v>0.41</v>
      </c>
      <c r="S118" s="23">
        <f t="shared" si="27"/>
        <v>0.3</v>
      </c>
      <c r="T118" s="23">
        <f t="shared" si="27"/>
        <v>0.43</v>
      </c>
      <c r="U118" s="23">
        <f t="shared" si="27"/>
        <v>0.33</v>
      </c>
      <c r="V118" s="24">
        <f t="shared" si="3"/>
        <v>0.10374859071942</v>
      </c>
      <c r="W118" s="24">
        <f t="shared" si="4"/>
        <v>0.16999999999999998</v>
      </c>
      <c r="X118" s="24">
        <f t="shared" si="5"/>
        <v>0.19</v>
      </c>
      <c r="Y118" s="24">
        <f t="shared" si="6"/>
        <v>0.19</v>
      </c>
      <c r="Z118" s="24">
        <f t="shared" si="7"/>
        <v>0.19500000000000001</v>
      </c>
      <c r="AA118" s="3">
        <f ca="1">IFERROR(__xludf.DUMMYFUNCTION("AVERAGE.WEIGHTED(B118:C118,$AF118:$AG118)"),0.151684302445038)</f>
        <v>0.151684302445038</v>
      </c>
      <c r="AB118" s="3">
        <f ca="1">IFERROR(__xludf.DUMMYFUNCTION("AVERAGE.WEIGHTED(D118:E118,$AH118:$AI118)"),0.162287160607455)</f>
        <v>0.16228716060745499</v>
      </c>
      <c r="AC118" s="3">
        <f ca="1">IFERROR(__xludf.DUMMYFUNCTION("AVERAGE.WEIGHTED(F118:G118,$AJ118:$AK118)"),0.182521071065416)</f>
        <v>0.18252107106541601</v>
      </c>
      <c r="AD118" s="3" t="str">
        <f ca="1">IFERROR(__xludf.DUMMYFUNCTION("AVERAGE.WEIGHTED(H118:I118,$AA$25:$AB$25)"),"#VALUE!")</f>
        <v>#VALUE!</v>
      </c>
      <c r="AE118" s="3" t="str">
        <f ca="1">IFERROR(__xludf.DUMMYFUNCTION("AVERAGE.WEIGHTED(J118:K118,$AA$25:$AB$25)"),"#VALUE!")</f>
        <v>#VALUE!</v>
      </c>
      <c r="AF118" s="209">
        <v>0.29210756112594999</v>
      </c>
      <c r="AG118" s="3">
        <f t="shared" si="8"/>
        <v>0.70789243887404996</v>
      </c>
      <c r="AH118" s="209">
        <v>0.30717901518637802</v>
      </c>
      <c r="AI118" s="3">
        <f t="shared" si="9"/>
        <v>0.69282098481362198</v>
      </c>
      <c r="AJ118" s="209">
        <v>0.31302677663540801</v>
      </c>
      <c r="AK118" s="3">
        <f t="shared" si="10"/>
        <v>0.68697322336459199</v>
      </c>
    </row>
    <row r="119" spans="1:56" ht="15" x14ac:dyDescent="0.25">
      <c r="A119" s="1">
        <v>91</v>
      </c>
      <c r="B119" s="23">
        <f t="shared" si="28"/>
        <v>0.10387284992507401</v>
      </c>
      <c r="C119" s="23">
        <f t="shared" si="28"/>
        <v>0.10362433151376599</v>
      </c>
      <c r="D119" s="23">
        <f t="shared" si="28"/>
        <v>0.19</v>
      </c>
      <c r="E119" s="23">
        <f t="shared" si="28"/>
        <v>0.15</v>
      </c>
      <c r="F119" s="23">
        <f t="shared" si="28"/>
        <v>0.21</v>
      </c>
      <c r="G119" s="23">
        <f t="shared" si="28"/>
        <v>0.17</v>
      </c>
      <c r="H119" s="23">
        <f t="shared" si="28"/>
        <v>0.21</v>
      </c>
      <c r="I119" s="23">
        <f t="shared" si="28"/>
        <v>0.17</v>
      </c>
      <c r="J119" s="23">
        <f t="shared" si="28"/>
        <v>0.21</v>
      </c>
      <c r="K119" s="23">
        <f t="shared" si="28"/>
        <v>0.18</v>
      </c>
      <c r="L119" s="23">
        <f t="shared" si="27"/>
        <v>0.33</v>
      </c>
      <c r="M119" s="23">
        <f t="shared" si="27"/>
        <v>0.25</v>
      </c>
      <c r="N119" s="23">
        <f t="shared" si="27"/>
        <v>0.37</v>
      </c>
      <c r="O119" s="23">
        <f t="shared" si="27"/>
        <v>0.28000000000000003</v>
      </c>
      <c r="P119" s="23">
        <f t="shared" si="27"/>
        <v>0.39</v>
      </c>
      <c r="Q119" s="23">
        <f t="shared" si="27"/>
        <v>0.28999999999999998</v>
      </c>
      <c r="R119" s="23">
        <f t="shared" si="27"/>
        <v>0.41</v>
      </c>
      <c r="S119" s="23">
        <f t="shared" si="27"/>
        <v>0.3</v>
      </c>
      <c r="T119" s="23">
        <f t="shared" si="27"/>
        <v>0.43</v>
      </c>
      <c r="U119" s="23">
        <f t="shared" si="27"/>
        <v>0.33</v>
      </c>
      <c r="V119" s="24">
        <f t="shared" si="3"/>
        <v>0.10374859071942</v>
      </c>
      <c r="W119" s="24">
        <f t="shared" si="4"/>
        <v>0.16999999999999998</v>
      </c>
      <c r="X119" s="24">
        <f t="shared" si="5"/>
        <v>0.19</v>
      </c>
      <c r="Y119" s="24">
        <f t="shared" si="6"/>
        <v>0.19</v>
      </c>
      <c r="Z119" s="24">
        <f t="shared" si="7"/>
        <v>0.19500000000000001</v>
      </c>
      <c r="AA119" s="3">
        <f ca="1">IFERROR(__xludf.DUMMYFUNCTION("AVERAGE.WEIGHTED(B119:C119,$AF119:$AG119)"),0.151211726154821)</f>
        <v>0.15121172615482101</v>
      </c>
      <c r="AB119" s="3">
        <f ca="1">IFERROR(__xludf.DUMMYFUNCTION("AVERAGE.WEIGHTED(D119:E119,$AH119:$AI119)"),0.161733284634875)</f>
        <v>0.16173328463487499</v>
      </c>
      <c r="AC119" s="3">
        <f ca="1">IFERROR(__xludf.DUMMYFUNCTION("AVERAGE.WEIGHTED(F119:G119,$AJ119:$AK119)"),0.18190909090909)</f>
        <v>0.18190909090908999</v>
      </c>
      <c r="AD119" s="3" t="str">
        <f ca="1">IFERROR(__xludf.DUMMYFUNCTION("AVERAGE.WEIGHTED(H119:I119,$AA$25:$AB$25)"),"#VALUE!")</f>
        <v>#VALUE!</v>
      </c>
      <c r="AE119" s="3" t="str">
        <f ca="1">IFERROR(__xludf.DUMMYFUNCTION("AVERAGE.WEIGHTED(J119:K119,$AA$25:$AB$25)"),"#VALUE!")</f>
        <v>#VALUE!</v>
      </c>
      <c r="AF119" s="209">
        <v>0.28029315387054698</v>
      </c>
      <c r="AG119" s="3">
        <f t="shared" si="8"/>
        <v>0.71970684612945302</v>
      </c>
      <c r="AH119" s="209">
        <v>0.29333211587189301</v>
      </c>
      <c r="AI119" s="3">
        <f t="shared" si="9"/>
        <v>0.70666788412810699</v>
      </c>
      <c r="AJ119" s="209">
        <v>0.29772727272727301</v>
      </c>
      <c r="AK119" s="3">
        <f t="shared" si="10"/>
        <v>0.70227272727272694</v>
      </c>
    </row>
    <row r="120" spans="1:56" ht="15" x14ac:dyDescent="0.25">
      <c r="A120" s="1">
        <v>92</v>
      </c>
      <c r="B120" s="23">
        <f t="shared" si="28"/>
        <v>0.10387284992507401</v>
      </c>
      <c r="C120" s="23">
        <f t="shared" si="28"/>
        <v>0.10362433151376599</v>
      </c>
      <c r="D120" s="23">
        <f t="shared" si="28"/>
        <v>0.19</v>
      </c>
      <c r="E120" s="23">
        <f t="shared" si="28"/>
        <v>0.15</v>
      </c>
      <c r="F120" s="23">
        <f t="shared" si="28"/>
        <v>0.21</v>
      </c>
      <c r="G120" s="23">
        <f t="shared" si="28"/>
        <v>0.17</v>
      </c>
      <c r="H120" s="23">
        <f t="shared" si="28"/>
        <v>0.21</v>
      </c>
      <c r="I120" s="23">
        <f t="shared" si="28"/>
        <v>0.17</v>
      </c>
      <c r="J120" s="23">
        <f t="shared" si="28"/>
        <v>0.21</v>
      </c>
      <c r="K120" s="23">
        <f t="shared" si="28"/>
        <v>0.18</v>
      </c>
      <c r="L120" s="23">
        <f t="shared" si="27"/>
        <v>0.33</v>
      </c>
      <c r="M120" s="23">
        <f t="shared" si="27"/>
        <v>0.25</v>
      </c>
      <c r="N120" s="23">
        <f t="shared" si="27"/>
        <v>0.37</v>
      </c>
      <c r="O120" s="23">
        <f t="shared" si="27"/>
        <v>0.28000000000000003</v>
      </c>
      <c r="P120" s="23">
        <f t="shared" si="27"/>
        <v>0.39</v>
      </c>
      <c r="Q120" s="23">
        <f t="shared" si="27"/>
        <v>0.28999999999999998</v>
      </c>
      <c r="R120" s="23">
        <f t="shared" si="27"/>
        <v>0.41</v>
      </c>
      <c r="S120" s="23">
        <f t="shared" si="27"/>
        <v>0.3</v>
      </c>
      <c r="T120" s="23">
        <f t="shared" si="27"/>
        <v>0.43</v>
      </c>
      <c r="U120" s="23">
        <f t="shared" si="27"/>
        <v>0.33</v>
      </c>
      <c r="V120" s="24">
        <f t="shared" si="3"/>
        <v>0.10374859071942</v>
      </c>
      <c r="W120" s="24">
        <f t="shared" si="4"/>
        <v>0.16999999999999998</v>
      </c>
      <c r="X120" s="24">
        <f t="shared" si="5"/>
        <v>0.19</v>
      </c>
      <c r="Y120" s="24">
        <f t="shared" si="6"/>
        <v>0.19</v>
      </c>
      <c r="Z120" s="24">
        <f t="shared" si="7"/>
        <v>0.19500000000000001</v>
      </c>
      <c r="AA120" s="3">
        <f ca="1">IFERROR(__xludf.DUMMYFUNCTION("AVERAGE.WEIGHTED(B120:C120,$AF120:$AG120)"),0.150733235535443)</f>
        <v>0.15073323553544299</v>
      </c>
      <c r="AB120" s="3">
        <f ca="1">IFERROR(__xludf.DUMMYFUNCTION("AVERAGE.WEIGHTED(D120:E120,$AH120:$AI120)"),0.161125741477087)</f>
        <v>0.161125741477087</v>
      </c>
      <c r="AC120" s="3">
        <f ca="1">IFERROR(__xludf.DUMMYFUNCTION("AVERAGE.WEIGHTED(F120:G120,$AJ120:$AK120)"),0.181264378104999)</f>
        <v>0.18126437810499901</v>
      </c>
      <c r="AD120" s="3" t="str">
        <f ca="1">IFERROR(__xludf.DUMMYFUNCTION("AVERAGE.WEIGHTED(H120:I120,$AA$25:$AB$25)"),"#VALUE!")</f>
        <v>#VALUE!</v>
      </c>
      <c r="AE120" s="3" t="str">
        <f ca="1">IFERROR(__xludf.DUMMYFUNCTION("AVERAGE.WEIGHTED(J120:K120,$AA$25:$AB$25)"),"#VALUE!")</f>
        <v>#VALUE!</v>
      </c>
      <c r="AF120" s="209">
        <v>0.26833088838608599</v>
      </c>
      <c r="AG120" s="3">
        <f t="shared" si="8"/>
        <v>0.73166911161391401</v>
      </c>
      <c r="AH120" s="209">
        <v>0.27814353692718902</v>
      </c>
      <c r="AI120" s="3">
        <f t="shared" si="9"/>
        <v>0.72185646307281104</v>
      </c>
      <c r="AJ120" s="209">
        <v>0.28160945262498299</v>
      </c>
      <c r="AK120" s="3">
        <f t="shared" si="10"/>
        <v>0.71839054737501695</v>
      </c>
    </row>
    <row r="121" spans="1:56" ht="15" x14ac:dyDescent="0.25">
      <c r="A121" s="1">
        <v>93</v>
      </c>
      <c r="B121" s="23">
        <f t="shared" si="28"/>
        <v>0.10387284992507401</v>
      </c>
      <c r="C121" s="23">
        <f t="shared" si="28"/>
        <v>0.10362433151376599</v>
      </c>
      <c r="D121" s="23">
        <f t="shared" si="28"/>
        <v>0.19</v>
      </c>
      <c r="E121" s="23">
        <f t="shared" si="28"/>
        <v>0.15</v>
      </c>
      <c r="F121" s="23">
        <f t="shared" si="28"/>
        <v>0.21</v>
      </c>
      <c r="G121" s="23">
        <f t="shared" si="28"/>
        <v>0.17</v>
      </c>
      <c r="H121" s="23">
        <f t="shared" si="28"/>
        <v>0.21</v>
      </c>
      <c r="I121" s="23">
        <f t="shared" si="28"/>
        <v>0.17</v>
      </c>
      <c r="J121" s="23">
        <f t="shared" si="28"/>
        <v>0.21</v>
      </c>
      <c r="K121" s="23">
        <f t="shared" si="28"/>
        <v>0.18</v>
      </c>
      <c r="L121" s="23">
        <f t="shared" si="27"/>
        <v>0.33</v>
      </c>
      <c r="M121" s="23">
        <f t="shared" si="27"/>
        <v>0.25</v>
      </c>
      <c r="N121" s="23">
        <f t="shared" si="27"/>
        <v>0.37</v>
      </c>
      <c r="O121" s="23">
        <f t="shared" si="27"/>
        <v>0.28000000000000003</v>
      </c>
      <c r="P121" s="23">
        <f t="shared" si="27"/>
        <v>0.39</v>
      </c>
      <c r="Q121" s="23">
        <f t="shared" si="27"/>
        <v>0.28999999999999998</v>
      </c>
      <c r="R121" s="23">
        <f t="shared" si="27"/>
        <v>0.41</v>
      </c>
      <c r="S121" s="23">
        <f t="shared" si="27"/>
        <v>0.3</v>
      </c>
      <c r="T121" s="23">
        <f t="shared" si="27"/>
        <v>0.43</v>
      </c>
      <c r="U121" s="23">
        <f t="shared" si="27"/>
        <v>0.33</v>
      </c>
      <c r="V121" s="24">
        <f t="shared" si="3"/>
        <v>0.10374859071942</v>
      </c>
      <c r="W121" s="24">
        <f t="shared" si="4"/>
        <v>0.16999999999999998</v>
      </c>
      <c r="X121" s="24">
        <f t="shared" si="5"/>
        <v>0.19</v>
      </c>
      <c r="Y121" s="24">
        <f t="shared" si="6"/>
        <v>0.19</v>
      </c>
      <c r="Z121" s="24">
        <f t="shared" si="7"/>
        <v>0.19500000000000001</v>
      </c>
      <c r="AA121" s="3">
        <f ca="1">IFERROR(__xludf.DUMMYFUNCTION("AVERAGE.WEIGHTED(B121:C121,$AF121:$AG121)"),0.150265842793504)</f>
        <v>0.150265842793504</v>
      </c>
      <c r="AB121" s="3">
        <f ca="1">IFERROR(__xludf.DUMMYFUNCTION("AVERAGE.WEIGHTED(D121:E121,$AH121:$AI121)"),0.160518688024408)</f>
        <v>0.160518688024408</v>
      </c>
      <c r="AC121" s="3">
        <f ca="1">IFERROR(__xludf.DUMMYFUNCTION("AVERAGE.WEIGHTED(F121:G121,$AJ121:$AK121)"),0.180617283950617)</f>
        <v>0.18061728395061699</v>
      </c>
      <c r="AD121" s="3" t="str">
        <f ca="1">IFERROR(__xludf.DUMMYFUNCTION("AVERAGE.WEIGHTED(H121:I121,$AA$25:$AB$25)"),"#VALUE!")</f>
        <v>#VALUE!</v>
      </c>
      <c r="AE121" s="3" t="str">
        <f ca="1">IFERROR(__xludf.DUMMYFUNCTION("AVERAGE.WEIGHTED(J121:K121,$AA$25:$AB$25)"),"#VALUE!")</f>
        <v>#VALUE!</v>
      </c>
      <c r="AF121" s="209">
        <v>0.25664606983762001</v>
      </c>
      <c r="AG121" s="3">
        <f t="shared" si="8"/>
        <v>0.74335393016237994</v>
      </c>
      <c r="AH121" s="209">
        <v>0.262967200610221</v>
      </c>
      <c r="AI121" s="3">
        <f t="shared" si="9"/>
        <v>0.73703279938977895</v>
      </c>
      <c r="AJ121" s="209">
        <v>0.265432098765432</v>
      </c>
      <c r="AK121" s="3">
        <f t="shared" si="10"/>
        <v>0.73456790123456805</v>
      </c>
    </row>
    <row r="122" spans="1:56" ht="15" x14ac:dyDescent="0.25">
      <c r="A122" s="1">
        <v>94</v>
      </c>
      <c r="B122" s="23">
        <f t="shared" si="28"/>
        <v>0.10387284992507401</v>
      </c>
      <c r="C122" s="23">
        <f t="shared" si="28"/>
        <v>0.10362433151376599</v>
      </c>
      <c r="D122" s="23">
        <f t="shared" si="28"/>
        <v>0.19</v>
      </c>
      <c r="E122" s="23">
        <f t="shared" si="28"/>
        <v>0.15</v>
      </c>
      <c r="F122" s="23">
        <f t="shared" si="28"/>
        <v>0.21</v>
      </c>
      <c r="G122" s="23">
        <f t="shared" si="28"/>
        <v>0.17</v>
      </c>
      <c r="H122" s="23">
        <f t="shared" si="28"/>
        <v>0.21</v>
      </c>
      <c r="I122" s="23">
        <f t="shared" si="28"/>
        <v>0.17</v>
      </c>
      <c r="J122" s="23">
        <f t="shared" si="28"/>
        <v>0.21</v>
      </c>
      <c r="K122" s="23">
        <f t="shared" si="28"/>
        <v>0.18</v>
      </c>
      <c r="L122" s="23">
        <f t="shared" si="27"/>
        <v>0.33</v>
      </c>
      <c r="M122" s="23">
        <f t="shared" si="27"/>
        <v>0.25</v>
      </c>
      <c r="N122" s="23">
        <f t="shared" si="27"/>
        <v>0.37</v>
      </c>
      <c r="O122" s="23">
        <f t="shared" si="27"/>
        <v>0.28000000000000003</v>
      </c>
      <c r="P122" s="23">
        <f t="shared" si="27"/>
        <v>0.39</v>
      </c>
      <c r="Q122" s="23">
        <f t="shared" si="27"/>
        <v>0.28999999999999998</v>
      </c>
      <c r="R122" s="23">
        <f t="shared" si="27"/>
        <v>0.41</v>
      </c>
      <c r="S122" s="23">
        <f t="shared" si="27"/>
        <v>0.3</v>
      </c>
      <c r="T122" s="23">
        <f t="shared" si="27"/>
        <v>0.43</v>
      </c>
      <c r="U122" s="23">
        <f t="shared" si="27"/>
        <v>0.33</v>
      </c>
      <c r="V122" s="24">
        <f t="shared" si="3"/>
        <v>0.10374859071942</v>
      </c>
      <c r="W122" s="24">
        <f t="shared" si="4"/>
        <v>0.16999999999999998</v>
      </c>
      <c r="X122" s="24">
        <f t="shared" si="5"/>
        <v>0.19</v>
      </c>
      <c r="Y122" s="24">
        <f t="shared" si="6"/>
        <v>0.19</v>
      </c>
      <c r="Z122" s="24">
        <f t="shared" si="7"/>
        <v>0.19500000000000001</v>
      </c>
      <c r="AA122" s="3">
        <f ca="1">IFERROR(__xludf.DUMMYFUNCTION("AVERAGE.WEIGHTED(B122:C122,$AF122:$AG122)"),0.14982508215838)</f>
        <v>0.14982508215838</v>
      </c>
      <c r="AB122" s="3">
        <f ca="1">IFERROR(__xludf.DUMMYFUNCTION("AVERAGE.WEIGHTED(D122:E122,$AH122:$AI122)"),0.159968669894616)</f>
        <v>0.159968669894616</v>
      </c>
      <c r="AC122" s="3">
        <f ca="1">IFERROR(__xludf.DUMMYFUNCTION("AVERAGE.WEIGHTED(F122:G122,$AJ122:$AK122)"),0.180035801771245)</f>
        <v>0.18003580177124501</v>
      </c>
      <c r="AD122" s="3" t="str">
        <f ca="1">IFERROR(__xludf.DUMMYFUNCTION("AVERAGE.WEIGHTED(H122:I122,$AA$25:$AB$25)"),"#VALUE!")</f>
        <v>#VALUE!</v>
      </c>
      <c r="AE122" s="3" t="str">
        <f ca="1">IFERROR(__xludf.DUMMYFUNCTION("AVERAGE.WEIGHTED(J122:K122,$AA$25:$AB$25)"),"#VALUE!")</f>
        <v>#VALUE!</v>
      </c>
      <c r="AF122" s="209">
        <v>0.24562705395950399</v>
      </c>
      <c r="AG122" s="3">
        <f t="shared" si="8"/>
        <v>0.75437294604049598</v>
      </c>
      <c r="AH122" s="209">
        <v>0.24921674736542301</v>
      </c>
      <c r="AI122" s="3">
        <f t="shared" si="9"/>
        <v>0.75078325263457701</v>
      </c>
      <c r="AJ122" s="209">
        <v>0.25089504428113801</v>
      </c>
      <c r="AK122" s="3">
        <f t="shared" si="10"/>
        <v>0.74910495571886204</v>
      </c>
    </row>
    <row r="123" spans="1:56" ht="15" x14ac:dyDescent="0.25">
      <c r="A123" s="1">
        <v>95</v>
      </c>
      <c r="B123" s="23">
        <f t="shared" si="28"/>
        <v>0.10387284992507401</v>
      </c>
      <c r="C123" s="23">
        <f t="shared" si="28"/>
        <v>0.10362433151376599</v>
      </c>
      <c r="D123" s="23">
        <f t="shared" si="28"/>
        <v>0.19</v>
      </c>
      <c r="E123" s="23">
        <f t="shared" si="28"/>
        <v>0.15</v>
      </c>
      <c r="F123" s="23">
        <f t="shared" si="28"/>
        <v>0.21</v>
      </c>
      <c r="G123" s="23">
        <f t="shared" si="28"/>
        <v>0.17</v>
      </c>
      <c r="H123" s="23">
        <f t="shared" si="28"/>
        <v>0.21</v>
      </c>
      <c r="I123" s="23">
        <f t="shared" si="28"/>
        <v>0.17</v>
      </c>
      <c r="J123" s="23">
        <f t="shared" si="28"/>
        <v>0.21</v>
      </c>
      <c r="K123" s="23">
        <f t="shared" si="28"/>
        <v>0.18</v>
      </c>
      <c r="L123" s="23">
        <f t="shared" si="27"/>
        <v>0.33</v>
      </c>
      <c r="M123" s="23">
        <f t="shared" si="27"/>
        <v>0.25</v>
      </c>
      <c r="N123" s="23">
        <f t="shared" si="27"/>
        <v>0.37</v>
      </c>
      <c r="O123" s="23">
        <f t="shared" si="27"/>
        <v>0.28000000000000003</v>
      </c>
      <c r="P123" s="23">
        <f t="shared" si="27"/>
        <v>0.39</v>
      </c>
      <c r="Q123" s="23">
        <f t="shared" si="27"/>
        <v>0.28999999999999998</v>
      </c>
      <c r="R123" s="23">
        <f t="shared" si="27"/>
        <v>0.41</v>
      </c>
      <c r="S123" s="23">
        <f t="shared" si="27"/>
        <v>0.3</v>
      </c>
      <c r="T123" s="23">
        <f t="shared" si="27"/>
        <v>0.43</v>
      </c>
      <c r="U123" s="23">
        <f t="shared" si="27"/>
        <v>0.33</v>
      </c>
      <c r="V123" s="24">
        <f t="shared" si="3"/>
        <v>0.10374859071942</v>
      </c>
      <c r="W123" s="24">
        <f t="shared" si="4"/>
        <v>0.16999999999999998</v>
      </c>
      <c r="X123" s="24">
        <f t="shared" si="5"/>
        <v>0.19</v>
      </c>
      <c r="Y123" s="24">
        <f t="shared" si="6"/>
        <v>0.19</v>
      </c>
      <c r="Z123" s="24">
        <f t="shared" si="7"/>
        <v>0.19500000000000001</v>
      </c>
      <c r="AA123" s="3">
        <f ca="1">IFERROR(__xludf.DUMMYFUNCTION("AVERAGE.WEIGHTED(B123:C123,$AF123:$AG123)"),0.149351739727133)</f>
        <v>0.149351739727133</v>
      </c>
      <c r="AB123" s="3">
        <f ca="1">IFERROR(__xludf.DUMMYFUNCTION("AVERAGE.WEIGHTED(D123:E123,$AH123:$AI123)"),0.159443109849312)</f>
        <v>0.15944310984931201</v>
      </c>
      <c r="AC123" s="3">
        <f ca="1">IFERROR(__xludf.DUMMYFUNCTION("AVERAGE.WEIGHTED(F123:G123,$AJ123:$AK123)"),0.179481481481481)</f>
        <v>0.17948148148148099</v>
      </c>
      <c r="AD123" s="3" t="str">
        <f ca="1">IFERROR(__xludf.DUMMYFUNCTION("AVERAGE.WEIGHTED(H123:I123,$AA$25:$AB$25)"),"#VALUE!")</f>
        <v>#VALUE!</v>
      </c>
      <c r="AE123" s="3" t="str">
        <f ca="1">IFERROR(__xludf.DUMMYFUNCTION("AVERAGE.WEIGHTED(J123:K123,$AA$25:$AB$25)"),"#VALUE!")</f>
        <v>#VALUE!</v>
      </c>
      <c r="AF123" s="209">
        <v>0.23379349317833201</v>
      </c>
      <c r="AG123" s="3">
        <f t="shared" si="8"/>
        <v>0.76620650682166802</v>
      </c>
      <c r="AH123" s="209">
        <v>0.236077746232802</v>
      </c>
      <c r="AI123" s="3">
        <f t="shared" si="9"/>
        <v>0.76392225376719802</v>
      </c>
      <c r="AJ123" s="209">
        <v>0.23703703703703699</v>
      </c>
      <c r="AK123" s="3">
        <f t="shared" si="10"/>
        <v>0.76296296296296306</v>
      </c>
    </row>
    <row r="124" spans="1:56" ht="15" x14ac:dyDescent="0.25">
      <c r="A124" s="1">
        <v>96</v>
      </c>
      <c r="B124" s="23">
        <f t="shared" si="28"/>
        <v>0.10387284992507401</v>
      </c>
      <c r="C124" s="23">
        <f t="shared" si="28"/>
        <v>0.10362433151376599</v>
      </c>
      <c r="D124" s="23">
        <f t="shared" si="28"/>
        <v>0.19</v>
      </c>
      <c r="E124" s="23">
        <f t="shared" si="28"/>
        <v>0.15</v>
      </c>
      <c r="F124" s="23">
        <f t="shared" si="28"/>
        <v>0.21</v>
      </c>
      <c r="G124" s="23">
        <f t="shared" si="28"/>
        <v>0.17</v>
      </c>
      <c r="H124" s="23">
        <f t="shared" si="28"/>
        <v>0.21</v>
      </c>
      <c r="I124" s="23">
        <f t="shared" si="28"/>
        <v>0.17</v>
      </c>
      <c r="J124" s="23">
        <f t="shared" si="28"/>
        <v>0.21</v>
      </c>
      <c r="K124" s="23">
        <f t="shared" si="28"/>
        <v>0.18</v>
      </c>
      <c r="L124" s="23">
        <f t="shared" ref="L124:U128" si="29">L$22</f>
        <v>0.33</v>
      </c>
      <c r="M124" s="23">
        <f t="shared" si="29"/>
        <v>0.25</v>
      </c>
      <c r="N124" s="23">
        <f t="shared" si="29"/>
        <v>0.37</v>
      </c>
      <c r="O124" s="23">
        <f t="shared" si="29"/>
        <v>0.28000000000000003</v>
      </c>
      <c r="P124" s="23">
        <f t="shared" si="29"/>
        <v>0.39</v>
      </c>
      <c r="Q124" s="23">
        <f t="shared" si="29"/>
        <v>0.28999999999999998</v>
      </c>
      <c r="R124" s="23">
        <f t="shared" si="29"/>
        <v>0.41</v>
      </c>
      <c r="S124" s="23">
        <f t="shared" si="29"/>
        <v>0.3</v>
      </c>
      <c r="T124" s="23">
        <f t="shared" si="29"/>
        <v>0.43</v>
      </c>
      <c r="U124" s="23">
        <f t="shared" si="29"/>
        <v>0.33</v>
      </c>
      <c r="V124" s="24">
        <f t="shared" si="3"/>
        <v>0.10374859071942</v>
      </c>
      <c r="W124" s="24">
        <f t="shared" si="4"/>
        <v>0.16999999999999998</v>
      </c>
      <c r="X124" s="24">
        <f t="shared" si="5"/>
        <v>0.19</v>
      </c>
      <c r="Y124" s="24">
        <f t="shared" si="6"/>
        <v>0.19</v>
      </c>
      <c r="Z124" s="24">
        <f t="shared" si="7"/>
        <v>0.19500000000000001</v>
      </c>
      <c r="AA124" s="3">
        <f ca="1">IFERROR(__xludf.DUMMYFUNCTION("AVERAGE.WEIGHTED(B124:C124,$AF124:$AG124)"),0.148806963645673)</f>
        <v>0.148806963645673</v>
      </c>
      <c r="AB124" s="3">
        <f ca="1">IFERROR(__xludf.DUMMYFUNCTION("AVERAGE.WEIGHTED(D124:E124,$AH124:$AI124)"),0.158895027624309)</f>
        <v>0.15889502762430899</v>
      </c>
      <c r="AC124" s="3">
        <f ca="1">IFERROR(__xludf.DUMMYFUNCTION("AVERAGE.WEIGHTED(F124:G124,$AJ124:$AK124)"),0.178886902101028)</f>
        <v>0.17888690210102801</v>
      </c>
      <c r="AD124" s="3" t="str">
        <f ca="1">IFERROR(__xludf.DUMMYFUNCTION("AVERAGE.WEIGHTED(H124:I124,$AA$25:$AB$25)"),"#VALUE!")</f>
        <v>#VALUE!</v>
      </c>
      <c r="AE124" s="3" t="str">
        <f ca="1">IFERROR(__xludf.DUMMYFUNCTION("AVERAGE.WEIGHTED(J124:K124,$AA$25:$AB$25)"),"#VALUE!")</f>
        <v>#VALUE!</v>
      </c>
      <c r="AF124" s="209">
        <v>0.22017409114183301</v>
      </c>
      <c r="AG124" s="3">
        <f t="shared" si="8"/>
        <v>0.77982590885816694</v>
      </c>
      <c r="AH124" s="209">
        <v>0.22237569060773499</v>
      </c>
      <c r="AI124" s="3">
        <f t="shared" si="9"/>
        <v>0.77762430939226501</v>
      </c>
      <c r="AJ124" s="209">
        <v>0.222172552525704</v>
      </c>
      <c r="AK124" s="3">
        <f t="shared" si="10"/>
        <v>0.777827447474296</v>
      </c>
    </row>
    <row r="125" spans="1:56" ht="15" x14ac:dyDescent="0.25">
      <c r="A125" s="1">
        <v>97</v>
      </c>
      <c r="B125" s="23">
        <f t="shared" si="28"/>
        <v>0.10387284992507401</v>
      </c>
      <c r="C125" s="23">
        <f t="shared" si="28"/>
        <v>0.10362433151376599</v>
      </c>
      <c r="D125" s="23">
        <f t="shared" si="28"/>
        <v>0.19</v>
      </c>
      <c r="E125" s="23">
        <f t="shared" si="28"/>
        <v>0.15</v>
      </c>
      <c r="F125" s="23">
        <f t="shared" si="28"/>
        <v>0.21</v>
      </c>
      <c r="G125" s="23">
        <f t="shared" si="28"/>
        <v>0.17</v>
      </c>
      <c r="H125" s="23">
        <f t="shared" si="28"/>
        <v>0.21</v>
      </c>
      <c r="I125" s="23">
        <f t="shared" si="28"/>
        <v>0.17</v>
      </c>
      <c r="J125" s="23">
        <f t="shared" si="28"/>
        <v>0.21</v>
      </c>
      <c r="K125" s="23">
        <f t="shared" si="28"/>
        <v>0.18</v>
      </c>
      <c r="L125" s="23">
        <f t="shared" si="29"/>
        <v>0.33</v>
      </c>
      <c r="M125" s="23">
        <f t="shared" si="29"/>
        <v>0.25</v>
      </c>
      <c r="N125" s="23">
        <f t="shared" si="29"/>
        <v>0.37</v>
      </c>
      <c r="O125" s="23">
        <f t="shared" si="29"/>
        <v>0.28000000000000003</v>
      </c>
      <c r="P125" s="23">
        <f t="shared" si="29"/>
        <v>0.39</v>
      </c>
      <c r="Q125" s="23">
        <f t="shared" si="29"/>
        <v>0.28999999999999998</v>
      </c>
      <c r="R125" s="23">
        <f t="shared" si="29"/>
        <v>0.41</v>
      </c>
      <c r="S125" s="23">
        <f t="shared" si="29"/>
        <v>0.3</v>
      </c>
      <c r="T125" s="23">
        <f t="shared" si="29"/>
        <v>0.43</v>
      </c>
      <c r="U125" s="23">
        <f t="shared" si="29"/>
        <v>0.33</v>
      </c>
      <c r="V125" s="24">
        <f t="shared" si="3"/>
        <v>0.10374859071942</v>
      </c>
      <c r="W125" s="24">
        <f t="shared" si="4"/>
        <v>0.16999999999999998</v>
      </c>
      <c r="X125" s="24">
        <f t="shared" si="5"/>
        <v>0.19</v>
      </c>
      <c r="Y125" s="24">
        <f t="shared" si="6"/>
        <v>0.19</v>
      </c>
      <c r="Z125" s="24">
        <f t="shared" si="7"/>
        <v>0.19500000000000001</v>
      </c>
      <c r="AA125" s="3">
        <f ca="1">IFERROR(__xludf.DUMMYFUNCTION("AVERAGE.WEIGHTED(B125:C125,$AF125:$AG125)"),0.148258497691984)</f>
        <v>0.14825849769198399</v>
      </c>
      <c r="AB125" s="3">
        <f ca="1">IFERROR(__xludf.DUMMYFUNCTION("AVERAGE.WEIGHTED(D125:E125,$AH125:$AI125)"),0.158326348141939)</f>
        <v>0.15832634814193899</v>
      </c>
      <c r="AC125" s="3">
        <f ca="1">IFERROR(__xludf.DUMMYFUNCTION("AVERAGE.WEIGHTED(F125:G125,$AJ125:$AK125)"),0.178301886792452)</f>
        <v>0.17830188679245201</v>
      </c>
      <c r="AD125" s="3" t="str">
        <f ca="1">IFERROR(__xludf.DUMMYFUNCTION("AVERAGE.WEIGHTED(H125:I125,$AA$25:$AB$25)"),"#VALUE!")</f>
        <v>#VALUE!</v>
      </c>
      <c r="AE125" s="3" t="str">
        <f ca="1">IFERROR(__xludf.DUMMYFUNCTION("AVERAGE.WEIGHTED(J125:K125,$AA$25:$AB$25)"),"#VALUE!")</f>
        <v>#VALUE!</v>
      </c>
      <c r="AF125" s="209">
        <v>0.20646244229962199</v>
      </c>
      <c r="AG125" s="3">
        <f t="shared" si="8"/>
        <v>0.79353755770037804</v>
      </c>
      <c r="AH125" s="209">
        <v>0.20815870354847699</v>
      </c>
      <c r="AI125" s="3">
        <f t="shared" si="9"/>
        <v>0.79184129645152301</v>
      </c>
      <c r="AJ125" s="209">
        <v>0.20754716981132099</v>
      </c>
      <c r="AK125" s="3">
        <f t="shared" si="10"/>
        <v>0.79245283018867907</v>
      </c>
    </row>
    <row r="126" spans="1:56" ht="15" x14ac:dyDescent="0.25">
      <c r="A126" s="1">
        <v>98</v>
      </c>
      <c r="B126" s="23">
        <f t="shared" si="28"/>
        <v>0.10387284992507401</v>
      </c>
      <c r="C126" s="23">
        <f t="shared" si="28"/>
        <v>0.10362433151376599</v>
      </c>
      <c r="D126" s="23">
        <f t="shared" si="28"/>
        <v>0.19</v>
      </c>
      <c r="E126" s="23">
        <f t="shared" si="28"/>
        <v>0.15</v>
      </c>
      <c r="F126" s="23">
        <f t="shared" si="28"/>
        <v>0.21</v>
      </c>
      <c r="G126" s="23">
        <f t="shared" si="28"/>
        <v>0.17</v>
      </c>
      <c r="H126" s="23">
        <f t="shared" si="28"/>
        <v>0.21</v>
      </c>
      <c r="I126" s="23">
        <f t="shared" si="28"/>
        <v>0.17</v>
      </c>
      <c r="J126" s="23">
        <f t="shared" si="28"/>
        <v>0.21</v>
      </c>
      <c r="K126" s="23">
        <f t="shared" si="28"/>
        <v>0.18</v>
      </c>
      <c r="L126" s="23">
        <f t="shared" si="29"/>
        <v>0.33</v>
      </c>
      <c r="M126" s="23">
        <f t="shared" si="29"/>
        <v>0.25</v>
      </c>
      <c r="N126" s="23">
        <f t="shared" si="29"/>
        <v>0.37</v>
      </c>
      <c r="O126" s="23">
        <f t="shared" si="29"/>
        <v>0.28000000000000003</v>
      </c>
      <c r="P126" s="23">
        <f t="shared" si="29"/>
        <v>0.39</v>
      </c>
      <c r="Q126" s="23">
        <f t="shared" si="29"/>
        <v>0.28999999999999998</v>
      </c>
      <c r="R126" s="23">
        <f t="shared" si="29"/>
        <v>0.41</v>
      </c>
      <c r="S126" s="23">
        <f t="shared" si="29"/>
        <v>0.3</v>
      </c>
      <c r="T126" s="23">
        <f t="shared" si="29"/>
        <v>0.43</v>
      </c>
      <c r="U126" s="23">
        <f t="shared" si="29"/>
        <v>0.33</v>
      </c>
      <c r="V126" s="24">
        <f t="shared" si="3"/>
        <v>0.10374859071942</v>
      </c>
      <c r="W126" s="24">
        <f t="shared" si="4"/>
        <v>0.16999999999999998</v>
      </c>
      <c r="X126" s="24">
        <f t="shared" si="5"/>
        <v>0.19</v>
      </c>
      <c r="Y126" s="24">
        <f t="shared" si="6"/>
        <v>0.19</v>
      </c>
      <c r="Z126" s="24">
        <f t="shared" si="7"/>
        <v>0.19500000000000001</v>
      </c>
      <c r="AA126" s="3">
        <f ca="1">IFERROR(__xludf.DUMMYFUNCTION("AVERAGE.WEIGHTED(B126:C126,$AF126:$AG126)"),0.147733711048158)</f>
        <v>0.147733711048158</v>
      </c>
      <c r="AB126" s="3">
        <f ca="1">IFERROR(__xludf.DUMMYFUNCTION("AVERAGE.WEIGHTED(D126:E126,$AH126:$AI126)"),0.15775623268698)</f>
        <v>0.15775623268698</v>
      </c>
      <c r="AC126" s="3">
        <f ca="1">IFERROR(__xludf.DUMMYFUNCTION("AVERAGE.WEIGHTED(F126:G126,$AJ126:$AK126)"),0.177742718446601)</f>
        <v>0.177742718446601</v>
      </c>
      <c r="AD126" s="3" t="str">
        <f ca="1">IFERROR(__xludf.DUMMYFUNCTION("AVERAGE.WEIGHTED(H126:I126,$AA$25:$AB$25)"),"#VALUE!")</f>
        <v>#VALUE!</v>
      </c>
      <c r="AE126" s="3" t="str">
        <f ca="1">IFERROR(__xludf.DUMMYFUNCTION("AVERAGE.WEIGHTED(J126:K126,$AA$25:$AB$25)"),"#VALUE!")</f>
        <v>#VALUE!</v>
      </c>
      <c r="AF126" s="209">
        <v>0.193342776203966</v>
      </c>
      <c r="AG126" s="3">
        <f t="shared" si="8"/>
        <v>0.806657223796034</v>
      </c>
      <c r="AH126" s="209">
        <v>0.19390581717451499</v>
      </c>
      <c r="AI126" s="3">
        <f t="shared" si="9"/>
        <v>0.80609418282548506</v>
      </c>
      <c r="AJ126" s="209">
        <v>0.19356796116504901</v>
      </c>
      <c r="AK126" s="3">
        <f t="shared" si="10"/>
        <v>0.80643203883495096</v>
      </c>
    </row>
    <row r="127" spans="1:56" ht="15" x14ac:dyDescent="0.25">
      <c r="A127" s="1">
        <v>99</v>
      </c>
      <c r="B127" s="23">
        <f t="shared" si="28"/>
        <v>0.10387284992507401</v>
      </c>
      <c r="C127" s="23">
        <f t="shared" si="28"/>
        <v>0.10362433151376599</v>
      </c>
      <c r="D127" s="23">
        <f t="shared" si="28"/>
        <v>0.19</v>
      </c>
      <c r="E127" s="23">
        <f t="shared" si="28"/>
        <v>0.15</v>
      </c>
      <c r="F127" s="23">
        <f t="shared" si="28"/>
        <v>0.21</v>
      </c>
      <c r="G127" s="23">
        <f t="shared" si="28"/>
        <v>0.17</v>
      </c>
      <c r="H127" s="23">
        <f t="shared" si="28"/>
        <v>0.21</v>
      </c>
      <c r="I127" s="23">
        <f t="shared" si="28"/>
        <v>0.17</v>
      </c>
      <c r="J127" s="23">
        <f t="shared" si="28"/>
        <v>0.21</v>
      </c>
      <c r="K127" s="23">
        <f t="shared" si="28"/>
        <v>0.18</v>
      </c>
      <c r="L127" s="23">
        <f t="shared" si="29"/>
        <v>0.33</v>
      </c>
      <c r="M127" s="23">
        <f t="shared" si="29"/>
        <v>0.25</v>
      </c>
      <c r="N127" s="23">
        <f t="shared" si="29"/>
        <v>0.37</v>
      </c>
      <c r="O127" s="23">
        <f t="shared" si="29"/>
        <v>0.28000000000000003</v>
      </c>
      <c r="P127" s="23">
        <f t="shared" si="29"/>
        <v>0.39</v>
      </c>
      <c r="Q127" s="23">
        <f t="shared" si="29"/>
        <v>0.28999999999999998</v>
      </c>
      <c r="R127" s="23">
        <f t="shared" si="29"/>
        <v>0.41</v>
      </c>
      <c r="S127" s="23">
        <f t="shared" si="29"/>
        <v>0.3</v>
      </c>
      <c r="T127" s="23">
        <f t="shared" si="29"/>
        <v>0.43</v>
      </c>
      <c r="U127" s="23">
        <f t="shared" si="29"/>
        <v>0.33</v>
      </c>
      <c r="V127" s="24">
        <f t="shared" si="3"/>
        <v>0.10374859071942</v>
      </c>
      <c r="W127" s="24">
        <f t="shared" si="4"/>
        <v>0.16999999999999998</v>
      </c>
      <c r="X127" s="24">
        <f t="shared" si="5"/>
        <v>0.19</v>
      </c>
      <c r="Y127" s="24">
        <f t="shared" si="6"/>
        <v>0.19</v>
      </c>
      <c r="Z127" s="24">
        <f t="shared" si="7"/>
        <v>0.19500000000000001</v>
      </c>
      <c r="AA127" s="3">
        <f ca="1">IFERROR(__xludf.DUMMYFUNCTION("AVERAGE.WEIGHTED(B127:C127,$AF127:$AG127)"),0.147232472324723)</f>
        <v>0.147232472324723</v>
      </c>
      <c r="AB127" s="3">
        <f ca="1">IFERROR(__xludf.DUMMYFUNCTION("AVERAGE.WEIGHTED(D127:E127,$AH127:$AI127)"),0.157195600942655)</f>
        <v>0.157195600942655</v>
      </c>
      <c r="AC127" s="3">
        <f ca="1">IFERROR(__xludf.DUMMYFUNCTION("AVERAGE.WEIGHTED(F127:G127,$AJ127:$AK127)"),0.177211740041928)</f>
        <v>0.177211740041928</v>
      </c>
      <c r="AD127" s="3" t="str">
        <f ca="1">IFERROR(__xludf.DUMMYFUNCTION("AVERAGE.WEIGHTED(H127:I127,$AA$25:$AB$25)"),"#VALUE!")</f>
        <v>#VALUE!</v>
      </c>
      <c r="AE127" s="3" t="str">
        <f ca="1">IFERROR(__xludf.DUMMYFUNCTION("AVERAGE.WEIGHTED(J127:K127,$AA$25:$AB$25)"),"#VALUE!")</f>
        <v>#VALUE!</v>
      </c>
      <c r="AF127" s="209">
        <v>0.18081180811808101</v>
      </c>
      <c r="AG127" s="3">
        <f t="shared" si="8"/>
        <v>0.81918819188191905</v>
      </c>
      <c r="AH127" s="209">
        <v>0.17989002356637901</v>
      </c>
      <c r="AI127" s="3">
        <f t="shared" si="9"/>
        <v>0.82010997643362105</v>
      </c>
      <c r="AJ127" s="209">
        <v>0.18029350104821801</v>
      </c>
      <c r="AK127" s="3">
        <f t="shared" si="10"/>
        <v>0.81970649895178194</v>
      </c>
    </row>
    <row r="128" spans="1:56" ht="15" x14ac:dyDescent="0.25">
      <c r="A128" s="1">
        <v>100</v>
      </c>
      <c r="B128" s="23">
        <f t="shared" si="28"/>
        <v>0.10387284992507401</v>
      </c>
      <c r="C128" s="23">
        <f t="shared" si="28"/>
        <v>0.10362433151376599</v>
      </c>
      <c r="D128" s="23">
        <f t="shared" si="28"/>
        <v>0.19</v>
      </c>
      <c r="E128" s="23">
        <f t="shared" si="28"/>
        <v>0.15</v>
      </c>
      <c r="F128" s="23">
        <f t="shared" si="28"/>
        <v>0.21</v>
      </c>
      <c r="G128" s="23">
        <f t="shared" si="28"/>
        <v>0.17</v>
      </c>
      <c r="H128" s="23">
        <f t="shared" si="28"/>
        <v>0.21</v>
      </c>
      <c r="I128" s="23">
        <f t="shared" si="28"/>
        <v>0.17</v>
      </c>
      <c r="J128" s="23">
        <f t="shared" si="28"/>
        <v>0.21</v>
      </c>
      <c r="K128" s="23">
        <f t="shared" si="28"/>
        <v>0.18</v>
      </c>
      <c r="L128" s="23">
        <f t="shared" si="29"/>
        <v>0.33</v>
      </c>
      <c r="M128" s="23">
        <f t="shared" si="29"/>
        <v>0.25</v>
      </c>
      <c r="N128" s="23">
        <f t="shared" si="29"/>
        <v>0.37</v>
      </c>
      <c r="O128" s="23">
        <f t="shared" si="29"/>
        <v>0.28000000000000003</v>
      </c>
      <c r="P128" s="23">
        <f t="shared" si="29"/>
        <v>0.39</v>
      </c>
      <c r="Q128" s="23">
        <f t="shared" si="29"/>
        <v>0.28999999999999998</v>
      </c>
      <c r="R128" s="23">
        <f t="shared" si="29"/>
        <v>0.41</v>
      </c>
      <c r="S128" s="23">
        <f t="shared" si="29"/>
        <v>0.3</v>
      </c>
      <c r="T128" s="23">
        <f t="shared" si="29"/>
        <v>0.43</v>
      </c>
      <c r="U128" s="23">
        <f t="shared" si="29"/>
        <v>0.33</v>
      </c>
      <c r="V128" s="24">
        <f t="shared" si="3"/>
        <v>0.10374859071942</v>
      </c>
      <c r="W128" s="24">
        <f t="shared" si="4"/>
        <v>0.16999999999999998</v>
      </c>
      <c r="X128" s="24">
        <f t="shared" si="5"/>
        <v>0.19</v>
      </c>
      <c r="Y128" s="24">
        <f t="shared" si="6"/>
        <v>0.19</v>
      </c>
      <c r="Z128" s="24">
        <f t="shared" si="7"/>
        <v>0.19500000000000001</v>
      </c>
      <c r="AA128" s="3">
        <f ca="1">IFERROR(__xludf.DUMMYFUNCTION("AVERAGE.WEIGHTED(B128:C128,$AF128:$AG128)"),0.146280991735537)</f>
        <v>0.14628099173553699</v>
      </c>
      <c r="AB128" s="3">
        <f ca="1">IFERROR(__xludf.DUMMYFUNCTION("AVERAGE.WEIGHTED(D128:E128,$AH128:$AI128)"),0.156173800259403)</f>
        <v>0.156173800259403</v>
      </c>
      <c r="AC128" s="3">
        <f ca="1">IFERROR(__xludf.DUMMYFUNCTION("AVERAGE.WEIGHTED(F128:G128,$AJ128:$AK128)"),0.176323268206039)</f>
        <v>0.176323268206039</v>
      </c>
      <c r="AD128" s="3" t="str">
        <f ca="1">IFERROR(__xludf.DUMMYFUNCTION("AVERAGE.WEIGHTED(H128:I128,$AA$25:$AB$25)"),"#VALUE!")</f>
        <v>#VALUE!</v>
      </c>
      <c r="AE128" s="3" t="str">
        <f ca="1">IFERROR(__xludf.DUMMYFUNCTION("AVERAGE.WEIGHTED(J128:K128,$AA$25:$AB$25)"),"#VALUE!")</f>
        <v>#VALUE!</v>
      </c>
      <c r="AF128" s="209">
        <v>0.15702479338843001</v>
      </c>
      <c r="AG128" s="3">
        <f t="shared" si="8"/>
        <v>0.84297520661156999</v>
      </c>
      <c r="AH128" s="209">
        <v>0.15434500648508401</v>
      </c>
      <c r="AI128" s="3">
        <f t="shared" si="9"/>
        <v>0.84565499351491602</v>
      </c>
      <c r="AJ128" s="209">
        <v>0.158081705150977</v>
      </c>
      <c r="AK128" s="3">
        <f t="shared" si="10"/>
        <v>0.84191829484902303</v>
      </c>
    </row>
  </sheetData>
  <mergeCells count="54">
    <mergeCell ref="A25:V25"/>
    <mergeCell ref="B26:C26"/>
    <mergeCell ref="D26:E26"/>
    <mergeCell ref="F26:G26"/>
    <mergeCell ref="H26:I26"/>
    <mergeCell ref="J26:K26"/>
    <mergeCell ref="BT2:BU2"/>
    <mergeCell ref="F3:G3"/>
    <mergeCell ref="H3:I3"/>
    <mergeCell ref="L3:M3"/>
    <mergeCell ref="N3:O3"/>
    <mergeCell ref="P3:Q3"/>
    <mergeCell ref="R3:S3"/>
    <mergeCell ref="T3:U3"/>
    <mergeCell ref="BH2:BI2"/>
    <mergeCell ref="BJ2:BK2"/>
    <mergeCell ref="BL2:BM2"/>
    <mergeCell ref="BN2:BO2"/>
    <mergeCell ref="BP2:BQ2"/>
    <mergeCell ref="BR2:BS2"/>
    <mergeCell ref="AV2:AW2"/>
    <mergeCell ref="AX2:AY2"/>
    <mergeCell ref="AZ2:BA2"/>
    <mergeCell ref="BB2:BC2"/>
    <mergeCell ref="BD2:BE2"/>
    <mergeCell ref="BF2:BG2"/>
    <mergeCell ref="AG2:AH2"/>
    <mergeCell ref="AI2:AJ2"/>
    <mergeCell ref="AK2:AL2"/>
    <mergeCell ref="AM2:AO2"/>
    <mergeCell ref="AQ2:AR2"/>
    <mergeCell ref="AT2:AU2"/>
    <mergeCell ref="U2:V2"/>
    <mergeCell ref="W2:X2"/>
    <mergeCell ref="Y2:Z2"/>
    <mergeCell ref="AA2:AB2"/>
    <mergeCell ref="AC2:AD2"/>
    <mergeCell ref="AE2:AF2"/>
    <mergeCell ref="BB1:BK1"/>
    <mergeCell ref="BL1:BU1"/>
    <mergeCell ref="E2:F2"/>
    <mergeCell ref="G2:H2"/>
    <mergeCell ref="I2:J2"/>
    <mergeCell ref="K2:L2"/>
    <mergeCell ref="M2:N2"/>
    <mergeCell ref="O2:P2"/>
    <mergeCell ref="Q2:R2"/>
    <mergeCell ref="S2:T2"/>
    <mergeCell ref="A1:B1"/>
    <mergeCell ref="C1:L1"/>
    <mergeCell ref="M1:V1"/>
    <mergeCell ref="W1:AF1"/>
    <mergeCell ref="AJ1:AQ1"/>
    <mergeCell ref="AR1:BA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AC25D-1A3A-4FBE-A0FD-C866D7325130}">
  <sheetPr codeName="Hoja10">
    <outlinePr summaryBelow="0" summaryRight="0"/>
  </sheetPr>
  <dimension ref="A1:BU128"/>
  <sheetViews>
    <sheetView workbookViewId="0">
      <selection activeCell="K10" sqref="K10"/>
    </sheetView>
  </sheetViews>
  <sheetFormatPr baseColWidth="10" defaultColWidth="12.5703125" defaultRowHeight="15.75" customHeight="1" x14ac:dyDescent="0.2"/>
  <cols>
    <col min="1" max="21" width="12.5703125" style="167"/>
    <col min="22" max="22" width="23.5703125" style="167" customWidth="1"/>
    <col min="23" max="26" width="12.5703125" style="167"/>
    <col min="27" max="27" width="21.7109375" style="167" customWidth="1"/>
    <col min="28" max="28" width="34.140625" style="167" customWidth="1"/>
    <col min="29" max="29" width="29.28515625" style="167" customWidth="1"/>
    <col min="30" max="16384" width="12.5703125" style="167"/>
  </cols>
  <sheetData>
    <row r="1" spans="1:73" ht="15" x14ac:dyDescent="0.2">
      <c r="A1" s="231"/>
      <c r="B1" s="230"/>
      <c r="C1" s="231"/>
      <c r="D1" s="230"/>
      <c r="E1" s="230"/>
      <c r="F1" s="230"/>
      <c r="G1" s="230"/>
      <c r="H1" s="230"/>
      <c r="I1" s="230"/>
      <c r="J1" s="230"/>
      <c r="K1" s="230"/>
      <c r="L1" s="230"/>
      <c r="M1" s="231"/>
      <c r="N1" s="230"/>
      <c r="O1" s="230"/>
      <c r="P1" s="230"/>
      <c r="Q1" s="230"/>
      <c r="R1" s="230"/>
      <c r="S1" s="230"/>
      <c r="T1" s="230"/>
      <c r="U1" s="230"/>
      <c r="V1" s="230"/>
      <c r="W1" s="231"/>
      <c r="X1" s="230"/>
      <c r="Y1" s="230"/>
      <c r="Z1" s="230"/>
      <c r="AA1" s="230"/>
      <c r="AB1" s="230"/>
      <c r="AC1" s="230"/>
      <c r="AD1" s="230"/>
      <c r="AE1" s="230"/>
      <c r="AF1" s="230"/>
      <c r="AG1" s="168"/>
      <c r="AJ1" s="229" t="s">
        <v>283</v>
      </c>
      <c r="AK1" s="229"/>
      <c r="AL1" s="229"/>
      <c r="AM1" s="229"/>
      <c r="AN1" s="229"/>
      <c r="AO1" s="229"/>
      <c r="AP1" s="229"/>
      <c r="AQ1" s="229"/>
      <c r="AR1" s="231"/>
      <c r="AS1" s="230"/>
      <c r="AT1" s="230"/>
      <c r="AU1" s="230"/>
      <c r="AV1" s="230"/>
      <c r="AW1" s="230"/>
      <c r="AX1" s="230"/>
      <c r="AY1" s="230"/>
      <c r="AZ1" s="230"/>
      <c r="BA1" s="230"/>
      <c r="BB1" s="231"/>
      <c r="BC1" s="230"/>
      <c r="BD1" s="230"/>
      <c r="BE1" s="230"/>
      <c r="BF1" s="230"/>
      <c r="BG1" s="230"/>
      <c r="BH1" s="230"/>
      <c r="BI1" s="230"/>
      <c r="BJ1" s="230"/>
      <c r="BK1" s="230"/>
      <c r="BL1" s="231"/>
      <c r="BM1" s="230"/>
      <c r="BN1" s="230"/>
      <c r="BO1" s="230"/>
      <c r="BP1" s="230"/>
      <c r="BQ1" s="230"/>
      <c r="BR1" s="230"/>
      <c r="BS1" s="230"/>
      <c r="BT1" s="230"/>
      <c r="BU1" s="230"/>
    </row>
    <row r="2" spans="1:73" ht="15" x14ac:dyDescent="0.2">
      <c r="A2" s="168"/>
      <c r="B2" s="168"/>
      <c r="C2" s="168"/>
      <c r="D2" s="168"/>
      <c r="E2" s="231"/>
      <c r="F2" s="230"/>
      <c r="G2" s="231"/>
      <c r="H2" s="230"/>
      <c r="I2" s="231"/>
      <c r="J2" s="230"/>
      <c r="K2" s="231"/>
      <c r="L2" s="230"/>
      <c r="M2" s="231"/>
      <c r="N2" s="230"/>
      <c r="O2" s="231"/>
      <c r="P2" s="230"/>
      <c r="Q2" s="231"/>
      <c r="R2" s="230"/>
      <c r="S2" s="231"/>
      <c r="T2" s="230"/>
      <c r="U2" s="231"/>
      <c r="V2" s="230"/>
      <c r="W2" s="231"/>
      <c r="X2" s="230"/>
      <c r="Y2" s="231"/>
      <c r="Z2" s="230"/>
      <c r="AA2" s="231"/>
      <c r="AB2" s="230"/>
      <c r="AC2" s="231"/>
      <c r="AD2" s="230"/>
      <c r="AE2" s="231"/>
      <c r="AF2" s="230"/>
      <c r="AG2" s="231"/>
      <c r="AH2" s="230"/>
      <c r="AI2" s="231"/>
      <c r="AJ2" s="230"/>
      <c r="AK2" s="229" t="s">
        <v>285</v>
      </c>
      <c r="AL2" s="229"/>
      <c r="AM2" s="229" t="s">
        <v>286</v>
      </c>
      <c r="AN2" s="229"/>
      <c r="AO2" s="229"/>
      <c r="AP2" s="166"/>
      <c r="AQ2" s="229" t="s">
        <v>287</v>
      </c>
      <c r="AR2" s="229"/>
      <c r="AT2" s="231"/>
      <c r="AU2" s="230"/>
      <c r="AV2" s="231"/>
      <c r="AW2" s="230"/>
      <c r="AX2" s="231"/>
      <c r="AY2" s="230"/>
      <c r="AZ2" s="231"/>
      <c r="BA2" s="230"/>
      <c r="BB2" s="231"/>
      <c r="BC2" s="230"/>
      <c r="BD2" s="231"/>
      <c r="BE2" s="230"/>
      <c r="BF2" s="231"/>
      <c r="BG2" s="230"/>
      <c r="BH2" s="231"/>
      <c r="BI2" s="230"/>
      <c r="BJ2" s="231"/>
      <c r="BK2" s="230"/>
      <c r="BL2" s="231"/>
      <c r="BM2" s="230"/>
      <c r="BN2" s="231"/>
      <c r="BO2" s="230"/>
      <c r="BP2" s="231"/>
      <c r="BQ2" s="230"/>
      <c r="BR2" s="231"/>
      <c r="BS2" s="230"/>
      <c r="BT2" s="231"/>
      <c r="BU2" s="230"/>
    </row>
    <row r="3" spans="1:73" ht="15" x14ac:dyDescent="0.2">
      <c r="A3" s="168"/>
      <c r="B3" s="166">
        <v>2019</v>
      </c>
      <c r="C3" s="166">
        <v>2019</v>
      </c>
      <c r="D3" s="166">
        <v>2015</v>
      </c>
      <c r="E3" s="166">
        <v>2015</v>
      </c>
      <c r="F3" s="229">
        <v>2010</v>
      </c>
      <c r="G3" s="230"/>
      <c r="H3" s="229">
        <v>2005</v>
      </c>
      <c r="I3" s="230"/>
      <c r="J3" s="166">
        <v>2000</v>
      </c>
      <c r="K3" s="166">
        <v>2000</v>
      </c>
      <c r="L3" s="229">
        <v>2019</v>
      </c>
      <c r="M3" s="230"/>
      <c r="N3" s="229">
        <v>2015</v>
      </c>
      <c r="O3" s="230"/>
      <c r="P3" s="229">
        <v>2010</v>
      </c>
      <c r="Q3" s="230"/>
      <c r="R3" s="229">
        <v>2005</v>
      </c>
      <c r="S3" s="230"/>
      <c r="T3" s="229">
        <v>2000</v>
      </c>
      <c r="U3" s="230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  <c r="AK3" s="204" t="s">
        <v>182</v>
      </c>
      <c r="AL3" s="204" t="s">
        <v>183</v>
      </c>
      <c r="AM3" s="204" t="s">
        <v>284</v>
      </c>
      <c r="AN3" s="204" t="s">
        <v>182</v>
      </c>
      <c r="AO3" s="204" t="s">
        <v>183</v>
      </c>
      <c r="AP3" s="204"/>
      <c r="AQ3" s="204" t="s">
        <v>182</v>
      </c>
      <c r="AR3" s="204" t="s">
        <v>183</v>
      </c>
      <c r="AS3" s="168"/>
      <c r="AT3" s="201">
        <v>28</v>
      </c>
      <c r="AU3" s="201" t="s">
        <v>45</v>
      </c>
      <c r="AV3" s="201">
        <v>294</v>
      </c>
      <c r="AW3" s="201" t="s">
        <v>278</v>
      </c>
      <c r="AX3" s="201">
        <v>1</v>
      </c>
      <c r="AY3" s="201" t="s">
        <v>279</v>
      </c>
      <c r="AZ3" s="201">
        <v>2018</v>
      </c>
      <c r="BA3" s="201">
        <v>34097.339213257001</v>
      </c>
      <c r="BB3" s="201"/>
      <c r="BC3" s="201"/>
      <c r="BD3" s="201"/>
      <c r="BE3" s="168"/>
      <c r="BF3" s="168"/>
      <c r="BG3" s="168"/>
      <c r="BH3" s="168"/>
      <c r="BI3" s="168"/>
      <c r="BJ3" s="168"/>
      <c r="BK3" s="168"/>
      <c r="BL3" s="168"/>
      <c r="BM3" s="168"/>
      <c r="BN3" s="168"/>
      <c r="BO3" s="168"/>
      <c r="BP3" s="168"/>
      <c r="BQ3" s="168"/>
      <c r="BR3" s="168"/>
      <c r="BS3" s="168"/>
      <c r="BT3" s="168"/>
      <c r="BU3" s="168"/>
    </row>
    <row r="4" spans="1:73" ht="15.75" customHeight="1" x14ac:dyDescent="0.25">
      <c r="A4" s="12" t="s">
        <v>43</v>
      </c>
      <c r="B4" s="12" t="s">
        <v>44</v>
      </c>
      <c r="C4" s="12" t="s">
        <v>44</v>
      </c>
      <c r="D4" s="12" t="s">
        <v>44</v>
      </c>
      <c r="E4" s="12" t="s">
        <v>44</v>
      </c>
      <c r="F4" s="12" t="s">
        <v>44</v>
      </c>
      <c r="G4" s="12" t="s">
        <v>44</v>
      </c>
      <c r="H4" s="12" t="s">
        <v>44</v>
      </c>
      <c r="I4" s="12" t="s">
        <v>44</v>
      </c>
      <c r="J4" s="12" t="s">
        <v>44</v>
      </c>
      <c r="K4" s="12" t="s">
        <v>44</v>
      </c>
      <c r="L4" s="12" t="s">
        <v>44</v>
      </c>
      <c r="M4" s="12" t="s">
        <v>44</v>
      </c>
      <c r="N4" s="12" t="s">
        <v>44</v>
      </c>
      <c r="O4" s="12" t="s">
        <v>44</v>
      </c>
      <c r="P4" s="12" t="s">
        <v>44</v>
      </c>
      <c r="Q4" s="12" t="s">
        <v>44</v>
      </c>
      <c r="R4" s="12" t="s">
        <v>44</v>
      </c>
      <c r="S4" s="12" t="s">
        <v>44</v>
      </c>
      <c r="T4" s="12" t="s">
        <v>44</v>
      </c>
      <c r="U4" s="12" t="s">
        <v>44</v>
      </c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203" t="s">
        <v>45</v>
      </c>
      <c r="AK4" s="201">
        <v>1583511.0833693701</v>
      </c>
      <c r="AL4" s="201">
        <v>1517138.5701053699</v>
      </c>
      <c r="AM4" s="203">
        <f>SUM(AK4:AL4)</f>
        <v>3100649.6534747398</v>
      </c>
      <c r="AN4" s="201">
        <v>34097.339213257001</v>
      </c>
      <c r="AO4" s="201">
        <v>24630.1080134699</v>
      </c>
      <c r="AP4" s="201">
        <v>58727.447226727098</v>
      </c>
      <c r="AQ4" s="203">
        <f>AN4/AK4</f>
        <v>2.1532744274012416E-2</v>
      </c>
      <c r="AR4" s="203">
        <f>AO4/AL4</f>
        <v>1.6234580346711023E-2</v>
      </c>
      <c r="AS4" s="203">
        <f>AP4/AM4</f>
        <v>1.8940368564669744E-2</v>
      </c>
      <c r="AT4" s="201">
        <v>5</v>
      </c>
      <c r="AU4" s="201" t="s">
        <v>46</v>
      </c>
      <c r="AV4" s="201">
        <v>294</v>
      </c>
      <c r="AW4" s="201" t="s">
        <v>278</v>
      </c>
      <c r="AX4" s="201">
        <v>1</v>
      </c>
      <c r="AY4" s="201" t="s">
        <v>279</v>
      </c>
      <c r="AZ4" s="201">
        <v>2018</v>
      </c>
      <c r="BA4" s="201">
        <v>3661.4209574701499</v>
      </c>
      <c r="BB4" s="201"/>
      <c r="BC4" s="201"/>
      <c r="BD4" s="201" t="s">
        <v>45</v>
      </c>
      <c r="BE4" s="201">
        <v>294</v>
      </c>
      <c r="BF4" s="201" t="s">
        <v>278</v>
      </c>
      <c r="BG4" s="201">
        <v>1</v>
      </c>
      <c r="BH4" s="201" t="s">
        <v>279</v>
      </c>
      <c r="BI4" s="201">
        <v>2018</v>
      </c>
      <c r="BJ4" s="201">
        <v>58727.447226727098</v>
      </c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</row>
    <row r="5" spans="1:73" ht="15.75" customHeight="1" x14ac:dyDescent="0.25">
      <c r="A5" s="13" t="s">
        <v>45</v>
      </c>
      <c r="B5" s="203">
        <v>1.82765468867578E-2</v>
      </c>
      <c r="C5" s="203">
        <v>1.6234580346711023E-2</v>
      </c>
      <c r="D5" s="201">
        <v>1.2E-2</v>
      </c>
      <c r="E5" s="14">
        <v>1.4E-2</v>
      </c>
      <c r="F5" s="14">
        <v>6.9150241354009098E-3</v>
      </c>
      <c r="G5" s="14">
        <v>1.4999999999999999E-2</v>
      </c>
      <c r="H5" s="14">
        <v>2.5999999999999999E-2</v>
      </c>
      <c r="I5" s="14">
        <v>0.02</v>
      </c>
      <c r="J5" s="14">
        <v>3.4000000000000002E-2</v>
      </c>
      <c r="K5" s="14">
        <v>2.7E-2</v>
      </c>
      <c r="L5" s="14">
        <v>1.4E-2</v>
      </c>
      <c r="M5" s="14">
        <v>1.0999999999999999E-2</v>
      </c>
      <c r="N5" s="14">
        <v>1.4999999999999999E-2</v>
      </c>
      <c r="O5" s="14">
        <v>1.2E-2</v>
      </c>
      <c r="P5" s="14">
        <v>1.9E-2</v>
      </c>
      <c r="Q5" s="14">
        <v>1.4999999999999999E-2</v>
      </c>
      <c r="R5" s="14">
        <v>2.5000000000000001E-2</v>
      </c>
      <c r="S5" s="14">
        <v>0.02</v>
      </c>
      <c r="T5" s="14">
        <v>3.3000000000000002E-2</v>
      </c>
      <c r="U5" s="14">
        <v>2.5999999999999999E-2</v>
      </c>
      <c r="V5" s="15"/>
      <c r="W5" s="169"/>
      <c r="X5" s="169"/>
      <c r="Y5" s="169"/>
      <c r="Z5" s="169"/>
      <c r="AA5" s="169"/>
      <c r="AB5" s="169"/>
      <c r="AC5" s="169"/>
      <c r="AD5" s="169"/>
      <c r="AE5" s="169"/>
      <c r="AF5" s="169"/>
      <c r="AG5" s="169"/>
      <c r="AH5" s="169"/>
      <c r="AI5" s="169"/>
      <c r="AJ5" s="203" t="s">
        <v>46</v>
      </c>
      <c r="AK5" s="201">
        <v>6448966.0289751804</v>
      </c>
      <c r="AL5" s="201">
        <v>6187437.92313929</v>
      </c>
      <c r="AM5" s="203">
        <f t="shared" ref="AM5:AM22" si="0">SUM(AK5:AL5)</f>
        <v>12636403.95211447</v>
      </c>
      <c r="AN5" s="201">
        <v>3661.4209574701499</v>
      </c>
      <c r="AO5" s="201">
        <v>3619.8288075762698</v>
      </c>
      <c r="AP5" s="201">
        <v>7281.2497650464102</v>
      </c>
      <c r="AQ5" s="203">
        <f t="shared" ref="AQ5:AQ22" si="1">AN5/AK5</f>
        <v>5.6775317795432624E-4</v>
      </c>
      <c r="AR5" s="203">
        <f t="shared" ref="AR5:AR22" si="2">AO5/AL5</f>
        <v>5.8502870696110275E-4</v>
      </c>
      <c r="AS5" s="203">
        <f t="shared" ref="AS5:AS22" si="3">AP5/AM5</f>
        <v>5.762121718044655E-4</v>
      </c>
      <c r="AT5" s="201">
        <v>6</v>
      </c>
      <c r="AU5" s="201" t="s">
        <v>47</v>
      </c>
      <c r="AV5" s="201">
        <v>294</v>
      </c>
      <c r="AW5" s="201" t="s">
        <v>278</v>
      </c>
      <c r="AX5" s="201">
        <v>1</v>
      </c>
      <c r="AY5" s="201" t="s">
        <v>279</v>
      </c>
      <c r="AZ5" s="201">
        <v>2018</v>
      </c>
      <c r="BA5" s="201">
        <v>2588.53952639096</v>
      </c>
      <c r="BB5" s="201"/>
      <c r="BC5" s="201"/>
      <c r="BD5" s="201" t="s">
        <v>46</v>
      </c>
      <c r="BE5" s="201">
        <v>294</v>
      </c>
      <c r="BF5" s="201" t="s">
        <v>278</v>
      </c>
      <c r="BG5" s="201">
        <v>1</v>
      </c>
      <c r="BH5" s="201" t="s">
        <v>279</v>
      </c>
      <c r="BI5" s="201">
        <v>2018</v>
      </c>
      <c r="BJ5" s="201">
        <v>7281.2497650464102</v>
      </c>
      <c r="BK5" s="169"/>
      <c r="BL5" s="169"/>
      <c r="BM5" s="169"/>
      <c r="BN5" s="169"/>
      <c r="BO5" s="169"/>
      <c r="BP5" s="169"/>
      <c r="BQ5" s="169"/>
      <c r="BR5" s="169"/>
      <c r="BS5" s="169"/>
      <c r="BT5" s="169"/>
      <c r="BU5" s="169"/>
    </row>
    <row r="6" spans="1:73" ht="15.75" customHeight="1" x14ac:dyDescent="0.25">
      <c r="A6" s="13" t="s">
        <v>46</v>
      </c>
      <c r="B6" s="203">
        <v>5.5540932133547004E-4</v>
      </c>
      <c r="C6" s="203">
        <v>5.8502870696110275E-4</v>
      </c>
      <c r="D6" s="201">
        <v>4.0000000000000002E-4</v>
      </c>
      <c r="E6" s="14">
        <v>4.0000000000000002E-4</v>
      </c>
      <c r="F6" s="14">
        <v>3.0290525906888599E-4</v>
      </c>
      <c r="G6" s="14">
        <v>5.0000000000000001E-4</v>
      </c>
      <c r="H6" s="14">
        <v>8.0000000000000004E-4</v>
      </c>
      <c r="I6" s="14">
        <v>5.9999999999999995E-4</v>
      </c>
      <c r="J6" s="14">
        <v>1E-3</v>
      </c>
      <c r="K6" s="14">
        <v>1E-3</v>
      </c>
      <c r="L6" s="14">
        <v>2E-3</v>
      </c>
      <c r="M6" s="14">
        <v>1E-3</v>
      </c>
      <c r="N6" s="14">
        <v>2E-3</v>
      </c>
      <c r="O6" s="14">
        <v>2E-3</v>
      </c>
      <c r="P6" s="14">
        <v>2E-3</v>
      </c>
      <c r="Q6" s="14">
        <v>2E-3</v>
      </c>
      <c r="R6" s="14">
        <v>3.0000000000000001E-3</v>
      </c>
      <c r="S6" s="14">
        <v>3.0000000000000001E-3</v>
      </c>
      <c r="T6" s="14">
        <v>5.0000000000000001E-3</v>
      </c>
      <c r="U6" s="14">
        <v>4.0000000000000001E-3</v>
      </c>
      <c r="V6" s="15"/>
      <c r="W6" s="169"/>
      <c r="X6" s="169"/>
      <c r="Y6" s="169"/>
      <c r="Z6" s="169"/>
      <c r="AA6" s="169"/>
      <c r="AB6" s="169"/>
      <c r="AC6" s="169"/>
      <c r="AD6" s="169"/>
      <c r="AE6" s="169"/>
      <c r="AF6" s="169"/>
      <c r="AG6" s="169"/>
      <c r="AH6" s="169"/>
      <c r="AI6" s="169"/>
      <c r="AJ6" s="203" t="s">
        <v>47</v>
      </c>
      <c r="AK6" s="201">
        <v>8142752.5673405696</v>
      </c>
      <c r="AL6" s="201">
        <v>7853852.0778931798</v>
      </c>
      <c r="AM6" s="203">
        <f t="shared" si="0"/>
        <v>15996604.64523375</v>
      </c>
      <c r="AN6" s="201">
        <v>2588.53952639096</v>
      </c>
      <c r="AO6" s="201">
        <v>1745.91034558559</v>
      </c>
      <c r="AP6" s="201">
        <v>4334.4498719765497</v>
      </c>
      <c r="AQ6" s="203">
        <f t="shared" si="1"/>
        <v>3.1789490162985258E-4</v>
      </c>
      <c r="AR6" s="203">
        <f t="shared" si="2"/>
        <v>2.2229987632437507E-4</v>
      </c>
      <c r="AS6" s="203">
        <f t="shared" si="3"/>
        <v>2.7096061746253232E-4</v>
      </c>
      <c r="AT6" s="201">
        <v>7</v>
      </c>
      <c r="AU6" s="201" t="s">
        <v>48</v>
      </c>
      <c r="AV6" s="201">
        <v>294</v>
      </c>
      <c r="AW6" s="201" t="s">
        <v>278</v>
      </c>
      <c r="AX6" s="201">
        <v>1</v>
      </c>
      <c r="AY6" s="201" t="s">
        <v>279</v>
      </c>
      <c r="AZ6" s="201">
        <v>2018</v>
      </c>
      <c r="BA6" s="201">
        <v>3336.8966571769201</v>
      </c>
      <c r="BB6" s="201"/>
      <c r="BC6" s="201"/>
      <c r="BD6" s="201" t="s">
        <v>47</v>
      </c>
      <c r="BE6" s="201">
        <v>294</v>
      </c>
      <c r="BF6" s="201" t="s">
        <v>278</v>
      </c>
      <c r="BG6" s="201">
        <v>1</v>
      </c>
      <c r="BH6" s="201" t="s">
        <v>279</v>
      </c>
      <c r="BI6" s="201">
        <v>2018</v>
      </c>
      <c r="BJ6" s="201">
        <v>4334.4498719765497</v>
      </c>
      <c r="BK6" s="169"/>
      <c r="BL6" s="169"/>
      <c r="BM6" s="169"/>
      <c r="BN6" s="169"/>
      <c r="BO6" s="169"/>
      <c r="BP6" s="169"/>
      <c r="BQ6" s="169"/>
      <c r="BR6" s="169"/>
      <c r="BS6" s="169"/>
      <c r="BT6" s="169"/>
      <c r="BU6" s="169"/>
    </row>
    <row r="7" spans="1:73" ht="15.75" customHeight="1" x14ac:dyDescent="0.25">
      <c r="A7" s="13" t="s">
        <v>47</v>
      </c>
      <c r="B7" s="203">
        <v>2.69831862291951E-4</v>
      </c>
      <c r="C7" s="203">
        <v>2.2229987632437507E-4</v>
      </c>
      <c r="D7" s="201">
        <v>2.0000000000000001E-4</v>
      </c>
      <c r="E7" s="14">
        <v>2.0000000000000001E-4</v>
      </c>
      <c r="F7" s="14">
        <v>1.5466374564121401E-4</v>
      </c>
      <c r="G7" s="14">
        <v>2.0000000000000001E-4</v>
      </c>
      <c r="H7" s="14">
        <v>2.9999999999999997E-4</v>
      </c>
      <c r="I7" s="14">
        <v>2.9999999999999997E-4</v>
      </c>
      <c r="J7" s="14">
        <v>2.9999999999999997E-4</v>
      </c>
      <c r="K7" s="14">
        <v>2.9999999999999997E-4</v>
      </c>
      <c r="L7" s="14">
        <v>1E-3</v>
      </c>
      <c r="M7" s="14">
        <v>8.9999999999999998E-4</v>
      </c>
      <c r="N7" s="14">
        <v>1E-3</v>
      </c>
      <c r="O7" s="14">
        <v>1E-3</v>
      </c>
      <c r="P7" s="14">
        <v>1E-3</v>
      </c>
      <c r="Q7" s="14">
        <v>1E-3</v>
      </c>
      <c r="R7" s="14">
        <v>2E-3</v>
      </c>
      <c r="S7" s="14">
        <v>1E-3</v>
      </c>
      <c r="T7" s="14">
        <v>2E-3</v>
      </c>
      <c r="U7" s="14">
        <v>1E-3</v>
      </c>
      <c r="V7" s="15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  <c r="AH7" s="169"/>
      <c r="AI7" s="169"/>
      <c r="AJ7" s="203" t="s">
        <v>48</v>
      </c>
      <c r="AK7" s="201">
        <v>8263843.8228281401</v>
      </c>
      <c r="AL7" s="201">
        <v>7973485.6850805897</v>
      </c>
      <c r="AM7" s="203">
        <f t="shared" si="0"/>
        <v>16237329.50790873</v>
      </c>
      <c r="AN7" s="201">
        <v>3336.8966571769201</v>
      </c>
      <c r="AO7" s="201">
        <v>2009.2277396817999</v>
      </c>
      <c r="AP7" s="201">
        <v>5346.1243968587196</v>
      </c>
      <c r="AQ7" s="203">
        <f t="shared" si="1"/>
        <v>4.037947387097318E-4</v>
      </c>
      <c r="AR7" s="203">
        <f t="shared" si="2"/>
        <v>2.5198863069903312E-4</v>
      </c>
      <c r="AS7" s="203">
        <f t="shared" si="3"/>
        <v>3.2924899345392836E-4</v>
      </c>
      <c r="AT7" s="201">
        <v>8</v>
      </c>
      <c r="AU7" s="201" t="s">
        <v>49</v>
      </c>
      <c r="AV7" s="201">
        <v>294</v>
      </c>
      <c r="AW7" s="201" t="s">
        <v>278</v>
      </c>
      <c r="AX7" s="201">
        <v>1</v>
      </c>
      <c r="AY7" s="201" t="s">
        <v>279</v>
      </c>
      <c r="AZ7" s="201">
        <v>2018</v>
      </c>
      <c r="BA7" s="201">
        <v>15254.8307613454</v>
      </c>
      <c r="BB7" s="201"/>
      <c r="BC7" s="201"/>
      <c r="BD7" s="201" t="s">
        <v>48</v>
      </c>
      <c r="BE7" s="201">
        <v>294</v>
      </c>
      <c r="BF7" s="201" t="s">
        <v>278</v>
      </c>
      <c r="BG7" s="201">
        <v>1</v>
      </c>
      <c r="BH7" s="201" t="s">
        <v>279</v>
      </c>
      <c r="BI7" s="201">
        <v>2018</v>
      </c>
      <c r="BJ7" s="201">
        <v>5346.1243968587196</v>
      </c>
      <c r="BK7" s="169"/>
      <c r="BL7" s="169"/>
      <c r="BM7" s="169"/>
      <c r="BN7" s="169"/>
      <c r="BO7" s="169"/>
      <c r="BP7" s="169"/>
      <c r="BQ7" s="169"/>
      <c r="BR7" s="169"/>
      <c r="BS7" s="169"/>
      <c r="BT7" s="169"/>
      <c r="BU7" s="169"/>
    </row>
    <row r="8" spans="1:73" ht="15.75" customHeight="1" x14ac:dyDescent="0.25">
      <c r="A8" s="13" t="s">
        <v>48</v>
      </c>
      <c r="B8" s="203">
        <v>3.2117774836055903E-4</v>
      </c>
      <c r="C8" s="203">
        <v>2.5198863069903312E-4</v>
      </c>
      <c r="D8" s="201">
        <v>2.0000000000000001E-4</v>
      </c>
      <c r="E8" s="14">
        <v>4.0000000000000002E-4</v>
      </c>
      <c r="F8" s="14">
        <v>1.8246561429661001E-4</v>
      </c>
      <c r="G8" s="14">
        <v>2.9999999999999997E-4</v>
      </c>
      <c r="H8" s="14">
        <v>4.0000000000000002E-4</v>
      </c>
      <c r="I8" s="14">
        <v>2.9999999999999997E-4</v>
      </c>
      <c r="J8" s="14">
        <v>4.0000000000000002E-4</v>
      </c>
      <c r="K8" s="14">
        <v>2.9999999999999997E-4</v>
      </c>
      <c r="L8" s="14">
        <v>2E-3</v>
      </c>
      <c r="M8" s="14">
        <v>1E-3</v>
      </c>
      <c r="N8" s="14">
        <v>2E-3</v>
      </c>
      <c r="O8" s="14">
        <v>1E-3</v>
      </c>
      <c r="P8" s="14">
        <v>2E-3</v>
      </c>
      <c r="Q8" s="14">
        <v>1E-3</v>
      </c>
      <c r="R8" s="14">
        <v>2E-3</v>
      </c>
      <c r="S8" s="14">
        <v>1E-3</v>
      </c>
      <c r="T8" s="14">
        <v>2E-3</v>
      </c>
      <c r="U8" s="14">
        <v>1E-3</v>
      </c>
      <c r="V8" s="15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  <c r="AH8" s="169"/>
      <c r="AI8" s="169"/>
      <c r="AJ8" s="203" t="s">
        <v>49</v>
      </c>
      <c r="AK8" s="201">
        <v>8475995.5845241304</v>
      </c>
      <c r="AL8" s="201">
        <v>8252474.3977318099</v>
      </c>
      <c r="AM8" s="203">
        <f t="shared" si="0"/>
        <v>16728469.982255939</v>
      </c>
      <c r="AN8" s="201">
        <v>15254.8307613454</v>
      </c>
      <c r="AO8" s="201">
        <v>3542.61586178075</v>
      </c>
      <c r="AP8" s="201">
        <v>18797.446623126201</v>
      </c>
      <c r="AQ8" s="203">
        <f t="shared" si="1"/>
        <v>1.7997686064393881E-3</v>
      </c>
      <c r="AR8" s="203">
        <f t="shared" si="2"/>
        <v>4.2927923081523728E-4</v>
      </c>
      <c r="AS8" s="203">
        <f t="shared" si="3"/>
        <v>1.1236799685246078E-3</v>
      </c>
      <c r="AT8" s="201">
        <v>9</v>
      </c>
      <c r="AU8" s="201" t="s">
        <v>50</v>
      </c>
      <c r="AV8" s="201">
        <v>294</v>
      </c>
      <c r="AW8" s="201" t="s">
        <v>278</v>
      </c>
      <c r="AX8" s="201">
        <v>1</v>
      </c>
      <c r="AY8" s="201" t="s">
        <v>279</v>
      </c>
      <c r="AZ8" s="201">
        <v>2018</v>
      </c>
      <c r="BA8" s="201">
        <v>22326.775358069899</v>
      </c>
      <c r="BB8" s="201"/>
      <c r="BC8" s="201"/>
      <c r="BD8" s="201" t="s">
        <v>49</v>
      </c>
      <c r="BE8" s="201">
        <v>294</v>
      </c>
      <c r="BF8" s="201" t="s">
        <v>278</v>
      </c>
      <c r="BG8" s="201">
        <v>1</v>
      </c>
      <c r="BH8" s="201" t="s">
        <v>279</v>
      </c>
      <c r="BI8" s="201">
        <v>2018</v>
      </c>
      <c r="BJ8" s="201">
        <v>18797.446623126201</v>
      </c>
      <c r="BK8" s="169"/>
      <c r="BL8" s="169"/>
      <c r="BM8" s="169"/>
      <c r="BN8" s="169"/>
      <c r="BO8" s="169"/>
      <c r="BP8" s="169"/>
      <c r="BQ8" s="169"/>
      <c r="BR8" s="169"/>
      <c r="BS8" s="169"/>
      <c r="BT8" s="169"/>
      <c r="BU8" s="169"/>
    </row>
    <row r="9" spans="1:73" ht="15.75" customHeight="1" x14ac:dyDescent="0.25">
      <c r="A9" s="13" t="s">
        <v>49</v>
      </c>
      <c r="B9" s="203">
        <v>1.0727323032802801E-3</v>
      </c>
      <c r="C9" s="203">
        <v>4.2927923081523728E-4</v>
      </c>
      <c r="D9" s="201">
        <v>1.2000000000000001E-3</v>
      </c>
      <c r="E9" s="14">
        <v>1.2000000000000001E-3</v>
      </c>
      <c r="F9" s="14">
        <v>4.7271555360917295E-4</v>
      </c>
      <c r="G9" s="14">
        <v>5.0000000000000001E-4</v>
      </c>
      <c r="H9" s="14">
        <v>2E-3</v>
      </c>
      <c r="I9" s="14">
        <v>5.0000000000000001E-4</v>
      </c>
      <c r="J9" s="14">
        <v>2E-3</v>
      </c>
      <c r="K9" s="14">
        <v>5.0000000000000001E-4</v>
      </c>
      <c r="L9" s="14">
        <v>0.01</v>
      </c>
      <c r="M9" s="14">
        <v>2E-3</v>
      </c>
      <c r="N9" s="14">
        <v>0.01</v>
      </c>
      <c r="O9" s="14">
        <v>2E-3</v>
      </c>
      <c r="P9" s="14">
        <v>8.9999999999999993E-3</v>
      </c>
      <c r="Q9" s="14">
        <v>2E-3</v>
      </c>
      <c r="R9" s="14">
        <v>8.0000000000000002E-3</v>
      </c>
      <c r="S9" s="14">
        <v>2E-3</v>
      </c>
      <c r="T9" s="14">
        <v>8.0000000000000002E-3</v>
      </c>
      <c r="U9" s="14">
        <v>2E-3</v>
      </c>
      <c r="V9" s="169"/>
      <c r="W9" s="169"/>
      <c r="X9" s="169"/>
      <c r="Y9" s="169"/>
      <c r="Z9" s="169"/>
      <c r="AA9" s="169"/>
      <c r="AB9" s="169"/>
      <c r="AC9" s="169"/>
      <c r="AD9" s="169"/>
      <c r="AE9" s="169"/>
      <c r="AF9" s="169"/>
      <c r="AG9" s="169"/>
      <c r="AH9" s="169"/>
      <c r="AI9" s="169"/>
      <c r="AJ9" s="203" t="s">
        <v>50</v>
      </c>
      <c r="AK9" s="201">
        <v>8782788.4159078896</v>
      </c>
      <c r="AL9" s="201">
        <v>8705530.3616814297</v>
      </c>
      <c r="AM9" s="203">
        <f t="shared" si="0"/>
        <v>17488318.777589321</v>
      </c>
      <c r="AN9" s="201">
        <v>22326.775358069899</v>
      </c>
      <c r="AO9" s="201">
        <v>4669.1238967639802</v>
      </c>
      <c r="AP9" s="201">
        <v>26995.899254833799</v>
      </c>
      <c r="AQ9" s="203">
        <f t="shared" si="1"/>
        <v>2.5421055706670976E-3</v>
      </c>
      <c r="AR9" s="203">
        <f t="shared" si="2"/>
        <v>5.3633997043026364E-4</v>
      </c>
      <c r="AS9" s="203">
        <f t="shared" si="3"/>
        <v>1.5436532006397388E-3</v>
      </c>
      <c r="AT9" s="201">
        <v>10</v>
      </c>
      <c r="AU9" s="201" t="s">
        <v>51</v>
      </c>
      <c r="AV9" s="201">
        <v>294</v>
      </c>
      <c r="AW9" s="201" t="s">
        <v>278</v>
      </c>
      <c r="AX9" s="201">
        <v>1</v>
      </c>
      <c r="AY9" s="201" t="s">
        <v>279</v>
      </c>
      <c r="AZ9" s="201">
        <v>2018</v>
      </c>
      <c r="BA9" s="201">
        <v>21079.5481190555</v>
      </c>
      <c r="BB9" s="201"/>
      <c r="BC9" s="201"/>
      <c r="BD9" s="201" t="s">
        <v>50</v>
      </c>
      <c r="BE9" s="201">
        <v>294</v>
      </c>
      <c r="BF9" s="201" t="s">
        <v>278</v>
      </c>
      <c r="BG9" s="201">
        <v>1</v>
      </c>
      <c r="BH9" s="201" t="s">
        <v>279</v>
      </c>
      <c r="BI9" s="201">
        <v>2018</v>
      </c>
      <c r="BJ9" s="201">
        <v>26995.899254833799</v>
      </c>
      <c r="BK9" s="169"/>
      <c r="BL9" s="169"/>
      <c r="BM9" s="169"/>
      <c r="BN9" s="169"/>
      <c r="BO9" s="169"/>
      <c r="BP9" s="169"/>
      <c r="BQ9" s="169"/>
      <c r="BR9" s="169"/>
      <c r="BS9" s="169"/>
      <c r="BT9" s="169"/>
      <c r="BU9" s="169"/>
    </row>
    <row r="10" spans="1:73" ht="15.75" customHeight="1" x14ac:dyDescent="0.25">
      <c r="A10" s="13" t="s">
        <v>50</v>
      </c>
      <c r="B10" s="203">
        <v>1.5092507747615702E-3</v>
      </c>
      <c r="C10" s="203">
        <v>5.3633997043026364E-4</v>
      </c>
      <c r="D10" s="201">
        <v>1.6000000000000001E-3</v>
      </c>
      <c r="E10" s="14">
        <v>1.6000000000000001E-3</v>
      </c>
      <c r="F10" s="14">
        <v>6.3522984511416101E-4</v>
      </c>
      <c r="G10" s="14">
        <v>5.9999999999999995E-4</v>
      </c>
      <c r="H10" s="14">
        <v>2E-3</v>
      </c>
      <c r="I10" s="14">
        <v>5.9999999999999995E-4</v>
      </c>
      <c r="J10" s="14">
        <v>3.0000000000000001E-3</v>
      </c>
      <c r="K10" s="14">
        <v>5.9999999999999995E-4</v>
      </c>
      <c r="L10" s="14">
        <v>1.4E-2</v>
      </c>
      <c r="M10" s="14">
        <v>3.0000000000000001E-3</v>
      </c>
      <c r="N10" s="14">
        <v>1.2999999999999999E-2</v>
      </c>
      <c r="O10" s="14">
        <v>3.0000000000000001E-3</v>
      </c>
      <c r="P10" s="14">
        <v>1.2999999999999999E-2</v>
      </c>
      <c r="Q10" s="14">
        <v>3.0000000000000001E-3</v>
      </c>
      <c r="R10" s="14">
        <v>1.2E-2</v>
      </c>
      <c r="S10" s="14">
        <v>3.0000000000000001E-3</v>
      </c>
      <c r="T10" s="14">
        <v>1.2999999999999999E-2</v>
      </c>
      <c r="U10" s="14">
        <v>3.0000000000000001E-3</v>
      </c>
      <c r="V10" s="15"/>
      <c r="W10" s="169"/>
      <c r="X10" s="169"/>
      <c r="Y10" s="169"/>
      <c r="Z10" s="169"/>
      <c r="AA10" s="169"/>
      <c r="AB10" s="169"/>
      <c r="AC10" s="169"/>
      <c r="AD10" s="169"/>
      <c r="AE10" s="169"/>
      <c r="AF10" s="169"/>
      <c r="AG10" s="169"/>
      <c r="AH10" s="169"/>
      <c r="AI10" s="169"/>
      <c r="AJ10" s="203" t="s">
        <v>51</v>
      </c>
      <c r="AK10" s="201">
        <v>8500337.1089886595</v>
      </c>
      <c r="AL10" s="201">
        <v>8697552.5899304301</v>
      </c>
      <c r="AM10" s="203">
        <f t="shared" si="0"/>
        <v>17197889.698919088</v>
      </c>
      <c r="AN10" s="201">
        <v>21079.5481190555</v>
      </c>
      <c r="AO10" s="201">
        <v>5458.81797078001</v>
      </c>
      <c r="AP10" s="201">
        <v>26538.366089835501</v>
      </c>
      <c r="AQ10" s="203">
        <f t="shared" si="1"/>
        <v>2.4798484870400006E-3</v>
      </c>
      <c r="AR10" s="203">
        <f t="shared" si="2"/>
        <v>6.2762690013509585E-4</v>
      </c>
      <c r="AS10" s="203">
        <f t="shared" si="3"/>
        <v>1.5431175891018464E-3</v>
      </c>
      <c r="AT10" s="201">
        <v>11</v>
      </c>
      <c r="AU10" s="201" t="s">
        <v>52</v>
      </c>
      <c r="AV10" s="201">
        <v>294</v>
      </c>
      <c r="AW10" s="201" t="s">
        <v>278</v>
      </c>
      <c r="AX10" s="201">
        <v>1</v>
      </c>
      <c r="AY10" s="201" t="s">
        <v>279</v>
      </c>
      <c r="AZ10" s="201">
        <v>2018</v>
      </c>
      <c r="BA10" s="201">
        <v>22403.600675361198</v>
      </c>
      <c r="BB10" s="201"/>
      <c r="BC10" s="201"/>
      <c r="BD10" s="201" t="s">
        <v>51</v>
      </c>
      <c r="BE10" s="201">
        <v>294</v>
      </c>
      <c r="BF10" s="201" t="s">
        <v>278</v>
      </c>
      <c r="BG10" s="201">
        <v>1</v>
      </c>
      <c r="BH10" s="201" t="s">
        <v>279</v>
      </c>
      <c r="BI10" s="201">
        <v>2018</v>
      </c>
      <c r="BJ10" s="201">
        <v>26538.366089835501</v>
      </c>
      <c r="BK10" s="169"/>
      <c r="BL10" s="169"/>
      <c r="BM10" s="169"/>
      <c r="BN10" s="169"/>
      <c r="BO10" s="169"/>
      <c r="BP10" s="169"/>
      <c r="BQ10" s="169"/>
      <c r="BR10" s="169"/>
      <c r="BS10" s="169"/>
      <c r="BT10" s="169"/>
      <c r="BU10" s="169"/>
    </row>
    <row r="11" spans="1:73" ht="15.75" customHeight="1" x14ac:dyDescent="0.25">
      <c r="A11" s="13" t="s">
        <v>51</v>
      </c>
      <c r="B11" s="203">
        <v>1.52921183836687E-3</v>
      </c>
      <c r="C11" s="203">
        <v>6.2762690013509585E-4</v>
      </c>
      <c r="D11" s="201">
        <v>1.6000000000000001E-3</v>
      </c>
      <c r="E11" s="14">
        <v>1.6000000000000001E-3</v>
      </c>
      <c r="F11" s="14">
        <v>7.74987439314089E-4</v>
      </c>
      <c r="G11" s="14">
        <v>6.9999999999999999E-4</v>
      </c>
      <c r="H11" s="14">
        <v>3.0000000000000001E-3</v>
      </c>
      <c r="I11" s="14">
        <v>6.9999999999999999E-4</v>
      </c>
      <c r="J11" s="14">
        <v>3.0000000000000001E-3</v>
      </c>
      <c r="K11" s="14">
        <v>8.0000000000000004E-4</v>
      </c>
      <c r="L11" s="14">
        <v>1.2E-2</v>
      </c>
      <c r="M11" s="14">
        <v>3.0000000000000001E-3</v>
      </c>
      <c r="N11" s="14">
        <v>1.2E-2</v>
      </c>
      <c r="O11" s="14">
        <v>3.0000000000000001E-3</v>
      </c>
      <c r="P11" s="14">
        <v>1.2999999999999999E-2</v>
      </c>
      <c r="Q11" s="14">
        <v>4.0000000000000001E-3</v>
      </c>
      <c r="R11" s="14">
        <v>1.2999999999999999E-2</v>
      </c>
      <c r="S11" s="14">
        <v>4.0000000000000001E-3</v>
      </c>
      <c r="T11" s="14">
        <v>1.4E-2</v>
      </c>
      <c r="U11" s="14">
        <v>4.0000000000000001E-3</v>
      </c>
      <c r="V11" s="15"/>
      <c r="W11" s="169"/>
      <c r="X11" s="169"/>
      <c r="Y11" s="169"/>
      <c r="Z11" s="169"/>
      <c r="AA11" s="169"/>
      <c r="AB11" s="169"/>
      <c r="AC11" s="169"/>
      <c r="AD11" s="169"/>
      <c r="AE11" s="169"/>
      <c r="AF11" s="169"/>
      <c r="AG11" s="169"/>
      <c r="AH11" s="169"/>
      <c r="AI11" s="169"/>
      <c r="AJ11" s="203" t="s">
        <v>52</v>
      </c>
      <c r="AK11" s="201">
        <v>8635778.9935305491</v>
      </c>
      <c r="AL11" s="201">
        <v>8974535.1172717996</v>
      </c>
      <c r="AM11" s="203">
        <f t="shared" si="0"/>
        <v>17610314.110802349</v>
      </c>
      <c r="AN11" s="201">
        <v>22403.600675361198</v>
      </c>
      <c r="AO11" s="201">
        <v>7680.1935559929698</v>
      </c>
      <c r="AP11" s="201">
        <v>30083.794231354201</v>
      </c>
      <c r="AQ11" s="203">
        <f t="shared" si="1"/>
        <v>2.5942767516566535E-3</v>
      </c>
      <c r="AR11" s="203">
        <f t="shared" si="2"/>
        <v>8.55776199617535E-4</v>
      </c>
      <c r="AS11" s="203">
        <f t="shared" si="3"/>
        <v>1.7083053738888446E-3</v>
      </c>
      <c r="AT11" s="201">
        <v>12</v>
      </c>
      <c r="AU11" s="201" t="s">
        <v>53</v>
      </c>
      <c r="AV11" s="201">
        <v>294</v>
      </c>
      <c r="AW11" s="201" t="s">
        <v>278</v>
      </c>
      <c r="AX11" s="201">
        <v>1</v>
      </c>
      <c r="AY11" s="201" t="s">
        <v>279</v>
      </c>
      <c r="AZ11" s="201">
        <v>2018</v>
      </c>
      <c r="BA11" s="201">
        <v>25275.606728036899</v>
      </c>
      <c r="BB11" s="201"/>
      <c r="BC11" s="201"/>
      <c r="BD11" s="201" t="s">
        <v>52</v>
      </c>
      <c r="BE11" s="201">
        <v>294</v>
      </c>
      <c r="BF11" s="201" t="s">
        <v>278</v>
      </c>
      <c r="BG11" s="201">
        <v>1</v>
      </c>
      <c r="BH11" s="201" t="s">
        <v>279</v>
      </c>
      <c r="BI11" s="201">
        <v>2018</v>
      </c>
      <c r="BJ11" s="201">
        <v>30083.794231354201</v>
      </c>
      <c r="BK11" s="169"/>
      <c r="BL11" s="169"/>
      <c r="BM11" s="169"/>
      <c r="BN11" s="169"/>
      <c r="BO11" s="169"/>
      <c r="BP11" s="169"/>
      <c r="BQ11" s="169"/>
      <c r="BR11" s="169"/>
      <c r="BS11" s="169"/>
      <c r="BT11" s="169"/>
      <c r="BU11" s="169"/>
    </row>
    <row r="12" spans="1:73" ht="15.75" customHeight="1" x14ac:dyDescent="0.25">
      <c r="A12" s="13" t="s">
        <v>52</v>
      </c>
      <c r="B12" s="203">
        <v>1.6998070121011198E-3</v>
      </c>
      <c r="C12" s="203">
        <v>8.55776199617535E-4</v>
      </c>
      <c r="D12" s="201">
        <v>1.6000000000000001E-3</v>
      </c>
      <c r="E12" s="14">
        <v>1.8E-3</v>
      </c>
      <c r="F12" s="14">
        <v>8.8818278992415002E-4</v>
      </c>
      <c r="G12" s="14">
        <v>1E-3</v>
      </c>
      <c r="H12" s="14">
        <v>3.0000000000000001E-3</v>
      </c>
      <c r="I12" s="14">
        <v>1E-3</v>
      </c>
      <c r="J12" s="14">
        <v>3.0000000000000001E-3</v>
      </c>
      <c r="K12" s="14">
        <v>1E-3</v>
      </c>
      <c r="L12" s="14">
        <v>1.2E-2</v>
      </c>
      <c r="M12" s="14">
        <v>4.0000000000000001E-3</v>
      </c>
      <c r="N12" s="14">
        <v>1.2999999999999999E-2</v>
      </c>
      <c r="O12" s="14">
        <v>4.0000000000000001E-3</v>
      </c>
      <c r="P12" s="14">
        <v>1.4E-2</v>
      </c>
      <c r="Q12" s="14">
        <v>5.0000000000000001E-3</v>
      </c>
      <c r="R12" s="14">
        <v>1.4E-2</v>
      </c>
      <c r="S12" s="14">
        <v>5.0000000000000001E-3</v>
      </c>
      <c r="T12" s="14">
        <v>1.4999999999999999E-2</v>
      </c>
      <c r="U12" s="14">
        <v>5.0000000000000001E-3</v>
      </c>
      <c r="V12" s="15"/>
      <c r="W12" s="169"/>
      <c r="X12" s="169"/>
      <c r="Y12" s="169"/>
      <c r="Z12" s="169"/>
      <c r="AA12" s="169"/>
      <c r="AB12" s="169"/>
      <c r="AC12" s="169"/>
      <c r="AD12" s="169"/>
      <c r="AE12" s="169"/>
      <c r="AF12" s="169"/>
      <c r="AG12" s="169"/>
      <c r="AH12" s="169"/>
      <c r="AI12" s="169"/>
      <c r="AJ12" s="203" t="s">
        <v>53</v>
      </c>
      <c r="AK12" s="201">
        <v>8468548.9243034292</v>
      </c>
      <c r="AL12" s="201">
        <v>8844454.7435366604</v>
      </c>
      <c r="AM12" s="203">
        <f t="shared" si="0"/>
        <v>17313003.66784009</v>
      </c>
      <c r="AN12" s="201">
        <v>25275.606728036899</v>
      </c>
      <c r="AO12" s="201">
        <v>10924.289319036799</v>
      </c>
      <c r="AP12" s="201">
        <v>36199.896047073802</v>
      </c>
      <c r="AQ12" s="203">
        <f t="shared" si="1"/>
        <v>2.9846443533554853E-3</v>
      </c>
      <c r="AR12" s="203">
        <f t="shared" si="2"/>
        <v>1.2351569017886646E-3</v>
      </c>
      <c r="AS12" s="203">
        <f t="shared" si="3"/>
        <v>2.0909078945276962E-3</v>
      </c>
      <c r="AT12" s="201">
        <v>13</v>
      </c>
      <c r="AU12" s="201" t="s">
        <v>54</v>
      </c>
      <c r="AV12" s="201">
        <v>294</v>
      </c>
      <c r="AW12" s="201" t="s">
        <v>278</v>
      </c>
      <c r="AX12" s="201">
        <v>1</v>
      </c>
      <c r="AY12" s="201" t="s">
        <v>279</v>
      </c>
      <c r="AZ12" s="201">
        <v>2018</v>
      </c>
      <c r="BA12" s="201">
        <v>28188.270046498299</v>
      </c>
      <c r="BB12" s="201"/>
      <c r="BC12" s="201"/>
      <c r="BD12" s="201" t="s">
        <v>53</v>
      </c>
      <c r="BE12" s="201">
        <v>294</v>
      </c>
      <c r="BF12" s="201" t="s">
        <v>278</v>
      </c>
      <c r="BG12" s="201">
        <v>1</v>
      </c>
      <c r="BH12" s="201" t="s">
        <v>279</v>
      </c>
      <c r="BI12" s="201">
        <v>2018</v>
      </c>
      <c r="BJ12" s="201">
        <v>36199.896047073802</v>
      </c>
      <c r="BK12" s="169"/>
      <c r="BL12" s="169"/>
      <c r="BM12" s="169"/>
      <c r="BN12" s="169"/>
      <c r="BO12" s="169"/>
      <c r="BP12" s="169"/>
      <c r="BQ12" s="169"/>
      <c r="BR12" s="169"/>
      <c r="BS12" s="169"/>
      <c r="BT12" s="169"/>
      <c r="BU12" s="169"/>
    </row>
    <row r="13" spans="1:73" ht="15.75" customHeight="1" x14ac:dyDescent="0.25">
      <c r="A13" s="13" t="s">
        <v>53</v>
      </c>
      <c r="B13" s="203">
        <v>2.08107395410604E-3</v>
      </c>
      <c r="C13" s="203">
        <v>1.2351569017886646E-3</v>
      </c>
      <c r="D13" s="201">
        <v>2E-3</v>
      </c>
      <c r="E13" s="14">
        <v>2.1999999999999997E-3</v>
      </c>
      <c r="F13" s="14">
        <v>1.1997219047952901E-3</v>
      </c>
      <c r="G13" s="14">
        <v>1E-3</v>
      </c>
      <c r="H13" s="14">
        <v>3.0000000000000001E-3</v>
      </c>
      <c r="I13" s="14">
        <v>1E-3</v>
      </c>
      <c r="J13" s="14">
        <v>4.0000000000000001E-3</v>
      </c>
      <c r="K13" s="14">
        <v>2E-3</v>
      </c>
      <c r="L13" s="14">
        <v>1.4E-2</v>
      </c>
      <c r="M13" s="14">
        <v>6.0000000000000001E-3</v>
      </c>
      <c r="N13" s="14">
        <v>1.4999999999999999E-2</v>
      </c>
      <c r="O13" s="14">
        <v>6.0000000000000001E-3</v>
      </c>
      <c r="P13" s="14">
        <v>1.6E-2</v>
      </c>
      <c r="Q13" s="14">
        <v>7.0000000000000001E-3</v>
      </c>
      <c r="R13" s="14">
        <v>1.7000000000000001E-2</v>
      </c>
      <c r="S13" s="14">
        <v>7.0000000000000001E-3</v>
      </c>
      <c r="T13" s="14">
        <v>1.9E-2</v>
      </c>
      <c r="U13" s="14">
        <v>8.0000000000000002E-3</v>
      </c>
      <c r="V13" s="15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203" t="s">
        <v>54</v>
      </c>
      <c r="AK13" s="201">
        <v>7417192.4046584396</v>
      </c>
      <c r="AL13" s="201">
        <v>7853584.1779443696</v>
      </c>
      <c r="AM13" s="203">
        <f t="shared" si="0"/>
        <v>15270776.58260281</v>
      </c>
      <c r="AN13" s="201">
        <v>28188.270046498299</v>
      </c>
      <c r="AO13" s="201">
        <v>13912.761183926599</v>
      </c>
      <c r="AP13" s="201">
        <v>42101.031230425098</v>
      </c>
      <c r="AQ13" s="203">
        <f t="shared" si="1"/>
        <v>3.8003962292786665E-3</v>
      </c>
      <c r="AR13" s="203">
        <f t="shared" si="2"/>
        <v>1.7715174204153224E-3</v>
      </c>
      <c r="AS13" s="203">
        <f t="shared" si="3"/>
        <v>2.7569672703082163E-3</v>
      </c>
      <c r="AT13" s="201">
        <v>14</v>
      </c>
      <c r="AU13" s="201" t="s">
        <v>55</v>
      </c>
      <c r="AV13" s="201">
        <v>294</v>
      </c>
      <c r="AW13" s="201" t="s">
        <v>278</v>
      </c>
      <c r="AX13" s="201">
        <v>1</v>
      </c>
      <c r="AY13" s="201" t="s">
        <v>279</v>
      </c>
      <c r="AZ13" s="201">
        <v>2018</v>
      </c>
      <c r="BA13" s="201">
        <v>34276.933301627701</v>
      </c>
      <c r="BB13" s="201"/>
      <c r="BC13" s="201"/>
      <c r="BD13" s="201" t="s">
        <v>54</v>
      </c>
      <c r="BE13" s="201">
        <v>294</v>
      </c>
      <c r="BF13" s="201" t="s">
        <v>278</v>
      </c>
      <c r="BG13" s="201">
        <v>1</v>
      </c>
      <c r="BH13" s="201" t="s">
        <v>279</v>
      </c>
      <c r="BI13" s="201">
        <v>2018</v>
      </c>
      <c r="BJ13" s="201">
        <v>42101.031230425098</v>
      </c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</row>
    <row r="14" spans="1:73" ht="15.75" customHeight="1" x14ac:dyDescent="0.25">
      <c r="A14" s="13" t="s">
        <v>54</v>
      </c>
      <c r="B14" s="203">
        <v>2.7561587784635301E-3</v>
      </c>
      <c r="C14" s="203">
        <v>1.7715174204153224E-3</v>
      </c>
      <c r="D14" s="201">
        <v>2.5999999999999999E-3</v>
      </c>
      <c r="E14" s="14">
        <v>2.8E-3</v>
      </c>
      <c r="F14" s="14">
        <v>1.6235477379305601E-3</v>
      </c>
      <c r="G14" s="14">
        <v>2E-3</v>
      </c>
      <c r="H14" s="14">
        <v>4.0000000000000001E-3</v>
      </c>
      <c r="I14" s="14">
        <v>2E-3</v>
      </c>
      <c r="J14" s="14">
        <v>5.0000000000000001E-3</v>
      </c>
      <c r="K14" s="14">
        <v>2E-3</v>
      </c>
      <c r="L14" s="14">
        <v>1.7000000000000001E-2</v>
      </c>
      <c r="M14" s="14">
        <v>8.9999999999999993E-3</v>
      </c>
      <c r="N14" s="14">
        <v>1.9E-2</v>
      </c>
      <c r="O14" s="14">
        <v>8.9999999999999993E-3</v>
      </c>
      <c r="P14" s="14">
        <v>2.1000000000000001E-2</v>
      </c>
      <c r="Q14" s="14">
        <v>0.01</v>
      </c>
      <c r="R14" s="14">
        <v>2.1999999999999999E-2</v>
      </c>
      <c r="S14" s="14">
        <v>0.01</v>
      </c>
      <c r="T14" s="14">
        <v>2.5000000000000001E-2</v>
      </c>
      <c r="U14" s="14">
        <v>1.2E-2</v>
      </c>
      <c r="V14" s="15"/>
      <c r="W14" s="169"/>
      <c r="X14" s="169"/>
      <c r="Y14" s="169"/>
      <c r="Z14" s="169"/>
      <c r="AA14" s="169"/>
      <c r="AB14" s="169"/>
      <c r="AC14" s="169"/>
      <c r="AD14" s="169"/>
      <c r="AE14" s="169"/>
      <c r="AF14" s="169"/>
      <c r="AG14" s="169"/>
      <c r="AH14" s="169"/>
      <c r="AI14" s="169"/>
      <c r="AJ14" s="203" t="s">
        <v>55</v>
      </c>
      <c r="AK14" s="201">
        <v>6525191.7896460099</v>
      </c>
      <c r="AL14" s="201">
        <v>6945509.3971853796</v>
      </c>
      <c r="AM14" s="203">
        <f t="shared" si="0"/>
        <v>13470701.186831389</v>
      </c>
      <c r="AN14" s="201">
        <v>34276.933301627701</v>
      </c>
      <c r="AO14" s="201">
        <v>18566.4493424018</v>
      </c>
      <c r="AP14" s="201">
        <v>52843.382644029603</v>
      </c>
      <c r="AQ14" s="203">
        <f t="shared" si="1"/>
        <v>5.2530154525139584E-3</v>
      </c>
      <c r="AR14" s="203">
        <f t="shared" si="2"/>
        <v>2.6731587678688806E-3</v>
      </c>
      <c r="AS14" s="203">
        <f t="shared" si="3"/>
        <v>3.9228383074585557E-3</v>
      </c>
      <c r="AT14" s="201">
        <v>15</v>
      </c>
      <c r="AU14" s="201" t="s">
        <v>56</v>
      </c>
      <c r="AV14" s="201">
        <v>294</v>
      </c>
      <c r="AW14" s="201" t="s">
        <v>278</v>
      </c>
      <c r="AX14" s="201">
        <v>1</v>
      </c>
      <c r="AY14" s="201" t="s">
        <v>279</v>
      </c>
      <c r="AZ14" s="201">
        <v>2018</v>
      </c>
      <c r="BA14" s="201">
        <v>45077.756076455502</v>
      </c>
      <c r="BB14" s="201"/>
      <c r="BC14" s="201"/>
      <c r="BD14" s="201" t="s">
        <v>55</v>
      </c>
      <c r="BE14" s="201">
        <v>294</v>
      </c>
      <c r="BF14" s="201" t="s">
        <v>278</v>
      </c>
      <c r="BG14" s="201">
        <v>1</v>
      </c>
      <c r="BH14" s="201" t="s">
        <v>279</v>
      </c>
      <c r="BI14" s="201">
        <v>2018</v>
      </c>
      <c r="BJ14" s="201">
        <v>52843.382644029603</v>
      </c>
      <c r="BK14" s="169"/>
      <c r="BL14" s="169"/>
      <c r="BM14" s="169"/>
      <c r="BN14" s="169"/>
      <c r="BO14" s="169"/>
      <c r="BP14" s="169"/>
      <c r="BQ14" s="169"/>
      <c r="BR14" s="169"/>
      <c r="BS14" s="169"/>
      <c r="BT14" s="169"/>
      <c r="BU14" s="169"/>
    </row>
    <row r="15" spans="1:73" ht="15.75" customHeight="1" x14ac:dyDescent="0.25">
      <c r="A15" s="13" t="s">
        <v>55</v>
      </c>
      <c r="B15" s="203">
        <v>3.90739272185833E-3</v>
      </c>
      <c r="C15" s="203">
        <v>2.6731587678688806E-3</v>
      </c>
      <c r="D15" s="201">
        <v>3.5999999999999999E-3</v>
      </c>
      <c r="E15" s="14">
        <v>3.8E-3</v>
      </c>
      <c r="F15" s="14">
        <v>2.4974481433627802E-3</v>
      </c>
      <c r="G15" s="14">
        <v>3.0000000000000001E-3</v>
      </c>
      <c r="H15" s="14">
        <v>6.0000000000000001E-3</v>
      </c>
      <c r="I15" s="14">
        <v>3.0000000000000001E-3</v>
      </c>
      <c r="J15" s="14">
        <v>7.0000000000000001E-3</v>
      </c>
      <c r="K15" s="14">
        <v>3.0000000000000001E-3</v>
      </c>
      <c r="L15" s="14">
        <v>2.4E-2</v>
      </c>
      <c r="M15" s="14">
        <v>1.2999999999999999E-2</v>
      </c>
      <c r="N15" s="14">
        <v>2.5999999999999999E-2</v>
      </c>
      <c r="O15" s="14">
        <v>1.2999999999999999E-2</v>
      </c>
      <c r="P15" s="14">
        <v>2.8000000000000001E-2</v>
      </c>
      <c r="Q15" s="14">
        <v>1.4999999999999999E-2</v>
      </c>
      <c r="R15" s="14">
        <v>3.1E-2</v>
      </c>
      <c r="S15" s="14">
        <v>1.6E-2</v>
      </c>
      <c r="T15" s="14">
        <v>3.3000000000000002E-2</v>
      </c>
      <c r="U15" s="14">
        <v>1.7000000000000001E-2</v>
      </c>
      <c r="V15" s="15"/>
      <c r="W15" s="169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203" t="s">
        <v>56</v>
      </c>
      <c r="AK15" s="201">
        <v>5986507.8143200995</v>
      </c>
      <c r="AL15" s="201">
        <v>6540066.2346623298</v>
      </c>
      <c r="AM15" s="203">
        <f t="shared" si="0"/>
        <v>12526574.04898243</v>
      </c>
      <c r="AN15" s="201">
        <v>45077.756076455502</v>
      </c>
      <c r="AO15" s="201">
        <v>25903.4773840659</v>
      </c>
      <c r="AP15" s="201">
        <v>70981.2334605215</v>
      </c>
      <c r="AQ15" s="203">
        <f t="shared" si="1"/>
        <v>7.5298917957856331E-3</v>
      </c>
      <c r="AR15" s="203">
        <f t="shared" si="2"/>
        <v>3.9607362455715747E-3</v>
      </c>
      <c r="AS15" s="203">
        <f t="shared" si="3"/>
        <v>5.6664522305113034E-3</v>
      </c>
      <c r="AT15" s="201">
        <v>16</v>
      </c>
      <c r="AU15" s="201" t="s">
        <v>57</v>
      </c>
      <c r="AV15" s="201">
        <v>294</v>
      </c>
      <c r="AW15" s="201" t="s">
        <v>278</v>
      </c>
      <c r="AX15" s="201">
        <v>1</v>
      </c>
      <c r="AY15" s="201" t="s">
        <v>279</v>
      </c>
      <c r="AZ15" s="201">
        <v>2018</v>
      </c>
      <c r="BA15" s="201">
        <v>56654.046701097002</v>
      </c>
      <c r="BB15" s="201"/>
      <c r="BC15" s="201"/>
      <c r="BD15" s="201" t="s">
        <v>56</v>
      </c>
      <c r="BE15" s="201">
        <v>294</v>
      </c>
      <c r="BF15" s="201" t="s">
        <v>278</v>
      </c>
      <c r="BG15" s="201">
        <v>1</v>
      </c>
      <c r="BH15" s="201" t="s">
        <v>279</v>
      </c>
      <c r="BI15" s="201">
        <v>2018</v>
      </c>
      <c r="BJ15" s="201">
        <v>70981.2334605215</v>
      </c>
      <c r="BK15" s="169"/>
      <c r="BL15" s="169"/>
      <c r="BM15" s="169"/>
      <c r="BN15" s="169"/>
      <c r="BO15" s="169"/>
      <c r="BP15" s="169"/>
      <c r="BQ15" s="169"/>
      <c r="BR15" s="169"/>
      <c r="BS15" s="169"/>
      <c r="BT15" s="169"/>
      <c r="BU15" s="17"/>
    </row>
    <row r="16" spans="1:73" ht="15.75" customHeight="1" x14ac:dyDescent="0.25">
      <c r="A16" s="13" t="s">
        <v>56</v>
      </c>
      <c r="B16" s="203">
        <v>5.6419522378638003E-3</v>
      </c>
      <c r="C16" s="203">
        <v>3.9607362455715747E-3</v>
      </c>
      <c r="D16" s="201">
        <v>5.1999999999999998E-3</v>
      </c>
      <c r="E16" s="14">
        <v>5.5999999999999999E-3</v>
      </c>
      <c r="F16" s="14">
        <v>3.77095999900869E-3</v>
      </c>
      <c r="G16" s="14">
        <v>4.0000000000000001E-3</v>
      </c>
      <c r="H16" s="14">
        <v>8.9999999999999993E-3</v>
      </c>
      <c r="I16" s="14">
        <v>5.0000000000000001E-3</v>
      </c>
      <c r="J16" s="14">
        <v>8.9999999999999993E-3</v>
      </c>
      <c r="K16" s="14">
        <v>5.0000000000000001E-3</v>
      </c>
      <c r="L16" s="14">
        <v>3.4000000000000002E-2</v>
      </c>
      <c r="M16" s="14">
        <v>1.9E-2</v>
      </c>
      <c r="N16" s="14">
        <v>3.6999999999999998E-2</v>
      </c>
      <c r="O16" s="14">
        <v>0.02</v>
      </c>
      <c r="P16" s="14">
        <v>4.1000000000000002E-2</v>
      </c>
      <c r="Q16" s="14">
        <v>2.1999999999999999E-2</v>
      </c>
      <c r="R16" s="14">
        <v>4.2000000000000003E-2</v>
      </c>
      <c r="S16" s="14">
        <v>2.1999999999999999E-2</v>
      </c>
      <c r="T16" s="14">
        <v>4.5999999999999999E-2</v>
      </c>
      <c r="U16" s="14">
        <v>2.5000000000000001E-2</v>
      </c>
      <c r="V16" s="15"/>
      <c r="W16" s="169"/>
      <c r="X16" s="169"/>
      <c r="Y16" s="169"/>
      <c r="Z16" s="169"/>
      <c r="AA16" s="169"/>
      <c r="AB16" s="169"/>
      <c r="AC16" s="169"/>
      <c r="AD16" s="169"/>
      <c r="AE16" s="169"/>
      <c r="AF16" s="169"/>
      <c r="AG16" s="169"/>
      <c r="AH16" s="169"/>
      <c r="AI16" s="169"/>
      <c r="AJ16" s="203" t="s">
        <v>57</v>
      </c>
      <c r="AK16" s="201">
        <v>5151140.08142085</v>
      </c>
      <c r="AL16" s="201">
        <v>5779335.2085088901</v>
      </c>
      <c r="AM16" s="203">
        <f t="shared" si="0"/>
        <v>10930475.28992974</v>
      </c>
      <c r="AN16" s="201">
        <v>56654.046701097002</v>
      </c>
      <c r="AO16" s="201">
        <v>34430.949127616899</v>
      </c>
      <c r="AP16" s="201">
        <v>91084.995828714003</v>
      </c>
      <c r="AQ16" s="203">
        <f t="shared" si="1"/>
        <v>1.0998351006884285E-2</v>
      </c>
      <c r="AR16" s="203">
        <f t="shared" si="2"/>
        <v>5.9575968317124714E-3</v>
      </c>
      <c r="AS16" s="203">
        <f t="shared" si="3"/>
        <v>8.3331230722080967E-3</v>
      </c>
      <c r="AT16" s="201">
        <v>17</v>
      </c>
      <c r="AU16" s="201" t="s">
        <v>58</v>
      </c>
      <c r="AV16" s="201">
        <v>294</v>
      </c>
      <c r="AW16" s="201" t="s">
        <v>278</v>
      </c>
      <c r="AX16" s="201">
        <v>1</v>
      </c>
      <c r="AY16" s="201" t="s">
        <v>279</v>
      </c>
      <c r="AZ16" s="201">
        <v>2018</v>
      </c>
      <c r="BA16" s="201">
        <v>65575.341667882298</v>
      </c>
      <c r="BB16" s="201"/>
      <c r="BC16" s="201"/>
      <c r="BD16" s="201" t="s">
        <v>57</v>
      </c>
      <c r="BE16" s="201">
        <v>294</v>
      </c>
      <c r="BF16" s="201" t="s">
        <v>278</v>
      </c>
      <c r="BG16" s="201">
        <v>1</v>
      </c>
      <c r="BH16" s="201" t="s">
        <v>279</v>
      </c>
      <c r="BI16" s="201">
        <v>2018</v>
      </c>
      <c r="BJ16" s="201">
        <v>91084.995828714003</v>
      </c>
      <c r="BK16" s="169"/>
      <c r="BL16" s="169"/>
      <c r="BM16" s="169"/>
      <c r="BN16" s="18"/>
      <c r="BO16" s="169"/>
      <c r="BP16" s="169"/>
      <c r="BQ16" s="169"/>
      <c r="BR16" s="169"/>
      <c r="BS16" s="169"/>
      <c r="BT16" s="18"/>
      <c r="BU16" s="169"/>
    </row>
    <row r="17" spans="1:73" ht="15.75" customHeight="1" x14ac:dyDescent="0.25">
      <c r="A17" s="13" t="s">
        <v>57</v>
      </c>
      <c r="B17" s="203">
        <v>8.2629236691203096E-3</v>
      </c>
      <c r="C17" s="203">
        <v>5.9575968317124714E-3</v>
      </c>
      <c r="D17" s="201">
        <v>7.7999999999999996E-3</v>
      </c>
      <c r="E17" s="14">
        <v>8.2000000000000007E-3</v>
      </c>
      <c r="F17" s="14">
        <v>5.87214215777262E-3</v>
      </c>
      <c r="G17" s="14">
        <v>6.0000000000000001E-3</v>
      </c>
      <c r="H17" s="14">
        <v>1.2E-2</v>
      </c>
      <c r="I17" s="14">
        <v>7.0000000000000001E-3</v>
      </c>
      <c r="J17" s="14">
        <v>1.4E-2</v>
      </c>
      <c r="K17" s="14">
        <v>8.0000000000000002E-3</v>
      </c>
      <c r="L17" s="14">
        <v>0.05</v>
      </c>
      <c r="M17" s="14">
        <v>2.8000000000000001E-2</v>
      </c>
      <c r="N17" s="14">
        <v>5.3999999999999999E-2</v>
      </c>
      <c r="O17" s="14">
        <v>0.03</v>
      </c>
      <c r="P17" s="14">
        <v>5.7000000000000002E-2</v>
      </c>
      <c r="Q17" s="14">
        <v>3.1E-2</v>
      </c>
      <c r="R17" s="14">
        <v>0.06</v>
      </c>
      <c r="S17" s="14">
        <v>3.3000000000000002E-2</v>
      </c>
      <c r="T17" s="14">
        <v>6.6000000000000003E-2</v>
      </c>
      <c r="U17" s="14">
        <v>3.6999999999999998E-2</v>
      </c>
      <c r="V17" s="15"/>
      <c r="W17" s="169"/>
      <c r="X17" s="169"/>
      <c r="Y17" s="169"/>
      <c r="Z17" s="169"/>
      <c r="AA17" s="169"/>
      <c r="AB17" s="169"/>
      <c r="AC17" s="169"/>
      <c r="AD17" s="169"/>
      <c r="AE17" s="169"/>
      <c r="AF17" s="169"/>
      <c r="AG17" s="169"/>
      <c r="AH17" s="169"/>
      <c r="AI17" s="169"/>
      <c r="AJ17" s="203" t="s">
        <v>58</v>
      </c>
      <c r="AK17" s="201">
        <v>4135112.4084663498</v>
      </c>
      <c r="AL17" s="201">
        <v>4799491.9843672104</v>
      </c>
      <c r="AM17" s="203">
        <f t="shared" si="0"/>
        <v>8934604.3928335607</v>
      </c>
      <c r="AN17" s="201">
        <v>65575.341667882298</v>
      </c>
      <c r="AO17" s="201">
        <v>43624.184537253401</v>
      </c>
      <c r="AP17" s="201">
        <v>109199.526205135</v>
      </c>
      <c r="AQ17" s="203">
        <f t="shared" si="1"/>
        <v>1.585817631792099E-2</v>
      </c>
      <c r="AR17" s="203">
        <f t="shared" si="2"/>
        <v>9.0893337626867677E-3</v>
      </c>
      <c r="AS17" s="203">
        <f t="shared" si="3"/>
        <v>1.2222088567539023E-2</v>
      </c>
      <c r="AT17" s="201">
        <v>18</v>
      </c>
      <c r="AU17" s="201" t="s">
        <v>59</v>
      </c>
      <c r="AV17" s="201">
        <v>294</v>
      </c>
      <c r="AW17" s="201" t="s">
        <v>278</v>
      </c>
      <c r="AX17" s="201">
        <v>1</v>
      </c>
      <c r="AY17" s="201" t="s">
        <v>279</v>
      </c>
      <c r="AZ17" s="201">
        <v>2018</v>
      </c>
      <c r="BA17" s="201">
        <v>72496.745417217098</v>
      </c>
      <c r="BB17" s="201"/>
      <c r="BC17" s="201"/>
      <c r="BD17" s="201" t="s">
        <v>58</v>
      </c>
      <c r="BE17" s="201">
        <v>294</v>
      </c>
      <c r="BF17" s="201" t="s">
        <v>278</v>
      </c>
      <c r="BG17" s="201">
        <v>1</v>
      </c>
      <c r="BH17" s="201" t="s">
        <v>279</v>
      </c>
      <c r="BI17" s="201">
        <v>2018</v>
      </c>
      <c r="BJ17" s="201">
        <v>109199.526205135</v>
      </c>
      <c r="BK17" s="169"/>
      <c r="BL17" s="169"/>
      <c r="BM17" s="169"/>
      <c r="BN17" s="169"/>
      <c r="BO17" s="169"/>
      <c r="BP17" s="169"/>
      <c r="BQ17" s="17"/>
      <c r="BR17" s="17"/>
      <c r="BS17" s="169"/>
      <c r="BT17" s="169"/>
      <c r="BU17" s="169"/>
    </row>
    <row r="18" spans="1:73" ht="15.75" customHeight="1" x14ac:dyDescent="0.25">
      <c r="A18" s="13" t="s">
        <v>58</v>
      </c>
      <c r="B18" s="203">
        <v>1.20921867957624E-2</v>
      </c>
      <c r="C18" s="203">
        <v>9.0893337626867677E-3</v>
      </c>
      <c r="D18" s="201">
        <v>1.1600000000000001E-2</v>
      </c>
      <c r="E18" s="14">
        <v>1.2E-2</v>
      </c>
      <c r="F18" s="14">
        <v>9.0959459230860098E-3</v>
      </c>
      <c r="G18" s="14">
        <v>0.01</v>
      </c>
      <c r="H18" s="14">
        <v>1.7999999999999999E-2</v>
      </c>
      <c r="I18" s="14">
        <v>0.01</v>
      </c>
      <c r="J18" s="14">
        <v>0.02</v>
      </c>
      <c r="K18" s="14">
        <v>1.2E-2</v>
      </c>
      <c r="L18" s="14">
        <v>7.4999999999999997E-2</v>
      </c>
      <c r="M18" s="14">
        <v>4.2999999999999997E-2</v>
      </c>
      <c r="N18" s="14">
        <v>7.5999999999999998E-2</v>
      </c>
      <c r="O18" s="14">
        <v>4.3999999999999997E-2</v>
      </c>
      <c r="P18" s="14">
        <v>8.2000000000000003E-2</v>
      </c>
      <c r="Q18" s="14">
        <v>4.7E-2</v>
      </c>
      <c r="R18" s="14">
        <v>8.5999999999999993E-2</v>
      </c>
      <c r="S18" s="14">
        <v>0.05</v>
      </c>
      <c r="T18" s="14">
        <v>9.4E-2</v>
      </c>
      <c r="U18" s="14">
        <v>5.7000000000000002E-2</v>
      </c>
      <c r="V18" s="169"/>
      <c r="W18" s="169"/>
      <c r="X18" s="169"/>
      <c r="Y18" s="169"/>
      <c r="Z18" s="169"/>
      <c r="AA18" s="169"/>
      <c r="AB18" s="169"/>
      <c r="AC18" s="169"/>
      <c r="AD18" s="169"/>
      <c r="AE18" s="169"/>
      <c r="AF18" s="169"/>
      <c r="AG18" s="169"/>
      <c r="AH18" s="169"/>
      <c r="AI18" s="169"/>
      <c r="AJ18" s="203" t="s">
        <v>59</v>
      </c>
      <c r="AK18" s="201">
        <v>3188412.4109878899</v>
      </c>
      <c r="AL18" s="201">
        <v>3762680.3890207601</v>
      </c>
      <c r="AM18" s="203">
        <f t="shared" si="0"/>
        <v>6951092.8000086499</v>
      </c>
      <c r="AN18" s="201">
        <v>72496.745417217098</v>
      </c>
      <c r="AO18" s="201">
        <v>51705.517693012902</v>
      </c>
      <c r="AP18" s="201">
        <v>124202.26311022999</v>
      </c>
      <c r="AQ18" s="203">
        <f t="shared" si="1"/>
        <v>2.273756844233174E-2</v>
      </c>
      <c r="AR18" s="203">
        <f t="shared" si="2"/>
        <v>1.374167145418091E-2</v>
      </c>
      <c r="AS18" s="203">
        <f t="shared" si="3"/>
        <v>1.7868019703330018E-2</v>
      </c>
      <c r="AT18" s="201">
        <v>19</v>
      </c>
      <c r="AU18" s="201" t="s">
        <v>60</v>
      </c>
      <c r="AV18" s="201">
        <v>294</v>
      </c>
      <c r="AW18" s="201" t="s">
        <v>278</v>
      </c>
      <c r="AX18" s="201">
        <v>1</v>
      </c>
      <c r="AY18" s="201" t="s">
        <v>279</v>
      </c>
      <c r="AZ18" s="201">
        <v>2018</v>
      </c>
      <c r="BA18" s="201">
        <v>75858.986650424602</v>
      </c>
      <c r="BB18" s="201"/>
      <c r="BC18" s="201"/>
      <c r="BD18" s="201" t="s">
        <v>59</v>
      </c>
      <c r="BE18" s="201">
        <v>294</v>
      </c>
      <c r="BF18" s="201" t="s">
        <v>278</v>
      </c>
      <c r="BG18" s="201">
        <v>1</v>
      </c>
      <c r="BH18" s="201" t="s">
        <v>279</v>
      </c>
      <c r="BI18" s="201">
        <v>2018</v>
      </c>
      <c r="BJ18" s="201">
        <v>124202.26311022999</v>
      </c>
      <c r="BK18" s="169"/>
      <c r="BL18" s="18"/>
      <c r="BM18" s="169"/>
      <c r="BN18" s="169"/>
      <c r="BO18" s="169"/>
      <c r="BP18" s="169"/>
      <c r="BQ18" s="17"/>
      <c r="BR18" s="169"/>
      <c r="BS18" s="169"/>
      <c r="BT18" s="169"/>
      <c r="BU18" s="169"/>
    </row>
    <row r="19" spans="1:73" ht="15.75" customHeight="1" x14ac:dyDescent="0.25">
      <c r="A19" s="13" t="s">
        <v>59</v>
      </c>
      <c r="B19" s="203">
        <v>1.7797088612383199E-2</v>
      </c>
      <c r="C19" s="203">
        <v>1.374167145418091E-2</v>
      </c>
      <c r="D19" s="201">
        <v>1.7000000000000001E-2</v>
      </c>
      <c r="E19" s="14">
        <v>1.78E-2</v>
      </c>
      <c r="F19" s="14">
        <v>1.49451647696129E-2</v>
      </c>
      <c r="G19" s="14">
        <v>1.4999999999999999E-2</v>
      </c>
      <c r="H19" s="14">
        <v>2.7E-2</v>
      </c>
      <c r="I19" s="14">
        <v>1.6E-2</v>
      </c>
      <c r="J19" s="14">
        <v>0.03</v>
      </c>
      <c r="K19" s="14">
        <v>1.7999999999999999E-2</v>
      </c>
      <c r="L19" s="14">
        <v>0.11</v>
      </c>
      <c r="M19" s="14">
        <v>6.5000000000000002E-2</v>
      </c>
      <c r="N19" s="14">
        <v>0.11</v>
      </c>
      <c r="O19" s="14">
        <v>6.9000000000000006E-2</v>
      </c>
      <c r="P19" s="14">
        <v>0.12</v>
      </c>
      <c r="Q19" s="14">
        <v>7.3999999999999996E-2</v>
      </c>
      <c r="R19" s="14">
        <v>0.12</v>
      </c>
      <c r="S19" s="14">
        <v>7.6999999999999999E-2</v>
      </c>
      <c r="T19" s="14">
        <v>0.14000000000000001</v>
      </c>
      <c r="U19" s="14">
        <v>8.6999999999999994E-2</v>
      </c>
      <c r="V19" s="169"/>
      <c r="W19" s="169"/>
      <c r="X19" s="169"/>
      <c r="Y19" s="169"/>
      <c r="Z19" s="169"/>
      <c r="AA19" s="169"/>
      <c r="AB19" s="169"/>
      <c r="AC19" s="169"/>
      <c r="AD19" s="169"/>
      <c r="AE19" s="169"/>
      <c r="AF19" s="169"/>
      <c r="AG19" s="169"/>
      <c r="AH19" s="169"/>
      <c r="AI19" s="169"/>
      <c r="AJ19" s="203" t="s">
        <v>60</v>
      </c>
      <c r="AK19" s="201">
        <v>2233566.6948191798</v>
      </c>
      <c r="AL19" s="201">
        <v>2762435.7915038802</v>
      </c>
      <c r="AM19" s="203">
        <f t="shared" si="0"/>
        <v>4996002.4863230605</v>
      </c>
      <c r="AN19" s="201">
        <v>75858.986650424602</v>
      </c>
      <c r="AO19" s="201">
        <v>60016.490160800699</v>
      </c>
      <c r="AP19" s="201">
        <v>135875.476811225</v>
      </c>
      <c r="AQ19" s="203">
        <f t="shared" si="1"/>
        <v>3.3963161622342253E-2</v>
      </c>
      <c r="AR19" s="203">
        <f t="shared" si="2"/>
        <v>2.1725931276081353E-2</v>
      </c>
      <c r="AS19" s="203">
        <f t="shared" si="3"/>
        <v>2.7196839309666983E-2</v>
      </c>
      <c r="AT19" s="201">
        <v>20</v>
      </c>
      <c r="AU19" s="201" t="s">
        <v>61</v>
      </c>
      <c r="AV19" s="201">
        <v>294</v>
      </c>
      <c r="AW19" s="201" t="s">
        <v>278</v>
      </c>
      <c r="AX19" s="201">
        <v>1</v>
      </c>
      <c r="AY19" s="201" t="s">
        <v>279</v>
      </c>
      <c r="AZ19" s="201">
        <v>2018</v>
      </c>
      <c r="BA19" s="201">
        <v>76557.472604900104</v>
      </c>
      <c r="BB19" s="201"/>
      <c r="BC19" s="201"/>
      <c r="BD19" s="201" t="s">
        <v>60</v>
      </c>
      <c r="BE19" s="201">
        <v>294</v>
      </c>
      <c r="BF19" s="201" t="s">
        <v>278</v>
      </c>
      <c r="BG19" s="201">
        <v>1</v>
      </c>
      <c r="BH19" s="201" t="s">
        <v>279</v>
      </c>
      <c r="BI19" s="201">
        <v>2018</v>
      </c>
      <c r="BJ19" s="201">
        <v>135875.476811225</v>
      </c>
      <c r="BK19" s="169"/>
      <c r="BL19" s="169"/>
      <c r="BM19" s="169"/>
      <c r="BN19" s="169"/>
      <c r="BO19" s="169"/>
      <c r="BP19" s="18"/>
      <c r="BQ19" s="169"/>
      <c r="BR19" s="18"/>
      <c r="BS19" s="169"/>
      <c r="BT19" s="18"/>
      <c r="BU19" s="169"/>
    </row>
    <row r="20" spans="1:73" ht="15.75" customHeight="1" x14ac:dyDescent="0.25">
      <c r="A20" s="13" t="s">
        <v>60</v>
      </c>
      <c r="B20" s="203">
        <v>2.70515096799058E-2</v>
      </c>
      <c r="C20" s="203">
        <v>2.1725931276081353E-2</v>
      </c>
      <c r="D20" s="201">
        <v>2.6000000000000002E-2</v>
      </c>
      <c r="E20" s="14">
        <v>2.6000000000000002E-2</v>
      </c>
      <c r="F20" s="14">
        <v>2.2528420698333197E-2</v>
      </c>
      <c r="G20" s="14">
        <v>2.4E-2</v>
      </c>
      <c r="H20" s="14">
        <v>4.2000000000000003E-2</v>
      </c>
      <c r="I20" s="14">
        <v>2.5999999999999999E-2</v>
      </c>
      <c r="J20" s="14">
        <v>4.4999999999999998E-2</v>
      </c>
      <c r="K20" s="14">
        <v>2.8000000000000001E-2</v>
      </c>
      <c r="L20" s="14">
        <v>0.16</v>
      </c>
      <c r="M20" s="14">
        <v>0.1</v>
      </c>
      <c r="N20" s="14">
        <v>0.17</v>
      </c>
      <c r="O20" s="14">
        <v>0.11</v>
      </c>
      <c r="P20" s="14">
        <v>0.18</v>
      </c>
      <c r="Q20" s="14">
        <v>0.11</v>
      </c>
      <c r="R20" s="14">
        <v>0.19</v>
      </c>
      <c r="S20" s="14">
        <v>0.12</v>
      </c>
      <c r="T20" s="14">
        <v>0.2</v>
      </c>
      <c r="U20" s="14">
        <v>0.13</v>
      </c>
      <c r="V20" s="169"/>
      <c r="W20" s="169"/>
      <c r="X20" s="169"/>
      <c r="Y20" s="169"/>
      <c r="Z20" s="169"/>
      <c r="AA20" s="169"/>
      <c r="AB20" s="169"/>
      <c r="AC20" s="169"/>
      <c r="AD20" s="169"/>
      <c r="AE20" s="169"/>
      <c r="AF20" s="169"/>
      <c r="AG20" s="169"/>
      <c r="AH20" s="169"/>
      <c r="AI20" s="169"/>
      <c r="AJ20" s="203" t="s">
        <v>61</v>
      </c>
      <c r="AK20" s="201">
        <v>1495038.4189071499</v>
      </c>
      <c r="AL20" s="201">
        <v>1967918.20148787</v>
      </c>
      <c r="AM20" s="203">
        <f t="shared" si="0"/>
        <v>3462956.6203950197</v>
      </c>
      <c r="AN20" s="201">
        <v>76557.472604900104</v>
      </c>
      <c r="AO20" s="201">
        <v>69403.668690403094</v>
      </c>
      <c r="AP20" s="201">
        <v>145961.14129530301</v>
      </c>
      <c r="AQ20" s="203">
        <f t="shared" si="1"/>
        <v>5.1207695826882123E-2</v>
      </c>
      <c r="AR20" s="203">
        <f t="shared" si="2"/>
        <v>3.5267557685034652E-2</v>
      </c>
      <c r="AS20" s="203">
        <f t="shared" si="3"/>
        <v>4.2149283775507765E-2</v>
      </c>
      <c r="AT20" s="201">
        <v>30</v>
      </c>
      <c r="AU20" s="201" t="s">
        <v>280</v>
      </c>
      <c r="AV20" s="201">
        <v>294</v>
      </c>
      <c r="AW20" s="201" t="s">
        <v>278</v>
      </c>
      <c r="AX20" s="201">
        <v>1</v>
      </c>
      <c r="AY20" s="201" t="s">
        <v>279</v>
      </c>
      <c r="AZ20" s="201">
        <v>2018</v>
      </c>
      <c r="BA20" s="201">
        <v>69791.942485439693</v>
      </c>
      <c r="BB20" s="201"/>
      <c r="BC20" s="201"/>
      <c r="BD20" s="201" t="s">
        <v>61</v>
      </c>
      <c r="BE20" s="201">
        <v>294</v>
      </c>
      <c r="BF20" s="201" t="s">
        <v>278</v>
      </c>
      <c r="BG20" s="201">
        <v>1</v>
      </c>
      <c r="BH20" s="201" t="s">
        <v>279</v>
      </c>
      <c r="BI20" s="201">
        <v>2018</v>
      </c>
      <c r="BJ20" s="201">
        <v>145961.14129530301</v>
      </c>
      <c r="BK20" s="169"/>
      <c r="BL20" s="18"/>
      <c r="BM20" s="169"/>
      <c r="BN20" s="169"/>
      <c r="BO20" s="169"/>
      <c r="BP20" s="17"/>
      <c r="BQ20" s="169"/>
      <c r="BR20" s="169"/>
      <c r="BS20" s="17"/>
      <c r="BT20" s="169"/>
      <c r="BU20" s="169"/>
    </row>
    <row r="21" spans="1:73" ht="15.75" customHeight="1" x14ac:dyDescent="0.25">
      <c r="A21" s="13" t="s">
        <v>61</v>
      </c>
      <c r="B21" s="203">
        <v>4.2021944650878801E-2</v>
      </c>
      <c r="C21" s="203">
        <v>3.5267557685034652E-2</v>
      </c>
      <c r="D21" s="201">
        <v>3.7999999999999999E-2</v>
      </c>
      <c r="E21" s="14">
        <v>0.04</v>
      </c>
      <c r="F21" s="14">
        <v>3.6176763031094801E-2</v>
      </c>
      <c r="G21" s="14">
        <v>0.04</v>
      </c>
      <c r="H21" s="14">
        <v>6.4000000000000001E-2</v>
      </c>
      <c r="I21" s="14">
        <v>4.1000000000000002E-2</v>
      </c>
      <c r="J21" s="14">
        <v>7.0000000000000007E-2</v>
      </c>
      <c r="K21" s="14">
        <v>4.4999999999999998E-2</v>
      </c>
      <c r="L21" s="14">
        <v>0.23</v>
      </c>
      <c r="M21" s="14">
        <v>0.16</v>
      </c>
      <c r="N21" s="14">
        <v>0.24</v>
      </c>
      <c r="O21" s="14">
        <v>0.17</v>
      </c>
      <c r="P21" s="14">
        <v>0.27</v>
      </c>
      <c r="Q21" s="14">
        <v>0.18</v>
      </c>
      <c r="R21" s="14">
        <v>0.27</v>
      </c>
      <c r="S21" s="14">
        <v>0.19</v>
      </c>
      <c r="T21" s="14">
        <v>0.3</v>
      </c>
      <c r="U21" s="14">
        <v>0.2</v>
      </c>
      <c r="V21" s="169"/>
      <c r="W21" s="169"/>
      <c r="X21" s="169"/>
      <c r="Y21" s="169"/>
      <c r="Z21" s="169"/>
      <c r="AA21" s="169"/>
      <c r="AB21" s="169"/>
      <c r="AC21" s="169"/>
      <c r="AD21" s="169"/>
      <c r="AE21" s="169"/>
      <c r="AF21" s="169"/>
      <c r="AG21" s="169"/>
      <c r="AH21" s="169"/>
      <c r="AI21" s="169"/>
      <c r="AJ21" s="203" t="s">
        <v>280</v>
      </c>
      <c r="AK21" s="201">
        <v>883215.37967738998</v>
      </c>
      <c r="AL21" s="201">
        <v>1314416.15668713</v>
      </c>
      <c r="AM21" s="203">
        <f t="shared" si="0"/>
        <v>2197631.53636452</v>
      </c>
      <c r="AN21" s="201">
        <v>69791.942485439693</v>
      </c>
      <c r="AO21" s="201">
        <v>76813.584256051501</v>
      </c>
      <c r="AP21" s="201">
        <v>146605.52674149</v>
      </c>
      <c r="AQ21" s="203">
        <f t="shared" si="1"/>
        <v>7.9020297983185522E-2</v>
      </c>
      <c r="AR21" s="203">
        <f t="shared" si="2"/>
        <v>5.8439318373606552E-2</v>
      </c>
      <c r="AS21" s="203">
        <f t="shared" si="3"/>
        <v>6.6710694816482022E-2</v>
      </c>
      <c r="AT21" s="201">
        <v>160</v>
      </c>
      <c r="AU21" s="201" t="s">
        <v>63</v>
      </c>
      <c r="AV21" s="201">
        <v>294</v>
      </c>
      <c r="AW21" s="201" t="s">
        <v>278</v>
      </c>
      <c r="AX21" s="201">
        <v>1</v>
      </c>
      <c r="AY21" s="201" t="s">
        <v>279</v>
      </c>
      <c r="AZ21" s="201">
        <v>2018</v>
      </c>
      <c r="BA21" s="201">
        <v>96043.331965621794</v>
      </c>
      <c r="BB21" s="201"/>
      <c r="BC21" s="201"/>
      <c r="BD21" s="201" t="s">
        <v>280</v>
      </c>
      <c r="BE21" s="201">
        <v>294</v>
      </c>
      <c r="BF21" s="201" t="s">
        <v>278</v>
      </c>
      <c r="BG21" s="201">
        <v>1</v>
      </c>
      <c r="BH21" s="201" t="s">
        <v>279</v>
      </c>
      <c r="BI21" s="201">
        <v>2018</v>
      </c>
      <c r="BJ21" s="201">
        <v>146605.52674149</v>
      </c>
      <c r="BK21" s="169"/>
      <c r="BL21" s="17"/>
      <c r="BM21" s="169"/>
      <c r="BN21" s="169"/>
      <c r="BO21" s="169"/>
      <c r="BP21" s="169"/>
      <c r="BQ21" s="169"/>
      <c r="BR21" s="18"/>
      <c r="BS21" s="169"/>
      <c r="BT21" s="169"/>
      <c r="BU21" s="169"/>
    </row>
    <row r="22" spans="1:73" ht="15.75" customHeight="1" x14ac:dyDescent="0.25">
      <c r="A22" s="13" t="s">
        <v>62</v>
      </c>
      <c r="B22" s="203">
        <v>6.6390318338618595E-2</v>
      </c>
      <c r="C22" s="203">
        <v>5.8439318373606552E-2</v>
      </c>
      <c r="D22" s="201">
        <v>5.6000000000000008E-2</v>
      </c>
      <c r="E22" s="14">
        <v>6.4000000000000001E-2</v>
      </c>
      <c r="F22" s="14">
        <v>6.0339468434703704E-2</v>
      </c>
      <c r="G22" s="14">
        <v>6.8000000000000005E-2</v>
      </c>
      <c r="H22" s="14">
        <v>0.1</v>
      </c>
      <c r="I22" s="14">
        <v>7.0000000000000007E-2</v>
      </c>
      <c r="J22" s="14">
        <v>0.11</v>
      </c>
      <c r="K22" s="14">
        <v>0.08</v>
      </c>
      <c r="L22" s="14">
        <v>0.33</v>
      </c>
      <c r="M22" s="14">
        <v>0.25</v>
      </c>
      <c r="N22" s="14">
        <v>0.37</v>
      </c>
      <c r="O22" s="14">
        <v>0.28000000000000003</v>
      </c>
      <c r="P22" s="14">
        <v>0.39</v>
      </c>
      <c r="Q22" s="14">
        <v>0.28999999999999998</v>
      </c>
      <c r="R22" s="14">
        <v>0.41</v>
      </c>
      <c r="S22" s="14">
        <v>0.3</v>
      </c>
      <c r="T22" s="14">
        <v>0.43</v>
      </c>
      <c r="U22" s="14">
        <v>0.33</v>
      </c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203" t="s">
        <v>63</v>
      </c>
      <c r="AK22" s="201">
        <v>679674.18</v>
      </c>
      <c r="AL22" s="201">
        <v>1195076.0049999999</v>
      </c>
      <c r="AM22" s="203">
        <f t="shared" si="0"/>
        <v>1874750.1850000001</v>
      </c>
      <c r="AN22" s="201">
        <v>96043.331965621794</v>
      </c>
      <c r="AO22" s="201">
        <v>152842.537517188</v>
      </c>
      <c r="AP22" s="201">
        <v>248885.86948281099</v>
      </c>
      <c r="AQ22" s="203">
        <f t="shared" si="1"/>
        <v>0.14130790133240281</v>
      </c>
      <c r="AR22" s="203">
        <f t="shared" si="2"/>
        <v>0.12789357068313661</v>
      </c>
      <c r="AS22" s="203">
        <f t="shared" si="3"/>
        <v>0.13275681820125329</v>
      </c>
      <c r="AT22" s="201"/>
      <c r="AU22" s="201">
        <v>28</v>
      </c>
      <c r="AV22" s="201" t="s">
        <v>45</v>
      </c>
      <c r="AW22" s="201">
        <v>294</v>
      </c>
      <c r="AX22" s="201" t="s">
        <v>278</v>
      </c>
      <c r="AY22" s="201">
        <v>1</v>
      </c>
      <c r="AZ22" s="201" t="s">
        <v>279</v>
      </c>
      <c r="BA22" s="201">
        <v>2018</v>
      </c>
      <c r="BB22" s="201">
        <v>24630.1080134699</v>
      </c>
      <c r="BC22" s="201"/>
      <c r="BD22" s="201" t="s">
        <v>63</v>
      </c>
      <c r="BE22" s="201">
        <v>294</v>
      </c>
      <c r="BF22" s="201" t="s">
        <v>278</v>
      </c>
      <c r="BG22" s="201">
        <v>1</v>
      </c>
      <c r="BH22" s="201" t="s">
        <v>279</v>
      </c>
      <c r="BI22" s="201">
        <v>2018</v>
      </c>
      <c r="BJ22" s="201">
        <v>248885.86948281099</v>
      </c>
      <c r="BK22" s="169"/>
      <c r="BL22" s="169"/>
      <c r="BM22" s="18"/>
      <c r="BN22" s="169"/>
      <c r="BO22" s="169"/>
      <c r="BP22" s="169"/>
      <c r="BQ22" s="18"/>
      <c r="BR22" s="169"/>
      <c r="BS22" s="169"/>
      <c r="BT22" s="169"/>
      <c r="BU22" s="169"/>
    </row>
    <row r="23" spans="1:73" ht="15.75" customHeight="1" x14ac:dyDescent="0.25">
      <c r="A23" s="13" t="s">
        <v>63</v>
      </c>
      <c r="B23" s="203">
        <v>0.13151959751960099</v>
      </c>
      <c r="C23" s="203">
        <v>0.12789357068313661</v>
      </c>
      <c r="D23" s="201">
        <v>1</v>
      </c>
      <c r="E23" s="14">
        <v>1</v>
      </c>
      <c r="F23" s="14">
        <v>0.139821597655127</v>
      </c>
      <c r="G23" s="14">
        <v>0.17</v>
      </c>
      <c r="H23" s="14">
        <v>0.21</v>
      </c>
      <c r="I23" s="14">
        <v>0.17</v>
      </c>
      <c r="J23" s="14">
        <v>0.21</v>
      </c>
      <c r="K23" s="14">
        <v>0.18</v>
      </c>
      <c r="L23" s="14">
        <v>1</v>
      </c>
      <c r="M23" s="14">
        <v>1</v>
      </c>
      <c r="N23" s="14">
        <v>1</v>
      </c>
      <c r="O23" s="14">
        <v>1</v>
      </c>
      <c r="P23" s="14">
        <v>1</v>
      </c>
      <c r="Q23" s="14">
        <v>1</v>
      </c>
      <c r="R23" s="14">
        <v>1</v>
      </c>
      <c r="S23" s="14">
        <v>1</v>
      </c>
      <c r="T23" s="14">
        <v>1</v>
      </c>
      <c r="U23" s="14">
        <v>1</v>
      </c>
      <c r="V23" s="169"/>
      <c r="W23" s="169"/>
      <c r="X23" s="169"/>
      <c r="Y23" s="169"/>
      <c r="Z23" s="169"/>
      <c r="AA23" s="169"/>
      <c r="AB23" s="169"/>
      <c r="AC23" s="169"/>
      <c r="AD23" s="169"/>
      <c r="AE23" s="169"/>
      <c r="AF23" s="169"/>
      <c r="AG23" s="169"/>
      <c r="AH23" s="169"/>
      <c r="AI23" s="169"/>
      <c r="AJ23" s="169"/>
      <c r="AK23" s="169"/>
      <c r="AL23" s="169"/>
      <c r="AM23" s="201"/>
      <c r="AN23" s="201"/>
      <c r="AO23" s="201"/>
      <c r="AP23" s="201"/>
      <c r="AQ23" s="201"/>
      <c r="AR23" s="201"/>
      <c r="AS23" s="201"/>
      <c r="AT23" s="201"/>
      <c r="AU23" s="201">
        <v>5</v>
      </c>
      <c r="AV23" s="201" t="s">
        <v>46</v>
      </c>
      <c r="AW23" s="201">
        <v>294</v>
      </c>
      <c r="AX23" s="201" t="s">
        <v>278</v>
      </c>
      <c r="AY23" s="201">
        <v>1</v>
      </c>
      <c r="AZ23" s="201" t="s">
        <v>279</v>
      </c>
      <c r="BA23" s="201">
        <v>2018</v>
      </c>
      <c r="BB23" s="201">
        <v>3619.8288075762698</v>
      </c>
      <c r="BC23" s="201"/>
      <c r="BD23" s="201" t="s">
        <v>281</v>
      </c>
      <c r="BE23" s="201">
        <v>294</v>
      </c>
      <c r="BF23" s="201" t="s">
        <v>278</v>
      </c>
      <c r="BG23" s="201">
        <v>1</v>
      </c>
      <c r="BH23" s="201" t="s">
        <v>279</v>
      </c>
      <c r="BI23" s="201">
        <v>2018</v>
      </c>
      <c r="BJ23" s="201">
        <v>125850.737926306</v>
      </c>
      <c r="BK23" s="169"/>
      <c r="BL23" s="17"/>
      <c r="BM23" s="169"/>
      <c r="BN23" s="169"/>
      <c r="BO23" s="18"/>
      <c r="BP23" s="169"/>
      <c r="BQ23" s="17"/>
      <c r="BR23" s="169"/>
      <c r="BS23" s="169"/>
      <c r="BT23" s="18"/>
      <c r="BU23" s="169"/>
    </row>
    <row r="24" spans="1:73" ht="15.75" customHeight="1" x14ac:dyDescent="0.25">
      <c r="A24" s="169"/>
      <c r="B24" s="169"/>
      <c r="C24" s="169"/>
      <c r="D24" s="169"/>
      <c r="E24" s="169"/>
      <c r="F24" s="169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 t="s">
        <v>64</v>
      </c>
      <c r="AB24" s="169" t="s">
        <v>65</v>
      </c>
      <c r="AC24" s="169"/>
      <c r="AD24" s="169"/>
      <c r="AE24" s="169"/>
      <c r="AF24" s="169"/>
      <c r="AG24" s="169"/>
      <c r="AH24" s="169"/>
      <c r="AI24" s="169"/>
      <c r="AJ24" s="169"/>
      <c r="AK24" s="169"/>
      <c r="AL24" s="169"/>
      <c r="AM24" s="201"/>
      <c r="AN24" s="201"/>
      <c r="AO24" s="201"/>
      <c r="AP24" s="201"/>
      <c r="AQ24" s="201"/>
      <c r="AR24" s="201"/>
      <c r="AS24" s="201"/>
      <c r="AT24" s="201"/>
      <c r="AU24" s="201">
        <v>6</v>
      </c>
      <c r="AV24" s="201" t="s">
        <v>47</v>
      </c>
      <c r="AW24" s="201">
        <v>294</v>
      </c>
      <c r="AX24" s="201" t="s">
        <v>278</v>
      </c>
      <c r="AY24" s="201">
        <v>1</v>
      </c>
      <c r="AZ24" s="201" t="s">
        <v>279</v>
      </c>
      <c r="BA24" s="201">
        <v>2018</v>
      </c>
      <c r="BB24" s="201">
        <v>1745.91034558559</v>
      </c>
      <c r="BC24" s="201"/>
      <c r="BD24" s="201" t="s">
        <v>282</v>
      </c>
      <c r="BE24" s="201">
        <v>294</v>
      </c>
      <c r="BF24" s="201" t="s">
        <v>278</v>
      </c>
      <c r="BG24" s="201">
        <v>1</v>
      </c>
      <c r="BH24" s="201" t="s">
        <v>279</v>
      </c>
      <c r="BI24" s="201">
        <v>2018</v>
      </c>
      <c r="BJ24" s="201">
        <v>78185.325760494306</v>
      </c>
      <c r="BK24" s="169"/>
      <c r="BL24" s="169"/>
      <c r="BM24" s="169"/>
      <c r="BN24" s="169"/>
      <c r="BO24" s="169"/>
      <c r="BP24" s="169"/>
      <c r="BQ24" s="169"/>
      <c r="BR24" s="169"/>
      <c r="BS24" s="169"/>
      <c r="BT24" s="169"/>
      <c r="BU24" s="169"/>
    </row>
    <row r="25" spans="1:73" ht="15.75" customHeight="1" x14ac:dyDescent="0.25">
      <c r="A25" s="232"/>
      <c r="B25" s="230"/>
      <c r="C25" s="230"/>
      <c r="D25" s="230"/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169"/>
      <c r="X25" s="169"/>
      <c r="Y25" s="169"/>
      <c r="Z25" s="169"/>
      <c r="AA25" s="20"/>
      <c r="AB25" s="20"/>
      <c r="AC25" s="169"/>
      <c r="AD25" s="169"/>
      <c r="AE25" s="169"/>
      <c r="AF25" s="169"/>
      <c r="AG25" s="169"/>
      <c r="AH25" s="169"/>
      <c r="AI25" s="169"/>
      <c r="AJ25" s="169"/>
      <c r="AK25" s="169"/>
      <c r="AL25" s="169"/>
      <c r="AM25" s="201"/>
      <c r="AN25" s="201"/>
      <c r="AO25" s="201"/>
      <c r="AP25" s="201"/>
      <c r="AQ25" s="201"/>
      <c r="AR25" s="201"/>
      <c r="AS25" s="201"/>
      <c r="AT25" s="201"/>
      <c r="AU25" s="201">
        <v>7</v>
      </c>
      <c r="AV25" s="201" t="s">
        <v>48</v>
      </c>
      <c r="AW25" s="201">
        <v>294</v>
      </c>
      <c r="AX25" s="201" t="s">
        <v>278</v>
      </c>
      <c r="AY25" s="201">
        <v>1</v>
      </c>
      <c r="AZ25" s="201" t="s">
        <v>279</v>
      </c>
      <c r="BA25" s="201">
        <v>2018</v>
      </c>
      <c r="BB25" s="201">
        <v>2009.2277396817999</v>
      </c>
      <c r="BC25" s="201"/>
      <c r="BD25" s="201" t="s">
        <v>63</v>
      </c>
      <c r="BE25" s="201">
        <v>294</v>
      </c>
      <c r="BF25" s="201" t="s">
        <v>278</v>
      </c>
      <c r="BG25" s="201">
        <v>1</v>
      </c>
      <c r="BH25" s="201" t="s">
        <v>279</v>
      </c>
      <c r="BI25" s="201">
        <v>2018</v>
      </c>
      <c r="BJ25" s="201">
        <v>248885.86948281099</v>
      </c>
      <c r="BK25" s="169"/>
      <c r="BL25" s="169"/>
      <c r="BM25" s="169"/>
      <c r="BN25" s="169"/>
      <c r="BO25" s="169"/>
      <c r="BP25" s="169"/>
      <c r="BQ25" s="169"/>
      <c r="BR25" s="169"/>
      <c r="BS25" s="169"/>
      <c r="BT25" s="169"/>
      <c r="BU25" s="169"/>
    </row>
    <row r="26" spans="1:73" ht="15.75" customHeight="1" x14ac:dyDescent="0.25">
      <c r="A26" s="169"/>
      <c r="B26" s="232">
        <v>2019</v>
      </c>
      <c r="C26" s="230"/>
      <c r="D26" s="232">
        <v>2015</v>
      </c>
      <c r="E26" s="230"/>
      <c r="F26" s="232">
        <v>2010</v>
      </c>
      <c r="G26" s="230"/>
      <c r="H26" s="232">
        <v>2005</v>
      </c>
      <c r="I26" s="230"/>
      <c r="J26" s="232">
        <v>2000</v>
      </c>
      <c r="K26" s="230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9"/>
      <c r="AC26" s="169"/>
      <c r="AD26" s="169"/>
      <c r="AE26" s="169"/>
      <c r="AF26" s="169"/>
      <c r="AG26" s="169"/>
      <c r="AH26" s="169"/>
      <c r="AI26" s="169"/>
      <c r="AJ26" s="169"/>
      <c r="AK26" s="169"/>
      <c r="AL26" s="169"/>
      <c r="AM26" s="201"/>
      <c r="AN26" s="201"/>
      <c r="AO26" s="201"/>
      <c r="AP26" s="201"/>
      <c r="AQ26" s="201"/>
      <c r="AR26" s="201"/>
      <c r="AS26" s="201"/>
      <c r="AT26" s="201"/>
      <c r="AU26" s="201">
        <v>8</v>
      </c>
      <c r="AV26" s="201" t="s">
        <v>49</v>
      </c>
      <c r="AW26" s="201">
        <v>294</v>
      </c>
      <c r="AX26" s="201" t="s">
        <v>278</v>
      </c>
      <c r="AY26" s="201">
        <v>1</v>
      </c>
      <c r="AZ26" s="201" t="s">
        <v>279</v>
      </c>
      <c r="BA26" s="201">
        <v>2018</v>
      </c>
      <c r="BB26" s="201">
        <v>3542.61586178075</v>
      </c>
      <c r="BC26" s="201"/>
      <c r="BD26" s="201"/>
      <c r="BE26" s="201"/>
      <c r="BF26" s="201"/>
      <c r="BG26" s="201"/>
      <c r="BH26" s="201"/>
      <c r="BI26" s="201"/>
      <c r="BJ26" s="201"/>
      <c r="BK26" s="169"/>
      <c r="BL26" s="169"/>
      <c r="BM26" s="169"/>
      <c r="BN26" s="169"/>
      <c r="BO26" s="169"/>
      <c r="BP26" s="169"/>
      <c r="BQ26" s="169"/>
      <c r="BR26" s="169"/>
      <c r="BS26" s="169"/>
      <c r="BT26" s="169"/>
      <c r="BU26" s="169"/>
    </row>
    <row r="27" spans="1:73" ht="15.75" customHeight="1" x14ac:dyDescent="0.25">
      <c r="A27" s="169"/>
      <c r="B27" s="169" t="s">
        <v>66</v>
      </c>
      <c r="C27" s="169" t="s">
        <v>67</v>
      </c>
      <c r="D27" s="169" t="s">
        <v>66</v>
      </c>
      <c r="E27" s="169" t="s">
        <v>67</v>
      </c>
      <c r="F27" s="169" t="s">
        <v>66</v>
      </c>
      <c r="G27" s="169" t="s">
        <v>67</v>
      </c>
      <c r="H27" s="169" t="s">
        <v>66</v>
      </c>
      <c r="I27" s="169" t="s">
        <v>67</v>
      </c>
      <c r="J27" s="169" t="s">
        <v>66</v>
      </c>
      <c r="K27" s="169" t="s">
        <v>67</v>
      </c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 t="s">
        <v>68</v>
      </c>
      <c r="W27" s="169" t="s">
        <v>69</v>
      </c>
      <c r="X27" s="169" t="s">
        <v>70</v>
      </c>
      <c r="Y27" s="169" t="s">
        <v>71</v>
      </c>
      <c r="Z27" s="169" t="s">
        <v>72</v>
      </c>
      <c r="AA27" s="169" t="s">
        <v>73</v>
      </c>
      <c r="AB27" s="169" t="s">
        <v>74</v>
      </c>
      <c r="AC27" s="169" t="s">
        <v>75</v>
      </c>
      <c r="AD27" s="169" t="s">
        <v>76</v>
      </c>
      <c r="AE27" s="169" t="s">
        <v>77</v>
      </c>
      <c r="AF27" s="169" t="s">
        <v>78</v>
      </c>
      <c r="AG27" s="169"/>
      <c r="AI27" s="169"/>
      <c r="AJ27" s="169"/>
      <c r="AK27" s="169"/>
      <c r="AL27" s="169"/>
      <c r="AM27" s="169"/>
      <c r="AN27" s="169"/>
      <c r="AO27" s="169"/>
      <c r="AP27" s="169"/>
      <c r="AQ27" s="169"/>
      <c r="AR27" s="169"/>
      <c r="AS27" s="169"/>
      <c r="AT27" s="201"/>
      <c r="AU27" s="201">
        <v>9</v>
      </c>
      <c r="AV27" s="201" t="s">
        <v>50</v>
      </c>
      <c r="AW27" s="201">
        <v>294</v>
      </c>
      <c r="AX27" s="201" t="s">
        <v>278</v>
      </c>
      <c r="AY27" s="201">
        <v>1</v>
      </c>
      <c r="AZ27" s="201" t="s">
        <v>279</v>
      </c>
      <c r="BA27" s="201">
        <v>2018</v>
      </c>
      <c r="BB27" s="201">
        <v>4669.1238967639802</v>
      </c>
      <c r="BC27" s="201"/>
      <c r="BD27" s="201"/>
      <c r="BE27" s="169"/>
      <c r="BF27" s="169"/>
      <c r="BG27" s="169"/>
      <c r="BH27" s="169"/>
      <c r="BI27" s="169"/>
      <c r="BJ27" s="169"/>
      <c r="BK27" s="169"/>
      <c r="BL27" s="169"/>
      <c r="BM27" s="169"/>
      <c r="BN27" s="169"/>
      <c r="BO27" s="169"/>
      <c r="BP27" s="169"/>
      <c r="BQ27" s="169"/>
      <c r="BR27" s="169"/>
      <c r="BS27" s="169"/>
      <c r="BT27" s="169"/>
      <c r="BU27" s="169"/>
    </row>
    <row r="28" spans="1:73" ht="15.75" customHeight="1" x14ac:dyDescent="0.25">
      <c r="A28" s="1">
        <v>0</v>
      </c>
      <c r="B28" s="23">
        <f t="shared" ref="B28:U28" si="4">B5</f>
        <v>1.82765468867578E-2</v>
      </c>
      <c r="C28" s="23">
        <f t="shared" si="4"/>
        <v>1.6234580346711023E-2</v>
      </c>
      <c r="D28" s="23">
        <f t="shared" si="4"/>
        <v>1.2E-2</v>
      </c>
      <c r="E28" s="23">
        <f t="shared" si="4"/>
        <v>1.4E-2</v>
      </c>
      <c r="F28" s="23">
        <f t="shared" si="4"/>
        <v>6.9150241354009098E-3</v>
      </c>
      <c r="G28" s="23">
        <f t="shared" si="4"/>
        <v>1.4999999999999999E-2</v>
      </c>
      <c r="H28" s="23">
        <f t="shared" si="4"/>
        <v>2.5999999999999999E-2</v>
      </c>
      <c r="I28" s="23">
        <f t="shared" si="4"/>
        <v>0.02</v>
      </c>
      <c r="J28" s="23">
        <f t="shared" si="4"/>
        <v>3.4000000000000002E-2</v>
      </c>
      <c r="K28" s="23">
        <f t="shared" si="4"/>
        <v>2.7E-2</v>
      </c>
      <c r="L28" s="23">
        <f t="shared" si="4"/>
        <v>1.4E-2</v>
      </c>
      <c r="M28" s="23">
        <f t="shared" si="4"/>
        <v>1.0999999999999999E-2</v>
      </c>
      <c r="N28" s="23">
        <f t="shared" si="4"/>
        <v>1.4999999999999999E-2</v>
      </c>
      <c r="O28" s="23">
        <f t="shared" si="4"/>
        <v>1.2E-2</v>
      </c>
      <c r="P28" s="23">
        <f t="shared" si="4"/>
        <v>1.9E-2</v>
      </c>
      <c r="Q28" s="23">
        <f t="shared" si="4"/>
        <v>1.4999999999999999E-2</v>
      </c>
      <c r="R28" s="23">
        <f t="shared" si="4"/>
        <v>2.5000000000000001E-2</v>
      </c>
      <c r="S28" s="23">
        <f t="shared" si="4"/>
        <v>0.02</v>
      </c>
      <c r="T28" s="23">
        <f t="shared" si="4"/>
        <v>3.3000000000000002E-2</v>
      </c>
      <c r="U28" s="23">
        <f t="shared" si="4"/>
        <v>2.5999999999999999E-2</v>
      </c>
      <c r="V28" s="24">
        <f t="shared" ref="V28:V128" si="5">AVERAGE($B28:$C28)</f>
        <v>1.7255563616734412E-2</v>
      </c>
      <c r="W28" s="24">
        <f t="shared" ref="W28:W128" si="6">AVERAGE($D28:$E28)</f>
        <v>1.3000000000000001E-2</v>
      </c>
      <c r="X28" s="24">
        <f t="shared" ref="X28:X128" si="7">AVERAGE($F28:$G28)</f>
        <v>1.0957512067700455E-2</v>
      </c>
      <c r="Y28" s="24">
        <f t="shared" ref="Y28:Y128" si="8">AVERAGE($H28:$I28)</f>
        <v>2.3E-2</v>
      </c>
      <c r="Z28" s="24">
        <f t="shared" ref="Z28:Z128" si="9">AVERAGE($J28:$K28)</f>
        <v>3.0499999999999999E-2</v>
      </c>
      <c r="AA28" s="3">
        <f ca="1">IFERROR(__xludf.DUMMYFUNCTION("AVERAGE.WEIGHTED(B28:C28,$AF28:$AG28)"),0.0125308097016343)</f>
        <v>1.25308097016343E-2</v>
      </c>
      <c r="AB28" s="3">
        <f ca="1">IFERROR(__xludf.DUMMYFUNCTION("AVERAGE.WEIGHTED(D28:E28,$AH28:$AI28)"),0.0140410393938639)</f>
        <v>1.40410393938639E-2</v>
      </c>
      <c r="AC28" s="3">
        <f ca="1">IFERROR(__xludf.DUMMYFUNCTION("AVERAGE.WEIGHTED(F28:G28,$AJ28:$AK28)"),0.0170404241634118)</f>
        <v>1.70404241634118E-2</v>
      </c>
      <c r="AD28" s="3" t="str">
        <f ca="1">IFERROR(__xludf.DUMMYFUNCTION("AVERAGE.WEIGHTED(H28:I28,$AA$25:$AB$25)"),"#VALUE!")</f>
        <v>#VALUE!</v>
      </c>
      <c r="AE28" s="3" t="str">
        <f ca="1">IFERROR(__xludf.DUMMYFUNCTION("AVERAGE.WEIGHTED(J28:K28,$AA$25:$AB$25)"),"#VALUE!")</f>
        <v>#VALUE!</v>
      </c>
      <c r="AF28" s="169">
        <v>0.51026990054477595</v>
      </c>
      <c r="AG28" s="3">
        <f t="shared" ref="AG28:AG128" si="10">1-AF28</f>
        <v>0.48973009945522405</v>
      </c>
      <c r="AH28" s="169">
        <v>0.51025984846599903</v>
      </c>
      <c r="AI28" s="3">
        <f t="shared" ref="AI28:AI128" si="11">1-AH28</f>
        <v>0.48974015153400097</v>
      </c>
      <c r="AJ28" s="169">
        <v>0.51010604085296096</v>
      </c>
      <c r="AK28" s="3">
        <f t="shared" ref="AK28:AK128" si="12">1-AJ28</f>
        <v>0.48989395914703904</v>
      </c>
      <c r="AT28" s="201"/>
      <c r="AU28" s="201">
        <v>10</v>
      </c>
      <c r="AV28" s="201" t="s">
        <v>51</v>
      </c>
      <c r="AW28" s="201">
        <v>294</v>
      </c>
      <c r="AX28" s="201" t="s">
        <v>278</v>
      </c>
      <c r="AY28" s="201">
        <v>1</v>
      </c>
      <c r="AZ28" s="201" t="s">
        <v>279</v>
      </c>
      <c r="BA28" s="201">
        <v>2018</v>
      </c>
      <c r="BB28" s="201">
        <v>5458.81797078001</v>
      </c>
      <c r="BC28" s="201"/>
      <c r="BD28" s="201"/>
    </row>
    <row r="29" spans="1:73" ht="15.75" customHeight="1" x14ac:dyDescent="0.25">
      <c r="A29" s="1">
        <v>1</v>
      </c>
      <c r="B29" s="23">
        <f t="shared" ref="B29:U32" si="13">B$6</f>
        <v>5.5540932133547004E-4</v>
      </c>
      <c r="C29" s="23">
        <f t="shared" si="13"/>
        <v>5.8502870696110275E-4</v>
      </c>
      <c r="D29" s="23">
        <f t="shared" si="13"/>
        <v>4.0000000000000002E-4</v>
      </c>
      <c r="E29" s="23">
        <f t="shared" si="13"/>
        <v>4.0000000000000002E-4</v>
      </c>
      <c r="F29" s="23">
        <f t="shared" si="13"/>
        <v>3.0290525906888599E-4</v>
      </c>
      <c r="G29" s="23">
        <f t="shared" si="13"/>
        <v>5.0000000000000001E-4</v>
      </c>
      <c r="H29" s="23">
        <f t="shared" si="13"/>
        <v>8.0000000000000004E-4</v>
      </c>
      <c r="I29" s="23">
        <f t="shared" si="13"/>
        <v>5.9999999999999995E-4</v>
      </c>
      <c r="J29" s="23">
        <f t="shared" si="13"/>
        <v>1E-3</v>
      </c>
      <c r="K29" s="23">
        <f t="shared" si="13"/>
        <v>1E-3</v>
      </c>
      <c r="L29" s="23">
        <f t="shared" si="13"/>
        <v>2E-3</v>
      </c>
      <c r="M29" s="23">
        <f t="shared" si="13"/>
        <v>1E-3</v>
      </c>
      <c r="N29" s="23">
        <f t="shared" si="13"/>
        <v>2E-3</v>
      </c>
      <c r="O29" s="23">
        <f t="shared" si="13"/>
        <v>2E-3</v>
      </c>
      <c r="P29" s="23">
        <f t="shared" si="13"/>
        <v>2E-3</v>
      </c>
      <c r="Q29" s="23">
        <f t="shared" si="13"/>
        <v>2E-3</v>
      </c>
      <c r="R29" s="23">
        <f t="shared" si="13"/>
        <v>3.0000000000000001E-3</v>
      </c>
      <c r="S29" s="23">
        <f t="shared" si="13"/>
        <v>3.0000000000000001E-3</v>
      </c>
      <c r="T29" s="23">
        <f t="shared" si="13"/>
        <v>5.0000000000000001E-3</v>
      </c>
      <c r="U29" s="23">
        <f t="shared" si="13"/>
        <v>4.0000000000000001E-3</v>
      </c>
      <c r="V29" s="24">
        <f t="shared" si="5"/>
        <v>5.7021901414828634E-4</v>
      </c>
      <c r="W29" s="24">
        <f t="shared" si="6"/>
        <v>4.0000000000000002E-4</v>
      </c>
      <c r="X29" s="24">
        <f t="shared" si="7"/>
        <v>4.0145262953444297E-4</v>
      </c>
      <c r="Y29" s="24">
        <f t="shared" si="8"/>
        <v>6.9999999999999999E-4</v>
      </c>
      <c r="Z29" s="24">
        <f t="shared" si="9"/>
        <v>1E-3</v>
      </c>
      <c r="AA29" s="3">
        <f ca="1">IFERROR(__xludf.DUMMYFUNCTION("AVERAGE.WEIGHTED(B29:C29,$AF29:$AG29)"),0.000351017112153051)</f>
        <v>3.5101711215305102E-4</v>
      </c>
      <c r="AB29" s="3">
        <f ca="1">IFERROR(__xludf.DUMMYFUNCTION("AVERAGE.WEIGHTED(D29:E29,$AH29:$AI29)"),0.000451012005355073)</f>
        <v>4.5101200535507298E-4</v>
      </c>
      <c r="AC29" s="3">
        <f ca="1">IFERROR(__xludf.DUMMYFUNCTION("AVERAGE.WEIGHTED(F29:G29,$AJ29:$AK29)"),0.00055099518328895)</f>
        <v>5.5099518328894997E-4</v>
      </c>
      <c r="AD29" s="3" t="str">
        <f ca="1">IFERROR(__xludf.DUMMYFUNCTION("AVERAGE.WEIGHTED(H29:I29,$AA$25:$AB$25)"),"#VALUE!")</f>
        <v>#VALUE!</v>
      </c>
      <c r="AE29" s="3" t="str">
        <f ca="1">IFERROR(__xludf.DUMMYFUNCTION("AVERAGE.WEIGHTED(J29:K29,$AA$25:$AB$25)"),"#VALUE!")</f>
        <v>#VALUE!</v>
      </c>
      <c r="AF29" s="169">
        <v>0.51017112153051103</v>
      </c>
      <c r="AG29" s="3">
        <f t="shared" si="10"/>
        <v>0.48982887846948897</v>
      </c>
      <c r="AH29" s="169">
        <v>0.51012005355073098</v>
      </c>
      <c r="AI29" s="3">
        <f t="shared" si="11"/>
        <v>0.48987994644926902</v>
      </c>
      <c r="AJ29" s="169">
        <v>0.50995183288950796</v>
      </c>
      <c r="AK29" s="3">
        <f t="shared" si="12"/>
        <v>0.49004816711049204</v>
      </c>
      <c r="AT29" s="201"/>
      <c r="AU29" s="201">
        <v>11</v>
      </c>
      <c r="AV29" s="201" t="s">
        <v>52</v>
      </c>
      <c r="AW29" s="201">
        <v>294</v>
      </c>
      <c r="AX29" s="201" t="s">
        <v>278</v>
      </c>
      <c r="AY29" s="201">
        <v>1</v>
      </c>
      <c r="AZ29" s="201" t="s">
        <v>279</v>
      </c>
      <c r="BA29" s="201">
        <v>2018</v>
      </c>
      <c r="BB29" s="201">
        <v>7680.1935559929698</v>
      </c>
      <c r="BC29" s="201"/>
      <c r="BD29" s="201"/>
    </row>
    <row r="30" spans="1:73" ht="15.75" customHeight="1" x14ac:dyDescent="0.25">
      <c r="A30" s="1">
        <v>2</v>
      </c>
      <c r="B30" s="23">
        <f t="shared" si="13"/>
        <v>5.5540932133547004E-4</v>
      </c>
      <c r="C30" s="23">
        <f t="shared" si="13"/>
        <v>5.8502870696110275E-4</v>
      </c>
      <c r="D30" s="23">
        <f t="shared" si="13"/>
        <v>4.0000000000000002E-4</v>
      </c>
      <c r="E30" s="23">
        <f t="shared" si="13"/>
        <v>4.0000000000000002E-4</v>
      </c>
      <c r="F30" s="23">
        <f t="shared" si="13"/>
        <v>3.0290525906888599E-4</v>
      </c>
      <c r="G30" s="23">
        <f t="shared" si="13"/>
        <v>5.0000000000000001E-4</v>
      </c>
      <c r="H30" s="23">
        <f t="shared" si="13"/>
        <v>8.0000000000000004E-4</v>
      </c>
      <c r="I30" s="23">
        <f t="shared" si="13"/>
        <v>5.9999999999999995E-4</v>
      </c>
      <c r="J30" s="23">
        <f t="shared" si="13"/>
        <v>1E-3</v>
      </c>
      <c r="K30" s="23">
        <f t="shared" si="13"/>
        <v>1E-3</v>
      </c>
      <c r="L30" s="23">
        <f t="shared" si="13"/>
        <v>2E-3</v>
      </c>
      <c r="M30" s="23">
        <f t="shared" si="13"/>
        <v>1E-3</v>
      </c>
      <c r="N30" s="23">
        <f t="shared" si="13"/>
        <v>2E-3</v>
      </c>
      <c r="O30" s="23">
        <f t="shared" si="13"/>
        <v>2E-3</v>
      </c>
      <c r="P30" s="23">
        <f t="shared" si="13"/>
        <v>2E-3</v>
      </c>
      <c r="Q30" s="23">
        <f t="shared" si="13"/>
        <v>2E-3</v>
      </c>
      <c r="R30" s="23">
        <f t="shared" si="13"/>
        <v>3.0000000000000001E-3</v>
      </c>
      <c r="S30" s="23">
        <f t="shared" si="13"/>
        <v>3.0000000000000001E-3</v>
      </c>
      <c r="T30" s="23">
        <f t="shared" si="13"/>
        <v>5.0000000000000001E-3</v>
      </c>
      <c r="U30" s="23">
        <f t="shared" si="13"/>
        <v>4.0000000000000001E-3</v>
      </c>
      <c r="V30" s="24">
        <f t="shared" si="5"/>
        <v>5.7021901414828634E-4</v>
      </c>
      <c r="W30" s="24">
        <f t="shared" si="6"/>
        <v>4.0000000000000002E-4</v>
      </c>
      <c r="X30" s="24">
        <f t="shared" si="7"/>
        <v>4.0145262953444297E-4</v>
      </c>
      <c r="Y30" s="24">
        <f t="shared" si="8"/>
        <v>6.9999999999999999E-4</v>
      </c>
      <c r="Z30" s="24">
        <f t="shared" si="9"/>
        <v>1E-3</v>
      </c>
      <c r="AA30" s="3">
        <f ca="1">IFERROR(__xludf.DUMMYFUNCTION("AVERAGE.WEIGHTED(B30:C30,$AF30:$AG30)"),0.00035101311332178)</f>
        <v>3.5101311332177997E-4</v>
      </c>
      <c r="AB30" s="3">
        <f ca="1">IFERROR(__xludf.DUMMYFUNCTION("AVERAGE.WEIGHTED(D30:E30,$AH30:$AI30)"),0.000451005364996623)</f>
        <v>4.5100536499662302E-4</v>
      </c>
      <c r="AC30" s="3">
        <f ca="1">IFERROR(__xludf.DUMMYFUNCTION("AVERAGE.WEIGHTED(F30:G30,$AJ30:$AK30)"),0.000550982580435617)</f>
        <v>5.5098258043561699E-4</v>
      </c>
      <c r="AD30" s="3" t="str">
        <f ca="1">IFERROR(__xludf.DUMMYFUNCTION("AVERAGE.WEIGHTED(H30:I30,$AA$25:$AB$25)"),"#VALUE!")</f>
        <v>#VALUE!</v>
      </c>
      <c r="AE30" s="3" t="str">
        <f ca="1">IFERROR(__xludf.DUMMYFUNCTION("AVERAGE.WEIGHTED(J30:K30,$AA$25:$AB$25)"),"#VALUE!")</f>
        <v>#VALUE!</v>
      </c>
      <c r="AF30" s="169">
        <v>0.51013113321780701</v>
      </c>
      <c r="AG30" s="3">
        <f t="shared" si="10"/>
        <v>0.48986886678219299</v>
      </c>
      <c r="AH30" s="169">
        <v>0.51005364996623404</v>
      </c>
      <c r="AI30" s="3">
        <f t="shared" si="11"/>
        <v>0.48994635003376596</v>
      </c>
      <c r="AJ30" s="169">
        <v>0.50982580435617597</v>
      </c>
      <c r="AK30" s="3">
        <f t="shared" si="12"/>
        <v>0.49017419564382403</v>
      </c>
      <c r="AT30" s="201"/>
      <c r="AU30" s="201">
        <v>12</v>
      </c>
      <c r="AV30" s="201" t="s">
        <v>53</v>
      </c>
      <c r="AW30" s="201">
        <v>294</v>
      </c>
      <c r="AX30" s="201" t="s">
        <v>278</v>
      </c>
      <c r="AY30" s="201">
        <v>1</v>
      </c>
      <c r="AZ30" s="201" t="s">
        <v>279</v>
      </c>
      <c r="BA30" s="201">
        <v>2018</v>
      </c>
      <c r="BB30" s="201">
        <v>10924.289319036799</v>
      </c>
      <c r="BC30" s="201"/>
      <c r="BD30" s="201"/>
    </row>
    <row r="31" spans="1:73" ht="15.75" customHeight="1" x14ac:dyDescent="0.25">
      <c r="A31" s="1">
        <v>3</v>
      </c>
      <c r="B31" s="23">
        <f t="shared" si="13"/>
        <v>5.5540932133547004E-4</v>
      </c>
      <c r="C31" s="23">
        <f t="shared" si="13"/>
        <v>5.8502870696110275E-4</v>
      </c>
      <c r="D31" s="23">
        <f t="shared" si="13"/>
        <v>4.0000000000000002E-4</v>
      </c>
      <c r="E31" s="23">
        <f t="shared" si="13"/>
        <v>4.0000000000000002E-4</v>
      </c>
      <c r="F31" s="23">
        <f t="shared" si="13"/>
        <v>3.0290525906888599E-4</v>
      </c>
      <c r="G31" s="23">
        <f t="shared" si="13"/>
        <v>5.0000000000000001E-4</v>
      </c>
      <c r="H31" s="23">
        <f t="shared" si="13"/>
        <v>8.0000000000000004E-4</v>
      </c>
      <c r="I31" s="23">
        <f t="shared" si="13"/>
        <v>5.9999999999999995E-4</v>
      </c>
      <c r="J31" s="23">
        <f t="shared" si="13"/>
        <v>1E-3</v>
      </c>
      <c r="K31" s="23">
        <f t="shared" si="13"/>
        <v>1E-3</v>
      </c>
      <c r="L31" s="23">
        <f t="shared" si="13"/>
        <v>2E-3</v>
      </c>
      <c r="M31" s="23">
        <f t="shared" si="13"/>
        <v>1E-3</v>
      </c>
      <c r="N31" s="23">
        <f t="shared" si="13"/>
        <v>2E-3</v>
      </c>
      <c r="O31" s="23">
        <f t="shared" si="13"/>
        <v>2E-3</v>
      </c>
      <c r="P31" s="23">
        <f t="shared" si="13"/>
        <v>2E-3</v>
      </c>
      <c r="Q31" s="23">
        <f t="shared" si="13"/>
        <v>2E-3</v>
      </c>
      <c r="R31" s="23">
        <f t="shared" si="13"/>
        <v>3.0000000000000001E-3</v>
      </c>
      <c r="S31" s="23">
        <f t="shared" si="13"/>
        <v>3.0000000000000001E-3</v>
      </c>
      <c r="T31" s="23">
        <f t="shared" si="13"/>
        <v>5.0000000000000001E-3</v>
      </c>
      <c r="U31" s="23">
        <f t="shared" si="13"/>
        <v>4.0000000000000001E-3</v>
      </c>
      <c r="V31" s="24">
        <f t="shared" si="5"/>
        <v>5.7021901414828634E-4</v>
      </c>
      <c r="W31" s="24">
        <f t="shared" si="6"/>
        <v>4.0000000000000002E-4</v>
      </c>
      <c r="X31" s="24">
        <f t="shared" si="7"/>
        <v>4.0145262953444297E-4</v>
      </c>
      <c r="Y31" s="24">
        <f t="shared" si="8"/>
        <v>6.9999999999999999E-4</v>
      </c>
      <c r="Z31" s="24">
        <f t="shared" si="9"/>
        <v>1E-3</v>
      </c>
      <c r="AA31" s="3">
        <f ca="1">IFERROR(__xludf.DUMMYFUNCTION("AVERAGE.WEIGHTED(B31:C31,$AF31:$AG31)"),0.000351010778303743)</f>
        <v>3.5101077830374298E-4</v>
      </c>
      <c r="AB31" s="3">
        <f ca="1">IFERROR(__xludf.DUMMYFUNCTION("AVERAGE.WEIGHTED(D31:E31,$AH31:$AI31)"),0.000450999705874506)</f>
        <v>4.5099970587450598E-4</v>
      </c>
      <c r="AC31" s="3">
        <f ca="1">IFERROR(__xludf.DUMMYFUNCTION("AVERAGE.WEIGHTED(F31:G31,$AJ31:$AK31)"),0.000550971570273765)</f>
        <v>5.5097157027376499E-4</v>
      </c>
      <c r="AD31" s="3" t="str">
        <f ca="1">IFERROR(__xludf.DUMMYFUNCTION("AVERAGE.WEIGHTED(H31:I31,$AA$25:$AB$25)"),"#VALUE!")</f>
        <v>#VALUE!</v>
      </c>
      <c r="AE31" s="3" t="str">
        <f ca="1">IFERROR(__xludf.DUMMYFUNCTION("AVERAGE.WEIGHTED(J31:K31,$AA$25:$AB$25)"),"#VALUE!")</f>
        <v>#VALUE!</v>
      </c>
      <c r="AF31" s="169">
        <v>0.51010778303743498</v>
      </c>
      <c r="AG31" s="3">
        <f t="shared" si="10"/>
        <v>0.48989221696256502</v>
      </c>
      <c r="AH31" s="169">
        <v>0.50999705874506696</v>
      </c>
      <c r="AI31" s="3">
        <f t="shared" si="11"/>
        <v>0.49000294125493304</v>
      </c>
      <c r="AJ31" s="169">
        <v>0.50971570273765898</v>
      </c>
      <c r="AK31" s="3">
        <f t="shared" si="12"/>
        <v>0.49028429726234102</v>
      </c>
      <c r="AT31" s="201"/>
      <c r="AU31" s="201">
        <v>13</v>
      </c>
      <c r="AV31" s="201" t="s">
        <v>54</v>
      </c>
      <c r="AW31" s="201">
        <v>294</v>
      </c>
      <c r="AX31" s="201" t="s">
        <v>278</v>
      </c>
      <c r="AY31" s="201">
        <v>1</v>
      </c>
      <c r="AZ31" s="201" t="s">
        <v>279</v>
      </c>
      <c r="BA31" s="201">
        <v>2018</v>
      </c>
      <c r="BB31" s="201">
        <v>13912.761183926599</v>
      </c>
      <c r="BC31" s="201"/>
      <c r="BD31" s="201"/>
    </row>
    <row r="32" spans="1:73" ht="15.75" customHeight="1" x14ac:dyDescent="0.25">
      <c r="A32" s="1">
        <v>4</v>
      </c>
      <c r="B32" s="23">
        <f t="shared" si="13"/>
        <v>5.5540932133547004E-4</v>
      </c>
      <c r="C32" s="23">
        <f t="shared" si="13"/>
        <v>5.8502870696110275E-4</v>
      </c>
      <c r="D32" s="23">
        <f t="shared" si="13"/>
        <v>4.0000000000000002E-4</v>
      </c>
      <c r="E32" s="23">
        <f t="shared" si="13"/>
        <v>4.0000000000000002E-4</v>
      </c>
      <c r="F32" s="23">
        <f t="shared" si="13"/>
        <v>3.0290525906888599E-4</v>
      </c>
      <c r="G32" s="23">
        <f t="shared" si="13"/>
        <v>5.0000000000000001E-4</v>
      </c>
      <c r="H32" s="23">
        <f t="shared" si="13"/>
        <v>8.0000000000000004E-4</v>
      </c>
      <c r="I32" s="23">
        <f t="shared" si="13"/>
        <v>5.9999999999999995E-4</v>
      </c>
      <c r="J32" s="23">
        <f t="shared" si="13"/>
        <v>1E-3</v>
      </c>
      <c r="K32" s="23">
        <f t="shared" si="13"/>
        <v>1E-3</v>
      </c>
      <c r="L32" s="23">
        <f t="shared" si="13"/>
        <v>2E-3</v>
      </c>
      <c r="M32" s="23">
        <f t="shared" si="13"/>
        <v>1E-3</v>
      </c>
      <c r="N32" s="23">
        <f t="shared" si="13"/>
        <v>2E-3</v>
      </c>
      <c r="O32" s="23">
        <f t="shared" si="13"/>
        <v>2E-3</v>
      </c>
      <c r="P32" s="23">
        <f t="shared" si="13"/>
        <v>2E-3</v>
      </c>
      <c r="Q32" s="23">
        <f t="shared" si="13"/>
        <v>2E-3</v>
      </c>
      <c r="R32" s="23">
        <f t="shared" si="13"/>
        <v>3.0000000000000001E-3</v>
      </c>
      <c r="S32" s="23">
        <f t="shared" si="13"/>
        <v>3.0000000000000001E-3</v>
      </c>
      <c r="T32" s="23">
        <f t="shared" si="13"/>
        <v>5.0000000000000001E-3</v>
      </c>
      <c r="U32" s="23">
        <f t="shared" si="13"/>
        <v>4.0000000000000001E-3</v>
      </c>
      <c r="V32" s="24">
        <f t="shared" si="5"/>
        <v>5.7021901414828634E-4</v>
      </c>
      <c r="W32" s="24">
        <f t="shared" si="6"/>
        <v>4.0000000000000002E-4</v>
      </c>
      <c r="X32" s="24">
        <f t="shared" si="7"/>
        <v>4.0145262953444297E-4</v>
      </c>
      <c r="Y32" s="24">
        <f t="shared" si="8"/>
        <v>6.9999999999999999E-4</v>
      </c>
      <c r="Z32" s="24">
        <f t="shared" si="9"/>
        <v>1E-3</v>
      </c>
      <c r="AA32" s="3">
        <f ca="1">IFERROR(__xludf.DUMMYFUNCTION("AVERAGE.WEIGHTED(B32:C32,$AF32:$AG32)"),0.000351006719100479)</f>
        <v>3.5100671910047899E-4</v>
      </c>
      <c r="AB32" s="3">
        <f ca="1">IFERROR(__xludf.DUMMYFUNCTION("AVERAGE.WEIGHTED(D32:E32,$AH32:$AI32)"),0.000450992377918573)</f>
        <v>4.50992377918573E-4</v>
      </c>
      <c r="AC32" s="3">
        <f ca="1">IFERROR(__xludf.DUMMYFUNCTION("AVERAGE.WEIGHTED(F32:G32,$AJ32:$AK32)"),0.000550963017695789)</f>
        <v>5.5096301769578897E-4</v>
      </c>
      <c r="AD32" s="3" t="str">
        <f ca="1">IFERROR(__xludf.DUMMYFUNCTION("AVERAGE.WEIGHTED(H32:I32,$AA$25:$AB$25)"),"#VALUE!")</f>
        <v>#VALUE!</v>
      </c>
      <c r="AE32" s="3" t="str">
        <f ca="1">IFERROR(__xludf.DUMMYFUNCTION("AVERAGE.WEIGHTED(J32:K32,$AA$25:$AB$25)"),"#VALUE!")</f>
        <v>#VALUE!</v>
      </c>
      <c r="AF32" s="169">
        <v>0.51006719100479803</v>
      </c>
      <c r="AG32" s="3">
        <f t="shared" si="10"/>
        <v>0.48993280899520197</v>
      </c>
      <c r="AH32" s="169">
        <v>0.50992377918573895</v>
      </c>
      <c r="AI32" s="3">
        <f t="shared" si="11"/>
        <v>0.49007622081426105</v>
      </c>
      <c r="AJ32" s="169">
        <v>0.50963017695789103</v>
      </c>
      <c r="AK32" s="3">
        <f t="shared" si="12"/>
        <v>0.49036982304210897</v>
      </c>
      <c r="AT32" s="201"/>
      <c r="AU32" s="201">
        <v>14</v>
      </c>
      <c r="AV32" s="201" t="s">
        <v>55</v>
      </c>
      <c r="AW32" s="201">
        <v>294</v>
      </c>
      <c r="AX32" s="201" t="s">
        <v>278</v>
      </c>
      <c r="AY32" s="201">
        <v>1</v>
      </c>
      <c r="AZ32" s="201" t="s">
        <v>279</v>
      </c>
      <c r="BA32" s="201">
        <v>2018</v>
      </c>
      <c r="BB32" s="201">
        <v>18566.4493424018</v>
      </c>
      <c r="BC32" s="201"/>
      <c r="BD32" s="201"/>
    </row>
    <row r="33" spans="1:56" ht="15.75" customHeight="1" x14ac:dyDescent="0.25">
      <c r="A33" s="1">
        <v>5</v>
      </c>
      <c r="B33" s="23">
        <f t="shared" ref="B33:U37" si="14">B$7</f>
        <v>2.69831862291951E-4</v>
      </c>
      <c r="C33" s="23">
        <f t="shared" si="14"/>
        <v>2.2229987632437507E-4</v>
      </c>
      <c r="D33" s="23">
        <f t="shared" si="14"/>
        <v>2.0000000000000001E-4</v>
      </c>
      <c r="E33" s="23">
        <f t="shared" si="14"/>
        <v>2.0000000000000001E-4</v>
      </c>
      <c r="F33" s="23">
        <f t="shared" si="14"/>
        <v>1.5466374564121401E-4</v>
      </c>
      <c r="G33" s="23">
        <f t="shared" si="14"/>
        <v>2.0000000000000001E-4</v>
      </c>
      <c r="H33" s="23">
        <f t="shared" si="14"/>
        <v>2.9999999999999997E-4</v>
      </c>
      <c r="I33" s="23">
        <f t="shared" si="14"/>
        <v>2.9999999999999997E-4</v>
      </c>
      <c r="J33" s="23">
        <f t="shared" si="14"/>
        <v>2.9999999999999997E-4</v>
      </c>
      <c r="K33" s="23">
        <f t="shared" si="14"/>
        <v>2.9999999999999997E-4</v>
      </c>
      <c r="L33" s="23">
        <f t="shared" si="14"/>
        <v>1E-3</v>
      </c>
      <c r="M33" s="23">
        <f t="shared" si="14"/>
        <v>8.9999999999999998E-4</v>
      </c>
      <c r="N33" s="23">
        <f t="shared" si="14"/>
        <v>1E-3</v>
      </c>
      <c r="O33" s="23">
        <f t="shared" si="14"/>
        <v>1E-3</v>
      </c>
      <c r="P33" s="23">
        <f t="shared" si="14"/>
        <v>1E-3</v>
      </c>
      <c r="Q33" s="23">
        <f t="shared" si="14"/>
        <v>1E-3</v>
      </c>
      <c r="R33" s="23">
        <f t="shared" si="14"/>
        <v>2E-3</v>
      </c>
      <c r="S33" s="23">
        <f t="shared" si="14"/>
        <v>1E-3</v>
      </c>
      <c r="T33" s="23">
        <f t="shared" si="14"/>
        <v>2E-3</v>
      </c>
      <c r="U33" s="23">
        <f t="shared" si="14"/>
        <v>1E-3</v>
      </c>
      <c r="V33" s="24">
        <f t="shared" si="5"/>
        <v>2.4606586930816306E-4</v>
      </c>
      <c r="W33" s="24">
        <f t="shared" si="6"/>
        <v>2.0000000000000001E-4</v>
      </c>
      <c r="X33" s="24">
        <f t="shared" si="7"/>
        <v>1.77331872820607E-4</v>
      </c>
      <c r="Y33" s="24">
        <f t="shared" si="8"/>
        <v>2.9999999999999997E-4</v>
      </c>
      <c r="Z33" s="24">
        <f t="shared" si="9"/>
        <v>2.9999999999999997E-4</v>
      </c>
      <c r="AA33" s="3">
        <f ca="1">IFERROR(__xludf.DUMMYFUNCTION("AVERAGE.WEIGHTED(B33:C33,$AF33:$AG33)"),0.0002)</f>
        <v>2.0000000000000001E-4</v>
      </c>
      <c r="AB33" s="3">
        <f ca="1">IFERROR(__xludf.DUMMYFUNCTION("AVERAGE.WEIGHTED(D33:E33,$AH33:$AI33)"),0.0002)</f>
        <v>2.0000000000000001E-4</v>
      </c>
      <c r="AC33" s="3">
        <f ca="1">IFERROR(__xludf.DUMMYFUNCTION("AVERAGE.WEIGHTED(F33:G33,$AJ33:$AK33)"),0.000250951757583111)</f>
        <v>2.5095175758311101E-4</v>
      </c>
      <c r="AD33" s="3" t="str">
        <f ca="1">IFERROR(__xludf.DUMMYFUNCTION("AVERAGE.WEIGHTED(H33:I33,$AA$25:$AB$25)"),"#VALUE!")</f>
        <v>#VALUE!</v>
      </c>
      <c r="AE33" s="3" t="str">
        <f ca="1">IFERROR(__xludf.DUMMYFUNCTION("AVERAGE.WEIGHTED(J33:K33,$AA$25:$AB$25)"),"#VALUE!")</f>
        <v>#VALUE!</v>
      </c>
      <c r="AF33" s="169">
        <v>0.50999977520175599</v>
      </c>
      <c r="AG33" s="3">
        <f t="shared" si="10"/>
        <v>0.49000022479824401</v>
      </c>
      <c r="AH33" s="169">
        <v>0.50986988160151203</v>
      </c>
      <c r="AI33" s="3">
        <f t="shared" si="11"/>
        <v>0.49013011839848797</v>
      </c>
      <c r="AJ33" s="169">
        <v>0.50951757583111101</v>
      </c>
      <c r="AK33" s="3">
        <f t="shared" si="12"/>
        <v>0.49048242416888899</v>
      </c>
      <c r="AT33" s="201"/>
      <c r="AU33" s="201">
        <v>15</v>
      </c>
      <c r="AV33" s="201" t="s">
        <v>56</v>
      </c>
      <c r="AW33" s="201">
        <v>294</v>
      </c>
      <c r="AX33" s="201" t="s">
        <v>278</v>
      </c>
      <c r="AY33" s="201">
        <v>1</v>
      </c>
      <c r="AZ33" s="201" t="s">
        <v>279</v>
      </c>
      <c r="BA33" s="201">
        <v>2018</v>
      </c>
      <c r="BB33" s="201">
        <v>25903.4773840659</v>
      </c>
      <c r="BC33" s="201"/>
      <c r="BD33" s="201"/>
    </row>
    <row r="34" spans="1:56" ht="15.75" customHeight="1" x14ac:dyDescent="0.25">
      <c r="A34" s="1">
        <v>6</v>
      </c>
      <c r="B34" s="23">
        <f t="shared" si="14"/>
        <v>2.69831862291951E-4</v>
      </c>
      <c r="C34" s="23">
        <f t="shared" si="14"/>
        <v>2.2229987632437507E-4</v>
      </c>
      <c r="D34" s="23">
        <f t="shared" si="14"/>
        <v>2.0000000000000001E-4</v>
      </c>
      <c r="E34" s="23">
        <f t="shared" si="14"/>
        <v>2.0000000000000001E-4</v>
      </c>
      <c r="F34" s="23">
        <f t="shared" si="14"/>
        <v>1.5466374564121401E-4</v>
      </c>
      <c r="G34" s="23">
        <f t="shared" si="14"/>
        <v>2.0000000000000001E-4</v>
      </c>
      <c r="H34" s="23">
        <f t="shared" si="14"/>
        <v>2.9999999999999997E-4</v>
      </c>
      <c r="I34" s="23">
        <f t="shared" si="14"/>
        <v>2.9999999999999997E-4</v>
      </c>
      <c r="J34" s="23">
        <f t="shared" si="14"/>
        <v>2.9999999999999997E-4</v>
      </c>
      <c r="K34" s="23">
        <f t="shared" si="14"/>
        <v>2.9999999999999997E-4</v>
      </c>
      <c r="L34" s="23">
        <f t="shared" si="14"/>
        <v>1E-3</v>
      </c>
      <c r="M34" s="23">
        <f t="shared" si="14"/>
        <v>8.9999999999999998E-4</v>
      </c>
      <c r="N34" s="23">
        <f t="shared" si="14"/>
        <v>1E-3</v>
      </c>
      <c r="O34" s="23">
        <f t="shared" si="14"/>
        <v>1E-3</v>
      </c>
      <c r="P34" s="23">
        <f t="shared" si="14"/>
        <v>1E-3</v>
      </c>
      <c r="Q34" s="23">
        <f t="shared" si="14"/>
        <v>1E-3</v>
      </c>
      <c r="R34" s="23">
        <f t="shared" si="14"/>
        <v>2E-3</v>
      </c>
      <c r="S34" s="23">
        <f t="shared" si="14"/>
        <v>1E-3</v>
      </c>
      <c r="T34" s="23">
        <f t="shared" si="14"/>
        <v>2E-3</v>
      </c>
      <c r="U34" s="23">
        <f t="shared" si="14"/>
        <v>1E-3</v>
      </c>
      <c r="V34" s="24">
        <f t="shared" si="5"/>
        <v>2.4606586930816306E-4</v>
      </c>
      <c r="W34" s="24">
        <f t="shared" si="6"/>
        <v>2.0000000000000001E-4</v>
      </c>
      <c r="X34" s="24">
        <f t="shared" si="7"/>
        <v>1.77331872820607E-4</v>
      </c>
      <c r="Y34" s="24">
        <f t="shared" si="8"/>
        <v>2.9999999999999997E-4</v>
      </c>
      <c r="Z34" s="24">
        <f t="shared" si="9"/>
        <v>2.9999999999999997E-4</v>
      </c>
      <c r="AA34" s="3">
        <f ca="1">IFERROR(__xludf.DUMMYFUNCTION("AVERAGE.WEIGHTED(B34:C34,$AF34:$AG34)"),0.0002)</f>
        <v>2.0000000000000001E-4</v>
      </c>
      <c r="AB34" s="3">
        <f ca="1">IFERROR(__xludf.DUMMYFUNCTION("AVERAGE.WEIGHTED(D34:E34,$AH34:$AI34)"),0.0002)</f>
        <v>2.0000000000000001E-4</v>
      </c>
      <c r="AC34" s="3">
        <f ca="1">IFERROR(__xludf.DUMMYFUNCTION("AVERAGE.WEIGHTED(F34:G34,$AJ34:$AK34)"),0.00025093583676757)</f>
        <v>2.5093583676756998E-4</v>
      </c>
      <c r="AD34" s="3" t="str">
        <f ca="1">IFERROR(__xludf.DUMMYFUNCTION("AVERAGE.WEIGHTED(H34:I34,$AA$25:$AB$25)"),"#VALUE!")</f>
        <v>#VALUE!</v>
      </c>
      <c r="AE34" s="3" t="str">
        <f ca="1">IFERROR(__xludf.DUMMYFUNCTION("AVERAGE.WEIGHTED(J34:K34,$AA$25:$AB$25)"),"#VALUE!")</f>
        <v>#VALUE!</v>
      </c>
      <c r="AF34" s="169">
        <v>0.50994815880564004</v>
      </c>
      <c r="AG34" s="3">
        <f t="shared" si="10"/>
        <v>0.49005184119435996</v>
      </c>
      <c r="AH34" s="169">
        <v>0.50979295354839704</v>
      </c>
      <c r="AI34" s="3">
        <f t="shared" si="11"/>
        <v>0.49020704645160296</v>
      </c>
      <c r="AJ34" s="169">
        <v>0.50935836767570197</v>
      </c>
      <c r="AK34" s="3">
        <f t="shared" si="12"/>
        <v>0.49064163232429803</v>
      </c>
      <c r="AT34" s="201"/>
      <c r="AU34" s="201">
        <v>16</v>
      </c>
      <c r="AV34" s="201" t="s">
        <v>57</v>
      </c>
      <c r="AW34" s="201">
        <v>294</v>
      </c>
      <c r="AX34" s="201" t="s">
        <v>278</v>
      </c>
      <c r="AY34" s="201">
        <v>1</v>
      </c>
      <c r="AZ34" s="201" t="s">
        <v>279</v>
      </c>
      <c r="BA34" s="201">
        <v>2018</v>
      </c>
      <c r="BB34" s="201">
        <v>34430.949127616899</v>
      </c>
      <c r="BC34" s="201"/>
      <c r="BD34" s="201"/>
    </row>
    <row r="35" spans="1:56" ht="15.75" customHeight="1" x14ac:dyDescent="0.25">
      <c r="A35" s="1">
        <v>7</v>
      </c>
      <c r="B35" s="23">
        <f t="shared" si="14"/>
        <v>2.69831862291951E-4</v>
      </c>
      <c r="C35" s="23">
        <f t="shared" si="14"/>
        <v>2.2229987632437507E-4</v>
      </c>
      <c r="D35" s="23">
        <f t="shared" si="14"/>
        <v>2.0000000000000001E-4</v>
      </c>
      <c r="E35" s="23">
        <f t="shared" si="14"/>
        <v>2.0000000000000001E-4</v>
      </c>
      <c r="F35" s="23">
        <f t="shared" si="14"/>
        <v>1.5466374564121401E-4</v>
      </c>
      <c r="G35" s="23">
        <f t="shared" si="14"/>
        <v>2.0000000000000001E-4</v>
      </c>
      <c r="H35" s="23">
        <f t="shared" si="14"/>
        <v>2.9999999999999997E-4</v>
      </c>
      <c r="I35" s="23">
        <f t="shared" si="14"/>
        <v>2.9999999999999997E-4</v>
      </c>
      <c r="J35" s="23">
        <f t="shared" si="14"/>
        <v>2.9999999999999997E-4</v>
      </c>
      <c r="K35" s="23">
        <f t="shared" si="14"/>
        <v>2.9999999999999997E-4</v>
      </c>
      <c r="L35" s="23">
        <f t="shared" si="14"/>
        <v>1E-3</v>
      </c>
      <c r="M35" s="23">
        <f t="shared" si="14"/>
        <v>8.9999999999999998E-4</v>
      </c>
      <c r="N35" s="23">
        <f t="shared" si="14"/>
        <v>1E-3</v>
      </c>
      <c r="O35" s="23">
        <f t="shared" si="14"/>
        <v>1E-3</v>
      </c>
      <c r="P35" s="23">
        <f t="shared" si="14"/>
        <v>1E-3</v>
      </c>
      <c r="Q35" s="23">
        <f t="shared" si="14"/>
        <v>1E-3</v>
      </c>
      <c r="R35" s="23">
        <f t="shared" si="14"/>
        <v>2E-3</v>
      </c>
      <c r="S35" s="23">
        <f t="shared" si="14"/>
        <v>1E-3</v>
      </c>
      <c r="T35" s="23">
        <f t="shared" si="14"/>
        <v>2E-3</v>
      </c>
      <c r="U35" s="23">
        <f t="shared" si="14"/>
        <v>1E-3</v>
      </c>
      <c r="V35" s="24">
        <f t="shared" si="5"/>
        <v>2.4606586930816306E-4</v>
      </c>
      <c r="W35" s="24">
        <f t="shared" si="6"/>
        <v>2.0000000000000001E-4</v>
      </c>
      <c r="X35" s="24">
        <f t="shared" si="7"/>
        <v>1.77331872820607E-4</v>
      </c>
      <c r="Y35" s="24">
        <f t="shared" si="8"/>
        <v>2.9999999999999997E-4</v>
      </c>
      <c r="Z35" s="24">
        <f t="shared" si="9"/>
        <v>2.9999999999999997E-4</v>
      </c>
      <c r="AA35" s="3">
        <f ca="1">IFERROR(__xludf.DUMMYFUNCTION("AVERAGE.WEIGHTED(B35:C35,$AF35:$AG35)"),0.0002)</f>
        <v>2.0000000000000001E-4</v>
      </c>
      <c r="AB35" s="3">
        <f ca="1">IFERROR(__xludf.DUMMYFUNCTION("AVERAGE.WEIGHTED(D35:E35,$AH35:$AI35)"),0.0002)</f>
        <v>2.0000000000000001E-4</v>
      </c>
      <c r="AC35" s="3">
        <f ca="1">IFERROR(__xludf.DUMMYFUNCTION("AVERAGE.WEIGHTED(F35:G35,$AJ35:$AK35)"),0.00025092101176585)</f>
        <v>2.5092101176584999E-4</v>
      </c>
      <c r="AD35" s="3" t="str">
        <f ca="1">IFERROR(__xludf.DUMMYFUNCTION("AVERAGE.WEIGHTED(H35:I35,$AA$25:$AB$25)"),"#VALUE!")</f>
        <v>#VALUE!</v>
      </c>
      <c r="AE35" s="3" t="str">
        <f ca="1">IFERROR(__xludf.DUMMYFUNCTION("AVERAGE.WEIGHTED(J35:K35,$AA$25:$AB$25)"),"#VALUE!")</f>
        <v>#VALUE!</v>
      </c>
      <c r="AF35" s="169">
        <v>0.50990268638035097</v>
      </c>
      <c r="AG35" s="3">
        <f t="shared" si="10"/>
        <v>0.49009731361964903</v>
      </c>
      <c r="AH35" s="169">
        <v>0.50968080385496695</v>
      </c>
      <c r="AI35" s="3">
        <f t="shared" si="11"/>
        <v>0.49031919614503305</v>
      </c>
      <c r="AJ35" s="169">
        <v>0.50921011765850499</v>
      </c>
      <c r="AK35" s="3">
        <f t="shared" si="12"/>
        <v>0.49078988234149501</v>
      </c>
      <c r="AT35" s="201"/>
      <c r="AU35" s="201">
        <v>17</v>
      </c>
      <c r="AV35" s="201" t="s">
        <v>58</v>
      </c>
      <c r="AW35" s="201">
        <v>294</v>
      </c>
      <c r="AX35" s="201" t="s">
        <v>278</v>
      </c>
      <c r="AY35" s="201">
        <v>1</v>
      </c>
      <c r="AZ35" s="201" t="s">
        <v>279</v>
      </c>
      <c r="BA35" s="201">
        <v>2018</v>
      </c>
      <c r="BB35" s="201">
        <v>43624.184537253401</v>
      </c>
      <c r="BC35" s="201"/>
      <c r="BD35" s="201"/>
    </row>
    <row r="36" spans="1:56" ht="15.75" customHeight="1" x14ac:dyDescent="0.25">
      <c r="A36" s="1">
        <v>8</v>
      </c>
      <c r="B36" s="23">
        <f t="shared" si="14"/>
        <v>2.69831862291951E-4</v>
      </c>
      <c r="C36" s="23">
        <f t="shared" si="14"/>
        <v>2.2229987632437507E-4</v>
      </c>
      <c r="D36" s="23">
        <f t="shared" si="14"/>
        <v>2.0000000000000001E-4</v>
      </c>
      <c r="E36" s="23">
        <f t="shared" si="14"/>
        <v>2.0000000000000001E-4</v>
      </c>
      <c r="F36" s="23">
        <f t="shared" si="14"/>
        <v>1.5466374564121401E-4</v>
      </c>
      <c r="G36" s="23">
        <f t="shared" si="14"/>
        <v>2.0000000000000001E-4</v>
      </c>
      <c r="H36" s="23">
        <f t="shared" si="14"/>
        <v>2.9999999999999997E-4</v>
      </c>
      <c r="I36" s="23">
        <f t="shared" si="14"/>
        <v>2.9999999999999997E-4</v>
      </c>
      <c r="J36" s="23">
        <f t="shared" si="14"/>
        <v>2.9999999999999997E-4</v>
      </c>
      <c r="K36" s="23">
        <f t="shared" si="14"/>
        <v>2.9999999999999997E-4</v>
      </c>
      <c r="L36" s="23">
        <f t="shared" si="14"/>
        <v>1E-3</v>
      </c>
      <c r="M36" s="23">
        <f t="shared" si="14"/>
        <v>8.9999999999999998E-4</v>
      </c>
      <c r="N36" s="23">
        <f t="shared" si="14"/>
        <v>1E-3</v>
      </c>
      <c r="O36" s="23">
        <f t="shared" si="14"/>
        <v>1E-3</v>
      </c>
      <c r="P36" s="23">
        <f t="shared" si="14"/>
        <v>1E-3</v>
      </c>
      <c r="Q36" s="23">
        <f t="shared" si="14"/>
        <v>1E-3</v>
      </c>
      <c r="R36" s="23">
        <f t="shared" si="14"/>
        <v>2E-3</v>
      </c>
      <c r="S36" s="23">
        <f t="shared" si="14"/>
        <v>1E-3</v>
      </c>
      <c r="T36" s="23">
        <f t="shared" si="14"/>
        <v>2E-3</v>
      </c>
      <c r="U36" s="23">
        <f t="shared" si="14"/>
        <v>1E-3</v>
      </c>
      <c r="V36" s="24">
        <f t="shared" si="5"/>
        <v>2.4606586930816306E-4</v>
      </c>
      <c r="W36" s="24">
        <f t="shared" si="6"/>
        <v>2.0000000000000001E-4</v>
      </c>
      <c r="X36" s="24">
        <f t="shared" si="7"/>
        <v>1.77331872820607E-4</v>
      </c>
      <c r="Y36" s="24">
        <f t="shared" si="8"/>
        <v>2.9999999999999997E-4</v>
      </c>
      <c r="Z36" s="24">
        <f t="shared" si="9"/>
        <v>2.9999999999999997E-4</v>
      </c>
      <c r="AA36" s="3">
        <f ca="1">IFERROR(__xludf.DUMMYFUNCTION("AVERAGE.WEIGHTED(B36:C36,$AF36:$AG36)"),0.0002)</f>
        <v>2.0000000000000001E-4</v>
      </c>
      <c r="AB36" s="3">
        <f ca="1">IFERROR(__xludf.DUMMYFUNCTION("AVERAGE.WEIGHTED(D36:E36,$AH36:$AI36)"),0.0002)</f>
        <v>2.0000000000000001E-4</v>
      </c>
      <c r="AC36" s="3">
        <f ca="1">IFERROR(__xludf.DUMMYFUNCTION("AVERAGE.WEIGHTED(F36:G36,$AJ36:$AK36)"),0.000250908498414037)</f>
        <v>2.5090849841403698E-4</v>
      </c>
      <c r="AD36" s="3" t="str">
        <f ca="1">IFERROR(__xludf.DUMMYFUNCTION("AVERAGE.WEIGHTED(H36:I36,$AA$25:$AB$25)"),"#VALUE!")</f>
        <v>#VALUE!</v>
      </c>
      <c r="AE36" s="3" t="str">
        <f ca="1">IFERROR(__xludf.DUMMYFUNCTION("AVERAGE.WEIGHTED(J36:K36,$AA$25:$AB$25)"),"#VALUE!")</f>
        <v>#VALUE!</v>
      </c>
      <c r="AF36" s="169">
        <v>0.50983596886170401</v>
      </c>
      <c r="AG36" s="3">
        <f t="shared" si="10"/>
        <v>0.49016403113829599</v>
      </c>
      <c r="AH36" s="169">
        <v>0.50958040293450702</v>
      </c>
      <c r="AI36" s="3">
        <f t="shared" si="11"/>
        <v>0.49041959706549298</v>
      </c>
      <c r="AJ36" s="169">
        <v>0.50908498414037495</v>
      </c>
      <c r="AK36" s="3">
        <f t="shared" si="12"/>
        <v>0.49091501585962505</v>
      </c>
      <c r="AT36" s="201"/>
      <c r="AU36" s="201">
        <v>18</v>
      </c>
      <c r="AV36" s="201" t="s">
        <v>59</v>
      </c>
      <c r="AW36" s="201">
        <v>294</v>
      </c>
      <c r="AX36" s="201" t="s">
        <v>278</v>
      </c>
      <c r="AY36" s="201">
        <v>1</v>
      </c>
      <c r="AZ36" s="201" t="s">
        <v>279</v>
      </c>
      <c r="BA36" s="201">
        <v>2018</v>
      </c>
      <c r="BB36" s="201">
        <v>51705.517693012902</v>
      </c>
      <c r="BC36" s="201"/>
      <c r="BD36" s="201"/>
    </row>
    <row r="37" spans="1:56" ht="15.75" customHeight="1" x14ac:dyDescent="0.25">
      <c r="A37" s="1">
        <v>9</v>
      </c>
      <c r="B37" s="23">
        <f t="shared" si="14"/>
        <v>2.69831862291951E-4</v>
      </c>
      <c r="C37" s="23">
        <f t="shared" si="14"/>
        <v>2.2229987632437507E-4</v>
      </c>
      <c r="D37" s="23">
        <f t="shared" si="14"/>
        <v>2.0000000000000001E-4</v>
      </c>
      <c r="E37" s="23">
        <f t="shared" si="14"/>
        <v>2.0000000000000001E-4</v>
      </c>
      <c r="F37" s="23">
        <f t="shared" si="14"/>
        <v>1.5466374564121401E-4</v>
      </c>
      <c r="G37" s="23">
        <f t="shared" si="14"/>
        <v>2.0000000000000001E-4</v>
      </c>
      <c r="H37" s="23">
        <f t="shared" si="14"/>
        <v>2.9999999999999997E-4</v>
      </c>
      <c r="I37" s="23">
        <f t="shared" si="14"/>
        <v>2.9999999999999997E-4</v>
      </c>
      <c r="J37" s="23">
        <f t="shared" si="14"/>
        <v>2.9999999999999997E-4</v>
      </c>
      <c r="K37" s="23">
        <f t="shared" si="14"/>
        <v>2.9999999999999997E-4</v>
      </c>
      <c r="L37" s="23">
        <f t="shared" si="14"/>
        <v>1E-3</v>
      </c>
      <c r="M37" s="23">
        <f t="shared" si="14"/>
        <v>8.9999999999999998E-4</v>
      </c>
      <c r="N37" s="23">
        <f t="shared" si="14"/>
        <v>1E-3</v>
      </c>
      <c r="O37" s="23">
        <f t="shared" si="14"/>
        <v>1E-3</v>
      </c>
      <c r="P37" s="23">
        <f t="shared" si="14"/>
        <v>1E-3</v>
      </c>
      <c r="Q37" s="23">
        <f t="shared" si="14"/>
        <v>1E-3</v>
      </c>
      <c r="R37" s="23">
        <f t="shared" si="14"/>
        <v>2E-3</v>
      </c>
      <c r="S37" s="23">
        <f t="shared" si="14"/>
        <v>1E-3</v>
      </c>
      <c r="T37" s="23">
        <f t="shared" si="14"/>
        <v>2E-3</v>
      </c>
      <c r="U37" s="23">
        <f t="shared" si="14"/>
        <v>1E-3</v>
      </c>
      <c r="V37" s="24">
        <f t="shared" si="5"/>
        <v>2.4606586930816306E-4</v>
      </c>
      <c r="W37" s="24">
        <f t="shared" si="6"/>
        <v>2.0000000000000001E-4</v>
      </c>
      <c r="X37" s="24">
        <f t="shared" si="7"/>
        <v>1.77331872820607E-4</v>
      </c>
      <c r="Y37" s="24">
        <f t="shared" si="8"/>
        <v>2.9999999999999997E-4</v>
      </c>
      <c r="Z37" s="24">
        <f t="shared" si="9"/>
        <v>2.9999999999999997E-4</v>
      </c>
      <c r="AA37" s="3">
        <f ca="1">IFERROR(__xludf.DUMMYFUNCTION("AVERAGE.WEIGHTED(B37:C37,$AF37:$AG37)"),0.0002)</f>
        <v>2.0000000000000001E-4</v>
      </c>
      <c r="AB37" s="3">
        <f ca="1">IFERROR(__xludf.DUMMYFUNCTION("AVERAGE.WEIGHTED(D37:E37,$AH37:$AI37)"),0.0002)</f>
        <v>2.0000000000000001E-4</v>
      </c>
      <c r="AC37" s="3">
        <f ca="1">IFERROR(__xludf.DUMMYFUNCTION("AVERAGE.WEIGHTED(F37:G37,$AJ37:$AK37)"),0.000250891351546463)</f>
        <v>2.5089135154646299E-4</v>
      </c>
      <c r="AD37" s="3" t="str">
        <f ca="1">IFERROR(__xludf.DUMMYFUNCTION("AVERAGE.WEIGHTED(H37:I37,$AA$25:$AB$25)"),"#VALUE!")</f>
        <v>#VALUE!</v>
      </c>
      <c r="AE37" s="3" t="str">
        <f ca="1">IFERROR(__xludf.DUMMYFUNCTION("AVERAGE.WEIGHTED(J37:K37,$AA$25:$AB$25)"),"#VALUE!")</f>
        <v>#VALUE!</v>
      </c>
      <c r="AF37" s="169">
        <v>0.50978510679129896</v>
      </c>
      <c r="AG37" s="3">
        <f t="shared" si="10"/>
        <v>0.49021489320870104</v>
      </c>
      <c r="AH37" s="169">
        <v>0.50950011215698698</v>
      </c>
      <c r="AI37" s="3">
        <f t="shared" si="11"/>
        <v>0.49049988784301302</v>
      </c>
      <c r="AJ37" s="169">
        <v>0.50891351546464003</v>
      </c>
      <c r="AK37" s="3">
        <f t="shared" si="12"/>
        <v>0.49108648453535997</v>
      </c>
      <c r="AT37" s="201"/>
      <c r="AU37" s="201">
        <v>19</v>
      </c>
      <c r="AV37" s="201" t="s">
        <v>60</v>
      </c>
      <c r="AW37" s="201">
        <v>294</v>
      </c>
      <c r="AX37" s="201" t="s">
        <v>278</v>
      </c>
      <c r="AY37" s="201">
        <v>1</v>
      </c>
      <c r="AZ37" s="201" t="s">
        <v>279</v>
      </c>
      <c r="BA37" s="201">
        <v>2018</v>
      </c>
      <c r="BB37" s="201">
        <v>60016.490160800699</v>
      </c>
      <c r="BC37" s="201"/>
      <c r="BD37" s="201"/>
    </row>
    <row r="38" spans="1:56" ht="15" x14ac:dyDescent="0.25">
      <c r="A38" s="1">
        <v>10</v>
      </c>
      <c r="B38" s="23">
        <f t="shared" ref="B38:U42" si="15">B$8</f>
        <v>3.2117774836055903E-4</v>
      </c>
      <c r="C38" s="23">
        <f t="shared" si="15"/>
        <v>2.5198863069903312E-4</v>
      </c>
      <c r="D38" s="23">
        <f t="shared" si="15"/>
        <v>2.0000000000000001E-4</v>
      </c>
      <c r="E38" s="23">
        <f t="shared" si="15"/>
        <v>4.0000000000000002E-4</v>
      </c>
      <c r="F38" s="23">
        <f t="shared" si="15"/>
        <v>1.8246561429661001E-4</v>
      </c>
      <c r="G38" s="23">
        <f t="shared" si="15"/>
        <v>2.9999999999999997E-4</v>
      </c>
      <c r="H38" s="23">
        <f t="shared" si="15"/>
        <v>4.0000000000000002E-4</v>
      </c>
      <c r="I38" s="23">
        <f t="shared" si="15"/>
        <v>2.9999999999999997E-4</v>
      </c>
      <c r="J38" s="23">
        <f t="shared" si="15"/>
        <v>4.0000000000000002E-4</v>
      </c>
      <c r="K38" s="23">
        <f t="shared" si="15"/>
        <v>2.9999999999999997E-4</v>
      </c>
      <c r="L38" s="23">
        <f t="shared" si="15"/>
        <v>2E-3</v>
      </c>
      <c r="M38" s="23">
        <f t="shared" si="15"/>
        <v>1E-3</v>
      </c>
      <c r="N38" s="23">
        <f t="shared" si="15"/>
        <v>2E-3</v>
      </c>
      <c r="O38" s="23">
        <f t="shared" si="15"/>
        <v>1E-3</v>
      </c>
      <c r="P38" s="23">
        <f t="shared" si="15"/>
        <v>2E-3</v>
      </c>
      <c r="Q38" s="23">
        <f t="shared" si="15"/>
        <v>1E-3</v>
      </c>
      <c r="R38" s="23">
        <f t="shared" si="15"/>
        <v>2E-3</v>
      </c>
      <c r="S38" s="23">
        <f t="shared" si="15"/>
        <v>1E-3</v>
      </c>
      <c r="T38" s="23">
        <f t="shared" si="15"/>
        <v>2E-3</v>
      </c>
      <c r="U38" s="23">
        <f t="shared" si="15"/>
        <v>1E-3</v>
      </c>
      <c r="V38" s="24">
        <f t="shared" si="5"/>
        <v>2.8658318952979608E-4</v>
      </c>
      <c r="W38" s="24">
        <f t="shared" si="6"/>
        <v>3.0000000000000003E-4</v>
      </c>
      <c r="X38" s="24">
        <f t="shared" si="7"/>
        <v>2.4123280714830498E-4</v>
      </c>
      <c r="Y38" s="24">
        <f t="shared" si="8"/>
        <v>3.5E-4</v>
      </c>
      <c r="Z38" s="24">
        <f t="shared" si="9"/>
        <v>3.5E-4</v>
      </c>
      <c r="AA38" s="3">
        <f ca="1">IFERROR(__xludf.DUMMYFUNCTION("AVERAGE.WEIGHTED(B38:C38,$AF38:$AG38)"),0.000250971090703887)</f>
        <v>2.5097109070388701E-4</v>
      </c>
      <c r="AB38" s="3">
        <f ca="1">IFERROR(__xludf.DUMMYFUNCTION("AVERAGE.WEIGHTED(D38:E38,$AH38:$AI38)"),0.00030187791673972)</f>
        <v>3.0187791673971998E-4</v>
      </c>
      <c r="AC38" s="3">
        <f ca="1">IFERROR(__xludf.DUMMYFUNCTION("AVERAGE.WEIGHTED(F38:G38,$AJ38:$AK38)"),0.000350873680765672)</f>
        <v>3.50873680765672E-4</v>
      </c>
      <c r="AD38" s="3" t="str">
        <f ca="1">IFERROR(__xludf.DUMMYFUNCTION("AVERAGE.WEIGHTED(H38:I38,$AA$25:$AB$25)"),"#VALUE!")</f>
        <v>#VALUE!</v>
      </c>
      <c r="AE38" s="3" t="str">
        <f ca="1">IFERROR(__xludf.DUMMYFUNCTION("AVERAGE.WEIGHTED(J38:K38,$AA$25:$AB$25)"),"#VALUE!")</f>
        <v>#VALUE!</v>
      </c>
      <c r="AF38" s="169">
        <v>0.50971090703887101</v>
      </c>
      <c r="AG38" s="3">
        <f t="shared" si="10"/>
        <v>0.49028909296112899</v>
      </c>
      <c r="AH38" s="169">
        <v>0.50938958369860199</v>
      </c>
      <c r="AI38" s="3">
        <f t="shared" si="11"/>
        <v>0.49061041630139801</v>
      </c>
      <c r="AJ38" s="169">
        <v>0.50873680765672802</v>
      </c>
      <c r="AK38" s="3">
        <f t="shared" si="12"/>
        <v>0.49126319234327198</v>
      </c>
      <c r="AT38" s="201"/>
      <c r="AU38" s="201">
        <v>20</v>
      </c>
      <c r="AV38" s="201" t="s">
        <v>61</v>
      </c>
      <c r="AW38" s="201">
        <v>294</v>
      </c>
      <c r="AX38" s="201" t="s">
        <v>278</v>
      </c>
      <c r="AY38" s="201">
        <v>1</v>
      </c>
      <c r="AZ38" s="201" t="s">
        <v>279</v>
      </c>
      <c r="BA38" s="201">
        <v>2018</v>
      </c>
      <c r="BB38" s="201">
        <v>69403.668690403094</v>
      </c>
      <c r="BC38" s="201"/>
      <c r="BD38" s="201"/>
    </row>
    <row r="39" spans="1:56" ht="15" x14ac:dyDescent="0.25">
      <c r="A39" s="1">
        <v>11</v>
      </c>
      <c r="B39" s="23">
        <f t="shared" si="15"/>
        <v>3.2117774836055903E-4</v>
      </c>
      <c r="C39" s="23">
        <f t="shared" si="15"/>
        <v>2.5198863069903312E-4</v>
      </c>
      <c r="D39" s="23">
        <f t="shared" si="15"/>
        <v>2.0000000000000001E-4</v>
      </c>
      <c r="E39" s="23">
        <f t="shared" si="15"/>
        <v>4.0000000000000002E-4</v>
      </c>
      <c r="F39" s="23">
        <f t="shared" si="15"/>
        <v>1.8246561429661001E-4</v>
      </c>
      <c r="G39" s="23">
        <f t="shared" si="15"/>
        <v>2.9999999999999997E-4</v>
      </c>
      <c r="H39" s="23">
        <f t="shared" si="15"/>
        <v>4.0000000000000002E-4</v>
      </c>
      <c r="I39" s="23">
        <f t="shared" si="15"/>
        <v>2.9999999999999997E-4</v>
      </c>
      <c r="J39" s="23">
        <f t="shared" si="15"/>
        <v>4.0000000000000002E-4</v>
      </c>
      <c r="K39" s="23">
        <f t="shared" si="15"/>
        <v>2.9999999999999997E-4</v>
      </c>
      <c r="L39" s="23">
        <f t="shared" si="15"/>
        <v>2E-3</v>
      </c>
      <c r="M39" s="23">
        <f t="shared" si="15"/>
        <v>1E-3</v>
      </c>
      <c r="N39" s="23">
        <f t="shared" si="15"/>
        <v>2E-3</v>
      </c>
      <c r="O39" s="23">
        <f t="shared" si="15"/>
        <v>1E-3</v>
      </c>
      <c r="P39" s="23">
        <f t="shared" si="15"/>
        <v>2E-3</v>
      </c>
      <c r="Q39" s="23">
        <f t="shared" si="15"/>
        <v>1E-3</v>
      </c>
      <c r="R39" s="23">
        <f t="shared" si="15"/>
        <v>2E-3</v>
      </c>
      <c r="S39" s="23">
        <f t="shared" si="15"/>
        <v>1E-3</v>
      </c>
      <c r="T39" s="23">
        <f t="shared" si="15"/>
        <v>2E-3</v>
      </c>
      <c r="U39" s="23">
        <f t="shared" si="15"/>
        <v>1E-3</v>
      </c>
      <c r="V39" s="24">
        <f t="shared" si="5"/>
        <v>2.8658318952979608E-4</v>
      </c>
      <c r="W39" s="24">
        <f t="shared" si="6"/>
        <v>3.0000000000000003E-4</v>
      </c>
      <c r="X39" s="24">
        <f t="shared" si="7"/>
        <v>2.4123280714830498E-4</v>
      </c>
      <c r="Y39" s="24">
        <f t="shared" si="8"/>
        <v>3.5E-4</v>
      </c>
      <c r="Z39" s="24">
        <f t="shared" si="9"/>
        <v>3.5E-4</v>
      </c>
      <c r="AA39" s="3">
        <f ca="1">IFERROR(__xludf.DUMMYFUNCTION("AVERAGE.WEIGHTED(B39:C39,$AF39:$AG39)"),0.000250960197963438)</f>
        <v>2.5096019796343801E-4</v>
      </c>
      <c r="AB39" s="3">
        <f ca="1">IFERROR(__xludf.DUMMYFUNCTION("AVERAGE.WEIGHTED(D39:E39,$AH39:$AI39)"),0.000301845930701251)</f>
        <v>3.0184593070125101E-4</v>
      </c>
      <c r="AC39" s="3">
        <f ca="1">IFERROR(__xludf.DUMMYFUNCTION("AVERAGE.WEIGHTED(F39:G39,$AJ39:$AK39)"),0.000350856246721295)</f>
        <v>3.5085624672129501E-4</v>
      </c>
      <c r="AD39" s="3" t="str">
        <f ca="1">IFERROR(__xludf.DUMMYFUNCTION("AVERAGE.WEIGHTED(H39:I39,$AA$25:$AB$25)"),"#VALUE!")</f>
        <v>#VALUE!</v>
      </c>
      <c r="AE39" s="3" t="str">
        <f ca="1">IFERROR(__xludf.DUMMYFUNCTION("AVERAGE.WEIGHTED(J39:K39,$AA$25:$AB$25)"),"#VALUE!")</f>
        <v>#VALUE!</v>
      </c>
      <c r="AF39" s="169">
        <v>0.50960197963438603</v>
      </c>
      <c r="AG39" s="3">
        <f t="shared" si="10"/>
        <v>0.49039802036561397</v>
      </c>
      <c r="AH39" s="169">
        <v>0.50922965350625704</v>
      </c>
      <c r="AI39" s="3">
        <f t="shared" si="11"/>
        <v>0.49077034649374296</v>
      </c>
      <c r="AJ39" s="169">
        <v>0.50856246721295495</v>
      </c>
      <c r="AK39" s="3">
        <f t="shared" si="12"/>
        <v>0.49143753278704505</v>
      </c>
      <c r="AT39" s="201"/>
      <c r="AU39" s="201">
        <v>30</v>
      </c>
      <c r="AV39" s="201" t="s">
        <v>280</v>
      </c>
      <c r="AW39" s="201">
        <v>294</v>
      </c>
      <c r="AX39" s="201" t="s">
        <v>278</v>
      </c>
      <c r="AY39" s="201">
        <v>1</v>
      </c>
      <c r="AZ39" s="201" t="s">
        <v>279</v>
      </c>
      <c r="BA39" s="201">
        <v>2018</v>
      </c>
      <c r="BB39" s="201">
        <v>76813.584256051501</v>
      </c>
      <c r="BC39" s="201"/>
      <c r="BD39" s="201"/>
    </row>
    <row r="40" spans="1:56" ht="15" x14ac:dyDescent="0.25">
      <c r="A40" s="1">
        <v>12</v>
      </c>
      <c r="B40" s="23">
        <f t="shared" si="15"/>
        <v>3.2117774836055903E-4</v>
      </c>
      <c r="C40" s="23">
        <f t="shared" si="15"/>
        <v>2.5198863069903312E-4</v>
      </c>
      <c r="D40" s="23">
        <f t="shared" si="15"/>
        <v>2.0000000000000001E-4</v>
      </c>
      <c r="E40" s="23">
        <f t="shared" si="15"/>
        <v>4.0000000000000002E-4</v>
      </c>
      <c r="F40" s="23">
        <f t="shared" si="15"/>
        <v>1.8246561429661001E-4</v>
      </c>
      <c r="G40" s="23">
        <f t="shared" si="15"/>
        <v>2.9999999999999997E-4</v>
      </c>
      <c r="H40" s="23">
        <f t="shared" si="15"/>
        <v>4.0000000000000002E-4</v>
      </c>
      <c r="I40" s="23">
        <f t="shared" si="15"/>
        <v>2.9999999999999997E-4</v>
      </c>
      <c r="J40" s="23">
        <f t="shared" si="15"/>
        <v>4.0000000000000002E-4</v>
      </c>
      <c r="K40" s="23">
        <f t="shared" si="15"/>
        <v>2.9999999999999997E-4</v>
      </c>
      <c r="L40" s="23">
        <f t="shared" si="15"/>
        <v>2E-3</v>
      </c>
      <c r="M40" s="23">
        <f t="shared" si="15"/>
        <v>1E-3</v>
      </c>
      <c r="N40" s="23">
        <f t="shared" si="15"/>
        <v>2E-3</v>
      </c>
      <c r="O40" s="23">
        <f t="shared" si="15"/>
        <v>1E-3</v>
      </c>
      <c r="P40" s="23">
        <f t="shared" si="15"/>
        <v>2E-3</v>
      </c>
      <c r="Q40" s="23">
        <f t="shared" si="15"/>
        <v>1E-3</v>
      </c>
      <c r="R40" s="23">
        <f t="shared" si="15"/>
        <v>2E-3</v>
      </c>
      <c r="S40" s="23">
        <f t="shared" si="15"/>
        <v>1E-3</v>
      </c>
      <c r="T40" s="23">
        <f t="shared" si="15"/>
        <v>2E-3</v>
      </c>
      <c r="U40" s="23">
        <f t="shared" si="15"/>
        <v>1E-3</v>
      </c>
      <c r="V40" s="24">
        <f t="shared" si="5"/>
        <v>2.8658318952979608E-4</v>
      </c>
      <c r="W40" s="24">
        <f t="shared" si="6"/>
        <v>3.0000000000000003E-4</v>
      </c>
      <c r="X40" s="24">
        <f t="shared" si="7"/>
        <v>2.4123280714830498E-4</v>
      </c>
      <c r="Y40" s="24">
        <f t="shared" si="8"/>
        <v>3.5E-4</v>
      </c>
      <c r="Z40" s="24">
        <f t="shared" si="9"/>
        <v>3.5E-4</v>
      </c>
      <c r="AA40" s="3">
        <f ca="1">IFERROR(__xludf.DUMMYFUNCTION("AVERAGE.WEIGHTED(B40:C40,$AF40:$AG40)"),0.000250950558479106)</f>
        <v>2.5095055847910601E-4</v>
      </c>
      <c r="AB40" s="3">
        <f ca="1">IFERROR(__xludf.DUMMYFUNCTION("AVERAGE.WEIGHTED(D40:E40,$AH40:$AI40)"),0.000301815375264282)</f>
        <v>3.0181537526428198E-4</v>
      </c>
      <c r="AC40" s="3">
        <f ca="1">IFERROR(__xludf.DUMMYFUNCTION("AVERAGE.WEIGHTED(F40:G40,$AJ40:$AK40)"),0.000350835432641949)</f>
        <v>3.5083543264194898E-4</v>
      </c>
      <c r="AD40" s="3" t="str">
        <f ca="1">IFERROR(__xludf.DUMMYFUNCTION("AVERAGE.WEIGHTED(H40:I40,$AA$25:$AB$25)"),"#VALUE!")</f>
        <v>#VALUE!</v>
      </c>
      <c r="AE40" s="3" t="str">
        <f ca="1">IFERROR(__xludf.DUMMYFUNCTION("AVERAGE.WEIGHTED(J40:K40,$AA$25:$AB$25)"),"#VALUE!")</f>
        <v>#VALUE!</v>
      </c>
      <c r="AF40" s="169">
        <v>0.509505584791064</v>
      </c>
      <c r="AG40" s="3">
        <f t="shared" si="10"/>
        <v>0.490494415208936</v>
      </c>
      <c r="AH40" s="169">
        <v>0.50907687632141096</v>
      </c>
      <c r="AI40" s="3">
        <f t="shared" si="11"/>
        <v>0.49092312367858904</v>
      </c>
      <c r="AJ40" s="169">
        <v>0.50835432641949096</v>
      </c>
      <c r="AK40" s="3">
        <f t="shared" si="12"/>
        <v>0.49164567358050904</v>
      </c>
      <c r="AT40" s="201"/>
      <c r="AU40" s="201">
        <v>160</v>
      </c>
      <c r="AV40" s="201" t="s">
        <v>63</v>
      </c>
      <c r="AW40" s="201">
        <v>294</v>
      </c>
      <c r="AX40" s="201" t="s">
        <v>278</v>
      </c>
      <c r="AY40" s="201">
        <v>1</v>
      </c>
      <c r="AZ40" s="201" t="s">
        <v>279</v>
      </c>
      <c r="BA40" s="201">
        <v>2018</v>
      </c>
      <c r="BB40" s="201">
        <v>152842.537517188</v>
      </c>
      <c r="BC40" s="201"/>
      <c r="BD40" s="201"/>
    </row>
    <row r="41" spans="1:56" ht="15" x14ac:dyDescent="0.25">
      <c r="A41" s="1">
        <v>13</v>
      </c>
      <c r="B41" s="23">
        <f t="shared" si="15"/>
        <v>3.2117774836055903E-4</v>
      </c>
      <c r="C41" s="23">
        <f t="shared" si="15"/>
        <v>2.5198863069903312E-4</v>
      </c>
      <c r="D41" s="23">
        <f t="shared" si="15"/>
        <v>2.0000000000000001E-4</v>
      </c>
      <c r="E41" s="23">
        <f t="shared" si="15"/>
        <v>4.0000000000000002E-4</v>
      </c>
      <c r="F41" s="23">
        <f t="shared" si="15"/>
        <v>1.8246561429661001E-4</v>
      </c>
      <c r="G41" s="23">
        <f t="shared" si="15"/>
        <v>2.9999999999999997E-4</v>
      </c>
      <c r="H41" s="23">
        <f t="shared" si="15"/>
        <v>4.0000000000000002E-4</v>
      </c>
      <c r="I41" s="23">
        <f t="shared" si="15"/>
        <v>2.9999999999999997E-4</v>
      </c>
      <c r="J41" s="23">
        <f t="shared" si="15"/>
        <v>4.0000000000000002E-4</v>
      </c>
      <c r="K41" s="23">
        <f t="shared" si="15"/>
        <v>2.9999999999999997E-4</v>
      </c>
      <c r="L41" s="23">
        <f t="shared" si="15"/>
        <v>2E-3</v>
      </c>
      <c r="M41" s="23">
        <f t="shared" si="15"/>
        <v>1E-3</v>
      </c>
      <c r="N41" s="23">
        <f t="shared" si="15"/>
        <v>2E-3</v>
      </c>
      <c r="O41" s="23">
        <f t="shared" si="15"/>
        <v>1E-3</v>
      </c>
      <c r="P41" s="23">
        <f t="shared" si="15"/>
        <v>2E-3</v>
      </c>
      <c r="Q41" s="23">
        <f t="shared" si="15"/>
        <v>1E-3</v>
      </c>
      <c r="R41" s="23">
        <f t="shared" si="15"/>
        <v>2E-3</v>
      </c>
      <c r="S41" s="23">
        <f t="shared" si="15"/>
        <v>1E-3</v>
      </c>
      <c r="T41" s="23">
        <f t="shared" si="15"/>
        <v>2E-3</v>
      </c>
      <c r="U41" s="23">
        <f t="shared" si="15"/>
        <v>1E-3</v>
      </c>
      <c r="V41" s="24">
        <f t="shared" si="5"/>
        <v>2.8658318952979608E-4</v>
      </c>
      <c r="W41" s="24">
        <f t="shared" si="6"/>
        <v>3.0000000000000003E-4</v>
      </c>
      <c r="X41" s="24">
        <f t="shared" si="7"/>
        <v>2.4123280714830498E-4</v>
      </c>
      <c r="Y41" s="24">
        <f t="shared" si="8"/>
        <v>3.5E-4</v>
      </c>
      <c r="Z41" s="24">
        <f t="shared" si="9"/>
        <v>3.5E-4</v>
      </c>
      <c r="AA41" s="3">
        <f ca="1">IFERROR(__xludf.DUMMYFUNCTION("AVERAGE.WEIGHTED(B41:C41,$AF41:$AG41)"),0.000250942473117763)</f>
        <v>2.50942473117763E-4</v>
      </c>
      <c r="AB41" s="3">
        <f ca="1">IFERROR(__xludf.DUMMYFUNCTION("AVERAGE.WEIGHTED(D41:E41,$AH41:$AI41)"),0.000301788438617583)</f>
        <v>3.01788438617583E-4</v>
      </c>
      <c r="AC41" s="3">
        <f ca="1">IFERROR(__xludf.DUMMYFUNCTION("AVERAGE.WEIGHTED(F41:G41,$AJ41:$AK41)"),0.000350817103719899)</f>
        <v>3.50817103719899E-4</v>
      </c>
      <c r="AD41" s="3" t="str">
        <f ca="1">IFERROR(__xludf.DUMMYFUNCTION("AVERAGE.WEIGHTED(H41:I41,$AA$25:$AB$25)"),"#VALUE!")</f>
        <v>#VALUE!</v>
      </c>
      <c r="AE41" s="3" t="str">
        <f ca="1">IFERROR(__xludf.DUMMYFUNCTION("AVERAGE.WEIGHTED(J41:K41,$AA$25:$AB$25)"),"#VALUE!")</f>
        <v>#VALUE!</v>
      </c>
      <c r="AF41" s="169">
        <v>0.50942473117763798</v>
      </c>
      <c r="AG41" s="3">
        <f t="shared" si="10"/>
        <v>0.49057526882236202</v>
      </c>
      <c r="AH41" s="169">
        <v>0.50894219308791699</v>
      </c>
      <c r="AI41" s="3">
        <f t="shared" si="11"/>
        <v>0.49105780691208301</v>
      </c>
      <c r="AJ41" s="169">
        <v>0.50817103719899803</v>
      </c>
      <c r="AK41" s="3">
        <f t="shared" si="12"/>
        <v>0.49182896280100197</v>
      </c>
      <c r="AT41" s="201"/>
      <c r="AU41" s="201">
        <v>31</v>
      </c>
      <c r="AV41" s="201" t="s">
        <v>281</v>
      </c>
      <c r="AW41" s="201">
        <v>294</v>
      </c>
      <c r="AX41" s="201" t="s">
        <v>278</v>
      </c>
      <c r="AY41" s="201">
        <v>1</v>
      </c>
      <c r="AZ41" s="201" t="s">
        <v>279</v>
      </c>
      <c r="BA41" s="201">
        <v>2018</v>
      </c>
      <c r="BB41" s="201">
        <v>73464.916504808905</v>
      </c>
      <c r="BC41" s="201"/>
      <c r="BD41" s="201"/>
    </row>
    <row r="42" spans="1:56" ht="15" x14ac:dyDescent="0.25">
      <c r="A42" s="1">
        <v>14</v>
      </c>
      <c r="B42" s="23">
        <f t="shared" si="15"/>
        <v>3.2117774836055903E-4</v>
      </c>
      <c r="C42" s="23">
        <f t="shared" si="15"/>
        <v>2.5198863069903312E-4</v>
      </c>
      <c r="D42" s="23">
        <f t="shared" si="15"/>
        <v>2.0000000000000001E-4</v>
      </c>
      <c r="E42" s="23">
        <f t="shared" si="15"/>
        <v>4.0000000000000002E-4</v>
      </c>
      <c r="F42" s="23">
        <f t="shared" si="15"/>
        <v>1.8246561429661001E-4</v>
      </c>
      <c r="G42" s="23">
        <f t="shared" si="15"/>
        <v>2.9999999999999997E-4</v>
      </c>
      <c r="H42" s="23">
        <f t="shared" si="15"/>
        <v>4.0000000000000002E-4</v>
      </c>
      <c r="I42" s="23">
        <f t="shared" si="15"/>
        <v>2.9999999999999997E-4</v>
      </c>
      <c r="J42" s="23">
        <f t="shared" si="15"/>
        <v>4.0000000000000002E-4</v>
      </c>
      <c r="K42" s="23">
        <f t="shared" si="15"/>
        <v>2.9999999999999997E-4</v>
      </c>
      <c r="L42" s="23">
        <f t="shared" si="15"/>
        <v>2E-3</v>
      </c>
      <c r="M42" s="23">
        <f t="shared" si="15"/>
        <v>1E-3</v>
      </c>
      <c r="N42" s="23">
        <f t="shared" si="15"/>
        <v>2E-3</v>
      </c>
      <c r="O42" s="23">
        <f t="shared" si="15"/>
        <v>1E-3</v>
      </c>
      <c r="P42" s="23">
        <f t="shared" si="15"/>
        <v>2E-3</v>
      </c>
      <c r="Q42" s="23">
        <f t="shared" si="15"/>
        <v>1E-3</v>
      </c>
      <c r="R42" s="23">
        <f t="shared" si="15"/>
        <v>2E-3</v>
      </c>
      <c r="S42" s="23">
        <f t="shared" si="15"/>
        <v>1E-3</v>
      </c>
      <c r="T42" s="23">
        <f t="shared" si="15"/>
        <v>2E-3</v>
      </c>
      <c r="U42" s="23">
        <f t="shared" si="15"/>
        <v>1E-3</v>
      </c>
      <c r="V42" s="24">
        <f t="shared" si="5"/>
        <v>2.8658318952979608E-4</v>
      </c>
      <c r="W42" s="24">
        <f t="shared" si="6"/>
        <v>3.0000000000000003E-4</v>
      </c>
      <c r="X42" s="24">
        <f t="shared" si="7"/>
        <v>2.4123280714830498E-4</v>
      </c>
      <c r="Y42" s="24">
        <f t="shared" si="8"/>
        <v>3.5E-4</v>
      </c>
      <c r="Z42" s="24">
        <f t="shared" si="9"/>
        <v>3.5E-4</v>
      </c>
      <c r="AA42" s="3">
        <f ca="1">IFERROR(__xludf.DUMMYFUNCTION("AVERAGE.WEIGHTED(B42:C42,$AF42:$AG42)"),0.000250930273579698)</f>
        <v>2.5093027357969802E-4</v>
      </c>
      <c r="AB42" s="3">
        <f ca="1">IFERROR(__xludf.DUMMYFUNCTION("AVERAGE.WEIGHTED(D42:E42,$AH42:$AI42)"),0.000301749572170901)</f>
        <v>3.0174957217090102E-4</v>
      </c>
      <c r="AC42" s="3">
        <f ca="1">IFERROR(__xludf.DUMMYFUNCTION("AVERAGE.WEIGHTED(F42:G42,$AJ42:$AK42)"),0.000350795896034415)</f>
        <v>3.5079589603441501E-4</v>
      </c>
      <c r="AD42" s="3" t="str">
        <f ca="1">IFERROR(__xludf.DUMMYFUNCTION("AVERAGE.WEIGHTED(H42:I42,$AA$25:$AB$25)"),"#VALUE!")</f>
        <v>#VALUE!</v>
      </c>
      <c r="AE42" s="3" t="str">
        <f ca="1">IFERROR(__xludf.DUMMYFUNCTION("AVERAGE.WEIGHTED(J42:K42,$AA$25:$AB$25)"),"#VALUE!")</f>
        <v>#VALUE!</v>
      </c>
      <c r="AF42" s="169">
        <v>0.50930273579698304</v>
      </c>
      <c r="AG42" s="3">
        <f t="shared" si="10"/>
        <v>0.49069726420301696</v>
      </c>
      <c r="AH42" s="169">
        <v>0.50874786085450696</v>
      </c>
      <c r="AI42" s="3">
        <f t="shared" si="11"/>
        <v>0.49125213914549304</v>
      </c>
      <c r="AJ42" s="169">
        <v>0.50795896034415899</v>
      </c>
      <c r="AK42" s="3">
        <f t="shared" si="12"/>
        <v>0.49204103965584101</v>
      </c>
      <c r="AT42" s="201"/>
      <c r="AU42" s="201">
        <v>32</v>
      </c>
      <c r="AV42" s="201" t="s">
        <v>282</v>
      </c>
      <c r="AW42" s="201">
        <v>294</v>
      </c>
      <c r="AX42" s="201" t="s">
        <v>278</v>
      </c>
      <c r="AY42" s="201">
        <v>1</v>
      </c>
      <c r="AZ42" s="201" t="s">
        <v>279</v>
      </c>
      <c r="BA42" s="201">
        <v>2018</v>
      </c>
      <c r="BB42" s="201">
        <v>49789.426662585902</v>
      </c>
      <c r="BC42" s="201"/>
      <c r="BD42" s="201"/>
    </row>
    <row r="43" spans="1:56" ht="15" x14ac:dyDescent="0.25">
      <c r="A43" s="1">
        <v>15</v>
      </c>
      <c r="B43" s="23">
        <f t="shared" ref="B43:U47" si="16">B$9</f>
        <v>1.0727323032802801E-3</v>
      </c>
      <c r="C43" s="23">
        <f t="shared" si="16"/>
        <v>4.2927923081523728E-4</v>
      </c>
      <c r="D43" s="23">
        <f t="shared" si="16"/>
        <v>1.2000000000000001E-3</v>
      </c>
      <c r="E43" s="23">
        <f t="shared" si="16"/>
        <v>1.2000000000000001E-3</v>
      </c>
      <c r="F43" s="23">
        <f t="shared" si="16"/>
        <v>4.7271555360917295E-4</v>
      </c>
      <c r="G43" s="23">
        <f t="shared" si="16"/>
        <v>5.0000000000000001E-4</v>
      </c>
      <c r="H43" s="23">
        <f t="shared" si="16"/>
        <v>2E-3</v>
      </c>
      <c r="I43" s="23">
        <f t="shared" si="16"/>
        <v>5.0000000000000001E-4</v>
      </c>
      <c r="J43" s="23">
        <f t="shared" si="16"/>
        <v>2E-3</v>
      </c>
      <c r="K43" s="23">
        <f t="shared" si="16"/>
        <v>5.0000000000000001E-4</v>
      </c>
      <c r="L43" s="23">
        <f t="shared" si="16"/>
        <v>0.01</v>
      </c>
      <c r="M43" s="23">
        <f t="shared" si="16"/>
        <v>2E-3</v>
      </c>
      <c r="N43" s="23">
        <f t="shared" si="16"/>
        <v>0.01</v>
      </c>
      <c r="O43" s="23">
        <f t="shared" si="16"/>
        <v>2E-3</v>
      </c>
      <c r="P43" s="23">
        <f t="shared" si="16"/>
        <v>8.9999999999999993E-3</v>
      </c>
      <c r="Q43" s="23">
        <f t="shared" si="16"/>
        <v>2E-3</v>
      </c>
      <c r="R43" s="23">
        <f t="shared" si="16"/>
        <v>8.0000000000000002E-3</v>
      </c>
      <c r="S43" s="23">
        <f t="shared" si="16"/>
        <v>2E-3</v>
      </c>
      <c r="T43" s="23">
        <f t="shared" si="16"/>
        <v>8.0000000000000002E-3</v>
      </c>
      <c r="U43" s="23">
        <f t="shared" si="16"/>
        <v>2E-3</v>
      </c>
      <c r="V43" s="24">
        <f t="shared" si="5"/>
        <v>7.5100576704775865E-4</v>
      </c>
      <c r="W43" s="24">
        <f t="shared" si="6"/>
        <v>1.2000000000000001E-3</v>
      </c>
      <c r="X43" s="24">
        <f t="shared" si="7"/>
        <v>4.8635777680458645E-4</v>
      </c>
      <c r="Y43" s="24">
        <f t="shared" si="8"/>
        <v>1.25E-3</v>
      </c>
      <c r="Z43" s="24">
        <f t="shared" si="9"/>
        <v>1.25E-3</v>
      </c>
      <c r="AA43" s="3">
        <f ca="1">IFERROR(__xludf.DUMMYFUNCTION("AVERAGE.WEIGHTED(B43:C43,$AF43:$AG43)"),0.00121458375244667)</f>
        <v>1.2145837524466701E-3</v>
      </c>
      <c r="AB43" s="3">
        <f ca="1">IFERROR(__xludf.DUMMYFUNCTION("AVERAGE.WEIGHTED(D43:E43,$AH43:$AI43)"),0.00126278296622335)</f>
        <v>1.2627829662233501E-3</v>
      </c>
      <c r="AC43" s="3">
        <f ca="1">IFERROR(__xludf.DUMMYFUNCTION("AVERAGE.WEIGHTED(F43:G43,$AJ43:$AK43)"),0.00126159800997798)</f>
        <v>1.2615980099779801E-3</v>
      </c>
      <c r="AD43" s="3" t="str">
        <f ca="1">IFERROR(__xludf.DUMMYFUNCTION("AVERAGE.WEIGHTED(H43:I43,$AA$25:$AB$25)"),"#VALUE!")</f>
        <v>#VALUE!</v>
      </c>
      <c r="AE43" s="3" t="str">
        <f ca="1">IFERROR(__xludf.DUMMYFUNCTION("AVERAGE.WEIGHTED(J43:K43,$AA$25:$AB$25)"),"#VALUE!")</f>
        <v>#VALUE!</v>
      </c>
      <c r="AF43" s="169">
        <v>0.50911484527917095</v>
      </c>
      <c r="AG43" s="3">
        <f t="shared" si="10"/>
        <v>0.49088515472082905</v>
      </c>
      <c r="AH43" s="169">
        <v>0.50852197748223804</v>
      </c>
      <c r="AI43" s="3">
        <f t="shared" si="11"/>
        <v>0.49147802251776196</v>
      </c>
      <c r="AJ43" s="169">
        <v>0.50773200665198803</v>
      </c>
      <c r="AK43" s="3">
        <f t="shared" si="12"/>
        <v>0.49226799334801197</v>
      </c>
      <c r="AT43" s="201"/>
      <c r="AU43" s="201">
        <v>160</v>
      </c>
      <c r="AV43" s="201" t="s">
        <v>63</v>
      </c>
      <c r="AW43" s="201">
        <v>294</v>
      </c>
      <c r="AX43" s="201" t="s">
        <v>278</v>
      </c>
      <c r="AY43" s="201">
        <v>1</v>
      </c>
      <c r="AZ43" s="201" t="s">
        <v>279</v>
      </c>
      <c r="BA43" s="201">
        <v>2018</v>
      </c>
      <c r="BB43" s="201">
        <v>152842.537517188</v>
      </c>
      <c r="BC43" s="201"/>
      <c r="BD43" s="201"/>
    </row>
    <row r="44" spans="1:56" ht="15" x14ac:dyDescent="0.25">
      <c r="A44" s="1">
        <v>16</v>
      </c>
      <c r="B44" s="23">
        <f t="shared" si="16"/>
        <v>1.0727323032802801E-3</v>
      </c>
      <c r="C44" s="23">
        <f t="shared" si="16"/>
        <v>4.2927923081523728E-4</v>
      </c>
      <c r="D44" s="23">
        <f t="shared" si="16"/>
        <v>1.2000000000000001E-3</v>
      </c>
      <c r="E44" s="23">
        <f t="shared" si="16"/>
        <v>1.2000000000000001E-3</v>
      </c>
      <c r="F44" s="23">
        <f t="shared" si="16"/>
        <v>4.7271555360917295E-4</v>
      </c>
      <c r="G44" s="23">
        <f t="shared" si="16"/>
        <v>5.0000000000000001E-4</v>
      </c>
      <c r="H44" s="23">
        <f t="shared" si="16"/>
        <v>2E-3</v>
      </c>
      <c r="I44" s="23">
        <f t="shared" si="16"/>
        <v>5.0000000000000001E-4</v>
      </c>
      <c r="J44" s="23">
        <f t="shared" si="16"/>
        <v>2E-3</v>
      </c>
      <c r="K44" s="23">
        <f t="shared" si="16"/>
        <v>5.0000000000000001E-4</v>
      </c>
      <c r="L44" s="23">
        <f t="shared" si="16"/>
        <v>0.01</v>
      </c>
      <c r="M44" s="23">
        <f t="shared" si="16"/>
        <v>2E-3</v>
      </c>
      <c r="N44" s="23">
        <f t="shared" si="16"/>
        <v>0.01</v>
      </c>
      <c r="O44" s="23">
        <f t="shared" si="16"/>
        <v>2E-3</v>
      </c>
      <c r="P44" s="23">
        <f t="shared" si="16"/>
        <v>8.9999999999999993E-3</v>
      </c>
      <c r="Q44" s="23">
        <f t="shared" si="16"/>
        <v>2E-3</v>
      </c>
      <c r="R44" s="23">
        <f t="shared" si="16"/>
        <v>8.0000000000000002E-3</v>
      </c>
      <c r="S44" s="23">
        <f t="shared" si="16"/>
        <v>2E-3</v>
      </c>
      <c r="T44" s="23">
        <f t="shared" si="16"/>
        <v>8.0000000000000002E-3</v>
      </c>
      <c r="U44" s="23">
        <f t="shared" si="16"/>
        <v>2E-3</v>
      </c>
      <c r="V44" s="24">
        <f t="shared" si="5"/>
        <v>7.5100576704775865E-4</v>
      </c>
      <c r="W44" s="24">
        <f t="shared" si="6"/>
        <v>1.2000000000000001E-3</v>
      </c>
      <c r="X44" s="24">
        <f t="shared" si="7"/>
        <v>4.8635777680458645E-4</v>
      </c>
      <c r="Y44" s="24">
        <f t="shared" si="8"/>
        <v>1.25E-3</v>
      </c>
      <c r="Z44" s="24">
        <f t="shared" si="9"/>
        <v>1.25E-3</v>
      </c>
      <c r="AA44" s="3">
        <f ca="1">IFERROR(__xludf.DUMMYFUNCTION("AVERAGE.WEIGHTED(B44:C44,$AF44:$AG44)"),0.00121425748316623)</f>
        <v>1.21425748316623E-3</v>
      </c>
      <c r="AB44" s="3">
        <f ca="1">IFERROR(__xludf.DUMMYFUNCTION("AVERAGE.WEIGHTED(D44:E44,$AH44:$AI44)"),0.00126239584672377)</f>
        <v>1.26239584672377E-3</v>
      </c>
      <c r="AC44" s="3">
        <f ca="1">IFERROR(__xludf.DUMMYFUNCTION("AVERAGE.WEIGHTED(F44:G44,$AJ44:$AK44)"),0.00126136553892643)</f>
        <v>1.2613655389264299E-3</v>
      </c>
      <c r="AD44" s="3" t="str">
        <f ca="1">IFERROR(__xludf.DUMMYFUNCTION("AVERAGE.WEIGHTED(H44:I44,$AA$25:$AB$25)"),"#VALUE!")</f>
        <v>#VALUE!</v>
      </c>
      <c r="AE44" s="3" t="str">
        <f ca="1">IFERROR(__xludf.DUMMYFUNCTION("AVERAGE.WEIGHTED(J44:K44,$AA$25:$AB$25)"),"#VALUE!")</f>
        <v>#VALUE!</v>
      </c>
      <c r="AF44" s="169">
        <v>0.50891092697889695</v>
      </c>
      <c r="AG44" s="3">
        <f t="shared" si="10"/>
        <v>0.49108907302110305</v>
      </c>
      <c r="AH44" s="169">
        <v>0.50826389781584902</v>
      </c>
      <c r="AI44" s="3">
        <f t="shared" si="11"/>
        <v>0.49173610218415098</v>
      </c>
      <c r="AJ44" s="169">
        <v>0.50757702595095699</v>
      </c>
      <c r="AK44" s="3">
        <f t="shared" si="12"/>
        <v>0.49242297404904301</v>
      </c>
      <c r="AT44" s="201" t="s">
        <v>218</v>
      </c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</row>
    <row r="45" spans="1:56" ht="15" x14ac:dyDescent="0.25">
      <c r="A45" s="1">
        <v>17</v>
      </c>
      <c r="B45" s="23">
        <f t="shared" si="16"/>
        <v>1.0727323032802801E-3</v>
      </c>
      <c r="C45" s="23">
        <f t="shared" si="16"/>
        <v>4.2927923081523728E-4</v>
      </c>
      <c r="D45" s="23">
        <f t="shared" si="16"/>
        <v>1.2000000000000001E-3</v>
      </c>
      <c r="E45" s="23">
        <f t="shared" si="16"/>
        <v>1.2000000000000001E-3</v>
      </c>
      <c r="F45" s="23">
        <f t="shared" si="16"/>
        <v>4.7271555360917295E-4</v>
      </c>
      <c r="G45" s="23">
        <f t="shared" si="16"/>
        <v>5.0000000000000001E-4</v>
      </c>
      <c r="H45" s="23">
        <f t="shared" si="16"/>
        <v>2E-3</v>
      </c>
      <c r="I45" s="23">
        <f t="shared" si="16"/>
        <v>5.0000000000000001E-4</v>
      </c>
      <c r="J45" s="23">
        <f t="shared" si="16"/>
        <v>2E-3</v>
      </c>
      <c r="K45" s="23">
        <f t="shared" si="16"/>
        <v>5.0000000000000001E-4</v>
      </c>
      <c r="L45" s="23">
        <f t="shared" si="16"/>
        <v>0.01</v>
      </c>
      <c r="M45" s="23">
        <f t="shared" si="16"/>
        <v>2E-3</v>
      </c>
      <c r="N45" s="23">
        <f t="shared" si="16"/>
        <v>0.01</v>
      </c>
      <c r="O45" s="23">
        <f t="shared" si="16"/>
        <v>2E-3</v>
      </c>
      <c r="P45" s="23">
        <f t="shared" si="16"/>
        <v>8.9999999999999993E-3</v>
      </c>
      <c r="Q45" s="23">
        <f t="shared" si="16"/>
        <v>2E-3</v>
      </c>
      <c r="R45" s="23">
        <f t="shared" si="16"/>
        <v>8.0000000000000002E-3</v>
      </c>
      <c r="S45" s="23">
        <f t="shared" si="16"/>
        <v>2E-3</v>
      </c>
      <c r="T45" s="23">
        <f t="shared" si="16"/>
        <v>8.0000000000000002E-3</v>
      </c>
      <c r="U45" s="23">
        <f t="shared" si="16"/>
        <v>2E-3</v>
      </c>
      <c r="V45" s="24">
        <f t="shared" si="5"/>
        <v>7.5100576704775865E-4</v>
      </c>
      <c r="W45" s="24">
        <f t="shared" si="6"/>
        <v>1.2000000000000001E-3</v>
      </c>
      <c r="X45" s="24">
        <f t="shared" si="7"/>
        <v>4.8635777680458645E-4</v>
      </c>
      <c r="Y45" s="24">
        <f t="shared" si="8"/>
        <v>1.25E-3</v>
      </c>
      <c r="Z45" s="24">
        <f t="shared" si="9"/>
        <v>1.25E-3</v>
      </c>
      <c r="AA45" s="3">
        <f ca="1">IFERROR(__xludf.DUMMYFUNCTION("AVERAGE.WEIGHTED(B45:C45,$AF45:$AG45)"),0.00121391640221522)</f>
        <v>1.2139164022152199E-3</v>
      </c>
      <c r="AB45" s="3">
        <f ca="1">IFERROR(__xludf.DUMMYFUNCTION("AVERAGE.WEIGHTED(D45:E45,$AH45:$AI45)"),0.00126191081471679)</f>
        <v>1.2619108147167899E-3</v>
      </c>
      <c r="AC45" s="3">
        <f ca="1">IFERROR(__xludf.DUMMYFUNCTION("AVERAGE.WEIGHTED(F45:G45,$AJ45:$AK45)"),0.00126095939533563)</f>
        <v>1.26095939533563E-3</v>
      </c>
      <c r="AD45" s="3" t="str">
        <f ca="1">IFERROR(__xludf.DUMMYFUNCTION("AVERAGE.WEIGHTED(H45:I45,$AA$25:$AB$25)"),"#VALUE!")</f>
        <v>#VALUE!</v>
      </c>
      <c r="AE45" s="3" t="str">
        <f ca="1">IFERROR(__xludf.DUMMYFUNCTION("AVERAGE.WEIGHTED(J45:K45,$AA$25:$AB$25)"),"#VALUE!")</f>
        <v>#VALUE!</v>
      </c>
      <c r="AF45" s="169">
        <v>0.50869775138451701</v>
      </c>
      <c r="AG45" s="3">
        <f t="shared" si="10"/>
        <v>0.49130224861548299</v>
      </c>
      <c r="AH45" s="169">
        <v>0.50794054314452697</v>
      </c>
      <c r="AI45" s="3">
        <f t="shared" si="11"/>
        <v>0.49205945685547303</v>
      </c>
      <c r="AJ45" s="169">
        <v>0.50730626355708697</v>
      </c>
      <c r="AK45" s="3">
        <f t="shared" si="12"/>
        <v>0.49269373644291303</v>
      </c>
      <c r="AT45" s="201" t="s">
        <v>218</v>
      </c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</row>
    <row r="46" spans="1:56" ht="15" x14ac:dyDescent="0.25">
      <c r="A46" s="1">
        <v>18</v>
      </c>
      <c r="B46" s="23">
        <f t="shared" si="16"/>
        <v>1.0727323032802801E-3</v>
      </c>
      <c r="C46" s="23">
        <f t="shared" si="16"/>
        <v>4.2927923081523728E-4</v>
      </c>
      <c r="D46" s="23">
        <f t="shared" si="16"/>
        <v>1.2000000000000001E-3</v>
      </c>
      <c r="E46" s="23">
        <f t="shared" si="16"/>
        <v>1.2000000000000001E-3</v>
      </c>
      <c r="F46" s="23">
        <f t="shared" si="16"/>
        <v>4.7271555360917295E-4</v>
      </c>
      <c r="G46" s="23">
        <f t="shared" si="16"/>
        <v>5.0000000000000001E-4</v>
      </c>
      <c r="H46" s="23">
        <f t="shared" si="16"/>
        <v>2E-3</v>
      </c>
      <c r="I46" s="23">
        <f t="shared" si="16"/>
        <v>5.0000000000000001E-4</v>
      </c>
      <c r="J46" s="23">
        <f t="shared" si="16"/>
        <v>2E-3</v>
      </c>
      <c r="K46" s="23">
        <f t="shared" si="16"/>
        <v>5.0000000000000001E-4</v>
      </c>
      <c r="L46" s="23">
        <f t="shared" si="16"/>
        <v>0.01</v>
      </c>
      <c r="M46" s="23">
        <f t="shared" si="16"/>
        <v>2E-3</v>
      </c>
      <c r="N46" s="23">
        <f t="shared" si="16"/>
        <v>0.01</v>
      </c>
      <c r="O46" s="23">
        <f t="shared" si="16"/>
        <v>2E-3</v>
      </c>
      <c r="P46" s="23">
        <f t="shared" si="16"/>
        <v>8.9999999999999993E-3</v>
      </c>
      <c r="Q46" s="23">
        <f t="shared" si="16"/>
        <v>2E-3</v>
      </c>
      <c r="R46" s="23">
        <f t="shared" si="16"/>
        <v>8.0000000000000002E-3</v>
      </c>
      <c r="S46" s="23">
        <f t="shared" si="16"/>
        <v>2E-3</v>
      </c>
      <c r="T46" s="23">
        <f t="shared" si="16"/>
        <v>8.0000000000000002E-3</v>
      </c>
      <c r="U46" s="23">
        <f t="shared" si="16"/>
        <v>2E-3</v>
      </c>
      <c r="V46" s="24">
        <f t="shared" si="5"/>
        <v>7.5100576704775865E-4</v>
      </c>
      <c r="W46" s="24">
        <f t="shared" si="6"/>
        <v>1.2000000000000001E-3</v>
      </c>
      <c r="X46" s="24">
        <f t="shared" si="7"/>
        <v>4.8635777680458645E-4</v>
      </c>
      <c r="Y46" s="24">
        <f t="shared" si="8"/>
        <v>1.25E-3</v>
      </c>
      <c r="Z46" s="24">
        <f t="shared" si="9"/>
        <v>1.25E-3</v>
      </c>
      <c r="AA46" s="3">
        <f ca="1">IFERROR(__xludf.DUMMYFUNCTION("AVERAGE.WEIGHTED(B46:C46,$AF46:$AG46)"),0.00121342940390613)</f>
        <v>1.2134294039061299E-3</v>
      </c>
      <c r="AB46" s="3">
        <f ca="1">IFERROR(__xludf.DUMMYFUNCTION("AVERAGE.WEIGHTED(D46:E46,$AH46:$AI46)"),0.00126141154121485)</f>
        <v>1.2614115412148501E-3</v>
      </c>
      <c r="AC46" s="3">
        <f ca="1">IFERROR(__xludf.DUMMYFUNCTION("AVERAGE.WEIGHTED(F46:G46,$AJ46:$AK46)"),0.00126034369033356)</f>
        <v>1.26034369033356E-3</v>
      </c>
      <c r="AD46" s="3" t="str">
        <f ca="1">IFERROR(__xludf.DUMMYFUNCTION("AVERAGE.WEIGHTED(H46:I46,$AA$25:$AB$25)"),"#VALUE!")</f>
        <v>#VALUE!</v>
      </c>
      <c r="AE46" s="3" t="str">
        <f ca="1">IFERROR(__xludf.DUMMYFUNCTION("AVERAGE.WEIGHTED(J46:K46,$AA$25:$AB$25)"),"#VALUE!")</f>
        <v>#VALUE!</v>
      </c>
      <c r="AF46" s="169">
        <v>0.50839337744133195</v>
      </c>
      <c r="AG46" s="3">
        <f t="shared" si="10"/>
        <v>0.49160662255866805</v>
      </c>
      <c r="AH46" s="169">
        <v>0.50760769414323403</v>
      </c>
      <c r="AI46" s="3">
        <f t="shared" si="11"/>
        <v>0.49239230585676597</v>
      </c>
      <c r="AJ46" s="169">
        <v>0.50689579355571102</v>
      </c>
      <c r="AK46" s="3">
        <f t="shared" si="12"/>
        <v>0.49310420644428898</v>
      </c>
      <c r="AT46" s="201" t="s">
        <v>218</v>
      </c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</row>
    <row r="47" spans="1:56" ht="15" x14ac:dyDescent="0.25">
      <c r="A47" s="1">
        <v>19</v>
      </c>
      <c r="B47" s="23">
        <f t="shared" si="16"/>
        <v>1.0727323032802801E-3</v>
      </c>
      <c r="C47" s="23">
        <f t="shared" si="16"/>
        <v>4.2927923081523728E-4</v>
      </c>
      <c r="D47" s="23">
        <f t="shared" si="16"/>
        <v>1.2000000000000001E-3</v>
      </c>
      <c r="E47" s="23">
        <f t="shared" si="16"/>
        <v>1.2000000000000001E-3</v>
      </c>
      <c r="F47" s="23">
        <f t="shared" si="16"/>
        <v>4.7271555360917295E-4</v>
      </c>
      <c r="G47" s="23">
        <f t="shared" si="16"/>
        <v>5.0000000000000001E-4</v>
      </c>
      <c r="H47" s="23">
        <f t="shared" si="16"/>
        <v>2E-3</v>
      </c>
      <c r="I47" s="23">
        <f t="shared" si="16"/>
        <v>5.0000000000000001E-4</v>
      </c>
      <c r="J47" s="23">
        <f t="shared" si="16"/>
        <v>2E-3</v>
      </c>
      <c r="K47" s="23">
        <f t="shared" si="16"/>
        <v>5.0000000000000001E-4</v>
      </c>
      <c r="L47" s="23">
        <f t="shared" si="16"/>
        <v>0.01</v>
      </c>
      <c r="M47" s="23">
        <f t="shared" si="16"/>
        <v>2E-3</v>
      </c>
      <c r="N47" s="23">
        <f t="shared" si="16"/>
        <v>0.01</v>
      </c>
      <c r="O47" s="23">
        <f t="shared" si="16"/>
        <v>2E-3</v>
      </c>
      <c r="P47" s="23">
        <f t="shared" si="16"/>
        <v>8.9999999999999993E-3</v>
      </c>
      <c r="Q47" s="23">
        <f t="shared" si="16"/>
        <v>2E-3</v>
      </c>
      <c r="R47" s="23">
        <f t="shared" si="16"/>
        <v>8.0000000000000002E-3</v>
      </c>
      <c r="S47" s="23">
        <f t="shared" si="16"/>
        <v>2E-3</v>
      </c>
      <c r="T47" s="23">
        <f t="shared" si="16"/>
        <v>8.0000000000000002E-3</v>
      </c>
      <c r="U47" s="23">
        <f t="shared" si="16"/>
        <v>2E-3</v>
      </c>
      <c r="V47" s="24">
        <f t="shared" si="5"/>
        <v>7.5100576704775865E-4</v>
      </c>
      <c r="W47" s="24">
        <f t="shared" si="6"/>
        <v>1.2000000000000001E-3</v>
      </c>
      <c r="X47" s="24">
        <f t="shared" si="7"/>
        <v>4.8635777680458645E-4</v>
      </c>
      <c r="Y47" s="24">
        <f t="shared" si="8"/>
        <v>1.25E-3</v>
      </c>
      <c r="Z47" s="24">
        <f t="shared" si="9"/>
        <v>1.25E-3</v>
      </c>
      <c r="AA47" s="3">
        <f ca="1">IFERROR(__xludf.DUMMYFUNCTION("AVERAGE.WEIGHTED(B47:C47,$AF47:$AG47)"),0.00121283637763107)</f>
        <v>1.21283637763107E-3</v>
      </c>
      <c r="AB47" s="3">
        <f ca="1">IFERROR(__xludf.DUMMYFUNCTION("AVERAGE.WEIGHTED(D47:E47,$AH47:$AI47)"),0.00126081931220993)</f>
        <v>1.26081931220993E-3</v>
      </c>
      <c r="AC47" s="3">
        <f ca="1">IFERROR(__xludf.DUMMYFUNCTION("AVERAGE.WEIGHTED(F47:G47,$AJ47:$AK47)"),0.00125970648477208)</f>
        <v>1.2597064847720801E-3</v>
      </c>
      <c r="AD47" s="3" t="str">
        <f ca="1">IFERROR(__xludf.DUMMYFUNCTION("AVERAGE.WEIGHTED(H47:I47,$AA$25:$AB$25)"),"#VALUE!")</f>
        <v>#VALUE!</v>
      </c>
      <c r="AE47" s="3" t="str">
        <f ca="1">IFERROR(__xludf.DUMMYFUNCTION("AVERAGE.WEIGHTED(J47:K47,$AA$25:$AB$25)"),"#VALUE!")</f>
        <v>#VALUE!</v>
      </c>
      <c r="AF47" s="169">
        <v>0.50802273601942005</v>
      </c>
      <c r="AG47" s="3">
        <f t="shared" si="10"/>
        <v>0.49197726398057995</v>
      </c>
      <c r="AH47" s="169">
        <v>0.50721287480662602</v>
      </c>
      <c r="AI47" s="3">
        <f t="shared" si="11"/>
        <v>0.49278712519337398</v>
      </c>
      <c r="AJ47" s="169">
        <v>0.50647098984805405</v>
      </c>
      <c r="AK47" s="3">
        <f t="shared" si="12"/>
        <v>0.49352901015194595</v>
      </c>
      <c r="AT47" s="201" t="s">
        <v>218</v>
      </c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</row>
    <row r="48" spans="1:56" ht="15" x14ac:dyDescent="0.25">
      <c r="A48" s="1">
        <v>20</v>
      </c>
      <c r="B48" s="23">
        <f t="shared" ref="B48:U52" si="17">B$10</f>
        <v>1.5092507747615702E-3</v>
      </c>
      <c r="C48" s="23">
        <f t="shared" si="17"/>
        <v>5.3633997043026364E-4</v>
      </c>
      <c r="D48" s="23">
        <f t="shared" si="17"/>
        <v>1.6000000000000001E-3</v>
      </c>
      <c r="E48" s="23">
        <f t="shared" si="17"/>
        <v>1.6000000000000001E-3</v>
      </c>
      <c r="F48" s="23">
        <f t="shared" si="17"/>
        <v>6.3522984511416101E-4</v>
      </c>
      <c r="G48" s="23">
        <f t="shared" si="17"/>
        <v>5.9999999999999995E-4</v>
      </c>
      <c r="H48" s="23">
        <f t="shared" si="17"/>
        <v>2E-3</v>
      </c>
      <c r="I48" s="23">
        <f t="shared" si="17"/>
        <v>5.9999999999999995E-4</v>
      </c>
      <c r="J48" s="23">
        <f t="shared" si="17"/>
        <v>3.0000000000000001E-3</v>
      </c>
      <c r="K48" s="23">
        <f t="shared" si="17"/>
        <v>5.9999999999999995E-4</v>
      </c>
      <c r="L48" s="23">
        <f t="shared" si="17"/>
        <v>1.4E-2</v>
      </c>
      <c r="M48" s="23">
        <f t="shared" si="17"/>
        <v>3.0000000000000001E-3</v>
      </c>
      <c r="N48" s="23">
        <f t="shared" si="17"/>
        <v>1.2999999999999999E-2</v>
      </c>
      <c r="O48" s="23">
        <f t="shared" si="17"/>
        <v>3.0000000000000001E-3</v>
      </c>
      <c r="P48" s="23">
        <f t="shared" si="17"/>
        <v>1.2999999999999999E-2</v>
      </c>
      <c r="Q48" s="23">
        <f t="shared" si="17"/>
        <v>3.0000000000000001E-3</v>
      </c>
      <c r="R48" s="23">
        <f t="shared" si="17"/>
        <v>1.2E-2</v>
      </c>
      <c r="S48" s="23">
        <f t="shared" si="17"/>
        <v>3.0000000000000001E-3</v>
      </c>
      <c r="T48" s="23">
        <f t="shared" si="17"/>
        <v>1.2999999999999999E-2</v>
      </c>
      <c r="U48" s="23">
        <f t="shared" si="17"/>
        <v>3.0000000000000001E-3</v>
      </c>
      <c r="V48" s="24">
        <f t="shared" si="5"/>
        <v>1.022795372595917E-3</v>
      </c>
      <c r="W48" s="24">
        <f t="shared" si="6"/>
        <v>1.6000000000000001E-3</v>
      </c>
      <c r="X48" s="24">
        <f t="shared" si="7"/>
        <v>6.1761492255708048E-4</v>
      </c>
      <c r="Y48" s="24">
        <f t="shared" si="8"/>
        <v>1.2999999999999999E-3</v>
      </c>
      <c r="Z48" s="24">
        <f t="shared" si="9"/>
        <v>1.8E-3</v>
      </c>
      <c r="AA48" s="3">
        <f ca="1">IFERROR(__xludf.DUMMYFUNCTION("AVERAGE.WEIGHTED(B48:C48,$AF48:$AG48)"),0.00176900370740583)</f>
        <v>1.76900370740583E-3</v>
      </c>
      <c r="AB48" s="3">
        <f ca="1">IFERROR(__xludf.DUMMYFUNCTION("AVERAGE.WEIGHTED(D48:E48,$AH48:$AI48)"),0.00176695864628478)</f>
        <v>1.7669586462847799E-3</v>
      </c>
      <c r="AC48" s="3">
        <f ca="1">IFERROR(__xludf.DUMMYFUNCTION("AVERAGE.WEIGHTED(F48:G48,$AJ48:$AK48)"),0.00181435901208654)</f>
        <v>1.8143590120865401E-3</v>
      </c>
      <c r="AD48" s="3" t="str">
        <f ca="1">IFERROR(__xludf.DUMMYFUNCTION("AVERAGE.WEIGHTED(H48:I48,$AA$25:$AB$25)"),"#VALUE!")</f>
        <v>#VALUE!</v>
      </c>
      <c r="AE48" s="3" t="str">
        <f ca="1">IFERROR(__xludf.DUMMYFUNCTION("AVERAGE.WEIGHTED(J48:K48,$AA$25:$AB$25)"),"#VALUE!")</f>
        <v>#VALUE!</v>
      </c>
      <c r="AF48" s="169">
        <v>0.50760148296233498</v>
      </c>
      <c r="AG48" s="3">
        <f t="shared" si="10"/>
        <v>0.49239851703766502</v>
      </c>
      <c r="AH48" s="169">
        <v>0.50678345851391504</v>
      </c>
      <c r="AI48" s="3">
        <f t="shared" si="11"/>
        <v>0.49321654148608496</v>
      </c>
      <c r="AJ48" s="169">
        <v>0.50598292170272596</v>
      </c>
      <c r="AK48" s="3">
        <f t="shared" si="12"/>
        <v>0.49401707829727404</v>
      </c>
      <c r="AT48" s="201" t="s">
        <v>218</v>
      </c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</row>
    <row r="49" spans="1:56" ht="15" x14ac:dyDescent="0.25">
      <c r="A49" s="1">
        <v>21</v>
      </c>
      <c r="B49" s="23">
        <f t="shared" si="17"/>
        <v>1.5092507747615702E-3</v>
      </c>
      <c r="C49" s="23">
        <f t="shared" si="17"/>
        <v>5.3633997043026364E-4</v>
      </c>
      <c r="D49" s="23">
        <f t="shared" si="17"/>
        <v>1.6000000000000001E-3</v>
      </c>
      <c r="E49" s="23">
        <f t="shared" si="17"/>
        <v>1.6000000000000001E-3</v>
      </c>
      <c r="F49" s="23">
        <f t="shared" si="17"/>
        <v>6.3522984511416101E-4</v>
      </c>
      <c r="G49" s="23">
        <f t="shared" si="17"/>
        <v>5.9999999999999995E-4</v>
      </c>
      <c r="H49" s="23">
        <f t="shared" si="17"/>
        <v>2E-3</v>
      </c>
      <c r="I49" s="23">
        <f t="shared" si="17"/>
        <v>5.9999999999999995E-4</v>
      </c>
      <c r="J49" s="23">
        <f t="shared" si="17"/>
        <v>3.0000000000000001E-3</v>
      </c>
      <c r="K49" s="23">
        <f t="shared" si="17"/>
        <v>5.9999999999999995E-4</v>
      </c>
      <c r="L49" s="23">
        <f t="shared" si="17"/>
        <v>1.4E-2</v>
      </c>
      <c r="M49" s="23">
        <f t="shared" si="17"/>
        <v>3.0000000000000001E-3</v>
      </c>
      <c r="N49" s="23">
        <f t="shared" si="17"/>
        <v>1.2999999999999999E-2</v>
      </c>
      <c r="O49" s="23">
        <f t="shared" si="17"/>
        <v>3.0000000000000001E-3</v>
      </c>
      <c r="P49" s="23">
        <f t="shared" si="17"/>
        <v>1.2999999999999999E-2</v>
      </c>
      <c r="Q49" s="23">
        <f t="shared" si="17"/>
        <v>3.0000000000000001E-3</v>
      </c>
      <c r="R49" s="23">
        <f t="shared" si="17"/>
        <v>1.2E-2</v>
      </c>
      <c r="S49" s="23">
        <f t="shared" si="17"/>
        <v>3.0000000000000001E-3</v>
      </c>
      <c r="T49" s="23">
        <f t="shared" si="17"/>
        <v>1.2999999999999999E-2</v>
      </c>
      <c r="U49" s="23">
        <f t="shared" si="17"/>
        <v>3.0000000000000001E-3</v>
      </c>
      <c r="V49" s="24">
        <f t="shared" si="5"/>
        <v>1.022795372595917E-3</v>
      </c>
      <c r="W49" s="24">
        <f t="shared" si="6"/>
        <v>1.6000000000000001E-3</v>
      </c>
      <c r="X49" s="24">
        <f t="shared" si="7"/>
        <v>6.1761492255708048E-4</v>
      </c>
      <c r="Y49" s="24">
        <f t="shared" si="8"/>
        <v>1.2999999999999999E-3</v>
      </c>
      <c r="Z49" s="24">
        <f t="shared" si="9"/>
        <v>1.8E-3</v>
      </c>
      <c r="AA49" s="3">
        <f ca="1">IFERROR(__xludf.DUMMYFUNCTION("AVERAGE.WEIGHTED(B49:C49,$AF49:$AG49)"),0.00176782300409947)</f>
        <v>1.7678230040994701E-3</v>
      </c>
      <c r="AB49" s="3">
        <f ca="1">IFERROR(__xludf.DUMMYFUNCTION("AVERAGE.WEIGHTED(D49:E49,$AH49:$AI49)"),0.00176606520513524)</f>
        <v>1.76606520513524E-3</v>
      </c>
      <c r="AC49" s="3">
        <f ca="1">IFERROR(__xludf.DUMMYFUNCTION("AVERAGE.WEIGHTED(F49:G49,$AJ49:$AK49)"),0.00181289655379057)</f>
        <v>1.8128965537905701E-3</v>
      </c>
      <c r="AD49" s="3" t="str">
        <f ca="1">IFERROR(__xludf.DUMMYFUNCTION("AVERAGE.WEIGHTED(H49:I49,$AA$25:$AB$25)"),"#VALUE!")</f>
        <v>#VALUE!</v>
      </c>
      <c r="AE49" s="3" t="str">
        <f ca="1">IFERROR(__xludf.DUMMYFUNCTION("AVERAGE.WEIGHTED(J49:K49,$AA$25:$AB$25)"),"#VALUE!")</f>
        <v>#VALUE!</v>
      </c>
      <c r="AF49" s="169">
        <v>0.50712920163978903</v>
      </c>
      <c r="AG49" s="3">
        <f t="shared" si="10"/>
        <v>0.49287079836021097</v>
      </c>
      <c r="AH49" s="169">
        <v>0.506426082054098</v>
      </c>
      <c r="AI49" s="3">
        <f t="shared" si="11"/>
        <v>0.493573917945902</v>
      </c>
      <c r="AJ49" s="169">
        <v>0.50537356407940603</v>
      </c>
      <c r="AK49" s="3">
        <f t="shared" si="12"/>
        <v>0.49462643592059397</v>
      </c>
      <c r="AT49" s="201" t="s">
        <v>218</v>
      </c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</row>
    <row r="50" spans="1:56" ht="15" x14ac:dyDescent="0.25">
      <c r="A50" s="1">
        <v>22</v>
      </c>
      <c r="B50" s="23">
        <f t="shared" si="17"/>
        <v>1.5092507747615702E-3</v>
      </c>
      <c r="C50" s="23">
        <f t="shared" si="17"/>
        <v>5.3633997043026364E-4</v>
      </c>
      <c r="D50" s="23">
        <f t="shared" si="17"/>
        <v>1.6000000000000001E-3</v>
      </c>
      <c r="E50" s="23">
        <f t="shared" si="17"/>
        <v>1.6000000000000001E-3</v>
      </c>
      <c r="F50" s="23">
        <f t="shared" si="17"/>
        <v>6.3522984511416101E-4</v>
      </c>
      <c r="G50" s="23">
        <f t="shared" si="17"/>
        <v>5.9999999999999995E-4</v>
      </c>
      <c r="H50" s="23">
        <f t="shared" si="17"/>
        <v>2E-3</v>
      </c>
      <c r="I50" s="23">
        <f t="shared" si="17"/>
        <v>5.9999999999999995E-4</v>
      </c>
      <c r="J50" s="23">
        <f t="shared" si="17"/>
        <v>3.0000000000000001E-3</v>
      </c>
      <c r="K50" s="23">
        <f t="shared" si="17"/>
        <v>5.9999999999999995E-4</v>
      </c>
      <c r="L50" s="23">
        <f t="shared" si="17"/>
        <v>1.4E-2</v>
      </c>
      <c r="M50" s="23">
        <f t="shared" si="17"/>
        <v>3.0000000000000001E-3</v>
      </c>
      <c r="N50" s="23">
        <f t="shared" si="17"/>
        <v>1.2999999999999999E-2</v>
      </c>
      <c r="O50" s="23">
        <f t="shared" si="17"/>
        <v>3.0000000000000001E-3</v>
      </c>
      <c r="P50" s="23">
        <f t="shared" si="17"/>
        <v>1.2999999999999999E-2</v>
      </c>
      <c r="Q50" s="23">
        <f t="shared" si="17"/>
        <v>3.0000000000000001E-3</v>
      </c>
      <c r="R50" s="23">
        <f t="shared" si="17"/>
        <v>1.2E-2</v>
      </c>
      <c r="S50" s="23">
        <f t="shared" si="17"/>
        <v>3.0000000000000001E-3</v>
      </c>
      <c r="T50" s="23">
        <f t="shared" si="17"/>
        <v>1.2999999999999999E-2</v>
      </c>
      <c r="U50" s="23">
        <f t="shared" si="17"/>
        <v>3.0000000000000001E-3</v>
      </c>
      <c r="V50" s="24">
        <f t="shared" si="5"/>
        <v>1.022795372595917E-3</v>
      </c>
      <c r="W50" s="24">
        <f t="shared" si="6"/>
        <v>1.6000000000000001E-3</v>
      </c>
      <c r="X50" s="24">
        <f t="shared" si="7"/>
        <v>6.1761492255708048E-4</v>
      </c>
      <c r="Y50" s="24">
        <f t="shared" si="8"/>
        <v>1.2999999999999999E-3</v>
      </c>
      <c r="Z50" s="24">
        <f t="shared" si="9"/>
        <v>1.8E-3</v>
      </c>
      <c r="AA50" s="3">
        <f ca="1">IFERROR(__xludf.DUMMYFUNCTION("AVERAGE.WEIGHTED(B50:C50,$AF50:$AG50)"),0.0017666984760552)</f>
        <v>1.7666984760552E-3</v>
      </c>
      <c r="AB50" s="3">
        <f ca="1">IFERROR(__xludf.DUMMYFUNCTION("AVERAGE.WEIGHTED(D50:E50,$AH50:$AI50)"),0.00176494647672086)</f>
        <v>1.7649464767208599E-3</v>
      </c>
      <c r="AC50" s="3">
        <f ca="1">IFERROR(__xludf.DUMMYFUNCTION("AVERAGE.WEIGHTED(F50:G50,$AJ50:$AK50)"),0.00181142608470969)</f>
        <v>1.8114260847096901E-3</v>
      </c>
      <c r="AD50" s="3" t="str">
        <f ca="1">IFERROR(__xludf.DUMMYFUNCTION("AVERAGE.WEIGHTED(H50:I50,$AA$25:$AB$25)"),"#VALUE!")</f>
        <v>#VALUE!</v>
      </c>
      <c r="AE50" s="3" t="str">
        <f ca="1">IFERROR(__xludf.DUMMYFUNCTION("AVERAGE.WEIGHTED(J50:K50,$AA$25:$AB$25)"),"#VALUE!")</f>
        <v>#VALUE!</v>
      </c>
      <c r="AF50" s="169">
        <v>0.50667939042208099</v>
      </c>
      <c r="AG50" s="3">
        <f t="shared" si="10"/>
        <v>0.49332060957791901</v>
      </c>
      <c r="AH50" s="169">
        <v>0.50597859068834505</v>
      </c>
      <c r="AI50" s="3">
        <f t="shared" si="11"/>
        <v>0.49402140931165495</v>
      </c>
      <c r="AJ50" s="169">
        <v>0.50476086862903802</v>
      </c>
      <c r="AK50" s="3">
        <f t="shared" si="12"/>
        <v>0.49523913137096198</v>
      </c>
      <c r="AT50" s="201" t="s">
        <v>218</v>
      </c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</row>
    <row r="51" spans="1:56" ht="15" x14ac:dyDescent="0.25">
      <c r="A51" s="1">
        <v>23</v>
      </c>
      <c r="B51" s="23">
        <f t="shared" si="17"/>
        <v>1.5092507747615702E-3</v>
      </c>
      <c r="C51" s="23">
        <f t="shared" si="17"/>
        <v>5.3633997043026364E-4</v>
      </c>
      <c r="D51" s="23">
        <f t="shared" si="17"/>
        <v>1.6000000000000001E-3</v>
      </c>
      <c r="E51" s="23">
        <f t="shared" si="17"/>
        <v>1.6000000000000001E-3</v>
      </c>
      <c r="F51" s="23">
        <f t="shared" si="17"/>
        <v>6.3522984511416101E-4</v>
      </c>
      <c r="G51" s="23">
        <f t="shared" si="17"/>
        <v>5.9999999999999995E-4</v>
      </c>
      <c r="H51" s="23">
        <f t="shared" si="17"/>
        <v>2E-3</v>
      </c>
      <c r="I51" s="23">
        <f t="shared" si="17"/>
        <v>5.9999999999999995E-4</v>
      </c>
      <c r="J51" s="23">
        <f t="shared" si="17"/>
        <v>3.0000000000000001E-3</v>
      </c>
      <c r="K51" s="23">
        <f t="shared" si="17"/>
        <v>5.9999999999999995E-4</v>
      </c>
      <c r="L51" s="23">
        <f t="shared" si="17"/>
        <v>1.4E-2</v>
      </c>
      <c r="M51" s="23">
        <f t="shared" si="17"/>
        <v>3.0000000000000001E-3</v>
      </c>
      <c r="N51" s="23">
        <f t="shared" si="17"/>
        <v>1.2999999999999999E-2</v>
      </c>
      <c r="O51" s="23">
        <f t="shared" si="17"/>
        <v>3.0000000000000001E-3</v>
      </c>
      <c r="P51" s="23">
        <f t="shared" si="17"/>
        <v>1.2999999999999999E-2</v>
      </c>
      <c r="Q51" s="23">
        <f t="shared" si="17"/>
        <v>3.0000000000000001E-3</v>
      </c>
      <c r="R51" s="23">
        <f t="shared" si="17"/>
        <v>1.2E-2</v>
      </c>
      <c r="S51" s="23">
        <f t="shared" si="17"/>
        <v>3.0000000000000001E-3</v>
      </c>
      <c r="T51" s="23">
        <f t="shared" si="17"/>
        <v>1.2999999999999999E-2</v>
      </c>
      <c r="U51" s="23">
        <f t="shared" si="17"/>
        <v>3.0000000000000001E-3</v>
      </c>
      <c r="V51" s="24">
        <f t="shared" si="5"/>
        <v>1.022795372595917E-3</v>
      </c>
      <c r="W51" s="24">
        <f t="shared" si="6"/>
        <v>1.6000000000000001E-3</v>
      </c>
      <c r="X51" s="24">
        <f t="shared" si="7"/>
        <v>6.1761492255708048E-4</v>
      </c>
      <c r="Y51" s="24">
        <f t="shared" si="8"/>
        <v>1.2999999999999999E-3</v>
      </c>
      <c r="Z51" s="24">
        <f t="shared" si="9"/>
        <v>1.8E-3</v>
      </c>
      <c r="AA51" s="3">
        <f ca="1">IFERROR(__xludf.DUMMYFUNCTION("AVERAGE.WEIGHTED(B51:C51,$AF51:$AG51)"),0.00176550325810005)</f>
        <v>1.7655032581000501E-3</v>
      </c>
      <c r="AB51" s="3">
        <f ca="1">IFERROR(__xludf.DUMMYFUNCTION("AVERAGE.WEIGHTED(D51:E51,$AH51:$AI51)"),0.00176358041452776)</f>
        <v>1.76358041452776E-3</v>
      </c>
      <c r="AC51" s="3">
        <f ca="1">IFERROR(__xludf.DUMMYFUNCTION("AVERAGE.WEIGHTED(F51:G51,$AJ51:$AK51)"),0.00181005395061157)</f>
        <v>1.81005395061157E-3</v>
      </c>
      <c r="AD51" s="3" t="str">
        <f ca="1">IFERROR(__xludf.DUMMYFUNCTION("AVERAGE.WEIGHTED(H51:I51,$AA$25:$AB$25)"),"#VALUE!")</f>
        <v>#VALUE!</v>
      </c>
      <c r="AE51" s="3" t="str">
        <f ca="1">IFERROR(__xludf.DUMMYFUNCTION("AVERAGE.WEIGHTED(J51:K51,$AA$25:$AB$25)"),"#VALUE!")</f>
        <v>#VALUE!</v>
      </c>
      <c r="AF51" s="169">
        <v>0.50620130324002299</v>
      </c>
      <c r="AG51" s="3">
        <f t="shared" si="10"/>
        <v>0.49379869675997701</v>
      </c>
      <c r="AH51" s="169">
        <v>0.50543216581110695</v>
      </c>
      <c r="AI51" s="3">
        <f t="shared" si="11"/>
        <v>0.49456783418889305</v>
      </c>
      <c r="AJ51" s="169">
        <v>0.50418914608815801</v>
      </c>
      <c r="AK51" s="3">
        <f t="shared" si="12"/>
        <v>0.49581085391184199</v>
      </c>
      <c r="AT51" s="201" t="s">
        <v>218</v>
      </c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</row>
    <row r="52" spans="1:56" ht="15" x14ac:dyDescent="0.25">
      <c r="A52" s="1">
        <v>24</v>
      </c>
      <c r="B52" s="23">
        <f t="shared" si="17"/>
        <v>1.5092507747615702E-3</v>
      </c>
      <c r="C52" s="23">
        <f t="shared" si="17"/>
        <v>5.3633997043026364E-4</v>
      </c>
      <c r="D52" s="23">
        <f t="shared" si="17"/>
        <v>1.6000000000000001E-3</v>
      </c>
      <c r="E52" s="23">
        <f t="shared" si="17"/>
        <v>1.6000000000000001E-3</v>
      </c>
      <c r="F52" s="23">
        <f t="shared" si="17"/>
        <v>6.3522984511416101E-4</v>
      </c>
      <c r="G52" s="23">
        <f t="shared" si="17"/>
        <v>5.9999999999999995E-4</v>
      </c>
      <c r="H52" s="23">
        <f t="shared" si="17"/>
        <v>2E-3</v>
      </c>
      <c r="I52" s="23">
        <f t="shared" si="17"/>
        <v>5.9999999999999995E-4</v>
      </c>
      <c r="J52" s="23">
        <f t="shared" si="17"/>
        <v>3.0000000000000001E-3</v>
      </c>
      <c r="K52" s="23">
        <f t="shared" si="17"/>
        <v>5.9999999999999995E-4</v>
      </c>
      <c r="L52" s="23">
        <f t="shared" si="17"/>
        <v>1.4E-2</v>
      </c>
      <c r="M52" s="23">
        <f t="shared" si="17"/>
        <v>3.0000000000000001E-3</v>
      </c>
      <c r="N52" s="23">
        <f t="shared" si="17"/>
        <v>1.2999999999999999E-2</v>
      </c>
      <c r="O52" s="23">
        <f t="shared" si="17"/>
        <v>3.0000000000000001E-3</v>
      </c>
      <c r="P52" s="23">
        <f t="shared" si="17"/>
        <v>1.2999999999999999E-2</v>
      </c>
      <c r="Q52" s="23">
        <f t="shared" si="17"/>
        <v>3.0000000000000001E-3</v>
      </c>
      <c r="R52" s="23">
        <f t="shared" si="17"/>
        <v>1.2E-2</v>
      </c>
      <c r="S52" s="23">
        <f t="shared" si="17"/>
        <v>3.0000000000000001E-3</v>
      </c>
      <c r="T52" s="23">
        <f t="shared" si="17"/>
        <v>1.2999999999999999E-2</v>
      </c>
      <c r="U52" s="23">
        <f t="shared" si="17"/>
        <v>3.0000000000000001E-3</v>
      </c>
      <c r="V52" s="24">
        <f t="shared" si="5"/>
        <v>1.022795372595917E-3</v>
      </c>
      <c r="W52" s="24">
        <f t="shared" si="6"/>
        <v>1.6000000000000001E-3</v>
      </c>
      <c r="X52" s="24">
        <f t="shared" si="7"/>
        <v>6.1761492255708048E-4</v>
      </c>
      <c r="Y52" s="24">
        <f t="shared" si="8"/>
        <v>1.2999999999999999E-3</v>
      </c>
      <c r="Z52" s="24">
        <f t="shared" si="9"/>
        <v>1.8E-3</v>
      </c>
      <c r="AA52" s="3">
        <f ca="1">IFERROR(__xludf.DUMMYFUNCTION("AVERAGE.WEIGHTED(B52:C52,$AF52:$AG52)"),0.00176429486259785)</f>
        <v>1.7642948625978499E-3</v>
      </c>
      <c r="AB52" s="3">
        <f ca="1">IFERROR(__xludf.DUMMYFUNCTION("AVERAGE.WEIGHTED(D52:E52,$AH52:$AI52)"),0.00176228837555084)</f>
        <v>1.7622883755508401E-3</v>
      </c>
      <c r="AC52" s="3">
        <f ca="1">IFERROR(__xludf.DUMMYFUNCTION("AVERAGE.WEIGHTED(F52:G52,$AJ52:$AK52)"),0.00180852369551074)</f>
        <v>1.80852369551074E-3</v>
      </c>
      <c r="AD52" s="3" t="str">
        <f ca="1">IFERROR(__xludf.DUMMYFUNCTION("AVERAGE.WEIGHTED(H52:I52,$AA$25:$AB$25)"),"#VALUE!")</f>
        <v>#VALUE!</v>
      </c>
      <c r="AE52" s="3" t="str">
        <f ca="1">IFERROR(__xludf.DUMMYFUNCTION("AVERAGE.WEIGHTED(J52:K52,$AA$25:$AB$25)"),"#VALUE!")</f>
        <v>#VALUE!</v>
      </c>
      <c r="AF52" s="169">
        <v>0.50571794503914003</v>
      </c>
      <c r="AG52" s="3">
        <f t="shared" si="10"/>
        <v>0.49428205496085997</v>
      </c>
      <c r="AH52" s="169">
        <v>0.50491535022033895</v>
      </c>
      <c r="AI52" s="3">
        <f t="shared" si="11"/>
        <v>0.49508464977966105</v>
      </c>
      <c r="AJ52" s="169">
        <v>0.50355153979614298</v>
      </c>
      <c r="AK52" s="3">
        <f t="shared" si="12"/>
        <v>0.49644846020385702</v>
      </c>
      <c r="AT52" s="201" t="s">
        <v>218</v>
      </c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</row>
    <row r="53" spans="1:56" ht="15" x14ac:dyDescent="0.25">
      <c r="A53" s="1">
        <v>25</v>
      </c>
      <c r="B53" s="23">
        <f t="shared" ref="B53:U57" si="18">B$11</f>
        <v>1.52921183836687E-3</v>
      </c>
      <c r="C53" s="23">
        <f t="shared" si="18"/>
        <v>6.2762690013509585E-4</v>
      </c>
      <c r="D53" s="23">
        <f t="shared" si="18"/>
        <v>1.6000000000000001E-3</v>
      </c>
      <c r="E53" s="23">
        <f t="shared" si="18"/>
        <v>1.6000000000000001E-3</v>
      </c>
      <c r="F53" s="23">
        <f t="shared" si="18"/>
        <v>7.74987439314089E-4</v>
      </c>
      <c r="G53" s="23">
        <f t="shared" si="18"/>
        <v>6.9999999999999999E-4</v>
      </c>
      <c r="H53" s="23">
        <f t="shared" si="18"/>
        <v>3.0000000000000001E-3</v>
      </c>
      <c r="I53" s="23">
        <f t="shared" si="18"/>
        <v>6.9999999999999999E-4</v>
      </c>
      <c r="J53" s="23">
        <f t="shared" si="18"/>
        <v>3.0000000000000001E-3</v>
      </c>
      <c r="K53" s="23">
        <f t="shared" si="18"/>
        <v>8.0000000000000004E-4</v>
      </c>
      <c r="L53" s="23">
        <f t="shared" si="18"/>
        <v>1.2E-2</v>
      </c>
      <c r="M53" s="23">
        <f t="shared" si="18"/>
        <v>3.0000000000000001E-3</v>
      </c>
      <c r="N53" s="23">
        <f t="shared" si="18"/>
        <v>1.2E-2</v>
      </c>
      <c r="O53" s="23">
        <f t="shared" si="18"/>
        <v>3.0000000000000001E-3</v>
      </c>
      <c r="P53" s="23">
        <f t="shared" si="18"/>
        <v>1.2999999999999999E-2</v>
      </c>
      <c r="Q53" s="23">
        <f t="shared" si="18"/>
        <v>4.0000000000000001E-3</v>
      </c>
      <c r="R53" s="23">
        <f t="shared" si="18"/>
        <v>1.2999999999999999E-2</v>
      </c>
      <c r="S53" s="23">
        <f t="shared" si="18"/>
        <v>4.0000000000000001E-3</v>
      </c>
      <c r="T53" s="23">
        <f t="shared" si="18"/>
        <v>1.4E-2</v>
      </c>
      <c r="U53" s="23">
        <f t="shared" si="18"/>
        <v>4.0000000000000001E-3</v>
      </c>
      <c r="V53" s="24">
        <f t="shared" si="5"/>
        <v>1.0784193692509828E-3</v>
      </c>
      <c r="W53" s="24">
        <f t="shared" si="6"/>
        <v>1.6000000000000001E-3</v>
      </c>
      <c r="X53" s="24">
        <f t="shared" si="7"/>
        <v>7.3749371965704455E-4</v>
      </c>
      <c r="Y53" s="24">
        <f t="shared" si="8"/>
        <v>1.8500000000000001E-3</v>
      </c>
      <c r="Z53" s="24">
        <f t="shared" si="9"/>
        <v>1.9E-3</v>
      </c>
      <c r="AA53" s="3">
        <f ca="1">IFERROR(__xludf.DUMMYFUNCTION("AVERAGE.WEIGHTED(B53:C53,$AF53:$AG53)"),0.00130745685005393)</f>
        <v>1.30745685005393E-3</v>
      </c>
      <c r="AB53" s="3">
        <f ca="1">IFERROR(__xludf.DUMMYFUNCTION("AVERAGE.WEIGHTED(D53:E53,$AH53:$AI53)"),0.0018600293265463)</f>
        <v>1.8600293265463E-3</v>
      </c>
      <c r="AC53" s="3">
        <f ca="1">IFERROR(__xludf.DUMMYFUNCTION("AVERAGE.WEIGHTED(F53:G53,$AJ53:$AK53)"),0.00185662977430251)</f>
        <v>1.85662977430251E-3</v>
      </c>
      <c r="AD53" s="3" t="str">
        <f ca="1">IFERROR(__xludf.DUMMYFUNCTION("AVERAGE.WEIGHTED(H53:I53,$AA$25:$AB$25)"),"#VALUE!")</f>
        <v>#VALUE!</v>
      </c>
      <c r="AE53" s="3" t="str">
        <f ca="1">IFERROR(__xludf.DUMMYFUNCTION("AVERAGE.WEIGHTED(J53:K53,$AA$25:$AB$25)"),"#VALUE!")</f>
        <v>#VALUE!</v>
      </c>
      <c r="AF53" s="169">
        <v>0.50532632146709799</v>
      </c>
      <c r="AG53" s="3">
        <f t="shared" si="10"/>
        <v>0.49467367853290201</v>
      </c>
      <c r="AH53" s="169">
        <v>0.50436057675926105</v>
      </c>
      <c r="AI53" s="3">
        <f t="shared" si="11"/>
        <v>0.49563942324073895</v>
      </c>
      <c r="AJ53" s="169">
        <v>0.50288251056631195</v>
      </c>
      <c r="AK53" s="3">
        <f t="shared" si="12"/>
        <v>0.49711748943368805</v>
      </c>
      <c r="AT53" s="201" t="s">
        <v>218</v>
      </c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</row>
    <row r="54" spans="1:56" ht="15" x14ac:dyDescent="0.25">
      <c r="A54" s="1">
        <v>26</v>
      </c>
      <c r="B54" s="23">
        <f t="shared" si="18"/>
        <v>1.52921183836687E-3</v>
      </c>
      <c r="C54" s="23">
        <f t="shared" si="18"/>
        <v>6.2762690013509585E-4</v>
      </c>
      <c r="D54" s="23">
        <f t="shared" si="18"/>
        <v>1.6000000000000001E-3</v>
      </c>
      <c r="E54" s="23">
        <f t="shared" si="18"/>
        <v>1.6000000000000001E-3</v>
      </c>
      <c r="F54" s="23">
        <f t="shared" si="18"/>
        <v>7.74987439314089E-4</v>
      </c>
      <c r="G54" s="23">
        <f t="shared" si="18"/>
        <v>6.9999999999999999E-4</v>
      </c>
      <c r="H54" s="23">
        <f t="shared" si="18"/>
        <v>3.0000000000000001E-3</v>
      </c>
      <c r="I54" s="23">
        <f t="shared" si="18"/>
        <v>6.9999999999999999E-4</v>
      </c>
      <c r="J54" s="23">
        <f t="shared" si="18"/>
        <v>3.0000000000000001E-3</v>
      </c>
      <c r="K54" s="23">
        <f t="shared" si="18"/>
        <v>8.0000000000000004E-4</v>
      </c>
      <c r="L54" s="23">
        <f t="shared" si="18"/>
        <v>1.2E-2</v>
      </c>
      <c r="M54" s="23">
        <f t="shared" si="18"/>
        <v>3.0000000000000001E-3</v>
      </c>
      <c r="N54" s="23">
        <f t="shared" si="18"/>
        <v>1.2E-2</v>
      </c>
      <c r="O54" s="23">
        <f t="shared" si="18"/>
        <v>3.0000000000000001E-3</v>
      </c>
      <c r="P54" s="23">
        <f t="shared" si="18"/>
        <v>1.2999999999999999E-2</v>
      </c>
      <c r="Q54" s="23">
        <f t="shared" si="18"/>
        <v>4.0000000000000001E-3</v>
      </c>
      <c r="R54" s="23">
        <f t="shared" si="18"/>
        <v>1.2999999999999999E-2</v>
      </c>
      <c r="S54" s="23">
        <f t="shared" si="18"/>
        <v>4.0000000000000001E-3</v>
      </c>
      <c r="T54" s="23">
        <f t="shared" si="18"/>
        <v>1.4E-2</v>
      </c>
      <c r="U54" s="23">
        <f t="shared" si="18"/>
        <v>4.0000000000000001E-3</v>
      </c>
      <c r="V54" s="24">
        <f t="shared" si="5"/>
        <v>1.0784193692509828E-3</v>
      </c>
      <c r="W54" s="24">
        <f t="shared" si="6"/>
        <v>1.6000000000000001E-3</v>
      </c>
      <c r="X54" s="24">
        <f t="shared" si="7"/>
        <v>7.3749371965704455E-4</v>
      </c>
      <c r="Y54" s="24">
        <f t="shared" si="8"/>
        <v>1.8500000000000001E-3</v>
      </c>
      <c r="Z54" s="24">
        <f t="shared" si="9"/>
        <v>1.9E-3</v>
      </c>
      <c r="AA54" s="3">
        <f ca="1">IFERROR(__xludf.DUMMYFUNCTION("AVERAGE.WEIGHTED(B54:C54,$AF54:$AG54)"),0.00130680338229294)</f>
        <v>1.30680338229294E-3</v>
      </c>
      <c r="AB54" s="3">
        <f ca="1">IFERROR(__xludf.DUMMYFUNCTION("AVERAGE.WEIGHTED(D54:E54,$AH54:$AI54)"),0.00185851343657726)</f>
        <v>1.85851343657726E-3</v>
      </c>
      <c r="AC54" s="3">
        <f ca="1">IFERROR(__xludf.DUMMYFUNCTION("AVERAGE.WEIGHTED(F54:G54,$AJ54:$AK54)"),0.00185495999600717)</f>
        <v>1.85495999600717E-3</v>
      </c>
      <c r="AD54" s="3" t="str">
        <f ca="1">IFERROR(__xludf.DUMMYFUNCTION("AVERAGE.WEIGHTED(H54:I54,$AA$25:$AB$25)"),"#VALUE!")</f>
        <v>#VALUE!</v>
      </c>
      <c r="AE54" s="3" t="str">
        <f ca="1">IFERROR(__xludf.DUMMYFUNCTION("AVERAGE.WEIGHTED(J54:K54,$AA$25:$AB$25)"),"#VALUE!")</f>
        <v>#VALUE!</v>
      </c>
      <c r="AF54" s="169">
        <v>0.50485955878067401</v>
      </c>
      <c r="AG54" s="3">
        <f t="shared" si="10"/>
        <v>0.49514044121932599</v>
      </c>
      <c r="AH54" s="169">
        <v>0.50370149416402699</v>
      </c>
      <c r="AI54" s="3">
        <f t="shared" si="11"/>
        <v>0.49629850583597301</v>
      </c>
      <c r="AJ54" s="169">
        <v>0.50215652000311795</v>
      </c>
      <c r="AK54" s="3">
        <f t="shared" si="12"/>
        <v>0.49784347999688205</v>
      </c>
      <c r="AT54" s="201" t="s">
        <v>218</v>
      </c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</row>
    <row r="55" spans="1:56" ht="15" x14ac:dyDescent="0.25">
      <c r="A55" s="1">
        <v>27</v>
      </c>
      <c r="B55" s="23">
        <f t="shared" si="18"/>
        <v>1.52921183836687E-3</v>
      </c>
      <c r="C55" s="23">
        <f t="shared" si="18"/>
        <v>6.2762690013509585E-4</v>
      </c>
      <c r="D55" s="23">
        <f t="shared" si="18"/>
        <v>1.6000000000000001E-3</v>
      </c>
      <c r="E55" s="23">
        <f t="shared" si="18"/>
        <v>1.6000000000000001E-3</v>
      </c>
      <c r="F55" s="23">
        <f t="shared" si="18"/>
        <v>7.74987439314089E-4</v>
      </c>
      <c r="G55" s="23">
        <f t="shared" si="18"/>
        <v>6.9999999999999999E-4</v>
      </c>
      <c r="H55" s="23">
        <f t="shared" si="18"/>
        <v>3.0000000000000001E-3</v>
      </c>
      <c r="I55" s="23">
        <f t="shared" si="18"/>
        <v>6.9999999999999999E-4</v>
      </c>
      <c r="J55" s="23">
        <f t="shared" si="18"/>
        <v>3.0000000000000001E-3</v>
      </c>
      <c r="K55" s="23">
        <f t="shared" si="18"/>
        <v>8.0000000000000004E-4</v>
      </c>
      <c r="L55" s="23">
        <f t="shared" si="18"/>
        <v>1.2E-2</v>
      </c>
      <c r="M55" s="23">
        <f t="shared" si="18"/>
        <v>3.0000000000000001E-3</v>
      </c>
      <c r="N55" s="23">
        <f t="shared" si="18"/>
        <v>1.2E-2</v>
      </c>
      <c r="O55" s="23">
        <f t="shared" si="18"/>
        <v>3.0000000000000001E-3</v>
      </c>
      <c r="P55" s="23">
        <f t="shared" si="18"/>
        <v>1.2999999999999999E-2</v>
      </c>
      <c r="Q55" s="23">
        <f t="shared" si="18"/>
        <v>4.0000000000000001E-3</v>
      </c>
      <c r="R55" s="23">
        <f t="shared" si="18"/>
        <v>1.2999999999999999E-2</v>
      </c>
      <c r="S55" s="23">
        <f t="shared" si="18"/>
        <v>4.0000000000000001E-3</v>
      </c>
      <c r="T55" s="23">
        <f t="shared" si="18"/>
        <v>1.4E-2</v>
      </c>
      <c r="U55" s="23">
        <f t="shared" si="18"/>
        <v>4.0000000000000001E-3</v>
      </c>
      <c r="V55" s="24">
        <f t="shared" si="5"/>
        <v>1.0784193692509828E-3</v>
      </c>
      <c r="W55" s="24">
        <f t="shared" si="6"/>
        <v>1.6000000000000001E-3</v>
      </c>
      <c r="X55" s="24">
        <f t="shared" si="7"/>
        <v>7.3749371965704455E-4</v>
      </c>
      <c r="Y55" s="24">
        <f t="shared" si="8"/>
        <v>1.8500000000000001E-3</v>
      </c>
      <c r="Z55" s="24">
        <f t="shared" si="9"/>
        <v>1.9E-3</v>
      </c>
      <c r="AA55" s="3">
        <f ca="1">IFERROR(__xludf.DUMMYFUNCTION("AVERAGE.WEIGHTED(B55:C55,$AF55:$AG55)"),0.00130602094548462)</f>
        <v>1.30602094548462E-3</v>
      </c>
      <c r="AB55" s="3">
        <f ca="1">IFERROR(__xludf.DUMMYFUNCTION("AVERAGE.WEIGHTED(D55:E55,$AH55:$AI55)"),0.00185706594555919)</f>
        <v>1.8570659455591899E-3</v>
      </c>
      <c r="AC55" s="3">
        <f ca="1">IFERROR(__xludf.DUMMYFUNCTION("AVERAGE.WEIGHTED(F55:G55,$AJ55:$AK55)"),0.00185294768668419)</f>
        <v>1.8529476866841899E-3</v>
      </c>
      <c r="AD55" s="3" t="str">
        <f ca="1">IFERROR(__xludf.DUMMYFUNCTION("AVERAGE.WEIGHTED(H55:I55,$AA$25:$AB$25)"),"#VALUE!")</f>
        <v>#VALUE!</v>
      </c>
      <c r="AE55" s="3" t="str">
        <f ca="1">IFERROR(__xludf.DUMMYFUNCTION("AVERAGE.WEIGHTED(J55:K55,$AA$25:$AB$25)"),"#VALUE!")</f>
        <v>#VALUE!</v>
      </c>
      <c r="AF55" s="169">
        <v>0.50430067534616296</v>
      </c>
      <c r="AG55" s="3">
        <f t="shared" si="10"/>
        <v>0.49569932465383704</v>
      </c>
      <c r="AH55" s="169">
        <v>0.50307215024312901</v>
      </c>
      <c r="AI55" s="3">
        <f t="shared" si="11"/>
        <v>0.49692784975687099</v>
      </c>
      <c r="AJ55" s="169">
        <v>0.50128160290616997</v>
      </c>
      <c r="AK55" s="3">
        <f t="shared" si="12"/>
        <v>0.49871839709383003</v>
      </c>
      <c r="AT55" s="201" t="s">
        <v>218</v>
      </c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</row>
    <row r="56" spans="1:56" ht="15" x14ac:dyDescent="0.25">
      <c r="A56" s="1">
        <v>28</v>
      </c>
      <c r="B56" s="23">
        <f t="shared" si="18"/>
        <v>1.52921183836687E-3</v>
      </c>
      <c r="C56" s="23">
        <f t="shared" si="18"/>
        <v>6.2762690013509585E-4</v>
      </c>
      <c r="D56" s="23">
        <f t="shared" si="18"/>
        <v>1.6000000000000001E-3</v>
      </c>
      <c r="E56" s="23">
        <f t="shared" si="18"/>
        <v>1.6000000000000001E-3</v>
      </c>
      <c r="F56" s="23">
        <f t="shared" si="18"/>
        <v>7.74987439314089E-4</v>
      </c>
      <c r="G56" s="23">
        <f t="shared" si="18"/>
        <v>6.9999999999999999E-4</v>
      </c>
      <c r="H56" s="23">
        <f t="shared" si="18"/>
        <v>3.0000000000000001E-3</v>
      </c>
      <c r="I56" s="23">
        <f t="shared" si="18"/>
        <v>6.9999999999999999E-4</v>
      </c>
      <c r="J56" s="23">
        <f t="shared" si="18"/>
        <v>3.0000000000000001E-3</v>
      </c>
      <c r="K56" s="23">
        <f t="shared" si="18"/>
        <v>8.0000000000000004E-4</v>
      </c>
      <c r="L56" s="23">
        <f t="shared" si="18"/>
        <v>1.2E-2</v>
      </c>
      <c r="M56" s="23">
        <f t="shared" si="18"/>
        <v>3.0000000000000001E-3</v>
      </c>
      <c r="N56" s="23">
        <f t="shared" si="18"/>
        <v>1.2E-2</v>
      </c>
      <c r="O56" s="23">
        <f t="shared" si="18"/>
        <v>3.0000000000000001E-3</v>
      </c>
      <c r="P56" s="23">
        <f t="shared" si="18"/>
        <v>1.2999999999999999E-2</v>
      </c>
      <c r="Q56" s="23">
        <f t="shared" si="18"/>
        <v>4.0000000000000001E-3</v>
      </c>
      <c r="R56" s="23">
        <f t="shared" si="18"/>
        <v>1.2999999999999999E-2</v>
      </c>
      <c r="S56" s="23">
        <f t="shared" si="18"/>
        <v>4.0000000000000001E-3</v>
      </c>
      <c r="T56" s="23">
        <f t="shared" si="18"/>
        <v>1.4E-2</v>
      </c>
      <c r="U56" s="23">
        <f t="shared" si="18"/>
        <v>4.0000000000000001E-3</v>
      </c>
      <c r="V56" s="24">
        <f t="shared" si="5"/>
        <v>1.0784193692509828E-3</v>
      </c>
      <c r="W56" s="24">
        <f t="shared" si="6"/>
        <v>1.6000000000000001E-3</v>
      </c>
      <c r="X56" s="24">
        <f t="shared" si="7"/>
        <v>7.3749371965704455E-4</v>
      </c>
      <c r="Y56" s="24">
        <f t="shared" si="8"/>
        <v>1.8500000000000001E-3</v>
      </c>
      <c r="Z56" s="24">
        <f t="shared" si="9"/>
        <v>1.9E-3</v>
      </c>
      <c r="AA56" s="3">
        <f ca="1">IFERROR(__xludf.DUMMYFUNCTION("AVERAGE.WEIGHTED(B56:C56,$AF56:$AG56)"),0.00130528124253968)</f>
        <v>1.3052812425396799E-3</v>
      </c>
      <c r="AB56" s="3">
        <f ca="1">IFERROR(__xludf.DUMMYFUNCTION("AVERAGE.WEIGHTED(D56:E56,$AH56:$AI56)"),0.00185574370499316)</f>
        <v>1.85574370499316E-3</v>
      </c>
      <c r="AC56" s="3">
        <f ca="1">IFERROR(__xludf.DUMMYFUNCTION("AVERAGE.WEIGHTED(F56:G56,$AJ56:$AK56)"),0.00185078334925019)</f>
        <v>1.8507833492501899E-3</v>
      </c>
      <c r="AD56" s="3" t="str">
        <f ca="1">IFERROR(__xludf.DUMMYFUNCTION("AVERAGE.WEIGHTED(H56:I56,$AA$25:$AB$25)"),"#VALUE!")</f>
        <v>#VALUE!</v>
      </c>
      <c r="AE56" s="3" t="str">
        <f ca="1">IFERROR(__xludf.DUMMYFUNCTION("AVERAGE.WEIGHTED(J56:K56,$AA$25:$AB$25)"),"#VALUE!")</f>
        <v>#VALUE!</v>
      </c>
      <c r="AF56" s="169">
        <v>0.50377231609977202</v>
      </c>
      <c r="AG56" s="3">
        <f t="shared" si="10"/>
        <v>0.49622768390022798</v>
      </c>
      <c r="AH56" s="169">
        <v>0.50249726304050701</v>
      </c>
      <c r="AI56" s="3">
        <f t="shared" si="11"/>
        <v>0.49750273695949299</v>
      </c>
      <c r="AJ56" s="169">
        <v>0.50034058663051995</v>
      </c>
      <c r="AK56" s="3">
        <f t="shared" si="12"/>
        <v>0.49965941336948005</v>
      </c>
      <c r="AT56" s="201" t="s">
        <v>218</v>
      </c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</row>
    <row r="57" spans="1:56" ht="15" x14ac:dyDescent="0.25">
      <c r="A57" s="1">
        <v>29</v>
      </c>
      <c r="B57" s="23">
        <f t="shared" si="18"/>
        <v>1.52921183836687E-3</v>
      </c>
      <c r="C57" s="23">
        <f t="shared" si="18"/>
        <v>6.2762690013509585E-4</v>
      </c>
      <c r="D57" s="23">
        <f t="shared" si="18"/>
        <v>1.6000000000000001E-3</v>
      </c>
      <c r="E57" s="23">
        <f t="shared" si="18"/>
        <v>1.6000000000000001E-3</v>
      </c>
      <c r="F57" s="23">
        <f t="shared" si="18"/>
        <v>7.74987439314089E-4</v>
      </c>
      <c r="G57" s="23">
        <f t="shared" si="18"/>
        <v>6.9999999999999999E-4</v>
      </c>
      <c r="H57" s="23">
        <f t="shared" si="18"/>
        <v>3.0000000000000001E-3</v>
      </c>
      <c r="I57" s="23">
        <f t="shared" si="18"/>
        <v>6.9999999999999999E-4</v>
      </c>
      <c r="J57" s="23">
        <f t="shared" si="18"/>
        <v>3.0000000000000001E-3</v>
      </c>
      <c r="K57" s="23">
        <f t="shared" si="18"/>
        <v>8.0000000000000004E-4</v>
      </c>
      <c r="L57" s="23">
        <f t="shared" si="18"/>
        <v>1.2E-2</v>
      </c>
      <c r="M57" s="23">
        <f t="shared" si="18"/>
        <v>3.0000000000000001E-3</v>
      </c>
      <c r="N57" s="23">
        <f t="shared" si="18"/>
        <v>1.2E-2</v>
      </c>
      <c r="O57" s="23">
        <f t="shared" si="18"/>
        <v>3.0000000000000001E-3</v>
      </c>
      <c r="P57" s="23">
        <f t="shared" si="18"/>
        <v>1.2999999999999999E-2</v>
      </c>
      <c r="Q57" s="23">
        <f t="shared" si="18"/>
        <v>4.0000000000000001E-3</v>
      </c>
      <c r="R57" s="23">
        <f t="shared" si="18"/>
        <v>1.2999999999999999E-2</v>
      </c>
      <c r="S57" s="23">
        <f t="shared" si="18"/>
        <v>4.0000000000000001E-3</v>
      </c>
      <c r="T57" s="23">
        <f t="shared" si="18"/>
        <v>1.4E-2</v>
      </c>
      <c r="U57" s="23">
        <f t="shared" si="18"/>
        <v>4.0000000000000001E-3</v>
      </c>
      <c r="V57" s="24">
        <f t="shared" si="5"/>
        <v>1.0784193692509828E-3</v>
      </c>
      <c r="W57" s="24">
        <f t="shared" si="6"/>
        <v>1.6000000000000001E-3</v>
      </c>
      <c r="X57" s="24">
        <f t="shared" si="7"/>
        <v>7.3749371965704455E-4</v>
      </c>
      <c r="Y57" s="24">
        <f t="shared" si="8"/>
        <v>1.8500000000000001E-3</v>
      </c>
      <c r="Z57" s="24">
        <f t="shared" si="9"/>
        <v>1.9E-3</v>
      </c>
      <c r="AA57" s="3">
        <f ca="1">IFERROR(__xludf.DUMMYFUNCTION("AVERAGE.WEIGHTED(B57:C57,$AF57:$AG57)"),0.00130447112907241)</f>
        <v>1.3044711290724101E-3</v>
      </c>
      <c r="AB57" s="3">
        <f ca="1">IFERROR(__xludf.DUMMYFUNCTION("AVERAGE.WEIGHTED(D57:E57,$AH57:$AI57)"),0.00185423998996779)</f>
        <v>1.85423998996779E-3</v>
      </c>
      <c r="AC57" s="3">
        <f ca="1">IFERROR(__xludf.DUMMYFUNCTION("AVERAGE.WEIGHTED(F57:G57,$AJ57:$AK57)"),0.00184852465253531)</f>
        <v>1.8485246525353099E-3</v>
      </c>
      <c r="AD57" s="3" t="str">
        <f ca="1">IFERROR(__xludf.DUMMYFUNCTION("AVERAGE.WEIGHTED(H57:I57,$AA$25:$AB$25)"),"#VALUE!")</f>
        <v>#VALUE!</v>
      </c>
      <c r="AE57" s="3" t="str">
        <f ca="1">IFERROR(__xludf.DUMMYFUNCTION("AVERAGE.WEIGHTED(J57:K57,$AA$25:$AB$25)"),"#VALUE!")</f>
        <v>#VALUE!</v>
      </c>
      <c r="AF57" s="169">
        <v>0.50319366362315199</v>
      </c>
      <c r="AG57" s="3">
        <f t="shared" si="10"/>
        <v>0.49680633637684801</v>
      </c>
      <c r="AH57" s="169">
        <v>0.50184347389904205</v>
      </c>
      <c r="AI57" s="3">
        <f t="shared" si="11"/>
        <v>0.49815652610095795</v>
      </c>
      <c r="AJ57" s="169">
        <v>0.49935854458057199</v>
      </c>
      <c r="AK57" s="3">
        <f t="shared" si="12"/>
        <v>0.50064145541942806</v>
      </c>
      <c r="AT57" s="201" t="s">
        <v>218</v>
      </c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</row>
    <row r="58" spans="1:56" ht="15" x14ac:dyDescent="0.25">
      <c r="A58" s="1">
        <v>30</v>
      </c>
      <c r="B58" s="23">
        <f t="shared" ref="B58:U62" si="19">B$12</f>
        <v>1.6998070121011198E-3</v>
      </c>
      <c r="C58" s="23">
        <f t="shared" si="19"/>
        <v>8.55776199617535E-4</v>
      </c>
      <c r="D58" s="23">
        <f t="shared" si="19"/>
        <v>1.6000000000000001E-3</v>
      </c>
      <c r="E58" s="23">
        <f t="shared" si="19"/>
        <v>1.8E-3</v>
      </c>
      <c r="F58" s="23">
        <f t="shared" si="19"/>
        <v>8.8818278992415002E-4</v>
      </c>
      <c r="G58" s="23">
        <f t="shared" si="19"/>
        <v>1E-3</v>
      </c>
      <c r="H58" s="23">
        <f t="shared" si="19"/>
        <v>3.0000000000000001E-3</v>
      </c>
      <c r="I58" s="23">
        <f t="shared" si="19"/>
        <v>1E-3</v>
      </c>
      <c r="J58" s="23">
        <f t="shared" si="19"/>
        <v>3.0000000000000001E-3</v>
      </c>
      <c r="K58" s="23">
        <f t="shared" si="19"/>
        <v>1E-3</v>
      </c>
      <c r="L58" s="23">
        <f t="shared" si="19"/>
        <v>1.2E-2</v>
      </c>
      <c r="M58" s="23">
        <f t="shared" si="19"/>
        <v>4.0000000000000001E-3</v>
      </c>
      <c r="N58" s="23">
        <f t="shared" si="19"/>
        <v>1.2999999999999999E-2</v>
      </c>
      <c r="O58" s="23">
        <f t="shared" si="19"/>
        <v>4.0000000000000001E-3</v>
      </c>
      <c r="P58" s="23">
        <f t="shared" si="19"/>
        <v>1.4E-2</v>
      </c>
      <c r="Q58" s="23">
        <f t="shared" si="19"/>
        <v>5.0000000000000001E-3</v>
      </c>
      <c r="R58" s="23">
        <f t="shared" si="19"/>
        <v>1.4E-2</v>
      </c>
      <c r="S58" s="23">
        <f t="shared" si="19"/>
        <v>5.0000000000000001E-3</v>
      </c>
      <c r="T58" s="23">
        <f t="shared" si="19"/>
        <v>1.4999999999999999E-2</v>
      </c>
      <c r="U58" s="23">
        <f t="shared" si="19"/>
        <v>5.0000000000000001E-3</v>
      </c>
      <c r="V58" s="24">
        <f t="shared" si="5"/>
        <v>1.2777916058593275E-3</v>
      </c>
      <c r="W58" s="24">
        <f t="shared" si="6"/>
        <v>1.7000000000000001E-3</v>
      </c>
      <c r="X58" s="24">
        <f t="shared" si="7"/>
        <v>9.4409139496207497E-4</v>
      </c>
      <c r="Y58" s="24">
        <f t="shared" si="8"/>
        <v>2E-3</v>
      </c>
      <c r="Z58" s="24">
        <f t="shared" si="9"/>
        <v>2E-3</v>
      </c>
      <c r="AA58" s="3">
        <f ca="1">IFERROR(__xludf.DUMMYFUNCTION("AVERAGE.WEIGHTED(B58:C58,$AF58:$AG58)"),0.0014029996237526)</f>
        <v>1.4029996237526E-3</v>
      </c>
      <c r="AB58" s="3">
        <f ca="1">IFERROR(__xludf.DUMMYFUNCTION("AVERAGE.WEIGHTED(D58:E58,$AH58:$AI58)"),0.0019524050587257)</f>
        <v>1.9524050587257E-3</v>
      </c>
      <c r="AC58" s="3">
        <f ca="1">IFERROR(__xludf.DUMMYFUNCTION("AVERAGE.WEIGHTED(F58:G58,$AJ58:$AK58)"),0.00199666833945455)</f>
        <v>1.99666833945455E-3</v>
      </c>
      <c r="AD58" s="3" t="str">
        <f ca="1">IFERROR(__xludf.DUMMYFUNCTION("AVERAGE.WEIGHTED(H58:I58,$AA$25:$AB$25)"),"#VALUE!")</f>
        <v>#VALUE!</v>
      </c>
      <c r="AE58" s="3" t="str">
        <f ca="1">IFERROR(__xludf.DUMMYFUNCTION("AVERAGE.WEIGHTED(J58:K58,$AA$25:$AB$25)"),"#VALUE!")</f>
        <v>#VALUE!</v>
      </c>
      <c r="AF58" s="169">
        <v>0.50249968646050103</v>
      </c>
      <c r="AG58" s="3">
        <f t="shared" si="10"/>
        <v>0.49750031353949897</v>
      </c>
      <c r="AH58" s="169">
        <v>0.50114526605985898</v>
      </c>
      <c r="AI58" s="3">
        <f t="shared" si="11"/>
        <v>0.49885473394014102</v>
      </c>
      <c r="AJ58" s="169">
        <v>0.49833416972727601</v>
      </c>
      <c r="AK58" s="3">
        <f t="shared" si="12"/>
        <v>0.50166583027272393</v>
      </c>
      <c r="AT58" s="201" t="s">
        <v>218</v>
      </c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</row>
    <row r="59" spans="1:56" ht="15" x14ac:dyDescent="0.25">
      <c r="A59" s="1">
        <v>31</v>
      </c>
      <c r="B59" s="23">
        <f t="shared" si="19"/>
        <v>1.6998070121011198E-3</v>
      </c>
      <c r="C59" s="23">
        <f t="shared" si="19"/>
        <v>8.55776199617535E-4</v>
      </c>
      <c r="D59" s="23">
        <f t="shared" si="19"/>
        <v>1.6000000000000001E-3</v>
      </c>
      <c r="E59" s="23">
        <f t="shared" si="19"/>
        <v>1.8E-3</v>
      </c>
      <c r="F59" s="23">
        <f t="shared" si="19"/>
        <v>8.8818278992415002E-4</v>
      </c>
      <c r="G59" s="23">
        <f t="shared" si="19"/>
        <v>1E-3</v>
      </c>
      <c r="H59" s="23">
        <f t="shared" si="19"/>
        <v>3.0000000000000001E-3</v>
      </c>
      <c r="I59" s="23">
        <f t="shared" si="19"/>
        <v>1E-3</v>
      </c>
      <c r="J59" s="23">
        <f t="shared" si="19"/>
        <v>3.0000000000000001E-3</v>
      </c>
      <c r="K59" s="23">
        <f t="shared" si="19"/>
        <v>1E-3</v>
      </c>
      <c r="L59" s="23">
        <f t="shared" si="19"/>
        <v>1.2E-2</v>
      </c>
      <c r="M59" s="23">
        <f t="shared" si="19"/>
        <v>4.0000000000000001E-3</v>
      </c>
      <c r="N59" s="23">
        <f t="shared" si="19"/>
        <v>1.2999999999999999E-2</v>
      </c>
      <c r="O59" s="23">
        <f t="shared" si="19"/>
        <v>4.0000000000000001E-3</v>
      </c>
      <c r="P59" s="23">
        <f t="shared" si="19"/>
        <v>1.4E-2</v>
      </c>
      <c r="Q59" s="23">
        <f t="shared" si="19"/>
        <v>5.0000000000000001E-3</v>
      </c>
      <c r="R59" s="23">
        <f t="shared" si="19"/>
        <v>1.4E-2</v>
      </c>
      <c r="S59" s="23">
        <f t="shared" si="19"/>
        <v>5.0000000000000001E-3</v>
      </c>
      <c r="T59" s="23">
        <f t="shared" si="19"/>
        <v>1.4999999999999999E-2</v>
      </c>
      <c r="U59" s="23">
        <f t="shared" si="19"/>
        <v>5.0000000000000001E-3</v>
      </c>
      <c r="V59" s="24">
        <f t="shared" si="5"/>
        <v>1.2777916058593275E-3</v>
      </c>
      <c r="W59" s="24">
        <f t="shared" si="6"/>
        <v>1.7000000000000001E-3</v>
      </c>
      <c r="X59" s="24">
        <f t="shared" si="7"/>
        <v>9.4409139496207497E-4</v>
      </c>
      <c r="Y59" s="24">
        <f t="shared" si="8"/>
        <v>2E-3</v>
      </c>
      <c r="Z59" s="24">
        <f t="shared" si="9"/>
        <v>2E-3</v>
      </c>
      <c r="AA59" s="3">
        <f ca="1">IFERROR(__xludf.DUMMYFUNCTION("AVERAGE.WEIGHTED(B59:C59,$AF59:$AG59)"),0.00140221284533915)</f>
        <v>1.4022128453391499E-3</v>
      </c>
      <c r="AB59" s="3">
        <f ca="1">IFERROR(__xludf.DUMMYFUNCTION("AVERAGE.WEIGHTED(D59:E59,$AH59:$AI59)"),0.00195079453112629)</f>
        <v>1.9507945311262899E-3</v>
      </c>
      <c r="AC59" s="3">
        <f ca="1">IFERROR(__xludf.DUMMYFUNCTION("AVERAGE.WEIGHTED(F59:G59,$AJ59:$AK59)"),0.0019949350363356)</f>
        <v>1.9949350363356001E-3</v>
      </c>
      <c r="AD59" s="3" t="str">
        <f ca="1">IFERROR(__xludf.DUMMYFUNCTION("AVERAGE.WEIGHTED(H59:I59,$AA$25:$AB$25)"),"#VALUE!")</f>
        <v>#VALUE!</v>
      </c>
      <c r="AE59" s="3" t="str">
        <f ca="1">IFERROR(__xludf.DUMMYFUNCTION("AVERAGE.WEIGHTED(J59:K59,$AA$25:$AB$25)"),"#VALUE!")</f>
        <v>#VALUE!</v>
      </c>
      <c r="AF59" s="169">
        <v>0.50184403778262798</v>
      </c>
      <c r="AG59" s="3">
        <f t="shared" si="10"/>
        <v>0.49815596221737202</v>
      </c>
      <c r="AH59" s="169">
        <v>0.50037834815537996</v>
      </c>
      <c r="AI59" s="3">
        <f t="shared" si="11"/>
        <v>0.49962165184462004</v>
      </c>
      <c r="AJ59" s="169">
        <v>0.49746751816780399</v>
      </c>
      <c r="AK59" s="3">
        <f t="shared" si="12"/>
        <v>0.50253248183219601</v>
      </c>
      <c r="AT59" s="201" t="s">
        <v>218</v>
      </c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</row>
    <row r="60" spans="1:56" ht="15" x14ac:dyDescent="0.25">
      <c r="A60" s="1">
        <v>32</v>
      </c>
      <c r="B60" s="23">
        <f t="shared" si="19"/>
        <v>1.6998070121011198E-3</v>
      </c>
      <c r="C60" s="23">
        <f t="shared" si="19"/>
        <v>8.55776199617535E-4</v>
      </c>
      <c r="D60" s="23">
        <f t="shared" si="19"/>
        <v>1.6000000000000001E-3</v>
      </c>
      <c r="E60" s="23">
        <f t="shared" si="19"/>
        <v>1.8E-3</v>
      </c>
      <c r="F60" s="23">
        <f t="shared" si="19"/>
        <v>8.8818278992415002E-4</v>
      </c>
      <c r="G60" s="23">
        <f t="shared" si="19"/>
        <v>1E-3</v>
      </c>
      <c r="H60" s="23">
        <f t="shared" si="19"/>
        <v>3.0000000000000001E-3</v>
      </c>
      <c r="I60" s="23">
        <f t="shared" si="19"/>
        <v>1E-3</v>
      </c>
      <c r="J60" s="23">
        <f t="shared" si="19"/>
        <v>3.0000000000000001E-3</v>
      </c>
      <c r="K60" s="23">
        <f t="shared" si="19"/>
        <v>1E-3</v>
      </c>
      <c r="L60" s="23">
        <f t="shared" si="19"/>
        <v>1.2E-2</v>
      </c>
      <c r="M60" s="23">
        <f t="shared" si="19"/>
        <v>4.0000000000000001E-3</v>
      </c>
      <c r="N60" s="23">
        <f t="shared" si="19"/>
        <v>1.2999999999999999E-2</v>
      </c>
      <c r="O60" s="23">
        <f t="shared" si="19"/>
        <v>4.0000000000000001E-3</v>
      </c>
      <c r="P60" s="23">
        <f t="shared" si="19"/>
        <v>1.4E-2</v>
      </c>
      <c r="Q60" s="23">
        <f t="shared" si="19"/>
        <v>5.0000000000000001E-3</v>
      </c>
      <c r="R60" s="23">
        <f t="shared" si="19"/>
        <v>1.4E-2</v>
      </c>
      <c r="S60" s="23">
        <f t="shared" si="19"/>
        <v>5.0000000000000001E-3</v>
      </c>
      <c r="T60" s="23">
        <f t="shared" si="19"/>
        <v>1.4999999999999999E-2</v>
      </c>
      <c r="U60" s="23">
        <f t="shared" si="19"/>
        <v>5.0000000000000001E-3</v>
      </c>
      <c r="V60" s="24">
        <f t="shared" si="5"/>
        <v>1.2777916058593275E-3</v>
      </c>
      <c r="W60" s="24">
        <f t="shared" si="6"/>
        <v>1.7000000000000001E-3</v>
      </c>
      <c r="X60" s="24">
        <f t="shared" si="7"/>
        <v>9.4409139496207497E-4</v>
      </c>
      <c r="Y60" s="24">
        <f t="shared" si="8"/>
        <v>2E-3</v>
      </c>
      <c r="Z60" s="24">
        <f t="shared" si="9"/>
        <v>2E-3</v>
      </c>
      <c r="AA60" s="3">
        <f ca="1">IFERROR(__xludf.DUMMYFUNCTION("AVERAGE.WEIGHTED(B60:C60,$AF60:$AG60)"),0.00140149479483467)</f>
        <v>1.40149479483467E-3</v>
      </c>
      <c r="AB60" s="3">
        <f ca="1">IFERROR(__xludf.DUMMYFUNCTION("AVERAGE.WEIGHTED(D60:E60,$AH60:$AI60)"),0.00194885335204059)</f>
        <v>1.94885335204059E-3</v>
      </c>
      <c r="AC60" s="3">
        <f ca="1">IFERROR(__xludf.DUMMYFUNCTION("AVERAGE.WEIGHTED(F60:G60,$AJ60:$AK60)"),0.00199351258004524)</f>
        <v>1.9935125800452399E-3</v>
      </c>
      <c r="AD60" s="3" t="str">
        <f ca="1">IFERROR(__xludf.DUMMYFUNCTION("AVERAGE.WEIGHTED(H60:I60,$AA$25:$AB$25)"),"#VALUE!")</f>
        <v>#VALUE!</v>
      </c>
      <c r="AE60" s="3" t="str">
        <f ca="1">IFERROR(__xludf.DUMMYFUNCTION("AVERAGE.WEIGHTED(J60:K60,$AA$25:$AB$25)"),"#VALUE!")</f>
        <v>#VALUE!</v>
      </c>
      <c r="AF60" s="169">
        <v>0.50124566236222901</v>
      </c>
      <c r="AG60" s="3">
        <f t="shared" si="10"/>
        <v>0.49875433763777099</v>
      </c>
      <c r="AH60" s="169">
        <v>0.49945397716218698</v>
      </c>
      <c r="AI60" s="3">
        <f t="shared" si="11"/>
        <v>0.50054602283781302</v>
      </c>
      <c r="AJ60" s="169">
        <v>0.49675629002262001</v>
      </c>
      <c r="AK60" s="3">
        <f t="shared" si="12"/>
        <v>0.50324370997737999</v>
      </c>
      <c r="AT60" s="201" t="s">
        <v>218</v>
      </c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</row>
    <row r="61" spans="1:56" ht="15" x14ac:dyDescent="0.25">
      <c r="A61" s="1">
        <v>33</v>
      </c>
      <c r="B61" s="23">
        <f t="shared" si="19"/>
        <v>1.6998070121011198E-3</v>
      </c>
      <c r="C61" s="23">
        <f t="shared" si="19"/>
        <v>8.55776199617535E-4</v>
      </c>
      <c r="D61" s="23">
        <f t="shared" si="19"/>
        <v>1.6000000000000001E-3</v>
      </c>
      <c r="E61" s="23">
        <f t="shared" si="19"/>
        <v>1.8E-3</v>
      </c>
      <c r="F61" s="23">
        <f t="shared" si="19"/>
        <v>8.8818278992415002E-4</v>
      </c>
      <c r="G61" s="23">
        <f t="shared" si="19"/>
        <v>1E-3</v>
      </c>
      <c r="H61" s="23">
        <f t="shared" si="19"/>
        <v>3.0000000000000001E-3</v>
      </c>
      <c r="I61" s="23">
        <f t="shared" si="19"/>
        <v>1E-3</v>
      </c>
      <c r="J61" s="23">
        <f t="shared" si="19"/>
        <v>3.0000000000000001E-3</v>
      </c>
      <c r="K61" s="23">
        <f t="shared" si="19"/>
        <v>1E-3</v>
      </c>
      <c r="L61" s="23">
        <f t="shared" si="19"/>
        <v>1.2E-2</v>
      </c>
      <c r="M61" s="23">
        <f t="shared" si="19"/>
        <v>4.0000000000000001E-3</v>
      </c>
      <c r="N61" s="23">
        <f t="shared" si="19"/>
        <v>1.2999999999999999E-2</v>
      </c>
      <c r="O61" s="23">
        <f t="shared" si="19"/>
        <v>4.0000000000000001E-3</v>
      </c>
      <c r="P61" s="23">
        <f t="shared" si="19"/>
        <v>1.4E-2</v>
      </c>
      <c r="Q61" s="23">
        <f t="shared" si="19"/>
        <v>5.0000000000000001E-3</v>
      </c>
      <c r="R61" s="23">
        <f t="shared" si="19"/>
        <v>1.4E-2</v>
      </c>
      <c r="S61" s="23">
        <f t="shared" si="19"/>
        <v>5.0000000000000001E-3</v>
      </c>
      <c r="T61" s="23">
        <f t="shared" si="19"/>
        <v>1.4999999999999999E-2</v>
      </c>
      <c r="U61" s="23">
        <f t="shared" si="19"/>
        <v>5.0000000000000001E-3</v>
      </c>
      <c r="V61" s="24">
        <f t="shared" si="5"/>
        <v>1.2777916058593275E-3</v>
      </c>
      <c r="W61" s="24">
        <f t="shared" si="6"/>
        <v>1.7000000000000001E-3</v>
      </c>
      <c r="X61" s="24">
        <f t="shared" si="7"/>
        <v>9.4409139496207497E-4</v>
      </c>
      <c r="Y61" s="24">
        <f t="shared" si="8"/>
        <v>2E-3</v>
      </c>
      <c r="Z61" s="24">
        <f t="shared" si="9"/>
        <v>2E-3</v>
      </c>
      <c r="AA61" s="3">
        <f ca="1">IFERROR(__xludf.DUMMYFUNCTION("AVERAGE.WEIGHTED(B61:C61,$AF61:$AG61)"),0.00140066697557769)</f>
        <v>1.4006669755776901E-3</v>
      </c>
      <c r="AB61" s="3">
        <f ca="1">IFERROR(__xludf.DUMMYFUNCTION("AVERAGE.WEIGHTED(D61:E61,$AH61:$AI61)"),0.00194675906648424)</f>
        <v>1.9467590664842399E-3</v>
      </c>
      <c r="AC61" s="3">
        <f ca="1">IFERROR(__xludf.DUMMYFUNCTION("AVERAGE.WEIGHTED(F61:G61,$AJ61:$AK61)"),0.0019920964031869)</f>
        <v>1.9920964031869002E-3</v>
      </c>
      <c r="AD61" s="3" t="str">
        <f ca="1">IFERROR(__xludf.DUMMYFUNCTION("AVERAGE.WEIGHTED(H61:I61,$AA$25:$AB$25)"),"#VALUE!")</f>
        <v>#VALUE!</v>
      </c>
      <c r="AE61" s="3" t="str">
        <f ca="1">IFERROR(__xludf.DUMMYFUNCTION("AVERAGE.WEIGHTED(J61:K61,$AA$25:$AB$25)"),"#VALUE!")</f>
        <v>#VALUE!</v>
      </c>
      <c r="AF61" s="169">
        <v>0.50055581298140905</v>
      </c>
      <c r="AG61" s="3">
        <f t="shared" si="10"/>
        <v>0.49944418701859095</v>
      </c>
      <c r="AH61" s="169">
        <v>0.498456698325832</v>
      </c>
      <c r="AI61" s="3">
        <f t="shared" si="11"/>
        <v>0.50154330167416794</v>
      </c>
      <c r="AJ61" s="169">
        <v>0.49604820159345397</v>
      </c>
      <c r="AK61" s="3">
        <f t="shared" si="12"/>
        <v>0.50395179840654603</v>
      </c>
      <c r="AT61" s="201" t="s">
        <v>218</v>
      </c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</row>
    <row r="62" spans="1:56" ht="15" x14ac:dyDescent="0.25">
      <c r="A62" s="1">
        <v>34</v>
      </c>
      <c r="B62" s="23">
        <f t="shared" si="19"/>
        <v>1.6998070121011198E-3</v>
      </c>
      <c r="C62" s="23">
        <f t="shared" si="19"/>
        <v>8.55776199617535E-4</v>
      </c>
      <c r="D62" s="23">
        <f t="shared" si="19"/>
        <v>1.6000000000000001E-3</v>
      </c>
      <c r="E62" s="23">
        <f t="shared" si="19"/>
        <v>1.8E-3</v>
      </c>
      <c r="F62" s="23">
        <f t="shared" si="19"/>
        <v>8.8818278992415002E-4</v>
      </c>
      <c r="G62" s="23">
        <f t="shared" si="19"/>
        <v>1E-3</v>
      </c>
      <c r="H62" s="23">
        <f t="shared" si="19"/>
        <v>3.0000000000000001E-3</v>
      </c>
      <c r="I62" s="23">
        <f t="shared" si="19"/>
        <v>1E-3</v>
      </c>
      <c r="J62" s="23">
        <f t="shared" si="19"/>
        <v>3.0000000000000001E-3</v>
      </c>
      <c r="K62" s="23">
        <f t="shared" si="19"/>
        <v>1E-3</v>
      </c>
      <c r="L62" s="23">
        <f t="shared" si="19"/>
        <v>1.2E-2</v>
      </c>
      <c r="M62" s="23">
        <f t="shared" si="19"/>
        <v>4.0000000000000001E-3</v>
      </c>
      <c r="N62" s="23">
        <f t="shared" si="19"/>
        <v>1.2999999999999999E-2</v>
      </c>
      <c r="O62" s="23">
        <f t="shared" si="19"/>
        <v>4.0000000000000001E-3</v>
      </c>
      <c r="P62" s="23">
        <f t="shared" si="19"/>
        <v>1.4E-2</v>
      </c>
      <c r="Q62" s="23">
        <f t="shared" si="19"/>
        <v>5.0000000000000001E-3</v>
      </c>
      <c r="R62" s="23">
        <f t="shared" si="19"/>
        <v>1.4E-2</v>
      </c>
      <c r="S62" s="23">
        <f t="shared" si="19"/>
        <v>5.0000000000000001E-3</v>
      </c>
      <c r="T62" s="23">
        <f t="shared" si="19"/>
        <v>1.4999999999999999E-2</v>
      </c>
      <c r="U62" s="23">
        <f t="shared" si="19"/>
        <v>5.0000000000000001E-3</v>
      </c>
      <c r="V62" s="24">
        <f t="shared" si="5"/>
        <v>1.2777916058593275E-3</v>
      </c>
      <c r="W62" s="24">
        <f t="shared" si="6"/>
        <v>1.7000000000000001E-3</v>
      </c>
      <c r="X62" s="24">
        <f t="shared" si="7"/>
        <v>9.4409139496207497E-4</v>
      </c>
      <c r="Y62" s="24">
        <f t="shared" si="8"/>
        <v>2E-3</v>
      </c>
      <c r="Z62" s="24">
        <f t="shared" si="9"/>
        <v>2E-3</v>
      </c>
      <c r="AA62" s="3">
        <f ca="1">IFERROR(__xludf.DUMMYFUNCTION("AVERAGE.WEIGHTED(B62:C62,$AF62:$AG62)"),0.00139977397867995)</f>
        <v>1.39977397867995E-3</v>
      </c>
      <c r="AB62" s="3">
        <f ca="1">IFERROR(__xludf.DUMMYFUNCTION("AVERAGE.WEIGHTED(D62:E62,$AH62:$AI62)"),0.00194456724326646)</f>
        <v>1.9445672432664601E-3</v>
      </c>
      <c r="AC62" s="3">
        <f ca="1">IFERROR(__xludf.DUMMYFUNCTION("AVERAGE.WEIGHTED(F62:G62,$AJ62:$AK62)"),0.00199058886410994)</f>
        <v>1.99058886410994E-3</v>
      </c>
      <c r="AD62" s="3" t="str">
        <f ca="1">IFERROR(__xludf.DUMMYFUNCTION("AVERAGE.WEIGHTED(H62:I62,$AA$25:$AB$25)"),"#VALUE!")</f>
        <v>#VALUE!</v>
      </c>
      <c r="AE62" s="3" t="str">
        <f ca="1">IFERROR(__xludf.DUMMYFUNCTION("AVERAGE.WEIGHTED(J62:K62,$AA$25:$AB$25)"),"#VALUE!")</f>
        <v>#VALUE!</v>
      </c>
      <c r="AF62" s="169">
        <v>0.49981164889996399</v>
      </c>
      <c r="AG62" s="3">
        <f t="shared" si="10"/>
        <v>0.50018835110003601</v>
      </c>
      <c r="AH62" s="169">
        <v>0.49741297298403198</v>
      </c>
      <c r="AI62" s="3">
        <f t="shared" si="11"/>
        <v>0.50258702701596802</v>
      </c>
      <c r="AJ62" s="169">
        <v>0.49529443205496998</v>
      </c>
      <c r="AK62" s="3">
        <f t="shared" si="12"/>
        <v>0.50470556794503008</v>
      </c>
      <c r="AT62" s="201" t="s">
        <v>218</v>
      </c>
      <c r="AU62" s="201"/>
      <c r="AV62" s="201"/>
      <c r="AW62" s="201"/>
      <c r="AX62" s="202"/>
      <c r="AY62" s="201"/>
      <c r="AZ62" s="201"/>
      <c r="BA62" s="201"/>
      <c r="BB62" s="201"/>
      <c r="BC62" s="201"/>
      <c r="BD62" s="201"/>
    </row>
    <row r="63" spans="1:56" ht="15" x14ac:dyDescent="0.25">
      <c r="A63" s="1">
        <v>35</v>
      </c>
      <c r="B63" s="23">
        <f t="shared" ref="B63:U67" si="20">B$13</f>
        <v>2.08107395410604E-3</v>
      </c>
      <c r="C63" s="23">
        <f t="shared" si="20"/>
        <v>1.2351569017886646E-3</v>
      </c>
      <c r="D63" s="23">
        <f t="shared" si="20"/>
        <v>2E-3</v>
      </c>
      <c r="E63" s="23">
        <f t="shared" si="20"/>
        <v>2.1999999999999997E-3</v>
      </c>
      <c r="F63" s="23">
        <f t="shared" si="20"/>
        <v>1.1997219047952901E-3</v>
      </c>
      <c r="G63" s="23">
        <f t="shared" si="20"/>
        <v>1E-3</v>
      </c>
      <c r="H63" s="23">
        <f t="shared" si="20"/>
        <v>3.0000000000000001E-3</v>
      </c>
      <c r="I63" s="23">
        <f t="shared" si="20"/>
        <v>1E-3</v>
      </c>
      <c r="J63" s="23">
        <f t="shared" si="20"/>
        <v>4.0000000000000001E-3</v>
      </c>
      <c r="K63" s="23">
        <f t="shared" si="20"/>
        <v>2E-3</v>
      </c>
      <c r="L63" s="23">
        <f t="shared" si="20"/>
        <v>1.4E-2</v>
      </c>
      <c r="M63" s="23">
        <f t="shared" si="20"/>
        <v>6.0000000000000001E-3</v>
      </c>
      <c r="N63" s="23">
        <f t="shared" si="20"/>
        <v>1.4999999999999999E-2</v>
      </c>
      <c r="O63" s="23">
        <f t="shared" si="20"/>
        <v>6.0000000000000001E-3</v>
      </c>
      <c r="P63" s="23">
        <f t="shared" si="20"/>
        <v>1.6E-2</v>
      </c>
      <c r="Q63" s="23">
        <f t="shared" si="20"/>
        <v>7.0000000000000001E-3</v>
      </c>
      <c r="R63" s="23">
        <f t="shared" si="20"/>
        <v>1.7000000000000001E-2</v>
      </c>
      <c r="S63" s="23">
        <f t="shared" si="20"/>
        <v>7.0000000000000001E-3</v>
      </c>
      <c r="T63" s="23">
        <f t="shared" si="20"/>
        <v>1.9E-2</v>
      </c>
      <c r="U63" s="23">
        <f t="shared" si="20"/>
        <v>8.0000000000000002E-3</v>
      </c>
      <c r="V63" s="24">
        <f t="shared" si="5"/>
        <v>1.6581154279473524E-3</v>
      </c>
      <c r="W63" s="24">
        <f t="shared" si="6"/>
        <v>2.0999999999999999E-3</v>
      </c>
      <c r="X63" s="24">
        <f t="shared" si="7"/>
        <v>1.0998609523976449E-3</v>
      </c>
      <c r="Y63" s="24">
        <f t="shared" si="8"/>
        <v>2E-3</v>
      </c>
      <c r="Z63" s="24">
        <f t="shared" si="9"/>
        <v>3.0000000000000001E-3</v>
      </c>
      <c r="AA63" s="3">
        <f ca="1">IFERROR(__xludf.DUMMYFUNCTION("AVERAGE.WEIGHTED(B63:C63,$AF63:$AG63)"),0.00199798407910305)</f>
        <v>1.99798407910305E-3</v>
      </c>
      <c r="AB63" s="3">
        <f ca="1">IFERROR(__xludf.DUMMYFUNCTION("AVERAGE.WEIGHTED(D63:E63,$AH63:$AI63)"),0.00199264654956235)</f>
        <v>1.9926465495623499E-3</v>
      </c>
      <c r="AC63" s="3">
        <f ca="1">IFERROR(__xludf.DUMMYFUNCTION("AVERAGE.WEIGHTED(F63:G63,$AJ63:$AK63)"),0.0019889935152503)</f>
        <v>1.9889935152503E-3</v>
      </c>
      <c r="AD63" s="3" t="str">
        <f ca="1">IFERROR(__xludf.DUMMYFUNCTION("AVERAGE.WEIGHTED(H63:I63,$AA$25:$AB$25)"),"#VALUE!")</f>
        <v>#VALUE!</v>
      </c>
      <c r="AE63" s="3" t="str">
        <f ca="1">IFERROR(__xludf.DUMMYFUNCTION("AVERAGE.WEIGHTED(J63:K63,$AA$25:$AB$25)"),"#VALUE!")</f>
        <v>#VALUE!</v>
      </c>
      <c r="AF63" s="169">
        <v>0.49899203955152799</v>
      </c>
      <c r="AG63" s="3">
        <f t="shared" si="10"/>
        <v>0.50100796044847207</v>
      </c>
      <c r="AH63" s="169">
        <v>0.49632327478117599</v>
      </c>
      <c r="AI63" s="3">
        <f t="shared" si="11"/>
        <v>0.50367672521882401</v>
      </c>
      <c r="AJ63" s="169">
        <v>0.494496757625151</v>
      </c>
      <c r="AK63" s="3">
        <f t="shared" si="12"/>
        <v>0.505503242374849</v>
      </c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</row>
    <row r="64" spans="1:56" ht="15" x14ac:dyDescent="0.25">
      <c r="A64" s="1">
        <v>36</v>
      </c>
      <c r="B64" s="23">
        <f t="shared" si="20"/>
        <v>2.08107395410604E-3</v>
      </c>
      <c r="C64" s="23">
        <f t="shared" si="20"/>
        <v>1.2351569017886646E-3</v>
      </c>
      <c r="D64" s="23">
        <f t="shared" si="20"/>
        <v>2E-3</v>
      </c>
      <c r="E64" s="23">
        <f t="shared" si="20"/>
        <v>2.1999999999999997E-3</v>
      </c>
      <c r="F64" s="23">
        <f t="shared" si="20"/>
        <v>1.1997219047952901E-3</v>
      </c>
      <c r="G64" s="23">
        <f t="shared" si="20"/>
        <v>1E-3</v>
      </c>
      <c r="H64" s="23">
        <f t="shared" si="20"/>
        <v>3.0000000000000001E-3</v>
      </c>
      <c r="I64" s="23">
        <f t="shared" si="20"/>
        <v>1E-3</v>
      </c>
      <c r="J64" s="23">
        <f t="shared" si="20"/>
        <v>4.0000000000000001E-3</v>
      </c>
      <c r="K64" s="23">
        <f t="shared" si="20"/>
        <v>2E-3</v>
      </c>
      <c r="L64" s="23">
        <f t="shared" si="20"/>
        <v>1.4E-2</v>
      </c>
      <c r="M64" s="23">
        <f t="shared" si="20"/>
        <v>6.0000000000000001E-3</v>
      </c>
      <c r="N64" s="23">
        <f t="shared" si="20"/>
        <v>1.4999999999999999E-2</v>
      </c>
      <c r="O64" s="23">
        <f t="shared" si="20"/>
        <v>6.0000000000000001E-3</v>
      </c>
      <c r="P64" s="23">
        <f t="shared" si="20"/>
        <v>1.6E-2</v>
      </c>
      <c r="Q64" s="23">
        <f t="shared" si="20"/>
        <v>7.0000000000000001E-3</v>
      </c>
      <c r="R64" s="23">
        <f t="shared" si="20"/>
        <v>1.7000000000000001E-2</v>
      </c>
      <c r="S64" s="23">
        <f t="shared" si="20"/>
        <v>7.0000000000000001E-3</v>
      </c>
      <c r="T64" s="23">
        <f t="shared" si="20"/>
        <v>1.9E-2</v>
      </c>
      <c r="U64" s="23">
        <f t="shared" si="20"/>
        <v>8.0000000000000002E-3</v>
      </c>
      <c r="V64" s="24">
        <f t="shared" si="5"/>
        <v>1.6581154279473524E-3</v>
      </c>
      <c r="W64" s="24">
        <f t="shared" si="6"/>
        <v>2.0999999999999999E-3</v>
      </c>
      <c r="X64" s="24">
        <f t="shared" si="7"/>
        <v>1.0998609523976449E-3</v>
      </c>
      <c r="Y64" s="24">
        <f t="shared" si="8"/>
        <v>2E-3</v>
      </c>
      <c r="Z64" s="24">
        <f t="shared" si="9"/>
        <v>3.0000000000000001E-3</v>
      </c>
      <c r="AA64" s="3">
        <f ca="1">IFERROR(__xludf.DUMMYFUNCTION("AVERAGE.WEIGHTED(B64:C64,$AF64:$AG64)"),0.00199601927604616)</f>
        <v>1.9960192760461598E-3</v>
      </c>
      <c r="AB64" s="3">
        <f ca="1">IFERROR(__xludf.DUMMYFUNCTION("AVERAGE.WEIGHTED(D64:E64,$AH64:$AI64)"),0.0019907807768349)</f>
        <v>1.9907807768348999E-3</v>
      </c>
      <c r="AC64" s="3">
        <f ca="1">IFERROR(__xludf.DUMMYFUNCTION("AVERAGE.WEIGHTED(F64:G64,$AJ64:$AK64)"),0.00198746303998492)</f>
        <v>1.98746303998492E-3</v>
      </c>
      <c r="AD64" s="3" t="str">
        <f ca="1">IFERROR(__xludf.DUMMYFUNCTION("AVERAGE.WEIGHTED(H64:I64,$AA$25:$AB$25)"),"#VALUE!")</f>
        <v>#VALUE!</v>
      </c>
      <c r="AE64" s="3" t="str">
        <f ca="1">IFERROR(__xludf.DUMMYFUNCTION("AVERAGE.WEIGHTED(J64:K64,$AA$25:$AB$25)"),"#VALUE!")</f>
        <v>#VALUE!</v>
      </c>
      <c r="AF64" s="169">
        <v>0.49800963802308001</v>
      </c>
      <c r="AG64" s="3">
        <f t="shared" si="10"/>
        <v>0.50199036197691993</v>
      </c>
      <c r="AH64" s="169">
        <v>0.49539038841745298</v>
      </c>
      <c r="AI64" s="3">
        <f t="shared" si="11"/>
        <v>0.50460961158254702</v>
      </c>
      <c r="AJ64" s="169">
        <v>0.49373151999246201</v>
      </c>
      <c r="AK64" s="3">
        <f t="shared" si="12"/>
        <v>0.50626848000753799</v>
      </c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</row>
    <row r="65" spans="1:56" ht="15" x14ac:dyDescent="0.25">
      <c r="A65" s="1">
        <v>37</v>
      </c>
      <c r="B65" s="23">
        <f t="shared" si="20"/>
        <v>2.08107395410604E-3</v>
      </c>
      <c r="C65" s="23">
        <f t="shared" si="20"/>
        <v>1.2351569017886646E-3</v>
      </c>
      <c r="D65" s="23">
        <f t="shared" si="20"/>
        <v>2E-3</v>
      </c>
      <c r="E65" s="23">
        <f t="shared" si="20"/>
        <v>2.1999999999999997E-3</v>
      </c>
      <c r="F65" s="23">
        <f t="shared" si="20"/>
        <v>1.1997219047952901E-3</v>
      </c>
      <c r="G65" s="23">
        <f t="shared" si="20"/>
        <v>1E-3</v>
      </c>
      <c r="H65" s="23">
        <f t="shared" si="20"/>
        <v>3.0000000000000001E-3</v>
      </c>
      <c r="I65" s="23">
        <f t="shared" si="20"/>
        <v>1E-3</v>
      </c>
      <c r="J65" s="23">
        <f t="shared" si="20"/>
        <v>4.0000000000000001E-3</v>
      </c>
      <c r="K65" s="23">
        <f t="shared" si="20"/>
        <v>2E-3</v>
      </c>
      <c r="L65" s="23">
        <f t="shared" si="20"/>
        <v>1.4E-2</v>
      </c>
      <c r="M65" s="23">
        <f t="shared" si="20"/>
        <v>6.0000000000000001E-3</v>
      </c>
      <c r="N65" s="23">
        <f t="shared" si="20"/>
        <v>1.4999999999999999E-2</v>
      </c>
      <c r="O65" s="23">
        <f t="shared" si="20"/>
        <v>6.0000000000000001E-3</v>
      </c>
      <c r="P65" s="23">
        <f t="shared" si="20"/>
        <v>1.6E-2</v>
      </c>
      <c r="Q65" s="23">
        <f t="shared" si="20"/>
        <v>7.0000000000000001E-3</v>
      </c>
      <c r="R65" s="23">
        <f t="shared" si="20"/>
        <v>1.7000000000000001E-2</v>
      </c>
      <c r="S65" s="23">
        <f t="shared" si="20"/>
        <v>7.0000000000000001E-3</v>
      </c>
      <c r="T65" s="23">
        <f t="shared" si="20"/>
        <v>1.9E-2</v>
      </c>
      <c r="U65" s="23">
        <f t="shared" si="20"/>
        <v>8.0000000000000002E-3</v>
      </c>
      <c r="V65" s="24">
        <f t="shared" si="5"/>
        <v>1.6581154279473524E-3</v>
      </c>
      <c r="W65" s="24">
        <f t="shared" si="6"/>
        <v>2.0999999999999999E-3</v>
      </c>
      <c r="X65" s="24">
        <f t="shared" si="7"/>
        <v>1.0998609523976449E-3</v>
      </c>
      <c r="Y65" s="24">
        <f t="shared" si="8"/>
        <v>2E-3</v>
      </c>
      <c r="Z65" s="24">
        <f t="shared" si="9"/>
        <v>3.0000000000000001E-3</v>
      </c>
      <c r="AA65" s="3">
        <f ca="1">IFERROR(__xludf.DUMMYFUNCTION("AVERAGE.WEIGHTED(B65:C65,$AF65:$AG65)"),0.00199389667792801)</f>
        <v>1.9938966779280099E-3</v>
      </c>
      <c r="AB65" s="3">
        <f ca="1">IFERROR(__xludf.DUMMYFUNCTION("AVERAGE.WEIGHTED(D65:E65,$AH65:$AI65)"),0.0019892272698652)</f>
        <v>1.9892272698652002E-3</v>
      </c>
      <c r="AC65" s="3">
        <f ca="1">IFERROR(__xludf.DUMMYFUNCTION("AVERAGE.WEIGHTED(F65:G65,$AJ65:$AK65)"),0.0019860857859124)</f>
        <v>1.9860857859124001E-3</v>
      </c>
      <c r="AD65" s="3" t="str">
        <f ca="1">IFERROR(__xludf.DUMMYFUNCTION("AVERAGE.WEIGHTED(H65:I65,$AA$25:$AB$25)"),"#VALUE!")</f>
        <v>#VALUE!</v>
      </c>
      <c r="AE65" s="3" t="str">
        <f ca="1">IFERROR(__xludf.DUMMYFUNCTION("AVERAGE.WEIGHTED(J65:K65,$AA$25:$AB$25)"),"#VALUE!")</f>
        <v>#VALUE!</v>
      </c>
      <c r="AF65" s="169">
        <v>0.49694833896400498</v>
      </c>
      <c r="AG65" s="3">
        <f t="shared" si="10"/>
        <v>0.50305166103599497</v>
      </c>
      <c r="AH65" s="169">
        <v>0.49461363493260302</v>
      </c>
      <c r="AI65" s="3">
        <f t="shared" si="11"/>
        <v>0.50538636506739698</v>
      </c>
      <c r="AJ65" s="169">
        <v>0.49304289295620302</v>
      </c>
      <c r="AK65" s="3">
        <f t="shared" si="12"/>
        <v>0.50695710704379704</v>
      </c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</row>
    <row r="66" spans="1:56" ht="15" x14ac:dyDescent="0.25">
      <c r="A66" s="1">
        <v>38</v>
      </c>
      <c r="B66" s="23">
        <f t="shared" si="20"/>
        <v>2.08107395410604E-3</v>
      </c>
      <c r="C66" s="23">
        <f t="shared" si="20"/>
        <v>1.2351569017886646E-3</v>
      </c>
      <c r="D66" s="23">
        <f t="shared" si="20"/>
        <v>2E-3</v>
      </c>
      <c r="E66" s="23">
        <f t="shared" si="20"/>
        <v>2.1999999999999997E-3</v>
      </c>
      <c r="F66" s="23">
        <f t="shared" si="20"/>
        <v>1.1997219047952901E-3</v>
      </c>
      <c r="G66" s="23">
        <f t="shared" si="20"/>
        <v>1E-3</v>
      </c>
      <c r="H66" s="23">
        <f t="shared" si="20"/>
        <v>3.0000000000000001E-3</v>
      </c>
      <c r="I66" s="23">
        <f t="shared" si="20"/>
        <v>1E-3</v>
      </c>
      <c r="J66" s="23">
        <f t="shared" si="20"/>
        <v>4.0000000000000001E-3</v>
      </c>
      <c r="K66" s="23">
        <f t="shared" si="20"/>
        <v>2E-3</v>
      </c>
      <c r="L66" s="23">
        <f t="shared" si="20"/>
        <v>1.4E-2</v>
      </c>
      <c r="M66" s="23">
        <f t="shared" si="20"/>
        <v>6.0000000000000001E-3</v>
      </c>
      <c r="N66" s="23">
        <f t="shared" si="20"/>
        <v>1.4999999999999999E-2</v>
      </c>
      <c r="O66" s="23">
        <f t="shared" si="20"/>
        <v>6.0000000000000001E-3</v>
      </c>
      <c r="P66" s="23">
        <f t="shared" si="20"/>
        <v>1.6E-2</v>
      </c>
      <c r="Q66" s="23">
        <f t="shared" si="20"/>
        <v>7.0000000000000001E-3</v>
      </c>
      <c r="R66" s="23">
        <f t="shared" si="20"/>
        <v>1.7000000000000001E-2</v>
      </c>
      <c r="S66" s="23">
        <f t="shared" si="20"/>
        <v>7.0000000000000001E-3</v>
      </c>
      <c r="T66" s="23">
        <f t="shared" si="20"/>
        <v>1.9E-2</v>
      </c>
      <c r="U66" s="23">
        <f t="shared" si="20"/>
        <v>8.0000000000000002E-3</v>
      </c>
      <c r="V66" s="24">
        <f t="shared" si="5"/>
        <v>1.6581154279473524E-3</v>
      </c>
      <c r="W66" s="24">
        <f t="shared" si="6"/>
        <v>2.0999999999999999E-3</v>
      </c>
      <c r="X66" s="24">
        <f t="shared" si="7"/>
        <v>1.0998609523976449E-3</v>
      </c>
      <c r="Y66" s="24">
        <f t="shared" si="8"/>
        <v>2E-3</v>
      </c>
      <c r="Z66" s="24">
        <f t="shared" si="9"/>
        <v>3.0000000000000001E-3</v>
      </c>
      <c r="AA66" s="3">
        <f ca="1">IFERROR(__xludf.DUMMYFUNCTION("AVERAGE.WEIGHTED(B66:C66,$AF66:$AG66)"),0.00199166675980069)</f>
        <v>1.9916667598006898E-3</v>
      </c>
      <c r="AB66" s="3">
        <f ca="1">IFERROR(__xludf.DUMMYFUNCTION("AVERAGE.WEIGHTED(D66:E66,$AH66:$AI66)"),0.0019876723969139)</f>
        <v>1.9876723969139E-3</v>
      </c>
      <c r="AC66" s="3">
        <f ca="1">IFERROR(__xludf.DUMMYFUNCTION("AVERAGE.WEIGHTED(F66:G66,$AJ66:$AK66)"),0.00198467355248248)</f>
        <v>1.9846735524824801E-3</v>
      </c>
      <c r="AD66" s="3" t="str">
        <f ca="1">IFERROR(__xludf.DUMMYFUNCTION("AVERAGE.WEIGHTED(H66:I66,$AA$25:$AB$25)"),"#VALUE!")</f>
        <v>#VALUE!</v>
      </c>
      <c r="AE66" s="3" t="str">
        <f ca="1">IFERROR(__xludf.DUMMYFUNCTION("AVERAGE.WEIGHTED(J66:K66,$AA$25:$AB$25)"),"#VALUE!")</f>
        <v>#VALUE!</v>
      </c>
      <c r="AF66" s="169">
        <v>0.49583337990034498</v>
      </c>
      <c r="AG66" s="3">
        <f t="shared" si="10"/>
        <v>0.50416662009965507</v>
      </c>
      <c r="AH66" s="169">
        <v>0.49383619845695198</v>
      </c>
      <c r="AI66" s="3">
        <f t="shared" si="11"/>
        <v>0.50616380154304808</v>
      </c>
      <c r="AJ66" s="169">
        <v>0.492336776241241</v>
      </c>
      <c r="AK66" s="3">
        <f t="shared" si="12"/>
        <v>0.50766322375875905</v>
      </c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</row>
    <row r="67" spans="1:56" ht="15" x14ac:dyDescent="0.25">
      <c r="A67" s="1">
        <v>39</v>
      </c>
      <c r="B67" s="23">
        <f t="shared" si="20"/>
        <v>2.08107395410604E-3</v>
      </c>
      <c r="C67" s="23">
        <f t="shared" si="20"/>
        <v>1.2351569017886646E-3</v>
      </c>
      <c r="D67" s="23">
        <f t="shared" si="20"/>
        <v>2E-3</v>
      </c>
      <c r="E67" s="23">
        <f t="shared" si="20"/>
        <v>2.1999999999999997E-3</v>
      </c>
      <c r="F67" s="23">
        <f t="shared" si="20"/>
        <v>1.1997219047952901E-3</v>
      </c>
      <c r="G67" s="23">
        <f t="shared" si="20"/>
        <v>1E-3</v>
      </c>
      <c r="H67" s="23">
        <f t="shared" si="20"/>
        <v>3.0000000000000001E-3</v>
      </c>
      <c r="I67" s="23">
        <f t="shared" si="20"/>
        <v>1E-3</v>
      </c>
      <c r="J67" s="23">
        <f t="shared" si="20"/>
        <v>4.0000000000000001E-3</v>
      </c>
      <c r="K67" s="23">
        <f t="shared" si="20"/>
        <v>2E-3</v>
      </c>
      <c r="L67" s="23">
        <f t="shared" si="20"/>
        <v>1.4E-2</v>
      </c>
      <c r="M67" s="23">
        <f t="shared" si="20"/>
        <v>6.0000000000000001E-3</v>
      </c>
      <c r="N67" s="23">
        <f t="shared" si="20"/>
        <v>1.4999999999999999E-2</v>
      </c>
      <c r="O67" s="23">
        <f t="shared" si="20"/>
        <v>6.0000000000000001E-3</v>
      </c>
      <c r="P67" s="23">
        <f t="shared" si="20"/>
        <v>1.6E-2</v>
      </c>
      <c r="Q67" s="23">
        <f t="shared" si="20"/>
        <v>7.0000000000000001E-3</v>
      </c>
      <c r="R67" s="23">
        <f t="shared" si="20"/>
        <v>1.7000000000000001E-2</v>
      </c>
      <c r="S67" s="23">
        <f t="shared" si="20"/>
        <v>7.0000000000000001E-3</v>
      </c>
      <c r="T67" s="23">
        <f t="shared" si="20"/>
        <v>1.9E-2</v>
      </c>
      <c r="U67" s="23">
        <f t="shared" si="20"/>
        <v>8.0000000000000002E-3</v>
      </c>
      <c r="V67" s="24">
        <f t="shared" si="5"/>
        <v>1.6581154279473524E-3</v>
      </c>
      <c r="W67" s="24">
        <f t="shared" si="6"/>
        <v>2.0999999999999999E-3</v>
      </c>
      <c r="X67" s="24">
        <f t="shared" si="7"/>
        <v>1.0998609523976449E-3</v>
      </c>
      <c r="Y67" s="24">
        <f t="shared" si="8"/>
        <v>2E-3</v>
      </c>
      <c r="Z67" s="24">
        <f t="shared" si="9"/>
        <v>3.0000000000000001E-3</v>
      </c>
      <c r="AA67" s="3">
        <f ca="1">IFERROR(__xludf.DUMMYFUNCTION("AVERAGE.WEIGHTED(B67:C67,$AF67:$AG67)"),0.0019893270396091)</f>
        <v>1.9893270396090998E-3</v>
      </c>
      <c r="AB67" s="3">
        <f ca="1">IFERROR(__xludf.DUMMYFUNCTION("AVERAGE.WEIGHTED(D67:E67,$AH67:$AI67)"),0.00198601272554769)</f>
        <v>1.9860127255476902E-3</v>
      </c>
      <c r="AC67" s="3">
        <f ca="1">IFERROR(__xludf.DUMMYFUNCTION("AVERAGE.WEIGHTED(F67:G67,$AJ67:$AK67)"),0.00198326465381838)</f>
        <v>1.9832646538183799E-3</v>
      </c>
      <c r="AD67" s="3" t="str">
        <f ca="1">IFERROR(__xludf.DUMMYFUNCTION("AVERAGE.WEIGHTED(H67:I67,$AA$25:$AB$25)"),"#VALUE!")</f>
        <v>#VALUE!</v>
      </c>
      <c r="AE67" s="3" t="str">
        <f ca="1">IFERROR(__xludf.DUMMYFUNCTION("AVERAGE.WEIGHTED(J67:K67,$AA$25:$AB$25)"),"#VALUE!")</f>
        <v>#VALUE!</v>
      </c>
      <c r="AF67" s="169">
        <v>0.49466351980455098</v>
      </c>
      <c r="AG67" s="3">
        <f t="shared" si="10"/>
        <v>0.50533648019544897</v>
      </c>
      <c r="AH67" s="169">
        <v>0.49300636277384502</v>
      </c>
      <c r="AI67" s="3">
        <f t="shared" si="11"/>
        <v>0.50699363722615498</v>
      </c>
      <c r="AJ67" s="169">
        <v>0.49163232690919101</v>
      </c>
      <c r="AK67" s="3">
        <f t="shared" si="12"/>
        <v>0.50836767309080899</v>
      </c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</row>
    <row r="68" spans="1:56" ht="15" x14ac:dyDescent="0.25">
      <c r="A68" s="1">
        <v>40</v>
      </c>
      <c r="B68" s="23">
        <f t="shared" ref="B68:U72" si="21">B$14</f>
        <v>2.7561587784635301E-3</v>
      </c>
      <c r="C68" s="23">
        <f t="shared" si="21"/>
        <v>1.7715174204153224E-3</v>
      </c>
      <c r="D68" s="23">
        <f t="shared" si="21"/>
        <v>2.5999999999999999E-3</v>
      </c>
      <c r="E68" s="23">
        <f t="shared" si="21"/>
        <v>2.8E-3</v>
      </c>
      <c r="F68" s="23">
        <f t="shared" si="21"/>
        <v>1.6235477379305601E-3</v>
      </c>
      <c r="G68" s="23">
        <f t="shared" si="21"/>
        <v>2E-3</v>
      </c>
      <c r="H68" s="23">
        <f t="shared" si="21"/>
        <v>4.0000000000000001E-3</v>
      </c>
      <c r="I68" s="23">
        <f t="shared" si="21"/>
        <v>2E-3</v>
      </c>
      <c r="J68" s="23">
        <f t="shared" si="21"/>
        <v>5.0000000000000001E-3</v>
      </c>
      <c r="K68" s="23">
        <f t="shared" si="21"/>
        <v>2E-3</v>
      </c>
      <c r="L68" s="23">
        <f t="shared" si="21"/>
        <v>1.7000000000000001E-2</v>
      </c>
      <c r="M68" s="23">
        <f t="shared" si="21"/>
        <v>8.9999999999999993E-3</v>
      </c>
      <c r="N68" s="23">
        <f t="shared" si="21"/>
        <v>1.9E-2</v>
      </c>
      <c r="O68" s="23">
        <f t="shared" si="21"/>
        <v>8.9999999999999993E-3</v>
      </c>
      <c r="P68" s="23">
        <f t="shared" si="21"/>
        <v>2.1000000000000001E-2</v>
      </c>
      <c r="Q68" s="23">
        <f t="shared" si="21"/>
        <v>0.01</v>
      </c>
      <c r="R68" s="23">
        <f t="shared" si="21"/>
        <v>2.1999999999999999E-2</v>
      </c>
      <c r="S68" s="23">
        <f t="shared" si="21"/>
        <v>0.01</v>
      </c>
      <c r="T68" s="23">
        <f t="shared" si="21"/>
        <v>2.5000000000000001E-2</v>
      </c>
      <c r="U68" s="23">
        <f t="shared" si="21"/>
        <v>1.2E-2</v>
      </c>
      <c r="V68" s="24">
        <f t="shared" si="5"/>
        <v>2.2638380994394261E-3</v>
      </c>
      <c r="W68" s="24">
        <f t="shared" si="6"/>
        <v>2.7000000000000001E-3</v>
      </c>
      <c r="X68" s="24">
        <f t="shared" si="7"/>
        <v>1.81177386896528E-3</v>
      </c>
      <c r="Y68" s="24">
        <f t="shared" si="8"/>
        <v>3.0000000000000001E-3</v>
      </c>
      <c r="Z68" s="24">
        <f t="shared" si="9"/>
        <v>3.5000000000000001E-3</v>
      </c>
      <c r="AA68" s="3">
        <f ca="1">IFERROR(__xludf.DUMMYFUNCTION("AVERAGE.WEIGHTED(B68:C68,$AF68:$AG68)"),0.00249364312399271)</f>
        <v>2.49364312399271E-3</v>
      </c>
      <c r="AB68" s="3">
        <f ca="1">IFERROR(__xludf.DUMMYFUNCTION("AVERAGE.WEIGHTED(D68:E68,$AH68:$AI68)"),0.00298425074681068)</f>
        <v>2.9842507468106801E-3</v>
      </c>
      <c r="AC68" s="3">
        <f ca="1">IFERROR(__xludf.DUMMYFUNCTION("AVERAGE.WEIGHTED(F68:G68,$AJ68:$AK68)"),0.00298187433258594)</f>
        <v>2.9818743325859399E-3</v>
      </c>
      <c r="AD68" s="3" t="str">
        <f ca="1">IFERROR(__xludf.DUMMYFUNCTION("AVERAGE.WEIGHTED(H68:I68,$AA$25:$AB$25)"),"#VALUE!")</f>
        <v>#VALUE!</v>
      </c>
      <c r="AE68" s="3" t="str">
        <f ca="1">IFERROR(__xludf.DUMMYFUNCTION("AVERAGE.WEIGHTED(J68:K68,$AA$25:$AB$25)"),"#VALUE!")</f>
        <v>#VALUE!</v>
      </c>
      <c r="AF68" s="169">
        <v>0.49364312399271598</v>
      </c>
      <c r="AG68" s="3">
        <f t="shared" si="10"/>
        <v>0.50635687600728407</v>
      </c>
      <c r="AH68" s="169">
        <v>0.49212537340534201</v>
      </c>
      <c r="AI68" s="3">
        <f t="shared" si="11"/>
        <v>0.50787462659465799</v>
      </c>
      <c r="AJ68" s="169">
        <v>0.49093716629297002</v>
      </c>
      <c r="AK68" s="3">
        <f t="shared" si="12"/>
        <v>0.50906283370702998</v>
      </c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</row>
    <row r="69" spans="1:56" ht="15" x14ac:dyDescent="0.25">
      <c r="A69" s="1">
        <v>41</v>
      </c>
      <c r="B69" s="23">
        <f t="shared" si="21"/>
        <v>2.7561587784635301E-3</v>
      </c>
      <c r="C69" s="23">
        <f t="shared" si="21"/>
        <v>1.7715174204153224E-3</v>
      </c>
      <c r="D69" s="23">
        <f t="shared" si="21"/>
        <v>2.5999999999999999E-3</v>
      </c>
      <c r="E69" s="23">
        <f t="shared" si="21"/>
        <v>2.8E-3</v>
      </c>
      <c r="F69" s="23">
        <f t="shared" si="21"/>
        <v>1.6235477379305601E-3</v>
      </c>
      <c r="G69" s="23">
        <f t="shared" si="21"/>
        <v>2E-3</v>
      </c>
      <c r="H69" s="23">
        <f t="shared" si="21"/>
        <v>4.0000000000000001E-3</v>
      </c>
      <c r="I69" s="23">
        <f t="shared" si="21"/>
        <v>2E-3</v>
      </c>
      <c r="J69" s="23">
        <f t="shared" si="21"/>
        <v>5.0000000000000001E-3</v>
      </c>
      <c r="K69" s="23">
        <f t="shared" si="21"/>
        <v>2E-3</v>
      </c>
      <c r="L69" s="23">
        <f t="shared" si="21"/>
        <v>1.7000000000000001E-2</v>
      </c>
      <c r="M69" s="23">
        <f t="shared" si="21"/>
        <v>8.9999999999999993E-3</v>
      </c>
      <c r="N69" s="23">
        <f t="shared" si="21"/>
        <v>1.9E-2</v>
      </c>
      <c r="O69" s="23">
        <f t="shared" si="21"/>
        <v>8.9999999999999993E-3</v>
      </c>
      <c r="P69" s="23">
        <f t="shared" si="21"/>
        <v>2.1000000000000001E-2</v>
      </c>
      <c r="Q69" s="23">
        <f t="shared" si="21"/>
        <v>0.01</v>
      </c>
      <c r="R69" s="23">
        <f t="shared" si="21"/>
        <v>2.1999999999999999E-2</v>
      </c>
      <c r="S69" s="23">
        <f t="shared" si="21"/>
        <v>0.01</v>
      </c>
      <c r="T69" s="23">
        <f t="shared" si="21"/>
        <v>2.5000000000000001E-2</v>
      </c>
      <c r="U69" s="23">
        <f t="shared" si="21"/>
        <v>1.2E-2</v>
      </c>
      <c r="V69" s="24">
        <f t="shared" si="5"/>
        <v>2.2638380994394261E-3</v>
      </c>
      <c r="W69" s="24">
        <f t="shared" si="6"/>
        <v>2.7000000000000001E-3</v>
      </c>
      <c r="X69" s="24">
        <f t="shared" si="7"/>
        <v>1.81177386896528E-3</v>
      </c>
      <c r="Y69" s="24">
        <f t="shared" si="8"/>
        <v>3.0000000000000001E-3</v>
      </c>
      <c r="Z69" s="24">
        <f t="shared" si="9"/>
        <v>3.5000000000000001E-3</v>
      </c>
      <c r="AA69" s="3">
        <f ca="1">IFERROR(__xludf.DUMMYFUNCTION("AVERAGE.WEIGHTED(B69:C69,$AF69:$AG69)"),0.00249277340499344)</f>
        <v>2.49277340499344E-3</v>
      </c>
      <c r="AB69" s="3">
        <f ca="1">IFERROR(__xludf.DUMMYFUNCTION("AVERAGE.WEIGHTED(D69:E69,$AH69:$AI69)"),0.00298254086360926)</f>
        <v>2.9825408636092602E-3</v>
      </c>
      <c r="AC69" s="3">
        <f ca="1">IFERROR(__xludf.DUMMYFUNCTION("AVERAGE.WEIGHTED(F69:G69,$AJ69:$AK69)"),0.00298044264036726)</f>
        <v>2.9804426403672599E-3</v>
      </c>
      <c r="AD69" s="3" t="str">
        <f ca="1">IFERROR(__xludf.DUMMYFUNCTION("AVERAGE.WEIGHTED(H69:I69,$AA$25:$AB$25)"),"#VALUE!")</f>
        <v>#VALUE!</v>
      </c>
      <c r="AE69" s="3" t="str">
        <f ca="1">IFERROR(__xludf.DUMMYFUNCTION("AVERAGE.WEIGHTED(J69:K69,$AA$25:$AB$25)"),"#VALUE!")</f>
        <v>#VALUE!</v>
      </c>
      <c r="AF69" s="169">
        <v>0.49277340499344802</v>
      </c>
      <c r="AG69" s="3">
        <f t="shared" si="10"/>
        <v>0.50722659500655198</v>
      </c>
      <c r="AH69" s="169">
        <v>0.49127043180463098</v>
      </c>
      <c r="AI69" s="3">
        <f t="shared" si="11"/>
        <v>0.50872956819536896</v>
      </c>
      <c r="AJ69" s="169">
        <v>0.49022132018363002</v>
      </c>
      <c r="AK69" s="3">
        <f t="shared" si="12"/>
        <v>0.50977867981636993</v>
      </c>
      <c r="AT69" s="201"/>
      <c r="AU69" s="201"/>
      <c r="AV69" s="201"/>
      <c r="AW69" s="201"/>
      <c r="AX69" s="202"/>
      <c r="AY69" s="201"/>
      <c r="AZ69" s="201"/>
      <c r="BA69" s="201"/>
      <c r="BB69" s="201"/>
      <c r="BC69" s="201"/>
      <c r="BD69" s="201"/>
    </row>
    <row r="70" spans="1:56" ht="15" x14ac:dyDescent="0.25">
      <c r="A70" s="1">
        <v>42</v>
      </c>
      <c r="B70" s="23">
        <f t="shared" si="21"/>
        <v>2.7561587784635301E-3</v>
      </c>
      <c r="C70" s="23">
        <f t="shared" si="21"/>
        <v>1.7715174204153224E-3</v>
      </c>
      <c r="D70" s="23">
        <f t="shared" si="21"/>
        <v>2.5999999999999999E-3</v>
      </c>
      <c r="E70" s="23">
        <f t="shared" si="21"/>
        <v>2.8E-3</v>
      </c>
      <c r="F70" s="23">
        <f t="shared" si="21"/>
        <v>1.6235477379305601E-3</v>
      </c>
      <c r="G70" s="23">
        <f t="shared" si="21"/>
        <v>2E-3</v>
      </c>
      <c r="H70" s="23">
        <f t="shared" si="21"/>
        <v>4.0000000000000001E-3</v>
      </c>
      <c r="I70" s="23">
        <f t="shared" si="21"/>
        <v>2E-3</v>
      </c>
      <c r="J70" s="23">
        <f t="shared" si="21"/>
        <v>5.0000000000000001E-3</v>
      </c>
      <c r="K70" s="23">
        <f t="shared" si="21"/>
        <v>2E-3</v>
      </c>
      <c r="L70" s="23">
        <f t="shared" si="21"/>
        <v>1.7000000000000001E-2</v>
      </c>
      <c r="M70" s="23">
        <f t="shared" si="21"/>
        <v>8.9999999999999993E-3</v>
      </c>
      <c r="N70" s="23">
        <f t="shared" si="21"/>
        <v>1.9E-2</v>
      </c>
      <c r="O70" s="23">
        <f t="shared" si="21"/>
        <v>8.9999999999999993E-3</v>
      </c>
      <c r="P70" s="23">
        <f t="shared" si="21"/>
        <v>2.1000000000000001E-2</v>
      </c>
      <c r="Q70" s="23">
        <f t="shared" si="21"/>
        <v>0.01</v>
      </c>
      <c r="R70" s="23">
        <f t="shared" si="21"/>
        <v>2.1999999999999999E-2</v>
      </c>
      <c r="S70" s="23">
        <f t="shared" si="21"/>
        <v>0.01</v>
      </c>
      <c r="T70" s="23">
        <f t="shared" si="21"/>
        <v>2.5000000000000001E-2</v>
      </c>
      <c r="U70" s="23">
        <f t="shared" si="21"/>
        <v>1.2E-2</v>
      </c>
      <c r="V70" s="24">
        <f t="shared" si="5"/>
        <v>2.2638380994394261E-3</v>
      </c>
      <c r="W70" s="24">
        <f t="shared" si="6"/>
        <v>2.7000000000000001E-3</v>
      </c>
      <c r="X70" s="24">
        <f t="shared" si="7"/>
        <v>1.81177386896528E-3</v>
      </c>
      <c r="Y70" s="24">
        <f t="shared" si="8"/>
        <v>3.0000000000000001E-3</v>
      </c>
      <c r="Z70" s="24">
        <f t="shared" si="9"/>
        <v>3.5000000000000001E-3</v>
      </c>
      <c r="AA70" s="3">
        <f ca="1">IFERROR(__xludf.DUMMYFUNCTION("AVERAGE.WEIGHTED(B70:C70,$AF70:$AG70)"),0.00249189603309441)</f>
        <v>2.49189603309441E-3</v>
      </c>
      <c r="AB70" s="3">
        <f ca="1">IFERROR(__xludf.DUMMYFUNCTION("AVERAGE.WEIGHTED(D70:E70,$AH70:$AI70)"),0.00298096581626749)</f>
        <v>2.9809658162674901E-3</v>
      </c>
      <c r="AC70" s="3">
        <f ca="1">IFERROR(__xludf.DUMMYFUNCTION("AVERAGE.WEIGHTED(F70:G70,$AJ70:$AK70)"),0.00297899042124535)</f>
        <v>2.9789904212453502E-3</v>
      </c>
      <c r="AD70" s="3" t="str">
        <f ca="1">IFERROR(__xludf.DUMMYFUNCTION("AVERAGE.WEIGHTED(H70:I70,$AA$25:$AB$25)"),"#VALUE!")</f>
        <v>#VALUE!</v>
      </c>
      <c r="AE70" s="3" t="str">
        <f ca="1">IFERROR(__xludf.DUMMYFUNCTION("AVERAGE.WEIGHTED(J70:K70,$AA$25:$AB$25)"),"#VALUE!")</f>
        <v>#VALUE!</v>
      </c>
      <c r="AF70" s="169">
        <v>0.49189603309441499</v>
      </c>
      <c r="AG70" s="3">
        <f t="shared" si="10"/>
        <v>0.50810396690558501</v>
      </c>
      <c r="AH70" s="169">
        <v>0.49048290813374701</v>
      </c>
      <c r="AI70" s="3">
        <f t="shared" si="11"/>
        <v>0.50951709186625305</v>
      </c>
      <c r="AJ70" s="169">
        <v>0.48949521062267598</v>
      </c>
      <c r="AK70" s="3">
        <f t="shared" si="12"/>
        <v>0.51050478937732402</v>
      </c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</row>
    <row r="71" spans="1:56" ht="15" x14ac:dyDescent="0.25">
      <c r="A71" s="1">
        <v>43</v>
      </c>
      <c r="B71" s="23">
        <f t="shared" si="21"/>
        <v>2.7561587784635301E-3</v>
      </c>
      <c r="C71" s="23">
        <f t="shared" si="21"/>
        <v>1.7715174204153224E-3</v>
      </c>
      <c r="D71" s="23">
        <f t="shared" si="21"/>
        <v>2.5999999999999999E-3</v>
      </c>
      <c r="E71" s="23">
        <f t="shared" si="21"/>
        <v>2.8E-3</v>
      </c>
      <c r="F71" s="23">
        <f t="shared" si="21"/>
        <v>1.6235477379305601E-3</v>
      </c>
      <c r="G71" s="23">
        <f t="shared" si="21"/>
        <v>2E-3</v>
      </c>
      <c r="H71" s="23">
        <f t="shared" si="21"/>
        <v>4.0000000000000001E-3</v>
      </c>
      <c r="I71" s="23">
        <f t="shared" si="21"/>
        <v>2E-3</v>
      </c>
      <c r="J71" s="23">
        <f t="shared" si="21"/>
        <v>5.0000000000000001E-3</v>
      </c>
      <c r="K71" s="23">
        <f t="shared" si="21"/>
        <v>2E-3</v>
      </c>
      <c r="L71" s="23">
        <f t="shared" si="21"/>
        <v>1.7000000000000001E-2</v>
      </c>
      <c r="M71" s="23">
        <f t="shared" si="21"/>
        <v>8.9999999999999993E-3</v>
      </c>
      <c r="N71" s="23">
        <f t="shared" si="21"/>
        <v>1.9E-2</v>
      </c>
      <c r="O71" s="23">
        <f t="shared" si="21"/>
        <v>8.9999999999999993E-3</v>
      </c>
      <c r="P71" s="23">
        <f t="shared" si="21"/>
        <v>2.1000000000000001E-2</v>
      </c>
      <c r="Q71" s="23">
        <f t="shared" si="21"/>
        <v>0.01</v>
      </c>
      <c r="R71" s="23">
        <f t="shared" si="21"/>
        <v>2.1999999999999999E-2</v>
      </c>
      <c r="S71" s="23">
        <f t="shared" si="21"/>
        <v>0.01</v>
      </c>
      <c r="T71" s="23">
        <f t="shared" si="21"/>
        <v>2.5000000000000001E-2</v>
      </c>
      <c r="U71" s="23">
        <f t="shared" si="21"/>
        <v>1.2E-2</v>
      </c>
      <c r="V71" s="24">
        <f t="shared" si="5"/>
        <v>2.2638380994394261E-3</v>
      </c>
      <c r="W71" s="24">
        <f t="shared" si="6"/>
        <v>2.7000000000000001E-3</v>
      </c>
      <c r="X71" s="24">
        <f t="shared" si="7"/>
        <v>1.81177386896528E-3</v>
      </c>
      <c r="Y71" s="24">
        <f t="shared" si="8"/>
        <v>3.0000000000000001E-3</v>
      </c>
      <c r="Z71" s="24">
        <f t="shared" si="9"/>
        <v>3.5000000000000001E-3</v>
      </c>
      <c r="AA71" s="3">
        <f ca="1">IFERROR(__xludf.DUMMYFUNCTION("AVERAGE.WEIGHTED(B71:C71,$AF71:$AG71)"),0.00249095794371498)</f>
        <v>2.4909579437149801E-3</v>
      </c>
      <c r="AB71" s="3">
        <f ca="1">IFERROR(__xludf.DUMMYFUNCTION("AVERAGE.WEIGHTED(D71:E71,$AH71:$AI71)"),0.00297932821737137)</f>
        <v>2.9793282173713699E-3</v>
      </c>
      <c r="AC71" s="3">
        <f ca="1">IFERROR(__xludf.DUMMYFUNCTION("AVERAGE.WEIGHTED(F71:G71,$AJ71:$AK71)"),0.0029774898955948)</f>
        <v>2.9774898955948E-3</v>
      </c>
      <c r="AD71" s="3" t="str">
        <f ca="1">IFERROR(__xludf.DUMMYFUNCTION("AVERAGE.WEIGHTED(H71:I71,$AA$25:$AB$25)"),"#VALUE!")</f>
        <v>#VALUE!</v>
      </c>
      <c r="AE71" s="3" t="str">
        <f ca="1">IFERROR(__xludf.DUMMYFUNCTION("AVERAGE.WEIGHTED(J71:K71,$AA$25:$AB$25)"),"#VALUE!")</f>
        <v>#VALUE!</v>
      </c>
      <c r="AF71" s="169">
        <v>0.49095794371498702</v>
      </c>
      <c r="AG71" s="3">
        <f t="shared" si="10"/>
        <v>0.50904205628501298</v>
      </c>
      <c r="AH71" s="169">
        <v>0.489664108685685</v>
      </c>
      <c r="AI71" s="3">
        <f t="shared" si="11"/>
        <v>0.510335891314315</v>
      </c>
      <c r="AJ71" s="169">
        <v>0.48874494779740402</v>
      </c>
      <c r="AK71" s="3">
        <f t="shared" si="12"/>
        <v>0.51125505220259604</v>
      </c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</row>
    <row r="72" spans="1:56" ht="15" x14ac:dyDescent="0.25">
      <c r="A72" s="1">
        <v>44</v>
      </c>
      <c r="B72" s="23">
        <f t="shared" si="21"/>
        <v>2.7561587784635301E-3</v>
      </c>
      <c r="C72" s="23">
        <f t="shared" si="21"/>
        <v>1.7715174204153224E-3</v>
      </c>
      <c r="D72" s="23">
        <f t="shared" si="21"/>
        <v>2.5999999999999999E-3</v>
      </c>
      <c r="E72" s="23">
        <f t="shared" si="21"/>
        <v>2.8E-3</v>
      </c>
      <c r="F72" s="23">
        <f t="shared" si="21"/>
        <v>1.6235477379305601E-3</v>
      </c>
      <c r="G72" s="23">
        <f t="shared" si="21"/>
        <v>2E-3</v>
      </c>
      <c r="H72" s="23">
        <f t="shared" si="21"/>
        <v>4.0000000000000001E-3</v>
      </c>
      <c r="I72" s="23">
        <f t="shared" si="21"/>
        <v>2E-3</v>
      </c>
      <c r="J72" s="23">
        <f t="shared" si="21"/>
        <v>5.0000000000000001E-3</v>
      </c>
      <c r="K72" s="23">
        <f t="shared" si="21"/>
        <v>2E-3</v>
      </c>
      <c r="L72" s="23">
        <f t="shared" si="21"/>
        <v>1.7000000000000001E-2</v>
      </c>
      <c r="M72" s="23">
        <f t="shared" si="21"/>
        <v>8.9999999999999993E-3</v>
      </c>
      <c r="N72" s="23">
        <f t="shared" si="21"/>
        <v>1.9E-2</v>
      </c>
      <c r="O72" s="23">
        <f t="shared" si="21"/>
        <v>8.9999999999999993E-3</v>
      </c>
      <c r="P72" s="23">
        <f t="shared" si="21"/>
        <v>2.1000000000000001E-2</v>
      </c>
      <c r="Q72" s="23">
        <f t="shared" si="21"/>
        <v>0.01</v>
      </c>
      <c r="R72" s="23">
        <f t="shared" si="21"/>
        <v>2.1999999999999999E-2</v>
      </c>
      <c r="S72" s="23">
        <f t="shared" si="21"/>
        <v>0.01</v>
      </c>
      <c r="T72" s="23">
        <f t="shared" si="21"/>
        <v>2.5000000000000001E-2</v>
      </c>
      <c r="U72" s="23">
        <f t="shared" si="21"/>
        <v>1.2E-2</v>
      </c>
      <c r="V72" s="24">
        <f t="shared" si="5"/>
        <v>2.2638380994394261E-3</v>
      </c>
      <c r="W72" s="24">
        <f t="shared" si="6"/>
        <v>2.7000000000000001E-3</v>
      </c>
      <c r="X72" s="24">
        <f t="shared" si="7"/>
        <v>1.81177386896528E-3</v>
      </c>
      <c r="Y72" s="24">
        <f t="shared" si="8"/>
        <v>3.0000000000000001E-3</v>
      </c>
      <c r="Z72" s="24">
        <f t="shared" si="9"/>
        <v>3.5000000000000001E-3</v>
      </c>
      <c r="AA72" s="3">
        <f ca="1">IFERROR(__xludf.DUMMYFUNCTION("AVERAGE.WEIGHTED(B72:C72,$AF72:$AG72)"),0.00248996310518786)</f>
        <v>2.4899631051878601E-3</v>
      </c>
      <c r="AB72" s="3">
        <f ca="1">IFERROR(__xludf.DUMMYFUNCTION("AVERAGE.WEIGHTED(D72:E72,$AH72:$AI72)"),0.00297766394960145)</f>
        <v>2.9776639496014502E-3</v>
      </c>
      <c r="AC72" s="3">
        <f ca="1">IFERROR(__xludf.DUMMYFUNCTION("AVERAGE.WEIGHTED(F72:G72,$AJ72:$AK72)"),0.0029759354659343)</f>
        <v>2.9759354659343001E-3</v>
      </c>
      <c r="AD72" s="3" t="str">
        <f ca="1">IFERROR(__xludf.DUMMYFUNCTION("AVERAGE.WEIGHTED(H72:I72,$AA$25:$AB$25)"),"#VALUE!")</f>
        <v>#VALUE!</v>
      </c>
      <c r="AE72" s="3" t="str">
        <f ca="1">IFERROR(__xludf.DUMMYFUNCTION("AVERAGE.WEIGHTED(J72:K72,$AA$25:$AB$25)"),"#VALUE!")</f>
        <v>#VALUE!</v>
      </c>
      <c r="AF72" s="169">
        <v>0.48996310518786201</v>
      </c>
      <c r="AG72" s="3">
        <f t="shared" si="10"/>
        <v>0.51003689481213799</v>
      </c>
      <c r="AH72" s="169">
        <v>0.48883197480072899</v>
      </c>
      <c r="AI72" s="3">
        <f t="shared" si="11"/>
        <v>0.51116802519927096</v>
      </c>
      <c r="AJ72" s="169">
        <v>0.48796773296715401</v>
      </c>
      <c r="AK72" s="3">
        <f t="shared" si="12"/>
        <v>0.51203226703284599</v>
      </c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</row>
    <row r="73" spans="1:56" ht="15" x14ac:dyDescent="0.25">
      <c r="A73" s="1">
        <v>45</v>
      </c>
      <c r="B73" s="23">
        <f t="shared" ref="B73:U77" si="22">B$15</f>
        <v>3.90739272185833E-3</v>
      </c>
      <c r="C73" s="23">
        <f t="shared" si="22"/>
        <v>2.6731587678688806E-3</v>
      </c>
      <c r="D73" s="23">
        <f t="shared" si="22"/>
        <v>3.5999999999999999E-3</v>
      </c>
      <c r="E73" s="23">
        <f t="shared" si="22"/>
        <v>3.8E-3</v>
      </c>
      <c r="F73" s="23">
        <f t="shared" si="22"/>
        <v>2.4974481433627802E-3</v>
      </c>
      <c r="G73" s="23">
        <f t="shared" si="22"/>
        <v>3.0000000000000001E-3</v>
      </c>
      <c r="H73" s="23">
        <f t="shared" si="22"/>
        <v>6.0000000000000001E-3</v>
      </c>
      <c r="I73" s="23">
        <f t="shared" si="22"/>
        <v>3.0000000000000001E-3</v>
      </c>
      <c r="J73" s="23">
        <f t="shared" si="22"/>
        <v>7.0000000000000001E-3</v>
      </c>
      <c r="K73" s="23">
        <f t="shared" si="22"/>
        <v>3.0000000000000001E-3</v>
      </c>
      <c r="L73" s="23">
        <f t="shared" si="22"/>
        <v>2.4E-2</v>
      </c>
      <c r="M73" s="23">
        <f t="shared" si="22"/>
        <v>1.2999999999999999E-2</v>
      </c>
      <c r="N73" s="23">
        <f t="shared" si="22"/>
        <v>2.5999999999999999E-2</v>
      </c>
      <c r="O73" s="23">
        <f t="shared" si="22"/>
        <v>1.2999999999999999E-2</v>
      </c>
      <c r="P73" s="23">
        <f t="shared" si="22"/>
        <v>2.8000000000000001E-2</v>
      </c>
      <c r="Q73" s="23">
        <f t="shared" si="22"/>
        <v>1.4999999999999999E-2</v>
      </c>
      <c r="R73" s="23">
        <f t="shared" si="22"/>
        <v>3.1E-2</v>
      </c>
      <c r="S73" s="23">
        <f t="shared" si="22"/>
        <v>1.6E-2</v>
      </c>
      <c r="T73" s="23">
        <f t="shared" si="22"/>
        <v>3.3000000000000002E-2</v>
      </c>
      <c r="U73" s="23">
        <f t="shared" si="22"/>
        <v>1.7000000000000001E-2</v>
      </c>
      <c r="V73" s="24">
        <f t="shared" si="5"/>
        <v>3.2902757448636053E-3</v>
      </c>
      <c r="W73" s="24">
        <f t="shared" si="6"/>
        <v>3.7000000000000002E-3</v>
      </c>
      <c r="X73" s="24">
        <f t="shared" si="7"/>
        <v>2.7487240716813901E-3</v>
      </c>
      <c r="Y73" s="24">
        <f t="shared" si="8"/>
        <v>4.5000000000000005E-3</v>
      </c>
      <c r="Z73" s="24">
        <f t="shared" si="9"/>
        <v>5.0000000000000001E-3</v>
      </c>
      <c r="AA73" s="3">
        <f ca="1">IFERROR(__xludf.DUMMYFUNCTION("AVERAGE.WEIGHTED(B73:C73,$AF73:$AG73)"),0.00397797708230741)</f>
        <v>3.9779770823074097E-3</v>
      </c>
      <c r="AB73" s="3">
        <f ca="1">IFERROR(__xludf.DUMMYFUNCTION("AVERAGE.WEIGHTED(D73:E73,$AH73:$AI73)"),0.00397598912105223)</f>
        <v>3.97598912105223E-3</v>
      </c>
      <c r="AC73" s="3">
        <f ca="1">IFERROR(__xludf.DUMMYFUNCTION("AVERAGE.WEIGHTED(F73:G73,$AJ73:$AK73)"),0.00446134194187833)</f>
        <v>4.4613419418783303E-3</v>
      </c>
      <c r="AD73" s="3" t="str">
        <f ca="1">IFERROR(__xludf.DUMMYFUNCTION("AVERAGE.WEIGHTED(H73:I73,$AA$25:$AB$25)"),"#VALUE!")</f>
        <v>#VALUE!</v>
      </c>
      <c r="AE73" s="3" t="str">
        <f ca="1">IFERROR(__xludf.DUMMYFUNCTION("AVERAGE.WEIGHTED(J73:K73,$AA$25:$AB$25)"),"#VALUE!")</f>
        <v>#VALUE!</v>
      </c>
      <c r="AF73" s="169">
        <v>0.48898854115370799</v>
      </c>
      <c r="AG73" s="3">
        <f t="shared" si="10"/>
        <v>0.51101145884629195</v>
      </c>
      <c r="AH73" s="169">
        <v>0.48799456052611501</v>
      </c>
      <c r="AI73" s="3">
        <f t="shared" si="11"/>
        <v>0.51200543947388499</v>
      </c>
      <c r="AJ73" s="169">
        <v>0.487113980626113</v>
      </c>
      <c r="AK73" s="3">
        <f t="shared" si="12"/>
        <v>0.512886019373887</v>
      </c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</row>
    <row r="74" spans="1:56" ht="15" x14ac:dyDescent="0.25">
      <c r="A74" s="1">
        <v>46</v>
      </c>
      <c r="B74" s="23">
        <f t="shared" si="22"/>
        <v>3.90739272185833E-3</v>
      </c>
      <c r="C74" s="23">
        <f t="shared" si="22"/>
        <v>2.6731587678688806E-3</v>
      </c>
      <c r="D74" s="23">
        <f t="shared" si="22"/>
        <v>3.5999999999999999E-3</v>
      </c>
      <c r="E74" s="23">
        <f t="shared" si="22"/>
        <v>3.8E-3</v>
      </c>
      <c r="F74" s="23">
        <f t="shared" si="22"/>
        <v>2.4974481433627802E-3</v>
      </c>
      <c r="G74" s="23">
        <f t="shared" si="22"/>
        <v>3.0000000000000001E-3</v>
      </c>
      <c r="H74" s="23">
        <f t="shared" si="22"/>
        <v>6.0000000000000001E-3</v>
      </c>
      <c r="I74" s="23">
        <f t="shared" si="22"/>
        <v>3.0000000000000001E-3</v>
      </c>
      <c r="J74" s="23">
        <f t="shared" si="22"/>
        <v>7.0000000000000001E-3</v>
      </c>
      <c r="K74" s="23">
        <f t="shared" si="22"/>
        <v>3.0000000000000001E-3</v>
      </c>
      <c r="L74" s="23">
        <f t="shared" si="22"/>
        <v>2.4E-2</v>
      </c>
      <c r="M74" s="23">
        <f t="shared" si="22"/>
        <v>1.2999999999999999E-2</v>
      </c>
      <c r="N74" s="23">
        <f t="shared" si="22"/>
        <v>2.5999999999999999E-2</v>
      </c>
      <c r="O74" s="23">
        <f t="shared" si="22"/>
        <v>1.2999999999999999E-2</v>
      </c>
      <c r="P74" s="23">
        <f t="shared" si="22"/>
        <v>2.8000000000000001E-2</v>
      </c>
      <c r="Q74" s="23">
        <f t="shared" si="22"/>
        <v>1.4999999999999999E-2</v>
      </c>
      <c r="R74" s="23">
        <f t="shared" si="22"/>
        <v>3.1E-2</v>
      </c>
      <c r="S74" s="23">
        <f t="shared" si="22"/>
        <v>1.6E-2</v>
      </c>
      <c r="T74" s="23">
        <f t="shared" si="22"/>
        <v>3.3000000000000002E-2</v>
      </c>
      <c r="U74" s="23">
        <f t="shared" si="22"/>
        <v>1.7000000000000001E-2</v>
      </c>
      <c r="V74" s="24">
        <f t="shared" si="5"/>
        <v>3.2902757448636053E-3</v>
      </c>
      <c r="W74" s="24">
        <f t="shared" si="6"/>
        <v>3.7000000000000002E-3</v>
      </c>
      <c r="X74" s="24">
        <f t="shared" si="7"/>
        <v>2.7487240716813901E-3</v>
      </c>
      <c r="Y74" s="24">
        <f t="shared" si="8"/>
        <v>4.5000000000000005E-3</v>
      </c>
      <c r="Z74" s="24">
        <f t="shared" si="9"/>
        <v>5.0000000000000001E-3</v>
      </c>
      <c r="AA74" s="3">
        <f ca="1">IFERROR(__xludf.DUMMYFUNCTION("AVERAGE.WEIGHTED(B74:C74,$AF74:$AG74)"),0.00397614285038153)</f>
        <v>3.9761428503815302E-3</v>
      </c>
      <c r="AB74" s="3">
        <f ca="1">IFERROR(__xludf.DUMMYFUNCTION("AVERAGE.WEIGHTED(D74:E74,$AH74:$AI74)"),0.00397424884037679)</f>
        <v>3.9742488403767904E-3</v>
      </c>
      <c r="AC74" s="3">
        <f ca="1">IFERROR(__xludf.DUMMYFUNCTION("AVERAGE.WEIGHTED(F74:G74,$AJ74:$AK74)"),0.00445860658061346)</f>
        <v>4.4586065806134596E-3</v>
      </c>
      <c r="AD74" s="3" t="str">
        <f ca="1">IFERROR(__xludf.DUMMYFUNCTION("AVERAGE.WEIGHTED(H74:I74,$AA$25:$AB$25)"),"#VALUE!")</f>
        <v>#VALUE!</v>
      </c>
      <c r="AE74" s="3" t="str">
        <f ca="1">IFERROR(__xludf.DUMMYFUNCTION("AVERAGE.WEIGHTED(J74:K74,$AA$25:$AB$25)"),"#VALUE!")</f>
        <v>#VALUE!</v>
      </c>
      <c r="AF74" s="169">
        <v>0.48807142519076702</v>
      </c>
      <c r="AG74" s="3">
        <f t="shared" si="10"/>
        <v>0.51192857480923304</v>
      </c>
      <c r="AH74" s="169">
        <v>0.48712442018839702</v>
      </c>
      <c r="AI74" s="3">
        <f t="shared" si="11"/>
        <v>0.51287557981160292</v>
      </c>
      <c r="AJ74" s="169">
        <v>0.48620219353782002</v>
      </c>
      <c r="AK74" s="3">
        <f t="shared" si="12"/>
        <v>0.51379780646217998</v>
      </c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</row>
    <row r="75" spans="1:56" ht="15" x14ac:dyDescent="0.25">
      <c r="A75" s="1">
        <v>47</v>
      </c>
      <c r="B75" s="23">
        <f t="shared" si="22"/>
        <v>3.90739272185833E-3</v>
      </c>
      <c r="C75" s="23">
        <f t="shared" si="22"/>
        <v>2.6731587678688806E-3</v>
      </c>
      <c r="D75" s="23">
        <f t="shared" si="22"/>
        <v>3.5999999999999999E-3</v>
      </c>
      <c r="E75" s="23">
        <f t="shared" si="22"/>
        <v>3.8E-3</v>
      </c>
      <c r="F75" s="23">
        <f t="shared" si="22"/>
        <v>2.4974481433627802E-3</v>
      </c>
      <c r="G75" s="23">
        <f t="shared" si="22"/>
        <v>3.0000000000000001E-3</v>
      </c>
      <c r="H75" s="23">
        <f t="shared" si="22"/>
        <v>6.0000000000000001E-3</v>
      </c>
      <c r="I75" s="23">
        <f t="shared" si="22"/>
        <v>3.0000000000000001E-3</v>
      </c>
      <c r="J75" s="23">
        <f t="shared" si="22"/>
        <v>7.0000000000000001E-3</v>
      </c>
      <c r="K75" s="23">
        <f t="shared" si="22"/>
        <v>3.0000000000000001E-3</v>
      </c>
      <c r="L75" s="23">
        <f t="shared" si="22"/>
        <v>2.4E-2</v>
      </c>
      <c r="M75" s="23">
        <f t="shared" si="22"/>
        <v>1.2999999999999999E-2</v>
      </c>
      <c r="N75" s="23">
        <f t="shared" si="22"/>
        <v>2.5999999999999999E-2</v>
      </c>
      <c r="O75" s="23">
        <f t="shared" si="22"/>
        <v>1.2999999999999999E-2</v>
      </c>
      <c r="P75" s="23">
        <f t="shared" si="22"/>
        <v>2.8000000000000001E-2</v>
      </c>
      <c r="Q75" s="23">
        <f t="shared" si="22"/>
        <v>1.4999999999999999E-2</v>
      </c>
      <c r="R75" s="23">
        <f t="shared" si="22"/>
        <v>3.1E-2</v>
      </c>
      <c r="S75" s="23">
        <f t="shared" si="22"/>
        <v>1.6E-2</v>
      </c>
      <c r="T75" s="23">
        <f t="shared" si="22"/>
        <v>3.3000000000000002E-2</v>
      </c>
      <c r="U75" s="23">
        <f t="shared" si="22"/>
        <v>1.7000000000000001E-2</v>
      </c>
      <c r="V75" s="24">
        <f t="shared" si="5"/>
        <v>3.2902757448636053E-3</v>
      </c>
      <c r="W75" s="24">
        <f t="shared" si="6"/>
        <v>3.7000000000000002E-3</v>
      </c>
      <c r="X75" s="24">
        <f t="shared" si="7"/>
        <v>2.7487240716813901E-3</v>
      </c>
      <c r="Y75" s="24">
        <f t="shared" si="8"/>
        <v>4.5000000000000005E-3</v>
      </c>
      <c r="Z75" s="24">
        <f t="shared" si="9"/>
        <v>5.0000000000000001E-3</v>
      </c>
      <c r="AA75" s="3">
        <f ca="1">IFERROR(__xludf.DUMMYFUNCTION("AVERAGE.WEIGHTED(B75:C75,$AF75:$AG75)"),0.00397421178415796)</f>
        <v>3.97421178415796E-3</v>
      </c>
      <c r="AB75" s="3">
        <f ca="1">IFERROR(__xludf.DUMMYFUNCTION("AVERAGE.WEIGHTED(D75:E75,$AH75:$AI75)"),0.00397245918429518)</f>
        <v>3.97245918429518E-3</v>
      </c>
      <c r="AC75" s="3">
        <f ca="1">IFERROR(__xludf.DUMMYFUNCTION("AVERAGE.WEIGHTED(F75:G75,$AJ75:$AK75)"),0.00445575623191168)</f>
        <v>4.4557562319116799E-3</v>
      </c>
      <c r="AD75" s="3" t="str">
        <f ca="1">IFERROR(__xludf.DUMMYFUNCTION("AVERAGE.WEIGHTED(H75:I75,$AA$25:$AB$25)"),"#VALUE!")</f>
        <v>#VALUE!</v>
      </c>
      <c r="AE75" s="3" t="str">
        <f ca="1">IFERROR(__xludf.DUMMYFUNCTION("AVERAGE.WEIGHTED(J75:K75,$AA$25:$AB$25)"),"#VALUE!")</f>
        <v>#VALUE!</v>
      </c>
      <c r="AF75" s="169">
        <v>0.48710589207897997</v>
      </c>
      <c r="AG75" s="3">
        <f t="shared" si="10"/>
        <v>0.51289410792102008</v>
      </c>
      <c r="AH75" s="169">
        <v>0.48622959214758998</v>
      </c>
      <c r="AI75" s="3">
        <f t="shared" si="11"/>
        <v>0.51377040785241002</v>
      </c>
      <c r="AJ75" s="169">
        <v>0.48525207730389402</v>
      </c>
      <c r="AK75" s="3">
        <f t="shared" si="12"/>
        <v>0.51474792269610603</v>
      </c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</row>
    <row r="76" spans="1:56" ht="15" x14ac:dyDescent="0.25">
      <c r="A76" s="1">
        <v>48</v>
      </c>
      <c r="B76" s="23">
        <f t="shared" si="22"/>
        <v>3.90739272185833E-3</v>
      </c>
      <c r="C76" s="23">
        <f t="shared" si="22"/>
        <v>2.6731587678688806E-3</v>
      </c>
      <c r="D76" s="23">
        <f t="shared" si="22"/>
        <v>3.5999999999999999E-3</v>
      </c>
      <c r="E76" s="23">
        <f t="shared" si="22"/>
        <v>3.8E-3</v>
      </c>
      <c r="F76" s="23">
        <f t="shared" si="22"/>
        <v>2.4974481433627802E-3</v>
      </c>
      <c r="G76" s="23">
        <f t="shared" si="22"/>
        <v>3.0000000000000001E-3</v>
      </c>
      <c r="H76" s="23">
        <f t="shared" si="22"/>
        <v>6.0000000000000001E-3</v>
      </c>
      <c r="I76" s="23">
        <f t="shared" si="22"/>
        <v>3.0000000000000001E-3</v>
      </c>
      <c r="J76" s="23">
        <f t="shared" si="22"/>
        <v>7.0000000000000001E-3</v>
      </c>
      <c r="K76" s="23">
        <f t="shared" si="22"/>
        <v>3.0000000000000001E-3</v>
      </c>
      <c r="L76" s="23">
        <f t="shared" si="22"/>
        <v>2.4E-2</v>
      </c>
      <c r="M76" s="23">
        <f t="shared" si="22"/>
        <v>1.2999999999999999E-2</v>
      </c>
      <c r="N76" s="23">
        <f t="shared" si="22"/>
        <v>2.5999999999999999E-2</v>
      </c>
      <c r="O76" s="23">
        <f t="shared" si="22"/>
        <v>1.2999999999999999E-2</v>
      </c>
      <c r="P76" s="23">
        <f t="shared" si="22"/>
        <v>2.8000000000000001E-2</v>
      </c>
      <c r="Q76" s="23">
        <f t="shared" si="22"/>
        <v>1.4999999999999999E-2</v>
      </c>
      <c r="R76" s="23">
        <f t="shared" si="22"/>
        <v>3.1E-2</v>
      </c>
      <c r="S76" s="23">
        <f t="shared" si="22"/>
        <v>1.6E-2</v>
      </c>
      <c r="T76" s="23">
        <f t="shared" si="22"/>
        <v>3.3000000000000002E-2</v>
      </c>
      <c r="U76" s="23">
        <f t="shared" si="22"/>
        <v>1.7000000000000001E-2</v>
      </c>
      <c r="V76" s="24">
        <f t="shared" si="5"/>
        <v>3.2902757448636053E-3</v>
      </c>
      <c r="W76" s="24">
        <f t="shared" si="6"/>
        <v>3.7000000000000002E-3</v>
      </c>
      <c r="X76" s="24">
        <f t="shared" si="7"/>
        <v>2.7487240716813901E-3</v>
      </c>
      <c r="Y76" s="24">
        <f t="shared" si="8"/>
        <v>4.5000000000000005E-3</v>
      </c>
      <c r="Z76" s="24">
        <f t="shared" si="9"/>
        <v>5.0000000000000001E-3</v>
      </c>
      <c r="AA76" s="3">
        <f ca="1">IFERROR(__xludf.DUMMYFUNCTION("AVERAGE.WEIGHTED(B76:C76,$AF76:$AG76)"),0.00397220924792817)</f>
        <v>3.9722092479281702E-3</v>
      </c>
      <c r="AB76" s="3">
        <f ca="1">IFERROR(__xludf.DUMMYFUNCTION("AVERAGE.WEIGHTED(D76:E76,$AH76:$AI76)"),0.00397057564193124)</f>
        <v>3.9705756419312404E-3</v>
      </c>
      <c r="AC76" s="3">
        <f ca="1">IFERROR(__xludf.DUMMYFUNCTION("AVERAGE.WEIGHTED(F76:G76,$AJ76:$AK76)"),0.00445271240146738)</f>
        <v>4.4527124014673803E-3</v>
      </c>
      <c r="AD76" s="3" t="str">
        <f ca="1">IFERROR(__xludf.DUMMYFUNCTION("AVERAGE.WEIGHTED(H76:I76,$AA$25:$AB$25)"),"#VALUE!")</f>
        <v>#VALUE!</v>
      </c>
      <c r="AE76" s="3" t="str">
        <f ca="1">IFERROR(__xludf.DUMMYFUNCTION("AVERAGE.WEIGHTED(J76:K76,$AA$25:$AB$25)"),"#VALUE!")</f>
        <v>#VALUE!</v>
      </c>
      <c r="AF76" s="169">
        <v>0.48610462396408499</v>
      </c>
      <c r="AG76" s="3">
        <f t="shared" si="10"/>
        <v>0.51389537603591506</v>
      </c>
      <c r="AH76" s="169">
        <v>0.48528782096562301</v>
      </c>
      <c r="AI76" s="3">
        <f t="shared" si="11"/>
        <v>0.51471217903437694</v>
      </c>
      <c r="AJ76" s="169">
        <v>0.48423746715579602</v>
      </c>
      <c r="AK76" s="3">
        <f t="shared" si="12"/>
        <v>0.51576253284420392</v>
      </c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</row>
    <row r="77" spans="1:56" ht="15" x14ac:dyDescent="0.25">
      <c r="A77" s="1">
        <v>49</v>
      </c>
      <c r="B77" s="23">
        <f t="shared" si="22"/>
        <v>3.90739272185833E-3</v>
      </c>
      <c r="C77" s="23">
        <f t="shared" si="22"/>
        <v>2.6731587678688806E-3</v>
      </c>
      <c r="D77" s="23">
        <f t="shared" si="22"/>
        <v>3.5999999999999999E-3</v>
      </c>
      <c r="E77" s="23">
        <f t="shared" si="22"/>
        <v>3.8E-3</v>
      </c>
      <c r="F77" s="23">
        <f t="shared" si="22"/>
        <v>2.4974481433627802E-3</v>
      </c>
      <c r="G77" s="23">
        <f t="shared" si="22"/>
        <v>3.0000000000000001E-3</v>
      </c>
      <c r="H77" s="23">
        <f t="shared" si="22"/>
        <v>6.0000000000000001E-3</v>
      </c>
      <c r="I77" s="23">
        <f t="shared" si="22"/>
        <v>3.0000000000000001E-3</v>
      </c>
      <c r="J77" s="23">
        <f t="shared" si="22"/>
        <v>7.0000000000000001E-3</v>
      </c>
      <c r="K77" s="23">
        <f t="shared" si="22"/>
        <v>3.0000000000000001E-3</v>
      </c>
      <c r="L77" s="23">
        <f t="shared" si="22"/>
        <v>2.4E-2</v>
      </c>
      <c r="M77" s="23">
        <f t="shared" si="22"/>
        <v>1.2999999999999999E-2</v>
      </c>
      <c r="N77" s="23">
        <f t="shared" si="22"/>
        <v>2.5999999999999999E-2</v>
      </c>
      <c r="O77" s="23">
        <f t="shared" si="22"/>
        <v>1.2999999999999999E-2</v>
      </c>
      <c r="P77" s="23">
        <f t="shared" si="22"/>
        <v>2.8000000000000001E-2</v>
      </c>
      <c r="Q77" s="23">
        <f t="shared" si="22"/>
        <v>1.4999999999999999E-2</v>
      </c>
      <c r="R77" s="23">
        <f t="shared" si="22"/>
        <v>3.1E-2</v>
      </c>
      <c r="S77" s="23">
        <f t="shared" si="22"/>
        <v>1.6E-2</v>
      </c>
      <c r="T77" s="23">
        <f t="shared" si="22"/>
        <v>3.3000000000000002E-2</v>
      </c>
      <c r="U77" s="23">
        <f t="shared" si="22"/>
        <v>1.7000000000000001E-2</v>
      </c>
      <c r="V77" s="24">
        <f t="shared" si="5"/>
        <v>3.2902757448636053E-3</v>
      </c>
      <c r="W77" s="24">
        <f t="shared" si="6"/>
        <v>3.7000000000000002E-3</v>
      </c>
      <c r="X77" s="24">
        <f t="shared" si="7"/>
        <v>2.7487240716813901E-3</v>
      </c>
      <c r="Y77" s="24">
        <f t="shared" si="8"/>
        <v>4.5000000000000005E-3</v>
      </c>
      <c r="Z77" s="24">
        <f t="shared" si="9"/>
        <v>5.0000000000000001E-3</v>
      </c>
      <c r="AA77" s="3">
        <f ca="1">IFERROR(__xludf.DUMMYFUNCTION("AVERAGE.WEIGHTED(B77:C77,$AF77:$AG77)"),0.00397014709018561)</f>
        <v>3.9701470901856101E-3</v>
      </c>
      <c r="AB77" s="3">
        <f ca="1">IFERROR(__xludf.DUMMYFUNCTION("AVERAGE.WEIGHTED(D77:E77,$AH77:$AI77)"),0.00396858078302978)</f>
        <v>3.9685807830297801E-3</v>
      </c>
      <c r="AC77" s="3">
        <f ca="1">IFERROR(__xludf.DUMMYFUNCTION("AVERAGE.WEIGHTED(F77:G77,$AJ77:$AK77)"),0.0044495998690806)</f>
        <v>4.4495998690806003E-3</v>
      </c>
      <c r="AD77" s="3" t="str">
        <f ca="1">IFERROR(__xludf.DUMMYFUNCTION("AVERAGE.WEIGHTED(H77:I77,$AA$25:$AB$25)"),"#VALUE!")</f>
        <v>#VALUE!</v>
      </c>
      <c r="AE77" s="3" t="str">
        <f ca="1">IFERROR(__xludf.DUMMYFUNCTION("AVERAGE.WEIGHTED(J77:K77,$AA$25:$AB$25)"),"#VALUE!")</f>
        <v>#VALUE!</v>
      </c>
      <c r="AF77" s="169">
        <v>0.48507354509280698</v>
      </c>
      <c r="AG77" s="3">
        <f t="shared" si="10"/>
        <v>0.51492645490719302</v>
      </c>
      <c r="AH77" s="169">
        <v>0.48429039151489001</v>
      </c>
      <c r="AI77" s="3">
        <f t="shared" si="11"/>
        <v>0.51570960848511005</v>
      </c>
      <c r="AJ77" s="169">
        <v>0.48319995636020202</v>
      </c>
      <c r="AK77" s="3">
        <f t="shared" si="12"/>
        <v>0.51680004363979792</v>
      </c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</row>
    <row r="78" spans="1:56" ht="15" x14ac:dyDescent="0.25">
      <c r="A78" s="1">
        <v>50</v>
      </c>
      <c r="B78" s="23">
        <f t="shared" ref="B78:U82" si="23">B$16</f>
        <v>5.6419522378638003E-3</v>
      </c>
      <c r="C78" s="23">
        <f t="shared" si="23"/>
        <v>3.9607362455715747E-3</v>
      </c>
      <c r="D78" s="23">
        <f t="shared" si="23"/>
        <v>5.1999999999999998E-3</v>
      </c>
      <c r="E78" s="23">
        <f t="shared" si="23"/>
        <v>5.5999999999999999E-3</v>
      </c>
      <c r="F78" s="23">
        <f t="shared" si="23"/>
        <v>3.77095999900869E-3</v>
      </c>
      <c r="G78" s="23">
        <f t="shared" si="23"/>
        <v>4.0000000000000001E-3</v>
      </c>
      <c r="H78" s="23">
        <f t="shared" si="23"/>
        <v>8.9999999999999993E-3</v>
      </c>
      <c r="I78" s="23">
        <f t="shared" si="23"/>
        <v>5.0000000000000001E-3</v>
      </c>
      <c r="J78" s="23">
        <f t="shared" si="23"/>
        <v>8.9999999999999993E-3</v>
      </c>
      <c r="K78" s="23">
        <f t="shared" si="23"/>
        <v>5.0000000000000001E-3</v>
      </c>
      <c r="L78" s="23">
        <f t="shared" si="23"/>
        <v>3.4000000000000002E-2</v>
      </c>
      <c r="M78" s="23">
        <f t="shared" si="23"/>
        <v>1.9E-2</v>
      </c>
      <c r="N78" s="23">
        <f t="shared" si="23"/>
        <v>3.6999999999999998E-2</v>
      </c>
      <c r="O78" s="23">
        <f t="shared" si="23"/>
        <v>0.02</v>
      </c>
      <c r="P78" s="23">
        <f t="shared" si="23"/>
        <v>4.1000000000000002E-2</v>
      </c>
      <c r="Q78" s="23">
        <f t="shared" si="23"/>
        <v>2.1999999999999999E-2</v>
      </c>
      <c r="R78" s="23">
        <f t="shared" si="23"/>
        <v>4.2000000000000003E-2</v>
      </c>
      <c r="S78" s="23">
        <f t="shared" si="23"/>
        <v>2.1999999999999999E-2</v>
      </c>
      <c r="T78" s="23">
        <f t="shared" si="23"/>
        <v>4.5999999999999999E-2</v>
      </c>
      <c r="U78" s="23">
        <f t="shared" si="23"/>
        <v>2.5000000000000001E-2</v>
      </c>
      <c r="V78" s="24">
        <f t="shared" si="5"/>
        <v>4.8013442417176875E-3</v>
      </c>
      <c r="W78" s="24">
        <f t="shared" si="6"/>
        <v>5.4000000000000003E-3</v>
      </c>
      <c r="X78" s="24">
        <f t="shared" si="7"/>
        <v>3.885479999504345E-3</v>
      </c>
      <c r="Y78" s="24">
        <f t="shared" si="8"/>
        <v>6.9999999999999993E-3</v>
      </c>
      <c r="Z78" s="24">
        <f t="shared" si="9"/>
        <v>6.9999999999999993E-3</v>
      </c>
      <c r="AA78" s="3">
        <f ca="1">IFERROR(__xludf.DUMMYFUNCTION("AVERAGE.WEIGHTED(B78:C78,$AF78:$AG78)"),0.00545196234453419)</f>
        <v>5.4519623445341897E-3</v>
      </c>
      <c r="AB78" s="3">
        <f ca="1">IFERROR(__xludf.DUMMYFUNCTION("AVERAGE.WEIGHTED(D78:E78,$AH78:$AI78)"),0.00593273340395214)</f>
        <v>5.9327334039521399E-3</v>
      </c>
      <c r="AC78" s="3">
        <f ca="1">IFERROR(__xludf.DUMMYFUNCTION("AVERAGE.WEIGHTED(F78:G78,$AJ78:$AK78)"),0.00592836161412)</f>
        <v>5.9283616141199997E-3</v>
      </c>
      <c r="AD78" s="3" t="str">
        <f ca="1">IFERROR(__xludf.DUMMYFUNCTION("AVERAGE.WEIGHTED(H78:I78,$AA$25:$AB$25)"),"#VALUE!")</f>
        <v>#VALUE!</v>
      </c>
      <c r="AE78" s="3" t="str">
        <f ca="1">IFERROR(__xludf.DUMMYFUNCTION("AVERAGE.WEIGHTED(J78:K78,$AA$25:$AB$25)"),"#VALUE!")</f>
        <v>#VALUE!</v>
      </c>
      <c r="AF78" s="169">
        <v>0.48398744817806599</v>
      </c>
      <c r="AG78" s="3">
        <f t="shared" si="10"/>
        <v>0.51601255182193406</v>
      </c>
      <c r="AH78" s="169">
        <v>0.483183350988035</v>
      </c>
      <c r="AI78" s="3">
        <f t="shared" si="11"/>
        <v>0.516816649011965</v>
      </c>
      <c r="AJ78" s="169">
        <v>0.48209040352999999</v>
      </c>
      <c r="AK78" s="3">
        <f t="shared" si="12"/>
        <v>0.51790959647000001</v>
      </c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</row>
    <row r="79" spans="1:56" ht="15" x14ac:dyDescent="0.25">
      <c r="A79" s="1">
        <v>51</v>
      </c>
      <c r="B79" s="23">
        <f t="shared" si="23"/>
        <v>5.6419522378638003E-3</v>
      </c>
      <c r="C79" s="23">
        <f t="shared" si="23"/>
        <v>3.9607362455715747E-3</v>
      </c>
      <c r="D79" s="23">
        <f t="shared" si="23"/>
        <v>5.1999999999999998E-3</v>
      </c>
      <c r="E79" s="23">
        <f t="shared" si="23"/>
        <v>5.5999999999999999E-3</v>
      </c>
      <c r="F79" s="23">
        <f t="shared" si="23"/>
        <v>3.77095999900869E-3</v>
      </c>
      <c r="G79" s="23">
        <f t="shared" si="23"/>
        <v>4.0000000000000001E-3</v>
      </c>
      <c r="H79" s="23">
        <f t="shared" si="23"/>
        <v>8.9999999999999993E-3</v>
      </c>
      <c r="I79" s="23">
        <f t="shared" si="23"/>
        <v>5.0000000000000001E-3</v>
      </c>
      <c r="J79" s="23">
        <f t="shared" si="23"/>
        <v>8.9999999999999993E-3</v>
      </c>
      <c r="K79" s="23">
        <f t="shared" si="23"/>
        <v>5.0000000000000001E-3</v>
      </c>
      <c r="L79" s="23">
        <f t="shared" si="23"/>
        <v>3.4000000000000002E-2</v>
      </c>
      <c r="M79" s="23">
        <f t="shared" si="23"/>
        <v>1.9E-2</v>
      </c>
      <c r="N79" s="23">
        <f t="shared" si="23"/>
        <v>3.6999999999999998E-2</v>
      </c>
      <c r="O79" s="23">
        <f t="shared" si="23"/>
        <v>0.02</v>
      </c>
      <c r="P79" s="23">
        <f t="shared" si="23"/>
        <v>4.1000000000000002E-2</v>
      </c>
      <c r="Q79" s="23">
        <f t="shared" si="23"/>
        <v>2.1999999999999999E-2</v>
      </c>
      <c r="R79" s="23">
        <f t="shared" si="23"/>
        <v>4.2000000000000003E-2</v>
      </c>
      <c r="S79" s="23">
        <f t="shared" si="23"/>
        <v>2.1999999999999999E-2</v>
      </c>
      <c r="T79" s="23">
        <f t="shared" si="23"/>
        <v>4.5999999999999999E-2</v>
      </c>
      <c r="U79" s="23">
        <f t="shared" si="23"/>
        <v>2.5000000000000001E-2</v>
      </c>
      <c r="V79" s="24">
        <f t="shared" si="5"/>
        <v>4.8013442417176875E-3</v>
      </c>
      <c r="W79" s="24">
        <f t="shared" si="6"/>
        <v>5.4000000000000003E-3</v>
      </c>
      <c r="X79" s="24">
        <f t="shared" si="7"/>
        <v>3.885479999504345E-3</v>
      </c>
      <c r="Y79" s="24">
        <f t="shared" si="8"/>
        <v>6.9999999999999993E-3</v>
      </c>
      <c r="Z79" s="24">
        <f t="shared" si="9"/>
        <v>6.9999999999999993E-3</v>
      </c>
      <c r="AA79" s="3">
        <f ca="1">IFERROR(__xludf.DUMMYFUNCTION("AVERAGE.WEIGHTED(B79:C79,$AF79:$AG79)"),0.00544857110580438)</f>
        <v>5.4485711058043802E-3</v>
      </c>
      <c r="AB79" s="3">
        <f ca="1">IFERROR(__xludf.DUMMYFUNCTION("AVERAGE.WEIGHTED(D79:E79,$AH79:$AI79)"),0.00592793515484808)</f>
        <v>5.9279351548480802E-3</v>
      </c>
      <c r="AC79" s="3">
        <f ca="1">IFERROR(__xludf.DUMMYFUNCTION("AVERAGE.WEIGHTED(F79:G79,$AJ79:$AK79)"),0.00592353678610451)</f>
        <v>5.9235367861045097E-3</v>
      </c>
      <c r="AD79" s="3" t="str">
        <f ca="1">IFERROR(__xludf.DUMMYFUNCTION("AVERAGE.WEIGHTED(H79:I79,$AA$25:$AB$25)"),"#VALUE!")</f>
        <v>#VALUE!</v>
      </c>
      <c r="AE79" s="3" t="str">
        <f ca="1">IFERROR(__xludf.DUMMYFUNCTION("AVERAGE.WEIGHTED(J79:K79,$AA$25:$AB$25)"),"#VALUE!")</f>
        <v>#VALUE!</v>
      </c>
      <c r="AF79" s="169">
        <v>0.48285703526812801</v>
      </c>
      <c r="AG79" s="3">
        <f t="shared" si="10"/>
        <v>0.51714296473187193</v>
      </c>
      <c r="AH79" s="169">
        <v>0.48198378871202102</v>
      </c>
      <c r="AI79" s="3">
        <f t="shared" si="11"/>
        <v>0.51801621128797892</v>
      </c>
      <c r="AJ79" s="169">
        <v>0.48088419652612902</v>
      </c>
      <c r="AK79" s="3">
        <f t="shared" si="12"/>
        <v>0.51911580347387098</v>
      </c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</row>
    <row r="80" spans="1:56" ht="15" x14ac:dyDescent="0.25">
      <c r="A80" s="1">
        <v>52</v>
      </c>
      <c r="B80" s="23">
        <f t="shared" si="23"/>
        <v>5.6419522378638003E-3</v>
      </c>
      <c r="C80" s="23">
        <f t="shared" si="23"/>
        <v>3.9607362455715747E-3</v>
      </c>
      <c r="D80" s="23">
        <f t="shared" si="23"/>
        <v>5.1999999999999998E-3</v>
      </c>
      <c r="E80" s="23">
        <f t="shared" si="23"/>
        <v>5.5999999999999999E-3</v>
      </c>
      <c r="F80" s="23">
        <f t="shared" si="23"/>
        <v>3.77095999900869E-3</v>
      </c>
      <c r="G80" s="23">
        <f t="shared" si="23"/>
        <v>4.0000000000000001E-3</v>
      </c>
      <c r="H80" s="23">
        <f t="shared" si="23"/>
        <v>8.9999999999999993E-3</v>
      </c>
      <c r="I80" s="23">
        <f t="shared" si="23"/>
        <v>5.0000000000000001E-3</v>
      </c>
      <c r="J80" s="23">
        <f t="shared" si="23"/>
        <v>8.9999999999999993E-3</v>
      </c>
      <c r="K80" s="23">
        <f t="shared" si="23"/>
        <v>5.0000000000000001E-3</v>
      </c>
      <c r="L80" s="23">
        <f t="shared" si="23"/>
        <v>3.4000000000000002E-2</v>
      </c>
      <c r="M80" s="23">
        <f t="shared" si="23"/>
        <v>1.9E-2</v>
      </c>
      <c r="N80" s="23">
        <f t="shared" si="23"/>
        <v>3.6999999999999998E-2</v>
      </c>
      <c r="O80" s="23">
        <f t="shared" si="23"/>
        <v>0.02</v>
      </c>
      <c r="P80" s="23">
        <f t="shared" si="23"/>
        <v>4.1000000000000002E-2</v>
      </c>
      <c r="Q80" s="23">
        <f t="shared" si="23"/>
        <v>2.1999999999999999E-2</v>
      </c>
      <c r="R80" s="23">
        <f t="shared" si="23"/>
        <v>4.2000000000000003E-2</v>
      </c>
      <c r="S80" s="23">
        <f t="shared" si="23"/>
        <v>2.1999999999999999E-2</v>
      </c>
      <c r="T80" s="23">
        <f t="shared" si="23"/>
        <v>4.5999999999999999E-2</v>
      </c>
      <c r="U80" s="23">
        <f t="shared" si="23"/>
        <v>2.5000000000000001E-2</v>
      </c>
      <c r="V80" s="24">
        <f t="shared" si="5"/>
        <v>4.8013442417176875E-3</v>
      </c>
      <c r="W80" s="24">
        <f t="shared" si="6"/>
        <v>5.4000000000000003E-3</v>
      </c>
      <c r="X80" s="24">
        <f t="shared" si="7"/>
        <v>3.885479999504345E-3</v>
      </c>
      <c r="Y80" s="24">
        <f t="shared" si="8"/>
        <v>6.9999999999999993E-3</v>
      </c>
      <c r="Z80" s="24">
        <f t="shared" si="9"/>
        <v>6.9999999999999993E-3</v>
      </c>
      <c r="AA80" s="3">
        <f ca="1">IFERROR(__xludf.DUMMYFUNCTION("AVERAGE.WEIGHTED(B80:C80,$AF80:$AG80)"),0.0054449774249613)</f>
        <v>5.4449774249612998E-3</v>
      </c>
      <c r="AB80" s="3">
        <f ca="1">IFERROR(__xludf.DUMMYFUNCTION("AVERAGE.WEIGHTED(D80:E80,$AH80:$AI80)"),0.00592286845326908)</f>
        <v>5.9228684532690798E-3</v>
      </c>
      <c r="AC80" s="3">
        <f ca="1">IFERROR(__xludf.DUMMYFUNCTION("AVERAGE.WEIGHTED(F80:G80,$AJ80:$AK80)"),0.00591850781078484)</f>
        <v>5.9185078107848402E-3</v>
      </c>
      <c r="AD80" s="3" t="str">
        <f ca="1">IFERROR(__xludf.DUMMYFUNCTION("AVERAGE.WEIGHTED(H80:I80,$AA$25:$AB$25)"),"#VALUE!")</f>
        <v>#VALUE!</v>
      </c>
      <c r="AE80" s="3" t="str">
        <f ca="1">IFERROR(__xludf.DUMMYFUNCTION("AVERAGE.WEIGHTED(J80:K80,$AA$25:$AB$25)"),"#VALUE!")</f>
        <v>#VALUE!</v>
      </c>
      <c r="AF80" s="169">
        <v>0.481659141653767</v>
      </c>
      <c r="AG80" s="3">
        <f t="shared" si="10"/>
        <v>0.518340858346233</v>
      </c>
      <c r="AH80" s="169">
        <v>0.48071711331727102</v>
      </c>
      <c r="AI80" s="3">
        <f t="shared" si="11"/>
        <v>0.51928288668272904</v>
      </c>
      <c r="AJ80" s="169">
        <v>0.47962695269621097</v>
      </c>
      <c r="AK80" s="3">
        <f t="shared" si="12"/>
        <v>0.52037304730378908</v>
      </c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</row>
    <row r="81" spans="1:56" ht="15" x14ac:dyDescent="0.25">
      <c r="A81" s="1">
        <v>53</v>
      </c>
      <c r="B81" s="23">
        <f t="shared" si="23"/>
        <v>5.6419522378638003E-3</v>
      </c>
      <c r="C81" s="23">
        <f t="shared" si="23"/>
        <v>3.9607362455715747E-3</v>
      </c>
      <c r="D81" s="23">
        <f t="shared" si="23"/>
        <v>5.1999999999999998E-3</v>
      </c>
      <c r="E81" s="23">
        <f t="shared" si="23"/>
        <v>5.5999999999999999E-3</v>
      </c>
      <c r="F81" s="23">
        <f t="shared" si="23"/>
        <v>3.77095999900869E-3</v>
      </c>
      <c r="G81" s="23">
        <f t="shared" si="23"/>
        <v>4.0000000000000001E-3</v>
      </c>
      <c r="H81" s="23">
        <f t="shared" si="23"/>
        <v>8.9999999999999993E-3</v>
      </c>
      <c r="I81" s="23">
        <f t="shared" si="23"/>
        <v>5.0000000000000001E-3</v>
      </c>
      <c r="J81" s="23">
        <f t="shared" si="23"/>
        <v>8.9999999999999993E-3</v>
      </c>
      <c r="K81" s="23">
        <f t="shared" si="23"/>
        <v>5.0000000000000001E-3</v>
      </c>
      <c r="L81" s="23">
        <f t="shared" si="23"/>
        <v>3.4000000000000002E-2</v>
      </c>
      <c r="M81" s="23">
        <f t="shared" si="23"/>
        <v>1.9E-2</v>
      </c>
      <c r="N81" s="23">
        <f t="shared" si="23"/>
        <v>3.6999999999999998E-2</v>
      </c>
      <c r="O81" s="23">
        <f t="shared" si="23"/>
        <v>0.02</v>
      </c>
      <c r="P81" s="23">
        <f t="shared" si="23"/>
        <v>4.1000000000000002E-2</v>
      </c>
      <c r="Q81" s="23">
        <f t="shared" si="23"/>
        <v>2.1999999999999999E-2</v>
      </c>
      <c r="R81" s="23">
        <f t="shared" si="23"/>
        <v>4.2000000000000003E-2</v>
      </c>
      <c r="S81" s="23">
        <f t="shared" si="23"/>
        <v>2.1999999999999999E-2</v>
      </c>
      <c r="T81" s="23">
        <f t="shared" si="23"/>
        <v>4.5999999999999999E-2</v>
      </c>
      <c r="U81" s="23">
        <f t="shared" si="23"/>
        <v>2.5000000000000001E-2</v>
      </c>
      <c r="V81" s="24">
        <f t="shared" si="5"/>
        <v>4.8013442417176875E-3</v>
      </c>
      <c r="W81" s="24">
        <f t="shared" si="6"/>
        <v>5.4000000000000003E-3</v>
      </c>
      <c r="X81" s="24">
        <f t="shared" si="7"/>
        <v>3.885479999504345E-3</v>
      </c>
      <c r="Y81" s="24">
        <f t="shared" si="8"/>
        <v>6.9999999999999993E-3</v>
      </c>
      <c r="Z81" s="24">
        <f t="shared" si="9"/>
        <v>6.9999999999999993E-3</v>
      </c>
      <c r="AA81" s="3">
        <f ca="1">IFERROR(__xludf.DUMMYFUNCTION("AVERAGE.WEIGHTED(B81:C81,$AF81:$AG81)"),0.00544117562338572)</f>
        <v>5.4411756233857201E-3</v>
      </c>
      <c r="AB81" s="3">
        <f ca="1">IFERROR(__xludf.DUMMYFUNCTION("AVERAGE.WEIGHTED(D81:E81,$AH81:$AI81)"),0.00591745915413149)</f>
        <v>5.9174591541314896E-3</v>
      </c>
      <c r="AC81" s="3">
        <f ca="1">IFERROR(__xludf.DUMMYFUNCTION("AVERAGE.WEIGHTED(F81:G81,$AJ81:$AK81)"),0.0059134416631227)</f>
        <v>5.9134416631227002E-3</v>
      </c>
      <c r="AD81" s="3" t="str">
        <f ca="1">IFERROR(__xludf.DUMMYFUNCTION("AVERAGE.WEIGHTED(H81:I81,$AA$25:$AB$25)"),"#VALUE!")</f>
        <v>#VALUE!</v>
      </c>
      <c r="AE81" s="3" t="str">
        <f ca="1">IFERROR(__xludf.DUMMYFUNCTION("AVERAGE.WEIGHTED(J81:K81,$AA$25:$AB$25)"),"#VALUE!")</f>
        <v>#VALUE!</v>
      </c>
      <c r="AF81" s="169">
        <v>0.48039187446190901</v>
      </c>
      <c r="AG81" s="3">
        <f t="shared" si="10"/>
        <v>0.51960812553809099</v>
      </c>
      <c r="AH81" s="169">
        <v>0.47936478853287401</v>
      </c>
      <c r="AI81" s="3">
        <f t="shared" si="11"/>
        <v>0.52063521146712599</v>
      </c>
      <c r="AJ81" s="169">
        <v>0.47836041578067701</v>
      </c>
      <c r="AK81" s="3">
        <f t="shared" si="12"/>
        <v>0.52163958421932299</v>
      </c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</row>
    <row r="82" spans="1:56" ht="15" x14ac:dyDescent="0.25">
      <c r="A82" s="1">
        <v>54</v>
      </c>
      <c r="B82" s="23">
        <f t="shared" si="23"/>
        <v>5.6419522378638003E-3</v>
      </c>
      <c r="C82" s="23">
        <f t="shared" si="23"/>
        <v>3.9607362455715747E-3</v>
      </c>
      <c r="D82" s="23">
        <f t="shared" si="23"/>
        <v>5.1999999999999998E-3</v>
      </c>
      <c r="E82" s="23">
        <f t="shared" si="23"/>
        <v>5.5999999999999999E-3</v>
      </c>
      <c r="F82" s="23">
        <f t="shared" si="23"/>
        <v>3.77095999900869E-3</v>
      </c>
      <c r="G82" s="23">
        <f t="shared" si="23"/>
        <v>4.0000000000000001E-3</v>
      </c>
      <c r="H82" s="23">
        <f t="shared" si="23"/>
        <v>8.9999999999999993E-3</v>
      </c>
      <c r="I82" s="23">
        <f t="shared" si="23"/>
        <v>5.0000000000000001E-3</v>
      </c>
      <c r="J82" s="23">
        <f t="shared" si="23"/>
        <v>8.9999999999999993E-3</v>
      </c>
      <c r="K82" s="23">
        <f t="shared" si="23"/>
        <v>5.0000000000000001E-3</v>
      </c>
      <c r="L82" s="23">
        <f t="shared" si="23"/>
        <v>3.4000000000000002E-2</v>
      </c>
      <c r="M82" s="23">
        <f t="shared" si="23"/>
        <v>1.9E-2</v>
      </c>
      <c r="N82" s="23">
        <f t="shared" si="23"/>
        <v>3.6999999999999998E-2</v>
      </c>
      <c r="O82" s="23">
        <f t="shared" si="23"/>
        <v>0.02</v>
      </c>
      <c r="P82" s="23">
        <f t="shared" si="23"/>
        <v>4.1000000000000002E-2</v>
      </c>
      <c r="Q82" s="23">
        <f t="shared" si="23"/>
        <v>2.1999999999999999E-2</v>
      </c>
      <c r="R82" s="23">
        <f t="shared" si="23"/>
        <v>4.2000000000000003E-2</v>
      </c>
      <c r="S82" s="23">
        <f t="shared" si="23"/>
        <v>2.1999999999999999E-2</v>
      </c>
      <c r="T82" s="23">
        <f t="shared" si="23"/>
        <v>4.5999999999999999E-2</v>
      </c>
      <c r="U82" s="23">
        <f t="shared" si="23"/>
        <v>2.5000000000000001E-2</v>
      </c>
      <c r="V82" s="24">
        <f t="shared" si="5"/>
        <v>4.8013442417176875E-3</v>
      </c>
      <c r="W82" s="24">
        <f t="shared" si="6"/>
        <v>5.4000000000000003E-3</v>
      </c>
      <c r="X82" s="24">
        <f t="shared" si="7"/>
        <v>3.885479999504345E-3</v>
      </c>
      <c r="Y82" s="24">
        <f t="shared" si="8"/>
        <v>6.9999999999999993E-3</v>
      </c>
      <c r="Z82" s="24">
        <f t="shared" si="9"/>
        <v>6.9999999999999993E-3</v>
      </c>
      <c r="AA82" s="3">
        <f ca="1">IFERROR(__xludf.DUMMYFUNCTION("AVERAGE.WEIGHTED(B82:C82,$AF82:$AG82)"),0.00543701823658682)</f>
        <v>5.4370182365868196E-3</v>
      </c>
      <c r="AB82" s="3">
        <f ca="1">IFERROR(__xludf.DUMMYFUNCTION("AVERAGE.WEIGHTED(D82:E82,$AH82:$AI82)"),0.00591189800941898)</f>
        <v>5.91189800941898E-3</v>
      </c>
      <c r="AC82" s="3">
        <f ca="1">IFERROR(__xludf.DUMMYFUNCTION("AVERAGE.WEIGHTED(F82:G82,$AJ82:$AK82)"),0.00590836134942966)</f>
        <v>5.9083613494296597E-3</v>
      </c>
      <c r="AD82" s="3" t="str">
        <f ca="1">IFERROR(__xludf.DUMMYFUNCTION("AVERAGE.WEIGHTED(H82:I82,$AA$25:$AB$25)"),"#VALUE!")</f>
        <v>#VALUE!</v>
      </c>
      <c r="AE82" s="3" t="str">
        <f ca="1">IFERROR(__xludf.DUMMYFUNCTION("AVERAGE.WEIGHTED(J82:K82,$AA$25:$AB$25)"),"#VALUE!")</f>
        <v>#VALUE!</v>
      </c>
      <c r="AF82" s="169">
        <v>0.47900607886227398</v>
      </c>
      <c r="AG82" s="3">
        <f t="shared" si="10"/>
        <v>0.52099392113772602</v>
      </c>
      <c r="AH82" s="169">
        <v>0.47797450235474498</v>
      </c>
      <c r="AI82" s="3">
        <f t="shared" si="11"/>
        <v>0.52202549764525497</v>
      </c>
      <c r="AJ82" s="169">
        <v>0.47709033735741702</v>
      </c>
      <c r="AK82" s="3">
        <f t="shared" si="12"/>
        <v>0.52290966264258298</v>
      </c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</row>
    <row r="83" spans="1:56" ht="15" x14ac:dyDescent="0.25">
      <c r="A83" s="1">
        <v>55</v>
      </c>
      <c r="B83" s="23">
        <f t="shared" ref="B83:U87" si="24">B$17</f>
        <v>8.2629236691203096E-3</v>
      </c>
      <c r="C83" s="23">
        <f t="shared" si="24"/>
        <v>5.9575968317124714E-3</v>
      </c>
      <c r="D83" s="23">
        <f t="shared" si="24"/>
        <v>7.7999999999999996E-3</v>
      </c>
      <c r="E83" s="23">
        <f t="shared" si="24"/>
        <v>8.2000000000000007E-3</v>
      </c>
      <c r="F83" s="23">
        <f t="shared" si="24"/>
        <v>5.87214215777262E-3</v>
      </c>
      <c r="G83" s="23">
        <f t="shared" si="24"/>
        <v>6.0000000000000001E-3</v>
      </c>
      <c r="H83" s="23">
        <f t="shared" si="24"/>
        <v>1.2E-2</v>
      </c>
      <c r="I83" s="23">
        <f t="shared" si="24"/>
        <v>7.0000000000000001E-3</v>
      </c>
      <c r="J83" s="23">
        <f t="shared" si="24"/>
        <v>1.4E-2</v>
      </c>
      <c r="K83" s="23">
        <f t="shared" si="24"/>
        <v>8.0000000000000002E-3</v>
      </c>
      <c r="L83" s="23">
        <f t="shared" si="24"/>
        <v>0.05</v>
      </c>
      <c r="M83" s="23">
        <f t="shared" si="24"/>
        <v>2.8000000000000001E-2</v>
      </c>
      <c r="N83" s="23">
        <f t="shared" si="24"/>
        <v>5.3999999999999999E-2</v>
      </c>
      <c r="O83" s="23">
        <f t="shared" si="24"/>
        <v>0.03</v>
      </c>
      <c r="P83" s="23">
        <f t="shared" si="24"/>
        <v>5.7000000000000002E-2</v>
      </c>
      <c r="Q83" s="23">
        <f t="shared" si="24"/>
        <v>3.1E-2</v>
      </c>
      <c r="R83" s="23">
        <f t="shared" si="24"/>
        <v>0.06</v>
      </c>
      <c r="S83" s="23">
        <f t="shared" si="24"/>
        <v>3.3000000000000002E-2</v>
      </c>
      <c r="T83" s="23">
        <f t="shared" si="24"/>
        <v>6.6000000000000003E-2</v>
      </c>
      <c r="U83" s="23">
        <f t="shared" si="24"/>
        <v>3.6999999999999998E-2</v>
      </c>
      <c r="V83" s="24">
        <f t="shared" si="5"/>
        <v>7.1102602504163909E-3</v>
      </c>
      <c r="W83" s="24">
        <f t="shared" si="6"/>
        <v>8.0000000000000002E-3</v>
      </c>
      <c r="X83" s="24">
        <f t="shared" si="7"/>
        <v>5.93607107888631E-3</v>
      </c>
      <c r="Y83" s="24">
        <f t="shared" si="8"/>
        <v>9.4999999999999998E-3</v>
      </c>
      <c r="Z83" s="24">
        <f t="shared" si="9"/>
        <v>1.0999999999999999E-2</v>
      </c>
      <c r="AA83" s="3">
        <f ca="1">IFERROR(__xludf.DUMMYFUNCTION("AVERAGE.WEIGHTED(B83:C83,$AF83:$AG83)"),0.00791007927585184)</f>
        <v>7.91007927585184E-3</v>
      </c>
      <c r="AB83" s="3">
        <f ca="1">IFERROR(__xludf.DUMMYFUNCTION("AVERAGE.WEIGHTED(D83:E83,$AH83:$AI83)"),0.0083824746222167)</f>
        <v>8.3824746222166992E-3</v>
      </c>
      <c r="AC83" s="3">
        <f ca="1">IFERROR(__xludf.DUMMYFUNCTION("AVERAGE.WEIGHTED(F83:G83,$AJ83:$AK83)"),0.00885463701947087)</f>
        <v>8.8546370194708696E-3</v>
      </c>
      <c r="AD83" s="3" t="str">
        <f ca="1">IFERROR(__xludf.DUMMYFUNCTION("AVERAGE.WEIGHTED(H83:I83,$AA$25:$AB$25)"),"#VALUE!")</f>
        <v>#VALUE!</v>
      </c>
      <c r="AE83" s="3" t="str">
        <f ca="1">IFERROR(__xludf.DUMMYFUNCTION("AVERAGE.WEIGHTED(J83:K83,$AA$25:$AB$25)"),"#VALUE!")</f>
        <v>#VALUE!</v>
      </c>
      <c r="AF83" s="169">
        <v>0.47751981896296197</v>
      </c>
      <c r="AG83" s="3">
        <f t="shared" si="10"/>
        <v>0.52248018103703808</v>
      </c>
      <c r="AH83" s="169">
        <v>0.47649492444334002</v>
      </c>
      <c r="AI83" s="3">
        <f t="shared" si="11"/>
        <v>0.52350507555665993</v>
      </c>
      <c r="AJ83" s="169">
        <v>0.47577283657847902</v>
      </c>
      <c r="AK83" s="3">
        <f t="shared" si="12"/>
        <v>0.52422716342152098</v>
      </c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</row>
    <row r="84" spans="1:56" ht="15" x14ac:dyDescent="0.25">
      <c r="A84" s="1">
        <v>56</v>
      </c>
      <c r="B84" s="23">
        <f t="shared" si="24"/>
        <v>8.2629236691203096E-3</v>
      </c>
      <c r="C84" s="23">
        <f t="shared" si="24"/>
        <v>5.9575968317124714E-3</v>
      </c>
      <c r="D84" s="23">
        <f t="shared" si="24"/>
        <v>7.7999999999999996E-3</v>
      </c>
      <c r="E84" s="23">
        <f t="shared" si="24"/>
        <v>8.2000000000000007E-3</v>
      </c>
      <c r="F84" s="23">
        <f t="shared" si="24"/>
        <v>5.87214215777262E-3</v>
      </c>
      <c r="G84" s="23">
        <f t="shared" si="24"/>
        <v>6.0000000000000001E-3</v>
      </c>
      <c r="H84" s="23">
        <f t="shared" si="24"/>
        <v>1.2E-2</v>
      </c>
      <c r="I84" s="23">
        <f t="shared" si="24"/>
        <v>7.0000000000000001E-3</v>
      </c>
      <c r="J84" s="23">
        <f t="shared" si="24"/>
        <v>1.4E-2</v>
      </c>
      <c r="K84" s="23">
        <f t="shared" si="24"/>
        <v>8.0000000000000002E-3</v>
      </c>
      <c r="L84" s="23">
        <f t="shared" si="24"/>
        <v>0.05</v>
      </c>
      <c r="M84" s="23">
        <f t="shared" si="24"/>
        <v>2.8000000000000001E-2</v>
      </c>
      <c r="N84" s="23">
        <f t="shared" si="24"/>
        <v>5.3999999999999999E-2</v>
      </c>
      <c r="O84" s="23">
        <f t="shared" si="24"/>
        <v>0.03</v>
      </c>
      <c r="P84" s="23">
        <f t="shared" si="24"/>
        <v>5.7000000000000002E-2</v>
      </c>
      <c r="Q84" s="23">
        <f t="shared" si="24"/>
        <v>3.1E-2</v>
      </c>
      <c r="R84" s="23">
        <f t="shared" si="24"/>
        <v>0.06</v>
      </c>
      <c r="S84" s="23">
        <f t="shared" si="24"/>
        <v>3.3000000000000002E-2</v>
      </c>
      <c r="T84" s="23">
        <f t="shared" si="24"/>
        <v>6.6000000000000003E-2</v>
      </c>
      <c r="U84" s="23">
        <f t="shared" si="24"/>
        <v>3.6999999999999998E-2</v>
      </c>
      <c r="V84" s="24">
        <f t="shared" si="5"/>
        <v>7.1102602504163909E-3</v>
      </c>
      <c r="W84" s="24">
        <f t="shared" si="6"/>
        <v>8.0000000000000002E-3</v>
      </c>
      <c r="X84" s="24">
        <f t="shared" si="7"/>
        <v>5.93607107888631E-3</v>
      </c>
      <c r="Y84" s="24">
        <f t="shared" si="8"/>
        <v>9.4999999999999998E-3</v>
      </c>
      <c r="Z84" s="24">
        <f t="shared" si="9"/>
        <v>1.0999999999999999E-2</v>
      </c>
      <c r="AA84" s="3">
        <f ca="1">IFERROR(__xludf.DUMMYFUNCTION("AVERAGE.WEIGHTED(B84:C84,$AF84:$AG84)"),0.00790383651514498)</f>
        <v>7.9038365151449796E-3</v>
      </c>
      <c r="AB84" s="3">
        <f ca="1">IFERROR(__xludf.DUMMYFUNCTION("AVERAGE.WEIGHTED(D84:E84,$AH84:$AI84)"),0.00837452231347585)</f>
        <v>8.37452231347585E-3</v>
      </c>
      <c r="AC84" s="3">
        <f ca="1">IFERROR(__xludf.DUMMYFUNCTION("AVERAGE.WEIGHTED(F84:G84,$AJ84:$AK84)"),0.00884668833352011)</f>
        <v>8.8466883335201092E-3</v>
      </c>
      <c r="AD84" s="3" t="str">
        <f ca="1">IFERROR(__xludf.DUMMYFUNCTION("AVERAGE.WEIGHTED(H84:I84,$AA$25:$AB$25)"),"#VALUE!")</f>
        <v>#VALUE!</v>
      </c>
      <c r="AE84" s="3" t="str">
        <f ca="1">IFERROR(__xludf.DUMMYFUNCTION("AVERAGE.WEIGHTED(J84:K84,$AA$25:$AB$25)"),"#VALUE!")</f>
        <v>#VALUE!</v>
      </c>
      <c r="AF84" s="169">
        <v>0.47595912878624602</v>
      </c>
      <c r="AG84" s="3">
        <f t="shared" si="10"/>
        <v>0.52404087121375398</v>
      </c>
      <c r="AH84" s="169">
        <v>0.474904462695171</v>
      </c>
      <c r="AI84" s="3">
        <f t="shared" si="11"/>
        <v>0.52509553730482894</v>
      </c>
      <c r="AJ84" s="169">
        <v>0.47444805558668601</v>
      </c>
      <c r="AK84" s="3">
        <f t="shared" si="12"/>
        <v>0.52555194441331399</v>
      </c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</row>
    <row r="85" spans="1:56" ht="15" x14ac:dyDescent="0.25">
      <c r="A85" s="1">
        <v>57</v>
      </c>
      <c r="B85" s="23">
        <f t="shared" si="24"/>
        <v>8.2629236691203096E-3</v>
      </c>
      <c r="C85" s="23">
        <f t="shared" si="24"/>
        <v>5.9575968317124714E-3</v>
      </c>
      <c r="D85" s="23">
        <f t="shared" si="24"/>
        <v>7.7999999999999996E-3</v>
      </c>
      <c r="E85" s="23">
        <f t="shared" si="24"/>
        <v>8.2000000000000007E-3</v>
      </c>
      <c r="F85" s="23">
        <f t="shared" si="24"/>
        <v>5.87214215777262E-3</v>
      </c>
      <c r="G85" s="23">
        <f t="shared" si="24"/>
        <v>6.0000000000000001E-3</v>
      </c>
      <c r="H85" s="23">
        <f t="shared" si="24"/>
        <v>1.2E-2</v>
      </c>
      <c r="I85" s="23">
        <f t="shared" si="24"/>
        <v>7.0000000000000001E-3</v>
      </c>
      <c r="J85" s="23">
        <f t="shared" si="24"/>
        <v>1.4E-2</v>
      </c>
      <c r="K85" s="23">
        <f t="shared" si="24"/>
        <v>8.0000000000000002E-3</v>
      </c>
      <c r="L85" s="23">
        <f t="shared" si="24"/>
        <v>0.05</v>
      </c>
      <c r="M85" s="23">
        <f t="shared" si="24"/>
        <v>2.8000000000000001E-2</v>
      </c>
      <c r="N85" s="23">
        <f t="shared" si="24"/>
        <v>5.3999999999999999E-2</v>
      </c>
      <c r="O85" s="23">
        <f t="shared" si="24"/>
        <v>0.03</v>
      </c>
      <c r="P85" s="23">
        <f t="shared" si="24"/>
        <v>5.7000000000000002E-2</v>
      </c>
      <c r="Q85" s="23">
        <f t="shared" si="24"/>
        <v>3.1E-2</v>
      </c>
      <c r="R85" s="23">
        <f t="shared" si="24"/>
        <v>0.06</v>
      </c>
      <c r="S85" s="23">
        <f t="shared" si="24"/>
        <v>3.3000000000000002E-2</v>
      </c>
      <c r="T85" s="23">
        <f t="shared" si="24"/>
        <v>6.6000000000000003E-2</v>
      </c>
      <c r="U85" s="23">
        <f t="shared" si="24"/>
        <v>3.6999999999999998E-2</v>
      </c>
      <c r="V85" s="24">
        <f t="shared" si="5"/>
        <v>7.1102602504163909E-3</v>
      </c>
      <c r="W85" s="24">
        <f t="shared" si="6"/>
        <v>8.0000000000000002E-3</v>
      </c>
      <c r="X85" s="24">
        <f t="shared" si="7"/>
        <v>5.93607107888631E-3</v>
      </c>
      <c r="Y85" s="24">
        <f t="shared" si="8"/>
        <v>9.4999999999999998E-3</v>
      </c>
      <c r="Z85" s="24">
        <f t="shared" si="9"/>
        <v>1.0999999999999999E-2</v>
      </c>
      <c r="AA85" s="3">
        <f ca="1">IFERROR(__xludf.DUMMYFUNCTION("AVERAGE.WEIGHTED(B85:C85,$AF85:$AG85)"),0.00789720399252817)</f>
        <v>7.8972039925281692E-3</v>
      </c>
      <c r="AB85" s="3">
        <f ca="1">IFERROR(__xludf.DUMMYFUNCTION("AVERAGE.WEIGHTED(D85:E85,$AH85:$AI85)"),0.0083662601105386)</f>
        <v>8.3662601105385995E-3</v>
      </c>
      <c r="AC85" s="3">
        <f ca="1">IFERROR(__xludf.DUMMYFUNCTION("AVERAGE.WEIGHTED(F85:G85,$AJ85:$AK85)"),0.00883783940192658)</f>
        <v>8.8378394019265807E-3</v>
      </c>
      <c r="AD85" s="3" t="str">
        <f ca="1">IFERROR(__xludf.DUMMYFUNCTION("AVERAGE.WEIGHTED(H85:I85,$AA$25:$AB$25)"),"#VALUE!")</f>
        <v>#VALUE!</v>
      </c>
      <c r="AE85" s="3" t="str">
        <f ca="1">IFERROR(__xludf.DUMMYFUNCTION("AVERAGE.WEIGHTED(J85:K85,$AA$25:$AB$25)"),"#VALUE!")</f>
        <v>#VALUE!</v>
      </c>
      <c r="AF85" s="169">
        <v>0.47430099813204402</v>
      </c>
      <c r="AG85" s="3">
        <f t="shared" si="10"/>
        <v>0.52569900186795593</v>
      </c>
      <c r="AH85" s="169">
        <v>0.47325202210772099</v>
      </c>
      <c r="AI85" s="3">
        <f t="shared" si="11"/>
        <v>0.52674797789227901</v>
      </c>
      <c r="AJ85" s="169">
        <v>0.472973233654431</v>
      </c>
      <c r="AK85" s="3">
        <f t="shared" si="12"/>
        <v>0.527026766345569</v>
      </c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</row>
    <row r="86" spans="1:56" ht="15" x14ac:dyDescent="0.25">
      <c r="A86" s="1">
        <v>58</v>
      </c>
      <c r="B86" s="23">
        <f t="shared" si="24"/>
        <v>8.2629236691203096E-3</v>
      </c>
      <c r="C86" s="23">
        <f t="shared" si="24"/>
        <v>5.9575968317124714E-3</v>
      </c>
      <c r="D86" s="23">
        <f t="shared" si="24"/>
        <v>7.7999999999999996E-3</v>
      </c>
      <c r="E86" s="23">
        <f t="shared" si="24"/>
        <v>8.2000000000000007E-3</v>
      </c>
      <c r="F86" s="23">
        <f t="shared" si="24"/>
        <v>5.87214215777262E-3</v>
      </c>
      <c r="G86" s="23">
        <f t="shared" si="24"/>
        <v>6.0000000000000001E-3</v>
      </c>
      <c r="H86" s="23">
        <f t="shared" si="24"/>
        <v>1.2E-2</v>
      </c>
      <c r="I86" s="23">
        <f t="shared" si="24"/>
        <v>7.0000000000000001E-3</v>
      </c>
      <c r="J86" s="23">
        <f t="shared" si="24"/>
        <v>1.4E-2</v>
      </c>
      <c r="K86" s="23">
        <f t="shared" si="24"/>
        <v>8.0000000000000002E-3</v>
      </c>
      <c r="L86" s="23">
        <f t="shared" si="24"/>
        <v>0.05</v>
      </c>
      <c r="M86" s="23">
        <f t="shared" si="24"/>
        <v>2.8000000000000001E-2</v>
      </c>
      <c r="N86" s="23">
        <f t="shared" si="24"/>
        <v>5.3999999999999999E-2</v>
      </c>
      <c r="O86" s="23">
        <f t="shared" si="24"/>
        <v>0.03</v>
      </c>
      <c r="P86" s="23">
        <f t="shared" si="24"/>
        <v>5.7000000000000002E-2</v>
      </c>
      <c r="Q86" s="23">
        <f t="shared" si="24"/>
        <v>3.1E-2</v>
      </c>
      <c r="R86" s="23">
        <f t="shared" si="24"/>
        <v>0.06</v>
      </c>
      <c r="S86" s="23">
        <f t="shared" si="24"/>
        <v>3.3000000000000002E-2</v>
      </c>
      <c r="T86" s="23">
        <f t="shared" si="24"/>
        <v>6.6000000000000003E-2</v>
      </c>
      <c r="U86" s="23">
        <f t="shared" si="24"/>
        <v>3.6999999999999998E-2</v>
      </c>
      <c r="V86" s="24">
        <f t="shared" si="5"/>
        <v>7.1102602504163909E-3</v>
      </c>
      <c r="W86" s="24">
        <f t="shared" si="6"/>
        <v>8.0000000000000002E-3</v>
      </c>
      <c r="X86" s="24">
        <f t="shared" si="7"/>
        <v>5.93607107888631E-3</v>
      </c>
      <c r="Y86" s="24">
        <f t="shared" si="8"/>
        <v>9.4999999999999998E-3</v>
      </c>
      <c r="Z86" s="24">
        <f t="shared" si="9"/>
        <v>1.0999999999999999E-2</v>
      </c>
      <c r="AA86" s="3">
        <f ca="1">IFERROR(__xludf.DUMMYFUNCTION("AVERAGE.WEIGHTED(B86:C86,$AF86:$AG86)"),0.00789031869690624)</f>
        <v>7.8903186969062396E-3</v>
      </c>
      <c r="AB86" s="3">
        <f ca="1">IFERROR(__xludf.DUMMYFUNCTION("AVERAGE.WEIGHTED(D86:E86,$AH86:$AI86)"),0.00835788509500027)</f>
        <v>8.3578850950002705E-3</v>
      </c>
      <c r="AC86" s="3">
        <f ca="1">IFERROR(__xludf.DUMMYFUNCTION("AVERAGE.WEIGHTED(F86:G86,$AJ86:$AK86)"),0.00882698800933527)</f>
        <v>8.8269880093352696E-3</v>
      </c>
      <c r="AD86" s="3" t="str">
        <f ca="1">IFERROR(__xludf.DUMMYFUNCTION("AVERAGE.WEIGHTED(H86:I86,$AA$25:$AB$25)"),"#VALUE!")</f>
        <v>#VALUE!</v>
      </c>
      <c r="AE86" s="3" t="str">
        <f ca="1">IFERROR(__xludf.DUMMYFUNCTION("AVERAGE.WEIGHTED(J86:K86,$AA$25:$AB$25)"),"#VALUE!")</f>
        <v>#VALUE!</v>
      </c>
      <c r="AF86" s="169">
        <v>0.47257967422656</v>
      </c>
      <c r="AG86" s="3">
        <f t="shared" si="10"/>
        <v>0.52742032577344</v>
      </c>
      <c r="AH86" s="169">
        <v>0.471577019000055</v>
      </c>
      <c r="AI86" s="3">
        <f t="shared" si="11"/>
        <v>0.528422980999945</v>
      </c>
      <c r="AJ86" s="169">
        <v>0.47116466822254599</v>
      </c>
      <c r="AK86" s="3">
        <f t="shared" si="12"/>
        <v>0.52883533177745401</v>
      </c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</row>
    <row r="87" spans="1:56" ht="15" x14ac:dyDescent="0.25">
      <c r="A87" s="1">
        <v>59</v>
      </c>
      <c r="B87" s="23">
        <f t="shared" si="24"/>
        <v>8.2629236691203096E-3</v>
      </c>
      <c r="C87" s="23">
        <f t="shared" si="24"/>
        <v>5.9575968317124714E-3</v>
      </c>
      <c r="D87" s="23">
        <f t="shared" si="24"/>
        <v>7.7999999999999996E-3</v>
      </c>
      <c r="E87" s="23">
        <f t="shared" si="24"/>
        <v>8.2000000000000007E-3</v>
      </c>
      <c r="F87" s="23">
        <f t="shared" si="24"/>
        <v>5.87214215777262E-3</v>
      </c>
      <c r="G87" s="23">
        <f t="shared" si="24"/>
        <v>6.0000000000000001E-3</v>
      </c>
      <c r="H87" s="23">
        <f t="shared" si="24"/>
        <v>1.2E-2</v>
      </c>
      <c r="I87" s="23">
        <f t="shared" si="24"/>
        <v>7.0000000000000001E-3</v>
      </c>
      <c r="J87" s="23">
        <f t="shared" si="24"/>
        <v>1.4E-2</v>
      </c>
      <c r="K87" s="23">
        <f t="shared" si="24"/>
        <v>8.0000000000000002E-3</v>
      </c>
      <c r="L87" s="23">
        <f t="shared" si="24"/>
        <v>0.05</v>
      </c>
      <c r="M87" s="23">
        <f t="shared" si="24"/>
        <v>2.8000000000000001E-2</v>
      </c>
      <c r="N87" s="23">
        <f t="shared" si="24"/>
        <v>5.3999999999999999E-2</v>
      </c>
      <c r="O87" s="23">
        <f t="shared" si="24"/>
        <v>0.03</v>
      </c>
      <c r="P87" s="23">
        <f t="shared" si="24"/>
        <v>5.7000000000000002E-2</v>
      </c>
      <c r="Q87" s="23">
        <f t="shared" si="24"/>
        <v>3.1E-2</v>
      </c>
      <c r="R87" s="23">
        <f t="shared" si="24"/>
        <v>0.06</v>
      </c>
      <c r="S87" s="23">
        <f t="shared" si="24"/>
        <v>3.3000000000000002E-2</v>
      </c>
      <c r="T87" s="23">
        <f t="shared" si="24"/>
        <v>6.6000000000000003E-2</v>
      </c>
      <c r="U87" s="23">
        <f t="shared" si="24"/>
        <v>3.6999999999999998E-2</v>
      </c>
      <c r="V87" s="24">
        <f t="shared" si="5"/>
        <v>7.1102602504163909E-3</v>
      </c>
      <c r="W87" s="24">
        <f t="shared" si="6"/>
        <v>8.0000000000000002E-3</v>
      </c>
      <c r="X87" s="24">
        <f t="shared" si="7"/>
        <v>5.93607107888631E-3</v>
      </c>
      <c r="Y87" s="24">
        <f t="shared" si="8"/>
        <v>9.4999999999999998E-3</v>
      </c>
      <c r="Z87" s="24">
        <f t="shared" si="9"/>
        <v>1.0999999999999999E-2</v>
      </c>
      <c r="AA87" s="3">
        <f ca="1">IFERROR(__xludf.DUMMYFUNCTION("AVERAGE.WEIGHTED(B87:C87,$AF87:$AG87)"),0.00788289101963464)</f>
        <v>7.8828910196346406E-3</v>
      </c>
      <c r="AB87" s="3">
        <f ca="1">IFERROR(__xludf.DUMMYFUNCTION("AVERAGE.WEIGHTED(D87:E87,$AH87:$AI87)"),0.00834939771977803)</f>
        <v>8.3493977197780303E-3</v>
      </c>
      <c r="AC87" s="3">
        <f ca="1">IFERROR(__xludf.DUMMYFUNCTION("AVERAGE.WEIGHTED(F87:G87,$AJ87:$AK87)"),0.00881471153986689)</f>
        <v>8.8147115398668902E-3</v>
      </c>
      <c r="AD87" s="3" t="str">
        <f ca="1">IFERROR(__xludf.DUMMYFUNCTION("AVERAGE.WEIGHTED(H87:I87,$AA$25:$AB$25)"),"#VALUE!")</f>
        <v>#VALUE!</v>
      </c>
      <c r="AE87" s="3" t="str">
        <f ca="1">IFERROR(__xludf.DUMMYFUNCTION("AVERAGE.WEIGHTED(J87:K87,$AA$25:$AB$25)"),"#VALUE!")</f>
        <v>#VALUE!</v>
      </c>
      <c r="AF87" s="169">
        <v>0.470722754908661</v>
      </c>
      <c r="AG87" s="3">
        <f t="shared" si="10"/>
        <v>0.529277245091339</v>
      </c>
      <c r="AH87" s="169">
        <v>0.46987954395560699</v>
      </c>
      <c r="AI87" s="3">
        <f t="shared" si="11"/>
        <v>0.53012045604439306</v>
      </c>
      <c r="AJ87" s="169">
        <v>0.46911858997781603</v>
      </c>
      <c r="AK87" s="3">
        <f t="shared" si="12"/>
        <v>0.53088141002218392</v>
      </c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</row>
    <row r="88" spans="1:56" ht="15" x14ac:dyDescent="0.25">
      <c r="A88" s="1">
        <v>60</v>
      </c>
      <c r="B88" s="23">
        <f t="shared" ref="B88:U92" si="25">B$18</f>
        <v>1.20921867957624E-2</v>
      </c>
      <c r="C88" s="23">
        <f t="shared" si="25"/>
        <v>9.0893337626867677E-3</v>
      </c>
      <c r="D88" s="23">
        <f t="shared" si="25"/>
        <v>1.1600000000000001E-2</v>
      </c>
      <c r="E88" s="23">
        <f t="shared" si="25"/>
        <v>1.2E-2</v>
      </c>
      <c r="F88" s="23">
        <f t="shared" si="25"/>
        <v>9.0959459230860098E-3</v>
      </c>
      <c r="G88" s="23">
        <f t="shared" si="25"/>
        <v>0.01</v>
      </c>
      <c r="H88" s="23">
        <f t="shared" si="25"/>
        <v>1.7999999999999999E-2</v>
      </c>
      <c r="I88" s="23">
        <f t="shared" si="25"/>
        <v>0.01</v>
      </c>
      <c r="J88" s="23">
        <f t="shared" si="25"/>
        <v>0.02</v>
      </c>
      <c r="K88" s="23">
        <f t="shared" si="25"/>
        <v>1.2E-2</v>
      </c>
      <c r="L88" s="23">
        <f t="shared" si="25"/>
        <v>7.4999999999999997E-2</v>
      </c>
      <c r="M88" s="23">
        <f t="shared" si="25"/>
        <v>4.2999999999999997E-2</v>
      </c>
      <c r="N88" s="23">
        <f t="shared" si="25"/>
        <v>7.5999999999999998E-2</v>
      </c>
      <c r="O88" s="23">
        <f t="shared" si="25"/>
        <v>4.3999999999999997E-2</v>
      </c>
      <c r="P88" s="23">
        <f t="shared" si="25"/>
        <v>8.2000000000000003E-2</v>
      </c>
      <c r="Q88" s="23">
        <f t="shared" si="25"/>
        <v>4.7E-2</v>
      </c>
      <c r="R88" s="23">
        <f t="shared" si="25"/>
        <v>8.5999999999999993E-2</v>
      </c>
      <c r="S88" s="23">
        <f t="shared" si="25"/>
        <v>0.05</v>
      </c>
      <c r="T88" s="23">
        <f t="shared" si="25"/>
        <v>9.4E-2</v>
      </c>
      <c r="U88" s="23">
        <f t="shared" si="25"/>
        <v>5.7000000000000002E-2</v>
      </c>
      <c r="V88" s="24">
        <f t="shared" si="5"/>
        <v>1.0590760279224584E-2</v>
      </c>
      <c r="W88" s="24">
        <f t="shared" si="6"/>
        <v>1.1800000000000001E-2</v>
      </c>
      <c r="X88" s="24">
        <f t="shared" si="7"/>
        <v>9.547972961543005E-3</v>
      </c>
      <c r="Y88" s="24">
        <f t="shared" si="8"/>
        <v>1.3999999999999999E-2</v>
      </c>
      <c r="Z88" s="24">
        <f t="shared" si="9"/>
        <v>1.6E-2</v>
      </c>
      <c r="AA88" s="3">
        <f ca="1">IFERROR(__xludf.DUMMYFUNCTION("AVERAGE.WEIGHTED(B88:C88,$AF88:$AG88)"),0.0122809018685801)</f>
        <v>1.2280901868580101E-2</v>
      </c>
      <c r="AB88" s="3">
        <f ca="1">IFERROR(__xludf.DUMMYFUNCTION("AVERAGE.WEIGHTED(D88:E88,$AH88:$AI88)"),0.0122766712072912)</f>
        <v>1.2276671207291199E-2</v>
      </c>
      <c r="AC88" s="3">
        <f ca="1">IFERROR(__xludf.DUMMYFUNCTION("AVERAGE.WEIGHTED(F88:G88,$AJ88:$AK88)"),0.0132720983577572)</f>
        <v>1.32720983577572E-2</v>
      </c>
      <c r="AD88" s="3" t="str">
        <f ca="1">IFERROR(__xludf.DUMMYFUNCTION("AVERAGE.WEIGHTED(H88:I88,$AA$25:$AB$25)"),"#VALUE!")</f>
        <v>#VALUE!</v>
      </c>
      <c r="AE88" s="3" t="str">
        <f ca="1">IFERROR(__xludf.DUMMYFUNCTION("AVERAGE.WEIGHTED(J88:K88,$AA$25:$AB$25)"),"#VALUE!")</f>
        <v>#VALUE!</v>
      </c>
      <c r="AF88" s="169">
        <v>0.46870026694001998</v>
      </c>
      <c r="AG88" s="3">
        <f t="shared" si="10"/>
        <v>0.53129973305998002</v>
      </c>
      <c r="AH88" s="169">
        <v>0.46809588675588798</v>
      </c>
      <c r="AI88" s="3">
        <f t="shared" si="11"/>
        <v>0.53190411324411202</v>
      </c>
      <c r="AJ88" s="169">
        <v>0.46744262253675201</v>
      </c>
      <c r="AK88" s="3">
        <f t="shared" si="12"/>
        <v>0.53255737746324794</v>
      </c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</row>
    <row r="89" spans="1:56" ht="15" x14ac:dyDescent="0.25">
      <c r="A89" s="1">
        <v>61</v>
      </c>
      <c r="B89" s="23">
        <f t="shared" si="25"/>
        <v>1.20921867957624E-2</v>
      </c>
      <c r="C89" s="23">
        <f t="shared" si="25"/>
        <v>9.0893337626867677E-3</v>
      </c>
      <c r="D89" s="23">
        <f t="shared" si="25"/>
        <v>1.1600000000000001E-2</v>
      </c>
      <c r="E89" s="23">
        <f t="shared" si="25"/>
        <v>1.2E-2</v>
      </c>
      <c r="F89" s="23">
        <f t="shared" si="25"/>
        <v>9.0959459230860098E-3</v>
      </c>
      <c r="G89" s="23">
        <f t="shared" si="25"/>
        <v>0.01</v>
      </c>
      <c r="H89" s="23">
        <f t="shared" si="25"/>
        <v>1.7999999999999999E-2</v>
      </c>
      <c r="I89" s="23">
        <f t="shared" si="25"/>
        <v>0.01</v>
      </c>
      <c r="J89" s="23">
        <f t="shared" si="25"/>
        <v>0.02</v>
      </c>
      <c r="K89" s="23">
        <f t="shared" si="25"/>
        <v>1.2E-2</v>
      </c>
      <c r="L89" s="23">
        <f t="shared" si="25"/>
        <v>7.4999999999999997E-2</v>
      </c>
      <c r="M89" s="23">
        <f t="shared" si="25"/>
        <v>4.2999999999999997E-2</v>
      </c>
      <c r="N89" s="23">
        <f t="shared" si="25"/>
        <v>7.5999999999999998E-2</v>
      </c>
      <c r="O89" s="23">
        <f t="shared" si="25"/>
        <v>4.3999999999999997E-2</v>
      </c>
      <c r="P89" s="23">
        <f t="shared" si="25"/>
        <v>8.2000000000000003E-2</v>
      </c>
      <c r="Q89" s="23">
        <f t="shared" si="25"/>
        <v>4.7E-2</v>
      </c>
      <c r="R89" s="23">
        <f t="shared" si="25"/>
        <v>8.5999999999999993E-2</v>
      </c>
      <c r="S89" s="23">
        <f t="shared" si="25"/>
        <v>0.05</v>
      </c>
      <c r="T89" s="23">
        <f t="shared" si="25"/>
        <v>9.4E-2</v>
      </c>
      <c r="U89" s="23">
        <f t="shared" si="25"/>
        <v>5.7000000000000002E-2</v>
      </c>
      <c r="V89" s="24">
        <f t="shared" si="5"/>
        <v>1.0590760279224584E-2</v>
      </c>
      <c r="W89" s="24">
        <f t="shared" si="6"/>
        <v>1.1800000000000001E-2</v>
      </c>
      <c r="X89" s="24">
        <f t="shared" si="7"/>
        <v>9.547972961543005E-3</v>
      </c>
      <c r="Y89" s="24">
        <f t="shared" si="8"/>
        <v>1.3999999999999999E-2</v>
      </c>
      <c r="Z89" s="24">
        <f t="shared" si="9"/>
        <v>1.6E-2</v>
      </c>
      <c r="AA89" s="3">
        <f ca="1">IFERROR(__xludf.DUMMYFUNCTION("AVERAGE.WEIGHTED(B89:C89,$AF89:$AG89)"),0.0122658924615007)</f>
        <v>1.2265892461500699E-2</v>
      </c>
      <c r="AB89" s="3">
        <f ca="1">IFERROR(__xludf.DUMMYFUNCTION("AVERAGE.WEIGHTED(D89:E89,$AH89:$AI89)"),0.0122638111600103)</f>
        <v>1.22638111600103E-2</v>
      </c>
      <c r="AC89" s="3">
        <f ca="1">IFERROR(__xludf.DUMMYFUNCTION("AVERAGE.WEIGHTED(F89:G89,$AJ89:$AK89)"),0.0132649265979563)</f>
        <v>1.3264926597956301E-2</v>
      </c>
      <c r="AD89" s="3" t="str">
        <f ca="1">IFERROR(__xludf.DUMMYFUNCTION("AVERAGE.WEIGHTED(H89:I89,$AA$25:$AB$25)"),"#VALUE!")</f>
        <v>#VALUE!</v>
      </c>
      <c r="AE89" s="3" t="str">
        <f ca="1">IFERROR(__xludf.DUMMYFUNCTION("AVERAGE.WEIGHTED(J89:K89,$AA$25:$AB$25)"),"#VALUE!")</f>
        <v>#VALUE!</v>
      </c>
      <c r="AF89" s="169">
        <v>0.46655606592867999</v>
      </c>
      <c r="AG89" s="3">
        <f t="shared" si="10"/>
        <v>0.53344393407131996</v>
      </c>
      <c r="AH89" s="169">
        <v>0.46625873714433602</v>
      </c>
      <c r="AI89" s="3">
        <f t="shared" si="11"/>
        <v>0.53374126285566392</v>
      </c>
      <c r="AJ89" s="169">
        <v>0.46641808542232999</v>
      </c>
      <c r="AK89" s="3">
        <f t="shared" si="12"/>
        <v>0.53358191457767001</v>
      </c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</row>
    <row r="90" spans="1:56" ht="15" x14ac:dyDescent="0.25">
      <c r="A90" s="1">
        <v>62</v>
      </c>
      <c r="B90" s="23">
        <f t="shared" si="25"/>
        <v>1.20921867957624E-2</v>
      </c>
      <c r="C90" s="23">
        <f t="shared" si="25"/>
        <v>9.0893337626867677E-3</v>
      </c>
      <c r="D90" s="23">
        <f t="shared" si="25"/>
        <v>1.1600000000000001E-2</v>
      </c>
      <c r="E90" s="23">
        <f t="shared" si="25"/>
        <v>1.2E-2</v>
      </c>
      <c r="F90" s="23">
        <f t="shared" si="25"/>
        <v>9.0959459230860098E-3</v>
      </c>
      <c r="G90" s="23">
        <f t="shared" si="25"/>
        <v>0.01</v>
      </c>
      <c r="H90" s="23">
        <f t="shared" si="25"/>
        <v>1.7999999999999999E-2</v>
      </c>
      <c r="I90" s="23">
        <f t="shared" si="25"/>
        <v>0.01</v>
      </c>
      <c r="J90" s="23">
        <f t="shared" si="25"/>
        <v>0.02</v>
      </c>
      <c r="K90" s="23">
        <f t="shared" si="25"/>
        <v>1.2E-2</v>
      </c>
      <c r="L90" s="23">
        <f t="shared" si="25"/>
        <v>7.4999999999999997E-2</v>
      </c>
      <c r="M90" s="23">
        <f t="shared" si="25"/>
        <v>4.2999999999999997E-2</v>
      </c>
      <c r="N90" s="23">
        <f t="shared" si="25"/>
        <v>7.5999999999999998E-2</v>
      </c>
      <c r="O90" s="23">
        <f t="shared" si="25"/>
        <v>4.3999999999999997E-2</v>
      </c>
      <c r="P90" s="23">
        <f t="shared" si="25"/>
        <v>8.2000000000000003E-2</v>
      </c>
      <c r="Q90" s="23">
        <f t="shared" si="25"/>
        <v>4.7E-2</v>
      </c>
      <c r="R90" s="23">
        <f t="shared" si="25"/>
        <v>8.5999999999999993E-2</v>
      </c>
      <c r="S90" s="23">
        <f t="shared" si="25"/>
        <v>0.05</v>
      </c>
      <c r="T90" s="23">
        <f t="shared" si="25"/>
        <v>9.4E-2</v>
      </c>
      <c r="U90" s="23">
        <f t="shared" si="25"/>
        <v>5.7000000000000002E-2</v>
      </c>
      <c r="V90" s="24">
        <f t="shared" si="5"/>
        <v>1.0590760279224584E-2</v>
      </c>
      <c r="W90" s="24">
        <f t="shared" si="6"/>
        <v>1.1800000000000001E-2</v>
      </c>
      <c r="X90" s="24">
        <f t="shared" si="7"/>
        <v>9.547972961543005E-3</v>
      </c>
      <c r="Y90" s="24">
        <f t="shared" si="8"/>
        <v>1.3999999999999999E-2</v>
      </c>
      <c r="Z90" s="24">
        <f t="shared" si="9"/>
        <v>1.6E-2</v>
      </c>
      <c r="AA90" s="3">
        <f ca="1">IFERROR(__xludf.DUMMYFUNCTION("AVERAGE.WEIGHTED(B90:C90,$AF90:$AG90)"),0.0122503646052672)</f>
        <v>1.2250364605267201E-2</v>
      </c>
      <c r="AB90" s="3">
        <f ca="1">IFERROR(__xludf.DUMMYFUNCTION("AVERAGE.WEIGHTED(D90:E90,$AH90:$AI90)"),0.0122495709741844)</f>
        <v>1.2249570974184399E-2</v>
      </c>
      <c r="AC90" s="3">
        <f ca="1">IFERROR(__xludf.DUMMYFUNCTION("AVERAGE.WEIGHTED(F90:G90,$AJ90:$AK90)"),0.0132567387582146)</f>
        <v>1.3256738758214599E-2</v>
      </c>
      <c r="AD90" s="3" t="str">
        <f ca="1">IFERROR(__xludf.DUMMYFUNCTION("AVERAGE.WEIGHTED(H90:I90,$AA$25:$AB$25)"),"#VALUE!")</f>
        <v>#VALUE!</v>
      </c>
      <c r="AE90" s="3" t="str">
        <f ca="1">IFERROR(__xludf.DUMMYFUNCTION("AVERAGE.WEIGHTED(J90:K90,$AA$25:$AB$25)"),"#VALUE!")</f>
        <v>#VALUE!</v>
      </c>
      <c r="AF90" s="169">
        <v>0.464337800752464</v>
      </c>
      <c r="AG90" s="3">
        <f t="shared" si="10"/>
        <v>0.535662199247536</v>
      </c>
      <c r="AH90" s="169">
        <v>0.46422442488349702</v>
      </c>
      <c r="AI90" s="3">
        <f t="shared" si="11"/>
        <v>0.53577557511650298</v>
      </c>
      <c r="AJ90" s="169">
        <v>0.46524839403065998</v>
      </c>
      <c r="AK90" s="3">
        <f t="shared" si="12"/>
        <v>0.53475160596934002</v>
      </c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</row>
    <row r="91" spans="1:56" ht="15" x14ac:dyDescent="0.25">
      <c r="A91" s="1">
        <v>63</v>
      </c>
      <c r="B91" s="23">
        <f t="shared" si="25"/>
        <v>1.20921867957624E-2</v>
      </c>
      <c r="C91" s="23">
        <f t="shared" si="25"/>
        <v>9.0893337626867677E-3</v>
      </c>
      <c r="D91" s="23">
        <f t="shared" si="25"/>
        <v>1.1600000000000001E-2</v>
      </c>
      <c r="E91" s="23">
        <f t="shared" si="25"/>
        <v>1.2E-2</v>
      </c>
      <c r="F91" s="23">
        <f t="shared" si="25"/>
        <v>9.0959459230860098E-3</v>
      </c>
      <c r="G91" s="23">
        <f t="shared" si="25"/>
        <v>0.01</v>
      </c>
      <c r="H91" s="23">
        <f t="shared" si="25"/>
        <v>1.7999999999999999E-2</v>
      </c>
      <c r="I91" s="23">
        <f t="shared" si="25"/>
        <v>0.01</v>
      </c>
      <c r="J91" s="23">
        <f t="shared" si="25"/>
        <v>0.02</v>
      </c>
      <c r="K91" s="23">
        <f t="shared" si="25"/>
        <v>1.2E-2</v>
      </c>
      <c r="L91" s="23">
        <f t="shared" si="25"/>
        <v>7.4999999999999997E-2</v>
      </c>
      <c r="M91" s="23">
        <f t="shared" si="25"/>
        <v>4.2999999999999997E-2</v>
      </c>
      <c r="N91" s="23">
        <f t="shared" si="25"/>
        <v>7.5999999999999998E-2</v>
      </c>
      <c r="O91" s="23">
        <f t="shared" si="25"/>
        <v>4.3999999999999997E-2</v>
      </c>
      <c r="P91" s="23">
        <f t="shared" si="25"/>
        <v>8.2000000000000003E-2</v>
      </c>
      <c r="Q91" s="23">
        <f t="shared" si="25"/>
        <v>4.7E-2</v>
      </c>
      <c r="R91" s="23">
        <f t="shared" si="25"/>
        <v>8.5999999999999993E-2</v>
      </c>
      <c r="S91" s="23">
        <f t="shared" si="25"/>
        <v>0.05</v>
      </c>
      <c r="T91" s="23">
        <f t="shared" si="25"/>
        <v>9.4E-2</v>
      </c>
      <c r="U91" s="23">
        <f t="shared" si="25"/>
        <v>5.7000000000000002E-2</v>
      </c>
      <c r="V91" s="24">
        <f t="shared" si="5"/>
        <v>1.0590760279224584E-2</v>
      </c>
      <c r="W91" s="24">
        <f t="shared" si="6"/>
        <v>1.1800000000000001E-2</v>
      </c>
      <c r="X91" s="24">
        <f t="shared" si="7"/>
        <v>9.547972961543005E-3</v>
      </c>
      <c r="Y91" s="24">
        <f t="shared" si="8"/>
        <v>1.3999999999999999E-2</v>
      </c>
      <c r="Z91" s="24">
        <f t="shared" si="9"/>
        <v>1.6E-2</v>
      </c>
      <c r="AA91" s="3">
        <f ca="1">IFERROR(__xludf.DUMMYFUNCTION("AVERAGE.WEIGHTED(B91:C91,$AF91:$AG91)"),0.0122344588783523)</f>
        <v>1.2234458878352301E-2</v>
      </c>
      <c r="AB91" s="3">
        <f ca="1">IFERROR(__xludf.DUMMYFUNCTION("AVERAGE.WEIGHTED(D91:E91,$AH91:$AI91)"),0.0122326240823533)</f>
        <v>1.22326240823533E-2</v>
      </c>
      <c r="AC91" s="3">
        <f ca="1">IFERROR(__xludf.DUMMYFUNCTION("AVERAGE.WEIGHTED(F91:G91,$AJ91:$AK91)"),0.0132435663918008)</f>
        <v>1.32435663918008E-2</v>
      </c>
      <c r="AD91" s="3" t="str">
        <f ca="1">IFERROR(__xludf.DUMMYFUNCTION("AVERAGE.WEIGHTED(H91:I91,$AA$25:$AB$25)"),"#VALUE!")</f>
        <v>#VALUE!</v>
      </c>
      <c r="AE91" s="3" t="str">
        <f ca="1">IFERROR(__xludf.DUMMYFUNCTION("AVERAGE.WEIGHTED(J91:K91,$AA$25:$AB$25)"),"#VALUE!")</f>
        <v>#VALUE!</v>
      </c>
      <c r="AF91" s="169">
        <v>0.46206555405033201</v>
      </c>
      <c r="AG91" s="3">
        <f t="shared" si="10"/>
        <v>0.53793444594966799</v>
      </c>
      <c r="AH91" s="169">
        <v>0.46180344033618698</v>
      </c>
      <c r="AI91" s="3">
        <f t="shared" si="11"/>
        <v>0.53819655966381297</v>
      </c>
      <c r="AJ91" s="169">
        <v>0.46336662740012602</v>
      </c>
      <c r="AK91" s="3">
        <f t="shared" si="12"/>
        <v>0.53663337259987398</v>
      </c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</row>
    <row r="92" spans="1:56" ht="15" x14ac:dyDescent="0.25">
      <c r="A92" s="1">
        <v>64</v>
      </c>
      <c r="B92" s="23">
        <f t="shared" si="25"/>
        <v>1.20921867957624E-2</v>
      </c>
      <c r="C92" s="23">
        <f t="shared" si="25"/>
        <v>9.0893337626867677E-3</v>
      </c>
      <c r="D92" s="23">
        <f t="shared" si="25"/>
        <v>1.1600000000000001E-2</v>
      </c>
      <c r="E92" s="23">
        <f t="shared" si="25"/>
        <v>1.2E-2</v>
      </c>
      <c r="F92" s="23">
        <f t="shared" si="25"/>
        <v>9.0959459230860098E-3</v>
      </c>
      <c r="G92" s="23">
        <f t="shared" si="25"/>
        <v>0.01</v>
      </c>
      <c r="H92" s="23">
        <f t="shared" si="25"/>
        <v>1.7999999999999999E-2</v>
      </c>
      <c r="I92" s="23">
        <f t="shared" si="25"/>
        <v>0.01</v>
      </c>
      <c r="J92" s="23">
        <f t="shared" si="25"/>
        <v>0.02</v>
      </c>
      <c r="K92" s="23">
        <f t="shared" si="25"/>
        <v>1.2E-2</v>
      </c>
      <c r="L92" s="23">
        <f t="shared" si="25"/>
        <v>7.4999999999999997E-2</v>
      </c>
      <c r="M92" s="23">
        <f t="shared" si="25"/>
        <v>4.2999999999999997E-2</v>
      </c>
      <c r="N92" s="23">
        <f t="shared" si="25"/>
        <v>7.5999999999999998E-2</v>
      </c>
      <c r="O92" s="23">
        <f t="shared" si="25"/>
        <v>4.3999999999999997E-2</v>
      </c>
      <c r="P92" s="23">
        <f t="shared" si="25"/>
        <v>8.2000000000000003E-2</v>
      </c>
      <c r="Q92" s="23">
        <f t="shared" si="25"/>
        <v>4.7E-2</v>
      </c>
      <c r="R92" s="23">
        <f t="shared" si="25"/>
        <v>8.5999999999999993E-2</v>
      </c>
      <c r="S92" s="23">
        <f t="shared" si="25"/>
        <v>0.05</v>
      </c>
      <c r="T92" s="23">
        <f t="shared" si="25"/>
        <v>9.4E-2</v>
      </c>
      <c r="U92" s="23">
        <f t="shared" si="25"/>
        <v>5.7000000000000002E-2</v>
      </c>
      <c r="V92" s="24">
        <f t="shared" si="5"/>
        <v>1.0590760279224584E-2</v>
      </c>
      <c r="W92" s="24">
        <f t="shared" si="6"/>
        <v>1.1800000000000001E-2</v>
      </c>
      <c r="X92" s="24">
        <f t="shared" si="7"/>
        <v>9.547972961543005E-3</v>
      </c>
      <c r="Y92" s="24">
        <f t="shared" si="8"/>
        <v>1.3999999999999999E-2</v>
      </c>
      <c r="Z92" s="24">
        <f t="shared" si="9"/>
        <v>1.6E-2</v>
      </c>
      <c r="AA92" s="3">
        <f ca="1">IFERROR(__xludf.DUMMYFUNCTION("AVERAGE.WEIGHTED(B92:C92,$AF92:$AG92)"),0.012217799302875)</f>
        <v>1.2217799302875001E-2</v>
      </c>
      <c r="AB92" s="3">
        <f ca="1">IFERROR(__xludf.DUMMYFUNCTION("AVERAGE.WEIGHTED(D92:E92,$AH92:$AI92)"),0.0122136535516861)</f>
        <v>1.2213653551686099E-2</v>
      </c>
      <c r="AC92" s="3">
        <f ca="1">IFERROR(__xludf.DUMMYFUNCTION("AVERAGE.WEIGHTED(F92:G92,$AJ92:$AK92)"),0.0132573786788384)</f>
        <v>1.3257378678838401E-2</v>
      </c>
      <c r="AD92" s="3" t="str">
        <f ca="1">IFERROR(__xludf.DUMMYFUNCTION("AVERAGE.WEIGHTED(H92:I92,$AA$25:$AB$25)"),"#VALUE!")</f>
        <v>#VALUE!</v>
      </c>
      <c r="AE92" s="3" t="str">
        <f ca="1">IFERROR(__xludf.DUMMYFUNCTION("AVERAGE.WEIGHTED(J92:K92,$AA$25:$AB$25)"),"#VALUE!")</f>
        <v>#VALUE!</v>
      </c>
      <c r="AF92" s="169">
        <v>0.45968561469642899</v>
      </c>
      <c r="AG92" s="3">
        <f t="shared" si="10"/>
        <v>0.54031438530357101</v>
      </c>
      <c r="AH92" s="169">
        <v>0.45909336452659799</v>
      </c>
      <c r="AI92" s="3">
        <f t="shared" si="11"/>
        <v>0.54090663547340201</v>
      </c>
      <c r="AJ92" s="169">
        <v>0.46533981126263602</v>
      </c>
      <c r="AK92" s="3">
        <f t="shared" si="12"/>
        <v>0.53466018873736398</v>
      </c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</row>
    <row r="93" spans="1:56" ht="15" x14ac:dyDescent="0.25">
      <c r="A93" s="1">
        <v>65</v>
      </c>
      <c r="B93" s="23">
        <f t="shared" ref="B93:U97" si="26">B$19</f>
        <v>1.7797088612383199E-2</v>
      </c>
      <c r="C93" s="23">
        <f t="shared" si="26"/>
        <v>1.374167145418091E-2</v>
      </c>
      <c r="D93" s="23">
        <f t="shared" si="26"/>
        <v>1.7000000000000001E-2</v>
      </c>
      <c r="E93" s="23">
        <f t="shared" si="26"/>
        <v>1.78E-2</v>
      </c>
      <c r="F93" s="23">
        <f t="shared" si="26"/>
        <v>1.49451647696129E-2</v>
      </c>
      <c r="G93" s="23">
        <f t="shared" si="26"/>
        <v>1.4999999999999999E-2</v>
      </c>
      <c r="H93" s="23">
        <f t="shared" si="26"/>
        <v>2.7E-2</v>
      </c>
      <c r="I93" s="23">
        <f t="shared" si="26"/>
        <v>1.6E-2</v>
      </c>
      <c r="J93" s="23">
        <f t="shared" si="26"/>
        <v>0.03</v>
      </c>
      <c r="K93" s="23">
        <f t="shared" si="26"/>
        <v>1.7999999999999999E-2</v>
      </c>
      <c r="L93" s="23">
        <f t="shared" si="26"/>
        <v>0.11</v>
      </c>
      <c r="M93" s="23">
        <f t="shared" si="26"/>
        <v>6.5000000000000002E-2</v>
      </c>
      <c r="N93" s="23">
        <f t="shared" si="26"/>
        <v>0.11</v>
      </c>
      <c r="O93" s="23">
        <f t="shared" si="26"/>
        <v>6.9000000000000006E-2</v>
      </c>
      <c r="P93" s="23">
        <f t="shared" si="26"/>
        <v>0.12</v>
      </c>
      <c r="Q93" s="23">
        <f t="shared" si="26"/>
        <v>7.3999999999999996E-2</v>
      </c>
      <c r="R93" s="23">
        <f t="shared" si="26"/>
        <v>0.12</v>
      </c>
      <c r="S93" s="23">
        <f t="shared" si="26"/>
        <v>7.6999999999999999E-2</v>
      </c>
      <c r="T93" s="23">
        <f t="shared" si="26"/>
        <v>0.14000000000000001</v>
      </c>
      <c r="U93" s="23">
        <f t="shared" si="26"/>
        <v>8.6999999999999994E-2</v>
      </c>
      <c r="V93" s="24">
        <f t="shared" si="5"/>
        <v>1.5769380033282054E-2</v>
      </c>
      <c r="W93" s="24">
        <f t="shared" si="6"/>
        <v>1.7399999999999999E-2</v>
      </c>
      <c r="X93" s="24">
        <f t="shared" si="7"/>
        <v>1.4972582384806449E-2</v>
      </c>
      <c r="Y93" s="24">
        <f t="shared" si="8"/>
        <v>2.1499999999999998E-2</v>
      </c>
      <c r="Z93" s="24">
        <f t="shared" si="9"/>
        <v>2.4E-2</v>
      </c>
      <c r="AA93" s="3">
        <f ca="1">IFERROR(__xludf.DUMMYFUNCTION("AVERAGE.WEIGHTED(B93:C93,$AF93:$AG93)"),0.0175723675829915)</f>
        <v>1.7572367582991501E-2</v>
      </c>
      <c r="AB93" s="3">
        <f ca="1">IFERROR(__xludf.DUMMYFUNCTION("AVERAGE.WEIGHTED(D93:E93,$AH93:$AI93)"),0.0185683155542407)</f>
        <v>1.85683155542407E-2</v>
      </c>
      <c r="AC93" s="3">
        <f ca="1">IFERROR(__xludf.DUMMYFUNCTION("AVERAGE.WEIGHTED(F93:G93,$AJ93:$AK93)"),0.0201465578066727)</f>
        <v>2.01465578066727E-2</v>
      </c>
      <c r="AD93" s="3" t="str">
        <f ca="1">IFERROR(__xludf.DUMMYFUNCTION("AVERAGE.WEIGHTED(H93:I93,$AA$25:$AB$25)"),"#VALUE!")</f>
        <v>#VALUE!</v>
      </c>
      <c r="AE93" s="3" t="str">
        <f ca="1">IFERROR(__xludf.DUMMYFUNCTION("AVERAGE.WEIGHTED(J93:K93,$AA$25:$AB$25)"),"#VALUE!")</f>
        <v>#VALUE!</v>
      </c>
      <c r="AF93" s="169">
        <v>0.457236758299152</v>
      </c>
      <c r="AG93" s="3">
        <f t="shared" si="10"/>
        <v>0.542763241700848</v>
      </c>
      <c r="AH93" s="169">
        <v>0.45683155542407899</v>
      </c>
      <c r="AI93" s="3">
        <f t="shared" si="11"/>
        <v>0.54316844457592106</v>
      </c>
      <c r="AJ93" s="169">
        <v>0.46786889151570099</v>
      </c>
      <c r="AK93" s="3">
        <f t="shared" si="12"/>
        <v>0.53213110848429901</v>
      </c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</row>
    <row r="94" spans="1:56" ht="15" x14ac:dyDescent="0.25">
      <c r="A94" s="1">
        <v>66</v>
      </c>
      <c r="B94" s="23">
        <f t="shared" si="26"/>
        <v>1.7797088612383199E-2</v>
      </c>
      <c r="C94" s="23">
        <f t="shared" si="26"/>
        <v>1.374167145418091E-2</v>
      </c>
      <c r="D94" s="23">
        <f t="shared" si="26"/>
        <v>1.7000000000000001E-2</v>
      </c>
      <c r="E94" s="23">
        <f t="shared" si="26"/>
        <v>1.78E-2</v>
      </c>
      <c r="F94" s="23">
        <f t="shared" si="26"/>
        <v>1.49451647696129E-2</v>
      </c>
      <c r="G94" s="23">
        <f t="shared" si="26"/>
        <v>1.4999999999999999E-2</v>
      </c>
      <c r="H94" s="23">
        <f t="shared" si="26"/>
        <v>2.7E-2</v>
      </c>
      <c r="I94" s="23">
        <f t="shared" si="26"/>
        <v>1.6E-2</v>
      </c>
      <c r="J94" s="23">
        <f t="shared" si="26"/>
        <v>0.03</v>
      </c>
      <c r="K94" s="23">
        <f t="shared" si="26"/>
        <v>1.7999999999999999E-2</v>
      </c>
      <c r="L94" s="23">
        <f t="shared" si="26"/>
        <v>0.11</v>
      </c>
      <c r="M94" s="23">
        <f t="shared" si="26"/>
        <v>6.5000000000000002E-2</v>
      </c>
      <c r="N94" s="23">
        <f t="shared" si="26"/>
        <v>0.11</v>
      </c>
      <c r="O94" s="23">
        <f t="shared" si="26"/>
        <v>6.9000000000000006E-2</v>
      </c>
      <c r="P94" s="23">
        <f t="shared" si="26"/>
        <v>0.12</v>
      </c>
      <c r="Q94" s="23">
        <f t="shared" si="26"/>
        <v>7.3999999999999996E-2</v>
      </c>
      <c r="R94" s="23">
        <f t="shared" si="26"/>
        <v>0.12</v>
      </c>
      <c r="S94" s="23">
        <f t="shared" si="26"/>
        <v>7.6999999999999999E-2</v>
      </c>
      <c r="T94" s="23">
        <f t="shared" si="26"/>
        <v>0.14000000000000001</v>
      </c>
      <c r="U94" s="23">
        <f t="shared" si="26"/>
        <v>8.6999999999999994E-2</v>
      </c>
      <c r="V94" s="24">
        <f t="shared" si="5"/>
        <v>1.5769380033282054E-2</v>
      </c>
      <c r="W94" s="24">
        <f t="shared" si="6"/>
        <v>1.7399999999999999E-2</v>
      </c>
      <c r="X94" s="24">
        <f t="shared" si="7"/>
        <v>1.4972582384806449E-2</v>
      </c>
      <c r="Y94" s="24">
        <f t="shared" si="8"/>
        <v>2.1499999999999998E-2</v>
      </c>
      <c r="Z94" s="24">
        <f t="shared" si="9"/>
        <v>2.4E-2</v>
      </c>
      <c r="AA94" s="3">
        <f ca="1">IFERROR(__xludf.DUMMYFUNCTION("AVERAGE.WEIGHTED(B94:C94,$AF94:$AG94)"),0.0175457971712434)</f>
        <v>1.75457971712434E-2</v>
      </c>
      <c r="AB94" s="3">
        <f ca="1">IFERROR(__xludf.DUMMYFUNCTION("AVERAGE.WEIGHTED(D94:E94,$AH94:$AI94)"),0.0185538830715532)</f>
        <v>1.8553883071553201E-2</v>
      </c>
      <c r="AC94" s="3">
        <f ca="1">IFERROR(__xludf.DUMMYFUNCTION("AVERAGE.WEIGHTED(F94:G94,$AJ94:$AK94)"),0.0201295101169013)</f>
        <v>2.0129510116901301E-2</v>
      </c>
      <c r="AD94" s="3" t="str">
        <f ca="1">IFERROR(__xludf.DUMMYFUNCTION("AVERAGE.WEIGHTED(H94:I94,$AA$25:$AB$25)"),"#VALUE!")</f>
        <v>#VALUE!</v>
      </c>
      <c r="AE94" s="3" t="str">
        <f ca="1">IFERROR(__xludf.DUMMYFUNCTION("AVERAGE.WEIGHTED(J94:K94,$AA$25:$AB$25)"),"#VALUE!")</f>
        <v>#VALUE!</v>
      </c>
      <c r="AF94" s="169">
        <v>0.45457971712434198</v>
      </c>
      <c r="AG94" s="3">
        <f t="shared" si="10"/>
        <v>0.54542028287565802</v>
      </c>
      <c r="AH94" s="169">
        <v>0.45538830715532302</v>
      </c>
      <c r="AI94" s="3">
        <f t="shared" si="11"/>
        <v>0.54461169284467692</v>
      </c>
      <c r="AJ94" s="169">
        <v>0.46631910153648298</v>
      </c>
      <c r="AK94" s="3">
        <f t="shared" si="12"/>
        <v>0.53368089846351707</v>
      </c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</row>
    <row r="95" spans="1:56" ht="15" x14ac:dyDescent="0.25">
      <c r="A95" s="1">
        <v>67</v>
      </c>
      <c r="B95" s="23">
        <f t="shared" si="26"/>
        <v>1.7797088612383199E-2</v>
      </c>
      <c r="C95" s="23">
        <f t="shared" si="26"/>
        <v>1.374167145418091E-2</v>
      </c>
      <c r="D95" s="23">
        <f t="shared" si="26"/>
        <v>1.7000000000000001E-2</v>
      </c>
      <c r="E95" s="23">
        <f t="shared" si="26"/>
        <v>1.78E-2</v>
      </c>
      <c r="F95" s="23">
        <f t="shared" si="26"/>
        <v>1.49451647696129E-2</v>
      </c>
      <c r="G95" s="23">
        <f t="shared" si="26"/>
        <v>1.4999999999999999E-2</v>
      </c>
      <c r="H95" s="23">
        <f t="shared" si="26"/>
        <v>2.7E-2</v>
      </c>
      <c r="I95" s="23">
        <f t="shared" si="26"/>
        <v>1.6E-2</v>
      </c>
      <c r="J95" s="23">
        <f t="shared" si="26"/>
        <v>0.03</v>
      </c>
      <c r="K95" s="23">
        <f t="shared" si="26"/>
        <v>1.7999999999999999E-2</v>
      </c>
      <c r="L95" s="23">
        <f t="shared" si="26"/>
        <v>0.11</v>
      </c>
      <c r="M95" s="23">
        <f t="shared" si="26"/>
        <v>6.5000000000000002E-2</v>
      </c>
      <c r="N95" s="23">
        <f t="shared" si="26"/>
        <v>0.11</v>
      </c>
      <c r="O95" s="23">
        <f t="shared" si="26"/>
        <v>6.9000000000000006E-2</v>
      </c>
      <c r="P95" s="23">
        <f t="shared" si="26"/>
        <v>0.12</v>
      </c>
      <c r="Q95" s="23">
        <f t="shared" si="26"/>
        <v>7.3999999999999996E-2</v>
      </c>
      <c r="R95" s="23">
        <f t="shared" si="26"/>
        <v>0.12</v>
      </c>
      <c r="S95" s="23">
        <f t="shared" si="26"/>
        <v>7.6999999999999999E-2</v>
      </c>
      <c r="T95" s="23">
        <f t="shared" si="26"/>
        <v>0.14000000000000001</v>
      </c>
      <c r="U95" s="23">
        <f t="shared" si="26"/>
        <v>8.6999999999999994E-2</v>
      </c>
      <c r="V95" s="24">
        <f t="shared" si="5"/>
        <v>1.5769380033282054E-2</v>
      </c>
      <c r="W95" s="24">
        <f t="shared" si="6"/>
        <v>1.7399999999999999E-2</v>
      </c>
      <c r="X95" s="24">
        <f t="shared" si="7"/>
        <v>1.4972582384806449E-2</v>
      </c>
      <c r="Y95" s="24">
        <f t="shared" si="8"/>
        <v>2.1499999999999998E-2</v>
      </c>
      <c r="Z95" s="24">
        <f t="shared" si="9"/>
        <v>2.4E-2</v>
      </c>
      <c r="AA95" s="3">
        <f ca="1">IFERROR(__xludf.DUMMYFUNCTION("AVERAGE.WEIGHTED(B95:C95,$AF95:$AG95)"),0.0175151327937693)</f>
        <v>1.75151327937693E-2</v>
      </c>
      <c r="AB95" s="3">
        <f ca="1">IFERROR(__xludf.DUMMYFUNCTION("AVERAGE.WEIGHTED(D95:E95,$AH95:$AI95)"),0.0185380030056221)</f>
        <v>1.8538003005622101E-2</v>
      </c>
      <c r="AC95" s="3">
        <f ca="1">IFERROR(__xludf.DUMMYFUNCTION("AVERAGE.WEIGHTED(F95:G95,$AJ95:$AK95)"),0.0201068175180729)</f>
        <v>2.01068175180729E-2</v>
      </c>
      <c r="AD95" s="3" t="str">
        <f ca="1">IFERROR(__xludf.DUMMYFUNCTION("AVERAGE.WEIGHTED(H95:I95,$AA$25:$AB$25)"),"#VALUE!")</f>
        <v>#VALUE!</v>
      </c>
      <c r="AE95" s="3" t="str">
        <f ca="1">IFERROR(__xludf.DUMMYFUNCTION("AVERAGE.WEIGHTED(J95:K95,$AA$25:$AB$25)"),"#VALUE!")</f>
        <v>#VALUE!</v>
      </c>
      <c r="AF95" s="169">
        <v>0.45151327937693198</v>
      </c>
      <c r="AG95" s="3">
        <f t="shared" si="10"/>
        <v>0.54848672062306802</v>
      </c>
      <c r="AH95" s="169">
        <v>0.45380030056221199</v>
      </c>
      <c r="AI95" s="3">
        <f t="shared" si="11"/>
        <v>0.54619969943778801</v>
      </c>
      <c r="AJ95" s="169">
        <v>0.46425613800663301</v>
      </c>
      <c r="AK95" s="3">
        <f t="shared" si="12"/>
        <v>0.53574386199336699</v>
      </c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</row>
    <row r="96" spans="1:56" ht="15" x14ac:dyDescent="0.25">
      <c r="A96" s="1">
        <v>68</v>
      </c>
      <c r="B96" s="23">
        <f t="shared" si="26"/>
        <v>1.7797088612383199E-2</v>
      </c>
      <c r="C96" s="23">
        <f t="shared" si="26"/>
        <v>1.374167145418091E-2</v>
      </c>
      <c r="D96" s="23">
        <f t="shared" si="26"/>
        <v>1.7000000000000001E-2</v>
      </c>
      <c r="E96" s="23">
        <f t="shared" si="26"/>
        <v>1.78E-2</v>
      </c>
      <c r="F96" s="23">
        <f t="shared" si="26"/>
        <v>1.49451647696129E-2</v>
      </c>
      <c r="G96" s="23">
        <f t="shared" si="26"/>
        <v>1.4999999999999999E-2</v>
      </c>
      <c r="H96" s="23">
        <f t="shared" si="26"/>
        <v>2.7E-2</v>
      </c>
      <c r="I96" s="23">
        <f t="shared" si="26"/>
        <v>1.6E-2</v>
      </c>
      <c r="J96" s="23">
        <f t="shared" si="26"/>
        <v>0.03</v>
      </c>
      <c r="K96" s="23">
        <f t="shared" si="26"/>
        <v>1.7999999999999999E-2</v>
      </c>
      <c r="L96" s="23">
        <f t="shared" si="26"/>
        <v>0.11</v>
      </c>
      <c r="M96" s="23">
        <f t="shared" si="26"/>
        <v>6.5000000000000002E-2</v>
      </c>
      <c r="N96" s="23">
        <f t="shared" si="26"/>
        <v>0.11</v>
      </c>
      <c r="O96" s="23">
        <f t="shared" si="26"/>
        <v>6.9000000000000006E-2</v>
      </c>
      <c r="P96" s="23">
        <f t="shared" si="26"/>
        <v>0.12</v>
      </c>
      <c r="Q96" s="23">
        <f t="shared" si="26"/>
        <v>7.3999999999999996E-2</v>
      </c>
      <c r="R96" s="23">
        <f t="shared" si="26"/>
        <v>0.12</v>
      </c>
      <c r="S96" s="23">
        <f t="shared" si="26"/>
        <v>7.6999999999999999E-2</v>
      </c>
      <c r="T96" s="23">
        <f t="shared" si="26"/>
        <v>0.14000000000000001</v>
      </c>
      <c r="U96" s="23">
        <f t="shared" si="26"/>
        <v>8.6999999999999994E-2</v>
      </c>
      <c r="V96" s="24">
        <f t="shared" si="5"/>
        <v>1.5769380033282054E-2</v>
      </c>
      <c r="W96" s="24">
        <f t="shared" si="6"/>
        <v>1.7399999999999999E-2</v>
      </c>
      <c r="X96" s="24">
        <f t="shared" si="7"/>
        <v>1.4972582384806449E-2</v>
      </c>
      <c r="Y96" s="24">
        <f t="shared" si="8"/>
        <v>2.1499999999999998E-2</v>
      </c>
      <c r="Z96" s="24">
        <f t="shared" si="9"/>
        <v>2.4E-2</v>
      </c>
      <c r="AA96" s="3">
        <f ca="1">IFERROR(__xludf.DUMMYFUNCTION("AVERAGE.WEIGHTED(B96:C96,$AF96:$AG96)"),0.0174811536057447)</f>
        <v>1.74811536057447E-2</v>
      </c>
      <c r="AB96" s="3">
        <f ca="1">IFERROR(__xludf.DUMMYFUNCTION("AVERAGE.WEIGHTED(D96:E96,$AH96:$AI96)"),0.0185135402224788)</f>
        <v>1.8513540222478801E-2</v>
      </c>
      <c r="AC96" s="3">
        <f ca="1">IFERROR(__xludf.DUMMYFUNCTION("AVERAGE.WEIGHTED(F96:G96,$AJ96:$AK96)"),0.0200795543841182)</f>
        <v>2.0079554384118199E-2</v>
      </c>
      <c r="AD96" s="3" t="str">
        <f ca="1">IFERROR(__xludf.DUMMYFUNCTION("AVERAGE.WEIGHTED(H96:I96,$AA$25:$AB$25)"),"#VALUE!")</f>
        <v>#VALUE!</v>
      </c>
      <c r="AE96" s="3" t="str">
        <f ca="1">IFERROR(__xludf.DUMMYFUNCTION("AVERAGE.WEIGHTED(J96:K96,$AA$25:$AB$25)"),"#VALUE!")</f>
        <v>#VALUE!</v>
      </c>
      <c r="AF96" s="169">
        <v>0.44811536057447698</v>
      </c>
      <c r="AG96" s="3">
        <f t="shared" si="10"/>
        <v>0.55188463942552302</v>
      </c>
      <c r="AH96" s="169">
        <v>0.45135402224788301</v>
      </c>
      <c r="AI96" s="3">
        <f t="shared" si="11"/>
        <v>0.54864597775211699</v>
      </c>
      <c r="AJ96" s="169">
        <v>0.46177767128347402</v>
      </c>
      <c r="AK96" s="3">
        <f t="shared" si="12"/>
        <v>0.53822232871652598</v>
      </c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</row>
    <row r="97" spans="1:56" ht="15" x14ac:dyDescent="0.25">
      <c r="A97" s="1">
        <v>69</v>
      </c>
      <c r="B97" s="23">
        <f t="shared" si="26"/>
        <v>1.7797088612383199E-2</v>
      </c>
      <c r="C97" s="23">
        <f t="shared" si="26"/>
        <v>1.374167145418091E-2</v>
      </c>
      <c r="D97" s="23">
        <f t="shared" si="26"/>
        <v>1.7000000000000001E-2</v>
      </c>
      <c r="E97" s="23">
        <f t="shared" si="26"/>
        <v>1.78E-2</v>
      </c>
      <c r="F97" s="23">
        <f t="shared" si="26"/>
        <v>1.49451647696129E-2</v>
      </c>
      <c r="G97" s="23">
        <f t="shared" si="26"/>
        <v>1.4999999999999999E-2</v>
      </c>
      <c r="H97" s="23">
        <f t="shared" si="26"/>
        <v>2.7E-2</v>
      </c>
      <c r="I97" s="23">
        <f t="shared" si="26"/>
        <v>1.6E-2</v>
      </c>
      <c r="J97" s="23">
        <f t="shared" si="26"/>
        <v>0.03</v>
      </c>
      <c r="K97" s="23">
        <f t="shared" si="26"/>
        <v>1.7999999999999999E-2</v>
      </c>
      <c r="L97" s="23">
        <f t="shared" si="26"/>
        <v>0.11</v>
      </c>
      <c r="M97" s="23">
        <f t="shared" si="26"/>
        <v>6.5000000000000002E-2</v>
      </c>
      <c r="N97" s="23">
        <f t="shared" si="26"/>
        <v>0.11</v>
      </c>
      <c r="O97" s="23">
        <f t="shared" si="26"/>
        <v>6.9000000000000006E-2</v>
      </c>
      <c r="P97" s="23">
        <f t="shared" si="26"/>
        <v>0.12</v>
      </c>
      <c r="Q97" s="23">
        <f t="shared" si="26"/>
        <v>7.3999999999999996E-2</v>
      </c>
      <c r="R97" s="23">
        <f t="shared" si="26"/>
        <v>0.12</v>
      </c>
      <c r="S97" s="23">
        <f t="shared" si="26"/>
        <v>7.6999999999999999E-2</v>
      </c>
      <c r="T97" s="23">
        <f t="shared" si="26"/>
        <v>0.14000000000000001</v>
      </c>
      <c r="U97" s="23">
        <f t="shared" si="26"/>
        <v>8.6999999999999994E-2</v>
      </c>
      <c r="V97" s="24">
        <f t="shared" si="5"/>
        <v>1.5769380033282054E-2</v>
      </c>
      <c r="W97" s="24">
        <f t="shared" si="6"/>
        <v>1.7399999999999999E-2</v>
      </c>
      <c r="X97" s="24">
        <f t="shared" si="7"/>
        <v>1.4972582384806449E-2</v>
      </c>
      <c r="Y97" s="24">
        <f t="shared" si="8"/>
        <v>2.1499999999999998E-2</v>
      </c>
      <c r="Z97" s="24">
        <f t="shared" si="9"/>
        <v>2.4E-2</v>
      </c>
      <c r="AA97" s="3">
        <f ca="1">IFERROR(__xludf.DUMMYFUNCTION("AVERAGE.WEIGHTED(B97:C97,$AF97:$AG97)"),0.017452398360064)</f>
        <v>1.7452398360064E-2</v>
      </c>
      <c r="AB97" s="3">
        <f ca="1">IFERROR(__xludf.DUMMYFUNCTION("AVERAGE.WEIGHTED(D97:E97,$AH97:$AI97)"),0.0185261918035198)</f>
        <v>1.85261918035198E-2</v>
      </c>
      <c r="AC97" s="3">
        <f ca="1">IFERROR(__xludf.DUMMYFUNCTION("AVERAGE.WEIGHTED(F97:G97,$AJ97:$AK97)"),0.020047777427803)</f>
        <v>2.0047777427803001E-2</v>
      </c>
      <c r="AD97" s="3" t="str">
        <f ca="1">IFERROR(__xludf.DUMMYFUNCTION("AVERAGE.WEIGHTED(H97:I97,$AA$25:$AB$25)"),"#VALUE!")</f>
        <v>#VALUE!</v>
      </c>
      <c r="AE97" s="3" t="str">
        <f ca="1">IFERROR(__xludf.DUMMYFUNCTION("AVERAGE.WEIGHTED(J97:K97,$AA$25:$AB$25)"),"#VALUE!")</f>
        <v>#VALUE!</v>
      </c>
      <c r="AF97" s="169">
        <v>0.44523983600640399</v>
      </c>
      <c r="AG97" s="3">
        <f t="shared" si="10"/>
        <v>0.55476016399359596</v>
      </c>
      <c r="AH97" s="169">
        <v>0.45261918035198601</v>
      </c>
      <c r="AI97" s="3">
        <f t="shared" si="11"/>
        <v>0.54738081964801399</v>
      </c>
      <c r="AJ97" s="169">
        <v>0.45888885707300198</v>
      </c>
      <c r="AK97" s="3">
        <f t="shared" si="12"/>
        <v>0.54111114292699802</v>
      </c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</row>
    <row r="98" spans="1:56" ht="15" x14ac:dyDescent="0.25">
      <c r="A98" s="1">
        <v>70</v>
      </c>
      <c r="B98" s="23">
        <f t="shared" ref="B98:U102" si="27">B$20</f>
        <v>2.70515096799058E-2</v>
      </c>
      <c r="C98" s="23">
        <f t="shared" si="27"/>
        <v>2.1725931276081353E-2</v>
      </c>
      <c r="D98" s="23">
        <f t="shared" si="27"/>
        <v>2.6000000000000002E-2</v>
      </c>
      <c r="E98" s="23">
        <f t="shared" si="27"/>
        <v>2.6000000000000002E-2</v>
      </c>
      <c r="F98" s="23">
        <f t="shared" si="27"/>
        <v>2.2528420698333197E-2</v>
      </c>
      <c r="G98" s="23">
        <f t="shared" si="27"/>
        <v>2.4E-2</v>
      </c>
      <c r="H98" s="23">
        <f t="shared" si="27"/>
        <v>4.2000000000000003E-2</v>
      </c>
      <c r="I98" s="23">
        <f t="shared" si="27"/>
        <v>2.5999999999999999E-2</v>
      </c>
      <c r="J98" s="23">
        <f t="shared" si="27"/>
        <v>4.4999999999999998E-2</v>
      </c>
      <c r="K98" s="23">
        <f t="shared" si="27"/>
        <v>2.8000000000000001E-2</v>
      </c>
      <c r="L98" s="23">
        <f t="shared" si="27"/>
        <v>0.16</v>
      </c>
      <c r="M98" s="23">
        <f t="shared" si="27"/>
        <v>0.1</v>
      </c>
      <c r="N98" s="23">
        <f t="shared" si="27"/>
        <v>0.17</v>
      </c>
      <c r="O98" s="23">
        <f t="shared" si="27"/>
        <v>0.11</v>
      </c>
      <c r="P98" s="23">
        <f t="shared" si="27"/>
        <v>0.18</v>
      </c>
      <c r="Q98" s="23">
        <f t="shared" si="27"/>
        <v>0.11</v>
      </c>
      <c r="R98" s="23">
        <f t="shared" si="27"/>
        <v>0.19</v>
      </c>
      <c r="S98" s="23">
        <f t="shared" si="27"/>
        <v>0.12</v>
      </c>
      <c r="T98" s="23">
        <f t="shared" si="27"/>
        <v>0.2</v>
      </c>
      <c r="U98" s="23">
        <f t="shared" si="27"/>
        <v>0.13</v>
      </c>
      <c r="V98" s="24">
        <f t="shared" si="5"/>
        <v>2.4388720477993578E-2</v>
      </c>
      <c r="W98" s="24">
        <f t="shared" si="6"/>
        <v>2.6000000000000002E-2</v>
      </c>
      <c r="X98" s="24">
        <f t="shared" si="7"/>
        <v>2.3264210349166599E-2</v>
      </c>
      <c r="Y98" s="24">
        <f t="shared" si="8"/>
        <v>3.4000000000000002E-2</v>
      </c>
      <c r="Z98" s="24">
        <f t="shared" si="9"/>
        <v>3.6499999999999998E-2</v>
      </c>
      <c r="AA98" s="3">
        <f ca="1">IFERROR(__xludf.DUMMYFUNCTION("AVERAGE.WEIGHTED(B98:C98,$AF98:$AG98)"),0.0277633824488046)</f>
        <v>2.7763382448804601E-2</v>
      </c>
      <c r="AB98" s="3">
        <f ca="1">IFERROR(__xludf.DUMMYFUNCTION("AVERAGE.WEIGHTED(D98:E98,$AH98:$AI98)"),0.0289060534064538)</f>
        <v>2.8906053406453799E-2</v>
      </c>
      <c r="AC98" s="3">
        <f ca="1">IFERROR(__xludf.DUMMYFUNCTION("AVERAGE.WEIGHTED(F98:G98,$AJ98:$AK98)"),0.0303713382733021)</f>
        <v>3.0371338273302101E-2</v>
      </c>
      <c r="AD98" s="3" t="str">
        <f ca="1">IFERROR(__xludf.DUMMYFUNCTION("AVERAGE.WEIGHTED(H98:I98,$AA$25:$AB$25)"),"#VALUE!")</f>
        <v>#VALUE!</v>
      </c>
      <c r="AE98" s="3" t="str">
        <f ca="1">IFERROR(__xludf.DUMMYFUNCTION("AVERAGE.WEIGHTED(J98:K98,$AA$25:$AB$25)"),"#VALUE!")</f>
        <v>#VALUE!</v>
      </c>
      <c r="AF98" s="169">
        <v>0.443337111446508</v>
      </c>
      <c r="AG98" s="3">
        <f t="shared" si="10"/>
        <v>0.556662888553492</v>
      </c>
      <c r="AH98" s="169">
        <v>0.45431180049644698</v>
      </c>
      <c r="AI98" s="3">
        <f t="shared" si="11"/>
        <v>0.54568819950355296</v>
      </c>
      <c r="AJ98" s="169">
        <v>0.45509559095015101</v>
      </c>
      <c r="AK98" s="3">
        <f t="shared" si="12"/>
        <v>0.54490440904984894</v>
      </c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</row>
    <row r="99" spans="1:56" ht="15" x14ac:dyDescent="0.25">
      <c r="A99" s="1">
        <v>71</v>
      </c>
      <c r="B99" s="23">
        <f t="shared" si="27"/>
        <v>2.70515096799058E-2</v>
      </c>
      <c r="C99" s="23">
        <f t="shared" si="27"/>
        <v>2.1725931276081353E-2</v>
      </c>
      <c r="D99" s="23">
        <f t="shared" si="27"/>
        <v>2.6000000000000002E-2</v>
      </c>
      <c r="E99" s="23">
        <f t="shared" si="27"/>
        <v>2.6000000000000002E-2</v>
      </c>
      <c r="F99" s="23">
        <f t="shared" si="27"/>
        <v>2.2528420698333197E-2</v>
      </c>
      <c r="G99" s="23">
        <f t="shared" si="27"/>
        <v>2.4E-2</v>
      </c>
      <c r="H99" s="23">
        <f t="shared" si="27"/>
        <v>4.2000000000000003E-2</v>
      </c>
      <c r="I99" s="23">
        <f t="shared" si="27"/>
        <v>2.5999999999999999E-2</v>
      </c>
      <c r="J99" s="23">
        <f t="shared" si="27"/>
        <v>4.4999999999999998E-2</v>
      </c>
      <c r="K99" s="23">
        <f t="shared" si="27"/>
        <v>2.8000000000000001E-2</v>
      </c>
      <c r="L99" s="23">
        <f t="shared" si="27"/>
        <v>0.16</v>
      </c>
      <c r="M99" s="23">
        <f t="shared" si="27"/>
        <v>0.1</v>
      </c>
      <c r="N99" s="23">
        <f t="shared" si="27"/>
        <v>0.17</v>
      </c>
      <c r="O99" s="23">
        <f t="shared" si="27"/>
        <v>0.11</v>
      </c>
      <c r="P99" s="23">
        <f t="shared" si="27"/>
        <v>0.18</v>
      </c>
      <c r="Q99" s="23">
        <f t="shared" si="27"/>
        <v>0.11</v>
      </c>
      <c r="R99" s="23">
        <f t="shared" si="27"/>
        <v>0.19</v>
      </c>
      <c r="S99" s="23">
        <f t="shared" si="27"/>
        <v>0.12</v>
      </c>
      <c r="T99" s="23">
        <f t="shared" si="27"/>
        <v>0.2</v>
      </c>
      <c r="U99" s="23">
        <f t="shared" si="27"/>
        <v>0.13</v>
      </c>
      <c r="V99" s="24">
        <f t="shared" si="5"/>
        <v>2.4388720477993578E-2</v>
      </c>
      <c r="W99" s="24">
        <f t="shared" si="6"/>
        <v>2.6000000000000002E-2</v>
      </c>
      <c r="X99" s="24">
        <f t="shared" si="7"/>
        <v>2.3264210349166599E-2</v>
      </c>
      <c r="Y99" s="24">
        <f t="shared" si="8"/>
        <v>3.4000000000000002E-2</v>
      </c>
      <c r="Z99" s="24">
        <f t="shared" si="9"/>
        <v>3.6499999999999998E-2</v>
      </c>
      <c r="AA99" s="3">
        <f ca="1">IFERROR(__xludf.DUMMYFUNCTION("AVERAGE.WEIGHTED(B99:C99,$AF99:$AG99)"),0.0277362136821498)</f>
        <v>2.7736213682149801E-2</v>
      </c>
      <c r="AB99" s="3">
        <f ca="1">IFERROR(__xludf.DUMMYFUNCTION("AVERAGE.WEIGHTED(D99:E99,$AH99:$AI99)"),0.0288737105895095)</f>
        <v>2.8873710589509501E-2</v>
      </c>
      <c r="AC99" s="3">
        <f ca="1">IFERROR(__xludf.DUMMYFUNCTION("AVERAGE.WEIGHTED(F99:G99,$AJ99:$AK99)"),0.0303032535720433)</f>
        <v>3.03032535720433E-2</v>
      </c>
      <c r="AD99" s="3" t="str">
        <f ca="1">IFERROR(__xludf.DUMMYFUNCTION("AVERAGE.WEIGHTED(H99:I99,$AA$25:$AB$25)"),"#VALUE!")</f>
        <v>#VALUE!</v>
      </c>
      <c r="AE99" s="3" t="str">
        <f ca="1">IFERROR(__xludf.DUMMYFUNCTION("AVERAGE.WEIGHTED(J99:K99,$AA$25:$AB$25)"),"#VALUE!")</f>
        <v>#VALUE!</v>
      </c>
      <c r="AF99" s="169">
        <v>0.44124720631921799</v>
      </c>
      <c r="AG99" s="3">
        <f t="shared" si="10"/>
        <v>0.55875279368078201</v>
      </c>
      <c r="AH99" s="169">
        <v>0.45182389150073199</v>
      </c>
      <c r="AI99" s="3">
        <f t="shared" si="11"/>
        <v>0.54817610849926801</v>
      </c>
      <c r="AJ99" s="169">
        <v>0.450232398003099</v>
      </c>
      <c r="AK99" s="3">
        <f t="shared" si="12"/>
        <v>0.549767601996901</v>
      </c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</row>
    <row r="100" spans="1:56" ht="15" x14ac:dyDescent="0.25">
      <c r="A100" s="1">
        <v>72</v>
      </c>
      <c r="B100" s="23">
        <f t="shared" si="27"/>
        <v>2.70515096799058E-2</v>
      </c>
      <c r="C100" s="23">
        <f t="shared" si="27"/>
        <v>2.1725931276081353E-2</v>
      </c>
      <c r="D100" s="23">
        <f t="shared" si="27"/>
        <v>2.6000000000000002E-2</v>
      </c>
      <c r="E100" s="23">
        <f t="shared" si="27"/>
        <v>2.6000000000000002E-2</v>
      </c>
      <c r="F100" s="23">
        <f t="shared" si="27"/>
        <v>2.2528420698333197E-2</v>
      </c>
      <c r="G100" s="23">
        <f t="shared" si="27"/>
        <v>2.4E-2</v>
      </c>
      <c r="H100" s="23">
        <f t="shared" si="27"/>
        <v>4.2000000000000003E-2</v>
      </c>
      <c r="I100" s="23">
        <f t="shared" si="27"/>
        <v>2.5999999999999999E-2</v>
      </c>
      <c r="J100" s="23">
        <f t="shared" si="27"/>
        <v>4.4999999999999998E-2</v>
      </c>
      <c r="K100" s="23">
        <f t="shared" si="27"/>
        <v>2.8000000000000001E-2</v>
      </c>
      <c r="L100" s="23">
        <f t="shared" si="27"/>
        <v>0.16</v>
      </c>
      <c r="M100" s="23">
        <f t="shared" si="27"/>
        <v>0.1</v>
      </c>
      <c r="N100" s="23">
        <f t="shared" si="27"/>
        <v>0.17</v>
      </c>
      <c r="O100" s="23">
        <f t="shared" si="27"/>
        <v>0.11</v>
      </c>
      <c r="P100" s="23">
        <f t="shared" si="27"/>
        <v>0.18</v>
      </c>
      <c r="Q100" s="23">
        <f t="shared" si="27"/>
        <v>0.11</v>
      </c>
      <c r="R100" s="23">
        <f t="shared" si="27"/>
        <v>0.19</v>
      </c>
      <c r="S100" s="23">
        <f t="shared" si="27"/>
        <v>0.12</v>
      </c>
      <c r="T100" s="23">
        <f t="shared" si="27"/>
        <v>0.2</v>
      </c>
      <c r="U100" s="23">
        <f t="shared" si="27"/>
        <v>0.13</v>
      </c>
      <c r="V100" s="24">
        <f t="shared" si="5"/>
        <v>2.4388720477993578E-2</v>
      </c>
      <c r="W100" s="24">
        <f t="shared" si="6"/>
        <v>2.6000000000000002E-2</v>
      </c>
      <c r="X100" s="24">
        <f t="shared" si="7"/>
        <v>2.3264210349166599E-2</v>
      </c>
      <c r="Y100" s="24">
        <f t="shared" si="8"/>
        <v>3.4000000000000002E-2</v>
      </c>
      <c r="Z100" s="24">
        <f t="shared" si="9"/>
        <v>3.6499999999999998E-2</v>
      </c>
      <c r="AA100" s="3">
        <f ca="1">IFERROR(__xludf.DUMMYFUNCTION("AVERAGE.WEIGHTED(B100:C100,$AF100:$AG100)"),0.0276952620150171)</f>
        <v>2.76952620150171E-2</v>
      </c>
      <c r="AB100" s="3">
        <f ca="1">IFERROR(__xludf.DUMMYFUNCTION("AVERAGE.WEIGHTED(D100:E100,$AH100:$AI100)"),0.0288333042628699)</f>
        <v>2.88333042628699E-2</v>
      </c>
      <c r="AC100" s="3">
        <f ca="1">IFERROR(__xludf.DUMMYFUNCTION("AVERAGE.WEIGHTED(F100:G100,$AJ100:$AK100)"),0.0302271058608048)</f>
        <v>3.02271058608048E-2</v>
      </c>
      <c r="AD100" s="3" t="str">
        <f ca="1">IFERROR(__xludf.DUMMYFUNCTION("AVERAGE.WEIGHTED(H100:I100,$AA$25:$AB$25)"),"#VALUE!")</f>
        <v>#VALUE!</v>
      </c>
      <c r="AE100" s="3" t="str">
        <f ca="1">IFERROR(__xludf.DUMMYFUNCTION("AVERAGE.WEIGHTED(J100:K100,$AA$25:$AB$25)"),"#VALUE!")</f>
        <v>#VALUE!</v>
      </c>
      <c r="AF100" s="169">
        <v>0.438097078078241</v>
      </c>
      <c r="AG100" s="3">
        <f t="shared" si="10"/>
        <v>0.56190292192175906</v>
      </c>
      <c r="AH100" s="169">
        <v>0.44871571252845799</v>
      </c>
      <c r="AI100" s="3">
        <f t="shared" si="11"/>
        <v>0.55128428747154201</v>
      </c>
      <c r="AJ100" s="169">
        <v>0.44479327577177802</v>
      </c>
      <c r="AK100" s="3">
        <f t="shared" si="12"/>
        <v>0.55520672422822193</v>
      </c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</row>
    <row r="101" spans="1:56" ht="15" x14ac:dyDescent="0.25">
      <c r="A101" s="1">
        <v>73</v>
      </c>
      <c r="B101" s="23">
        <f t="shared" si="27"/>
        <v>2.70515096799058E-2</v>
      </c>
      <c r="C101" s="23">
        <f t="shared" si="27"/>
        <v>2.1725931276081353E-2</v>
      </c>
      <c r="D101" s="23">
        <f t="shared" si="27"/>
        <v>2.6000000000000002E-2</v>
      </c>
      <c r="E101" s="23">
        <f t="shared" si="27"/>
        <v>2.6000000000000002E-2</v>
      </c>
      <c r="F101" s="23">
        <f t="shared" si="27"/>
        <v>2.2528420698333197E-2</v>
      </c>
      <c r="G101" s="23">
        <f t="shared" si="27"/>
        <v>2.4E-2</v>
      </c>
      <c r="H101" s="23">
        <f t="shared" si="27"/>
        <v>4.2000000000000003E-2</v>
      </c>
      <c r="I101" s="23">
        <f t="shared" si="27"/>
        <v>2.5999999999999999E-2</v>
      </c>
      <c r="J101" s="23">
        <f t="shared" si="27"/>
        <v>4.4999999999999998E-2</v>
      </c>
      <c r="K101" s="23">
        <f t="shared" si="27"/>
        <v>2.8000000000000001E-2</v>
      </c>
      <c r="L101" s="23">
        <f t="shared" si="27"/>
        <v>0.16</v>
      </c>
      <c r="M101" s="23">
        <f t="shared" si="27"/>
        <v>0.1</v>
      </c>
      <c r="N101" s="23">
        <f t="shared" si="27"/>
        <v>0.17</v>
      </c>
      <c r="O101" s="23">
        <f t="shared" si="27"/>
        <v>0.11</v>
      </c>
      <c r="P101" s="23">
        <f t="shared" si="27"/>
        <v>0.18</v>
      </c>
      <c r="Q101" s="23">
        <f t="shared" si="27"/>
        <v>0.11</v>
      </c>
      <c r="R101" s="23">
        <f t="shared" si="27"/>
        <v>0.19</v>
      </c>
      <c r="S101" s="23">
        <f t="shared" si="27"/>
        <v>0.12</v>
      </c>
      <c r="T101" s="23">
        <f t="shared" si="27"/>
        <v>0.2</v>
      </c>
      <c r="U101" s="23">
        <f t="shared" si="27"/>
        <v>0.13</v>
      </c>
      <c r="V101" s="24">
        <f t="shared" si="5"/>
        <v>2.4388720477993578E-2</v>
      </c>
      <c r="W101" s="24">
        <f t="shared" si="6"/>
        <v>2.6000000000000002E-2</v>
      </c>
      <c r="X101" s="24">
        <f t="shared" si="7"/>
        <v>2.3264210349166599E-2</v>
      </c>
      <c r="Y101" s="24">
        <f t="shared" si="8"/>
        <v>3.4000000000000002E-2</v>
      </c>
      <c r="Z101" s="24">
        <f t="shared" si="9"/>
        <v>3.6499999999999998E-2</v>
      </c>
      <c r="AA101" s="3">
        <f ca="1">IFERROR(__xludf.DUMMYFUNCTION("AVERAGE.WEIGHTED(B101:C101,$AF101:$AG101)"),0.0277001190521491)</f>
        <v>2.77001190521491E-2</v>
      </c>
      <c r="AB101" s="3">
        <f ca="1">IFERROR(__xludf.DUMMYFUNCTION("AVERAGE.WEIGHTED(D101:E101,$AH101:$AI101)"),0.0287862637999478)</f>
        <v>2.8786263799947798E-2</v>
      </c>
      <c r="AC101" s="3">
        <f ca="1">IFERROR(__xludf.DUMMYFUNCTION("AVERAGE.WEIGHTED(F101:G101,$AJ101:$AK101)"),0.0301417517936417)</f>
        <v>3.0141751793641699E-2</v>
      </c>
      <c r="AD101" s="3" t="str">
        <f ca="1">IFERROR(__xludf.DUMMYFUNCTION("AVERAGE.WEIGHTED(H101:I101,$AA$25:$AB$25)"),"#VALUE!")</f>
        <v>#VALUE!</v>
      </c>
      <c r="AE101" s="3" t="str">
        <f ca="1">IFERROR(__xludf.DUMMYFUNCTION("AVERAGE.WEIGHTED(J101:K101,$AA$25:$AB$25)"),"#VALUE!")</f>
        <v>#VALUE!</v>
      </c>
      <c r="AF101" s="169">
        <v>0.43847069631916802</v>
      </c>
      <c r="AG101" s="3">
        <f t="shared" si="10"/>
        <v>0.56152930368083198</v>
      </c>
      <c r="AH101" s="169">
        <v>0.44509721538060298</v>
      </c>
      <c r="AI101" s="3">
        <f t="shared" si="11"/>
        <v>0.55490278461939702</v>
      </c>
      <c r="AJ101" s="169">
        <v>0.438696556688696</v>
      </c>
      <c r="AK101" s="3">
        <f t="shared" si="12"/>
        <v>0.561303443311304</v>
      </c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</row>
    <row r="102" spans="1:56" ht="15" x14ac:dyDescent="0.25">
      <c r="A102" s="1">
        <v>74</v>
      </c>
      <c r="B102" s="23">
        <f t="shared" si="27"/>
        <v>2.70515096799058E-2</v>
      </c>
      <c r="C102" s="23">
        <f t="shared" si="27"/>
        <v>2.1725931276081353E-2</v>
      </c>
      <c r="D102" s="23">
        <f t="shared" si="27"/>
        <v>2.6000000000000002E-2</v>
      </c>
      <c r="E102" s="23">
        <f t="shared" si="27"/>
        <v>2.6000000000000002E-2</v>
      </c>
      <c r="F102" s="23">
        <f t="shared" si="27"/>
        <v>2.2528420698333197E-2</v>
      </c>
      <c r="G102" s="23">
        <f t="shared" si="27"/>
        <v>2.4E-2</v>
      </c>
      <c r="H102" s="23">
        <f t="shared" si="27"/>
        <v>4.2000000000000003E-2</v>
      </c>
      <c r="I102" s="23">
        <f t="shared" si="27"/>
        <v>2.5999999999999999E-2</v>
      </c>
      <c r="J102" s="23">
        <f t="shared" si="27"/>
        <v>4.4999999999999998E-2</v>
      </c>
      <c r="K102" s="23">
        <f t="shared" si="27"/>
        <v>2.8000000000000001E-2</v>
      </c>
      <c r="L102" s="23">
        <f t="shared" si="27"/>
        <v>0.16</v>
      </c>
      <c r="M102" s="23">
        <f t="shared" si="27"/>
        <v>0.1</v>
      </c>
      <c r="N102" s="23">
        <f t="shared" si="27"/>
        <v>0.17</v>
      </c>
      <c r="O102" s="23">
        <f t="shared" si="27"/>
        <v>0.11</v>
      </c>
      <c r="P102" s="23">
        <f t="shared" si="27"/>
        <v>0.18</v>
      </c>
      <c r="Q102" s="23">
        <f t="shared" si="27"/>
        <v>0.11</v>
      </c>
      <c r="R102" s="23">
        <f t="shared" si="27"/>
        <v>0.19</v>
      </c>
      <c r="S102" s="23">
        <f t="shared" si="27"/>
        <v>0.12</v>
      </c>
      <c r="T102" s="23">
        <f t="shared" si="27"/>
        <v>0.2</v>
      </c>
      <c r="U102" s="23">
        <f t="shared" si="27"/>
        <v>0.13</v>
      </c>
      <c r="V102" s="24">
        <f t="shared" si="5"/>
        <v>2.4388720477993578E-2</v>
      </c>
      <c r="W102" s="24">
        <f t="shared" si="6"/>
        <v>2.6000000000000002E-2</v>
      </c>
      <c r="X102" s="24">
        <f t="shared" si="7"/>
        <v>2.3264210349166599E-2</v>
      </c>
      <c r="Y102" s="24">
        <f t="shared" si="8"/>
        <v>3.4000000000000002E-2</v>
      </c>
      <c r="Z102" s="24">
        <f t="shared" si="9"/>
        <v>3.6499999999999998E-2</v>
      </c>
      <c r="AA102" s="3">
        <f ca="1">IFERROR(__xludf.DUMMYFUNCTION("AVERAGE.WEIGHTED(B102:C102,$AF102:$AG102)"),0.0277086427013933)</f>
        <v>2.77086427013933E-2</v>
      </c>
      <c r="AB102" s="3">
        <f ca="1">IFERROR(__xludf.DUMMYFUNCTION("AVERAGE.WEIGHTED(D102:E102,$AH102:$AI102)"),0.0287328251256242)</f>
        <v>2.8732825125624199E-2</v>
      </c>
      <c r="AC102" s="3">
        <f ca="1">IFERROR(__xludf.DUMMYFUNCTION("AVERAGE.WEIGHTED(F102:G102,$AJ102:$AK102)"),0.0300368822874481)</f>
        <v>3.0036882287448101E-2</v>
      </c>
      <c r="AD102" s="3" t="str">
        <f ca="1">IFERROR(__xludf.DUMMYFUNCTION("AVERAGE.WEIGHTED(H102:I102,$AA$25:$AB$25)"),"#VALUE!")</f>
        <v>#VALUE!</v>
      </c>
      <c r="AE102" s="3" t="str">
        <f ca="1">IFERROR(__xludf.DUMMYFUNCTION("AVERAGE.WEIGHTED(J102:K102,$AA$25:$AB$25)"),"#VALUE!")</f>
        <v>#VALUE!</v>
      </c>
      <c r="AF102" s="169">
        <v>0.439126361645644</v>
      </c>
      <c r="AG102" s="3">
        <f t="shared" si="10"/>
        <v>0.560873638354356</v>
      </c>
      <c r="AH102" s="169">
        <v>0.44098654812494298</v>
      </c>
      <c r="AI102" s="3">
        <f t="shared" si="11"/>
        <v>0.55901345187505702</v>
      </c>
      <c r="AJ102" s="169">
        <v>0.43120587767486801</v>
      </c>
      <c r="AK102" s="3">
        <f t="shared" si="12"/>
        <v>0.56879412232513205</v>
      </c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</row>
    <row r="103" spans="1:56" ht="15" x14ac:dyDescent="0.25">
      <c r="A103" s="1">
        <v>75</v>
      </c>
      <c r="B103" s="23">
        <f t="shared" ref="B103:U107" si="28">B$21</f>
        <v>4.2021944650878801E-2</v>
      </c>
      <c r="C103" s="23">
        <f t="shared" si="28"/>
        <v>3.5267557685034652E-2</v>
      </c>
      <c r="D103" s="23">
        <f t="shared" si="28"/>
        <v>3.7999999999999999E-2</v>
      </c>
      <c r="E103" s="23">
        <f t="shared" si="28"/>
        <v>0.04</v>
      </c>
      <c r="F103" s="23">
        <f t="shared" si="28"/>
        <v>3.6176763031094801E-2</v>
      </c>
      <c r="G103" s="23">
        <f t="shared" si="28"/>
        <v>0.04</v>
      </c>
      <c r="H103" s="23">
        <f t="shared" si="28"/>
        <v>6.4000000000000001E-2</v>
      </c>
      <c r="I103" s="23">
        <f t="shared" si="28"/>
        <v>4.1000000000000002E-2</v>
      </c>
      <c r="J103" s="23">
        <f t="shared" si="28"/>
        <v>7.0000000000000007E-2</v>
      </c>
      <c r="K103" s="23">
        <f t="shared" si="28"/>
        <v>4.4999999999999998E-2</v>
      </c>
      <c r="L103" s="23">
        <f t="shared" si="28"/>
        <v>0.23</v>
      </c>
      <c r="M103" s="23">
        <f t="shared" si="28"/>
        <v>0.16</v>
      </c>
      <c r="N103" s="23">
        <f t="shared" si="28"/>
        <v>0.24</v>
      </c>
      <c r="O103" s="23">
        <f t="shared" si="28"/>
        <v>0.17</v>
      </c>
      <c r="P103" s="23">
        <f t="shared" si="28"/>
        <v>0.27</v>
      </c>
      <c r="Q103" s="23">
        <f t="shared" si="28"/>
        <v>0.18</v>
      </c>
      <c r="R103" s="23">
        <f t="shared" si="28"/>
        <v>0.27</v>
      </c>
      <c r="S103" s="23">
        <f t="shared" si="28"/>
        <v>0.19</v>
      </c>
      <c r="T103" s="23">
        <f t="shared" si="28"/>
        <v>0.3</v>
      </c>
      <c r="U103" s="23">
        <f t="shared" si="28"/>
        <v>0.2</v>
      </c>
      <c r="V103" s="24">
        <f t="shared" si="5"/>
        <v>3.8644751167956723E-2</v>
      </c>
      <c r="W103" s="24">
        <f t="shared" si="6"/>
        <v>3.9E-2</v>
      </c>
      <c r="X103" s="24">
        <f t="shared" si="7"/>
        <v>3.8088381515547401E-2</v>
      </c>
      <c r="Y103" s="24">
        <f t="shared" si="8"/>
        <v>5.2500000000000005E-2</v>
      </c>
      <c r="Z103" s="24">
        <f t="shared" si="9"/>
        <v>5.7500000000000002E-2</v>
      </c>
      <c r="AA103" s="3">
        <f ca="1">IFERROR(__xludf.DUMMYFUNCTION("AVERAGE.WEIGHTED(B103:C103,$AF103:$AG103)"),0.0424037108999149)</f>
        <v>4.2403710899914897E-2</v>
      </c>
      <c r="AB103" s="3">
        <f ca="1">IFERROR(__xludf.DUMMYFUNCTION("AVERAGE.WEIGHTED(D103:E103,$AH103:$AI103)"),0.0448453062440025)</f>
        <v>4.48453062440025E-2</v>
      </c>
      <c r="AC103" s="3">
        <f ca="1">IFERROR(__xludf.DUMMYFUNCTION("AVERAGE.WEIGHTED(F103:G103,$AJ103:$AK103)"),0.0493151084230517)</f>
        <v>4.9315108423051701E-2</v>
      </c>
      <c r="AD103" s="3" t="str">
        <f ca="1">IFERROR(__xludf.DUMMYFUNCTION("AVERAGE.WEIGHTED(H103:I103,$AA$25:$AB$25)"),"#VALUE!")</f>
        <v>#VALUE!</v>
      </c>
      <c r="AE103" s="3" t="str">
        <f ca="1">IFERROR(__xludf.DUMMYFUNCTION("AVERAGE.WEIGHTED(J103:K103,$AA$25:$AB$25)"),"#VALUE!")</f>
        <v>#VALUE!</v>
      </c>
      <c r="AF103" s="169">
        <v>0.43551240587735002</v>
      </c>
      <c r="AG103" s="3">
        <f t="shared" si="10"/>
        <v>0.56448759412264993</v>
      </c>
      <c r="AH103" s="169">
        <v>0.43585034688902902</v>
      </c>
      <c r="AI103" s="3">
        <f t="shared" si="11"/>
        <v>0.56414965311097098</v>
      </c>
      <c r="AJ103" s="169">
        <v>0.42341401922962402</v>
      </c>
      <c r="AK103" s="3">
        <f t="shared" si="12"/>
        <v>0.57658598077037593</v>
      </c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</row>
    <row r="104" spans="1:56" ht="15" x14ac:dyDescent="0.25">
      <c r="A104" s="1">
        <v>76</v>
      </c>
      <c r="B104" s="23">
        <f t="shared" si="28"/>
        <v>4.2021944650878801E-2</v>
      </c>
      <c r="C104" s="23">
        <f t="shared" si="28"/>
        <v>3.5267557685034652E-2</v>
      </c>
      <c r="D104" s="23">
        <f t="shared" si="28"/>
        <v>3.7999999999999999E-2</v>
      </c>
      <c r="E104" s="23">
        <f t="shared" si="28"/>
        <v>0.04</v>
      </c>
      <c r="F104" s="23">
        <f t="shared" si="28"/>
        <v>3.6176763031094801E-2</v>
      </c>
      <c r="G104" s="23">
        <f t="shared" si="28"/>
        <v>0.04</v>
      </c>
      <c r="H104" s="23">
        <f t="shared" si="28"/>
        <v>6.4000000000000001E-2</v>
      </c>
      <c r="I104" s="23">
        <f t="shared" si="28"/>
        <v>4.1000000000000002E-2</v>
      </c>
      <c r="J104" s="23">
        <f t="shared" si="28"/>
        <v>7.0000000000000007E-2</v>
      </c>
      <c r="K104" s="23">
        <f t="shared" si="28"/>
        <v>4.4999999999999998E-2</v>
      </c>
      <c r="L104" s="23">
        <f t="shared" si="28"/>
        <v>0.23</v>
      </c>
      <c r="M104" s="23">
        <f t="shared" si="28"/>
        <v>0.16</v>
      </c>
      <c r="N104" s="23">
        <f t="shared" si="28"/>
        <v>0.24</v>
      </c>
      <c r="O104" s="23">
        <f t="shared" si="28"/>
        <v>0.17</v>
      </c>
      <c r="P104" s="23">
        <f t="shared" si="28"/>
        <v>0.27</v>
      </c>
      <c r="Q104" s="23">
        <f t="shared" si="28"/>
        <v>0.18</v>
      </c>
      <c r="R104" s="23">
        <f t="shared" si="28"/>
        <v>0.27</v>
      </c>
      <c r="S104" s="23">
        <f t="shared" si="28"/>
        <v>0.19</v>
      </c>
      <c r="T104" s="23">
        <f t="shared" si="28"/>
        <v>0.3</v>
      </c>
      <c r="U104" s="23">
        <f t="shared" si="28"/>
        <v>0.2</v>
      </c>
      <c r="V104" s="24">
        <f t="shared" si="5"/>
        <v>3.8644751167956723E-2</v>
      </c>
      <c r="W104" s="24">
        <f t="shared" si="6"/>
        <v>3.9E-2</v>
      </c>
      <c r="X104" s="24">
        <f t="shared" si="7"/>
        <v>3.8088381515547401E-2</v>
      </c>
      <c r="Y104" s="24">
        <f t="shared" si="8"/>
        <v>5.2500000000000005E-2</v>
      </c>
      <c r="Z104" s="24">
        <f t="shared" si="9"/>
        <v>5.7500000000000002E-2</v>
      </c>
      <c r="AA104" s="3">
        <f ca="1">IFERROR(__xludf.DUMMYFUNCTION("AVERAGE.WEIGHTED(B104:C104,$AF104:$AG104)"),0.042330541200258)</f>
        <v>4.2330541200257997E-2</v>
      </c>
      <c r="AB104" s="3">
        <f ca="1">IFERROR(__xludf.DUMMYFUNCTION("AVERAGE.WEIGHTED(D104:E104,$AH104:$AI104)"),0.0447307085631789)</f>
        <v>4.47307085631789E-2</v>
      </c>
      <c r="AC104" s="3">
        <f ca="1">IFERROR(__xludf.DUMMYFUNCTION("AVERAGE.WEIGHTED(F104:G104,$AJ104:$AK104)"),0.0491688104269457)</f>
        <v>4.9168810426945701E-2</v>
      </c>
      <c r="AD104" s="3" t="str">
        <f ca="1">IFERROR(__xludf.DUMMYFUNCTION("AVERAGE.WEIGHTED(H104:I104,$AA$25:$AB$25)"),"#VALUE!")</f>
        <v>#VALUE!</v>
      </c>
      <c r="AE104" s="3" t="str">
        <f ca="1">IFERROR(__xludf.DUMMYFUNCTION("AVERAGE.WEIGHTED(J104:K104,$AA$25:$AB$25)"),"#VALUE!")</f>
        <v>#VALUE!</v>
      </c>
      <c r="AF104" s="169">
        <v>0.43120830589753301</v>
      </c>
      <c r="AG104" s="3">
        <f t="shared" si="10"/>
        <v>0.56879169410246699</v>
      </c>
      <c r="AH104" s="169">
        <v>0.42948380906549699</v>
      </c>
      <c r="AI104" s="3">
        <f t="shared" si="11"/>
        <v>0.57051619093450301</v>
      </c>
      <c r="AJ104" s="169">
        <v>0.41676411031571697</v>
      </c>
      <c r="AK104" s="3">
        <f t="shared" si="12"/>
        <v>0.58323588968428308</v>
      </c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</row>
    <row r="105" spans="1:56" ht="15" x14ac:dyDescent="0.25">
      <c r="A105" s="1">
        <v>77</v>
      </c>
      <c r="B105" s="23">
        <f t="shared" si="28"/>
        <v>4.2021944650878801E-2</v>
      </c>
      <c r="C105" s="23">
        <f t="shared" si="28"/>
        <v>3.5267557685034652E-2</v>
      </c>
      <c r="D105" s="23">
        <f t="shared" si="28"/>
        <v>3.7999999999999999E-2</v>
      </c>
      <c r="E105" s="23">
        <f t="shared" si="28"/>
        <v>0.04</v>
      </c>
      <c r="F105" s="23">
        <f t="shared" si="28"/>
        <v>3.6176763031094801E-2</v>
      </c>
      <c r="G105" s="23">
        <f t="shared" si="28"/>
        <v>0.04</v>
      </c>
      <c r="H105" s="23">
        <f t="shared" si="28"/>
        <v>6.4000000000000001E-2</v>
      </c>
      <c r="I105" s="23">
        <f t="shared" si="28"/>
        <v>4.1000000000000002E-2</v>
      </c>
      <c r="J105" s="23">
        <f t="shared" si="28"/>
        <v>7.0000000000000007E-2</v>
      </c>
      <c r="K105" s="23">
        <f t="shared" si="28"/>
        <v>4.4999999999999998E-2</v>
      </c>
      <c r="L105" s="23">
        <f t="shared" si="28"/>
        <v>0.23</v>
      </c>
      <c r="M105" s="23">
        <f t="shared" si="28"/>
        <v>0.16</v>
      </c>
      <c r="N105" s="23">
        <f t="shared" si="28"/>
        <v>0.24</v>
      </c>
      <c r="O105" s="23">
        <f t="shared" si="28"/>
        <v>0.17</v>
      </c>
      <c r="P105" s="23">
        <f t="shared" si="28"/>
        <v>0.27</v>
      </c>
      <c r="Q105" s="23">
        <f t="shared" si="28"/>
        <v>0.18</v>
      </c>
      <c r="R105" s="23">
        <f t="shared" si="28"/>
        <v>0.27</v>
      </c>
      <c r="S105" s="23">
        <f t="shared" si="28"/>
        <v>0.19</v>
      </c>
      <c r="T105" s="23">
        <f t="shared" si="28"/>
        <v>0.3</v>
      </c>
      <c r="U105" s="23">
        <f t="shared" si="28"/>
        <v>0.2</v>
      </c>
      <c r="V105" s="24">
        <f t="shared" si="5"/>
        <v>3.8644751167956723E-2</v>
      </c>
      <c r="W105" s="24">
        <f t="shared" si="6"/>
        <v>3.9E-2</v>
      </c>
      <c r="X105" s="24">
        <f t="shared" si="7"/>
        <v>3.8088381515547401E-2</v>
      </c>
      <c r="Y105" s="24">
        <f t="shared" si="8"/>
        <v>5.2500000000000005E-2</v>
      </c>
      <c r="Z105" s="24">
        <f t="shared" si="9"/>
        <v>5.7500000000000002E-2</v>
      </c>
      <c r="AA105" s="3">
        <f ca="1">IFERROR(__xludf.DUMMYFUNCTION("AVERAGE.WEIGHTED(B105:C105,$AF105:$AG105)"),0.042248129483234)</f>
        <v>4.2248129483233997E-2</v>
      </c>
      <c r="AB105" s="3">
        <f ca="1">IFERROR(__xludf.DUMMYFUNCTION("AVERAGE.WEIGHTED(D105:E105,$AH105:$AI105)"),0.0446040824660739)</f>
        <v>4.4604082466073898E-2</v>
      </c>
      <c r="AC105" s="3">
        <f ca="1">IFERROR(__xludf.DUMMYFUNCTION("AVERAGE.WEIGHTED(F105:G105,$AJ105:$AK105)"),0.0490335595623791)</f>
        <v>4.9033559562379099E-2</v>
      </c>
      <c r="AD105" s="3" t="str">
        <f ca="1">IFERROR(__xludf.DUMMYFUNCTION("AVERAGE.WEIGHTED(H105:I105,$AA$25:$AB$25)"),"#VALUE!")</f>
        <v>#VALUE!</v>
      </c>
      <c r="AE105" s="3" t="str">
        <f ca="1">IFERROR(__xludf.DUMMYFUNCTION("AVERAGE.WEIGHTED(J105:K105,$AA$25:$AB$25)"),"#VALUE!")</f>
        <v>#VALUE!</v>
      </c>
      <c r="AF105" s="169">
        <v>0.42636055783729399</v>
      </c>
      <c r="AG105" s="3">
        <f t="shared" si="10"/>
        <v>0.57363944216270601</v>
      </c>
      <c r="AH105" s="169">
        <v>0.42244902589299899</v>
      </c>
      <c r="AI105" s="3">
        <f t="shared" si="11"/>
        <v>0.57755097410700107</v>
      </c>
      <c r="AJ105" s="169">
        <v>0.41061634374450601</v>
      </c>
      <c r="AK105" s="3">
        <f t="shared" si="12"/>
        <v>0.58938365625549394</v>
      </c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</row>
    <row r="106" spans="1:56" ht="15" x14ac:dyDescent="0.25">
      <c r="A106" s="1">
        <v>78</v>
      </c>
      <c r="B106" s="23">
        <f t="shared" si="28"/>
        <v>4.2021944650878801E-2</v>
      </c>
      <c r="C106" s="23">
        <f t="shared" si="28"/>
        <v>3.5267557685034652E-2</v>
      </c>
      <c r="D106" s="23">
        <f t="shared" si="28"/>
        <v>3.7999999999999999E-2</v>
      </c>
      <c r="E106" s="23">
        <f t="shared" si="28"/>
        <v>0.04</v>
      </c>
      <c r="F106" s="23">
        <f t="shared" si="28"/>
        <v>3.6176763031094801E-2</v>
      </c>
      <c r="G106" s="23">
        <f t="shared" si="28"/>
        <v>0.04</v>
      </c>
      <c r="H106" s="23">
        <f t="shared" si="28"/>
        <v>6.4000000000000001E-2</v>
      </c>
      <c r="I106" s="23">
        <f t="shared" si="28"/>
        <v>4.1000000000000002E-2</v>
      </c>
      <c r="J106" s="23">
        <f t="shared" si="28"/>
        <v>7.0000000000000007E-2</v>
      </c>
      <c r="K106" s="23">
        <f t="shared" si="28"/>
        <v>4.4999999999999998E-2</v>
      </c>
      <c r="L106" s="23">
        <f t="shared" si="28"/>
        <v>0.23</v>
      </c>
      <c r="M106" s="23">
        <f t="shared" si="28"/>
        <v>0.16</v>
      </c>
      <c r="N106" s="23">
        <f t="shared" si="28"/>
        <v>0.24</v>
      </c>
      <c r="O106" s="23">
        <f t="shared" si="28"/>
        <v>0.17</v>
      </c>
      <c r="P106" s="23">
        <f t="shared" si="28"/>
        <v>0.27</v>
      </c>
      <c r="Q106" s="23">
        <f t="shared" si="28"/>
        <v>0.18</v>
      </c>
      <c r="R106" s="23">
        <f t="shared" si="28"/>
        <v>0.27</v>
      </c>
      <c r="S106" s="23">
        <f t="shared" si="28"/>
        <v>0.19</v>
      </c>
      <c r="T106" s="23">
        <f t="shared" si="28"/>
        <v>0.3</v>
      </c>
      <c r="U106" s="23">
        <f t="shared" si="28"/>
        <v>0.2</v>
      </c>
      <c r="V106" s="24">
        <f t="shared" si="5"/>
        <v>3.8644751167956723E-2</v>
      </c>
      <c r="W106" s="24">
        <f t="shared" si="6"/>
        <v>3.9E-2</v>
      </c>
      <c r="X106" s="24">
        <f t="shared" si="7"/>
        <v>3.8088381515547401E-2</v>
      </c>
      <c r="Y106" s="24">
        <f t="shared" si="8"/>
        <v>5.2500000000000005E-2</v>
      </c>
      <c r="Z106" s="24">
        <f t="shared" si="9"/>
        <v>5.7500000000000002E-2</v>
      </c>
      <c r="AA106" s="3">
        <f ca="1">IFERROR(__xludf.DUMMYFUNCTION("AVERAGE.WEIGHTED(B106:C106,$AF106:$AG106)"),0.0421573272586863)</f>
        <v>4.2157327258686303E-2</v>
      </c>
      <c r="AB106" s="3">
        <f ca="1">IFERROR(__xludf.DUMMYFUNCTION("AVERAGE.WEIGHTED(D106:E106,$AH106:$AI106)"),0.0444650759025953)</f>
        <v>4.4465075902595297E-2</v>
      </c>
      <c r="AC106" s="3">
        <f ca="1">IFERROR(__xludf.DUMMYFUNCTION("AVERAGE.WEIGHTED(F106:G106,$AJ106:$AK106)"),0.0489046478441487)</f>
        <v>4.8904647844148698E-2</v>
      </c>
      <c r="AD106" s="3" t="str">
        <f ca="1">IFERROR(__xludf.DUMMYFUNCTION("AVERAGE.WEIGHTED(H106:I106,$AA$25:$AB$25)"),"#VALUE!")</f>
        <v>#VALUE!</v>
      </c>
      <c r="AE106" s="3" t="str">
        <f ca="1">IFERROR(__xludf.DUMMYFUNCTION("AVERAGE.WEIGHTED(J106:K106,$AA$25:$AB$25)"),"#VALUE!")</f>
        <v>#VALUE!</v>
      </c>
      <c r="AF106" s="169">
        <v>0.42101925051095901</v>
      </c>
      <c r="AG106" s="3">
        <f t="shared" si="10"/>
        <v>0.57898074948904099</v>
      </c>
      <c r="AH106" s="169">
        <v>0.41472643903307699</v>
      </c>
      <c r="AI106" s="3">
        <f t="shared" si="11"/>
        <v>0.58527356096692307</v>
      </c>
      <c r="AJ106" s="169">
        <v>0.404756720188578</v>
      </c>
      <c r="AK106" s="3">
        <f t="shared" si="12"/>
        <v>0.595243279811422</v>
      </c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</row>
    <row r="107" spans="1:56" ht="15" x14ac:dyDescent="0.25">
      <c r="A107" s="1">
        <v>79</v>
      </c>
      <c r="B107" s="23">
        <f t="shared" si="28"/>
        <v>4.2021944650878801E-2</v>
      </c>
      <c r="C107" s="23">
        <f t="shared" si="28"/>
        <v>3.5267557685034652E-2</v>
      </c>
      <c r="D107" s="23">
        <f t="shared" si="28"/>
        <v>3.7999999999999999E-2</v>
      </c>
      <c r="E107" s="23">
        <f t="shared" si="28"/>
        <v>0.04</v>
      </c>
      <c r="F107" s="23">
        <f t="shared" si="28"/>
        <v>3.6176763031094801E-2</v>
      </c>
      <c r="G107" s="23">
        <f t="shared" si="28"/>
        <v>0.04</v>
      </c>
      <c r="H107" s="23">
        <f t="shared" si="28"/>
        <v>6.4000000000000001E-2</v>
      </c>
      <c r="I107" s="23">
        <f t="shared" si="28"/>
        <v>4.1000000000000002E-2</v>
      </c>
      <c r="J107" s="23">
        <f t="shared" si="28"/>
        <v>7.0000000000000007E-2</v>
      </c>
      <c r="K107" s="23">
        <f t="shared" si="28"/>
        <v>4.4999999999999998E-2</v>
      </c>
      <c r="L107" s="23">
        <f t="shared" si="28"/>
        <v>0.23</v>
      </c>
      <c r="M107" s="23">
        <f t="shared" si="28"/>
        <v>0.16</v>
      </c>
      <c r="N107" s="23">
        <f t="shared" si="28"/>
        <v>0.24</v>
      </c>
      <c r="O107" s="23">
        <f t="shared" si="28"/>
        <v>0.17</v>
      </c>
      <c r="P107" s="23">
        <f t="shared" si="28"/>
        <v>0.27</v>
      </c>
      <c r="Q107" s="23">
        <f t="shared" si="28"/>
        <v>0.18</v>
      </c>
      <c r="R107" s="23">
        <f t="shared" si="28"/>
        <v>0.27</v>
      </c>
      <c r="S107" s="23">
        <f t="shared" si="28"/>
        <v>0.19</v>
      </c>
      <c r="T107" s="23">
        <f t="shared" si="28"/>
        <v>0.3</v>
      </c>
      <c r="U107" s="23">
        <f t="shared" si="28"/>
        <v>0.2</v>
      </c>
      <c r="V107" s="24">
        <f t="shared" si="5"/>
        <v>3.8644751167956723E-2</v>
      </c>
      <c r="W107" s="24">
        <f t="shared" si="6"/>
        <v>3.9E-2</v>
      </c>
      <c r="X107" s="24">
        <f t="shared" si="7"/>
        <v>3.8088381515547401E-2</v>
      </c>
      <c r="Y107" s="24">
        <f t="shared" si="8"/>
        <v>5.2500000000000005E-2</v>
      </c>
      <c r="Z107" s="24">
        <f t="shared" si="9"/>
        <v>5.7500000000000002E-2</v>
      </c>
      <c r="AA107" s="3">
        <f ca="1">IFERROR(__xludf.DUMMYFUNCTION("AVERAGE.WEIGHTED(B107:C107,$AF107:$AG107)"),0.0420485213178229)</f>
        <v>4.2048521317822898E-2</v>
      </c>
      <c r="AB107" s="3">
        <f ca="1">IFERROR(__xludf.DUMMYFUNCTION("AVERAGE.WEIGHTED(D107:E107,$AH107:$AI107)"),0.0442994808834849)</f>
        <v>4.4299480883484899E-2</v>
      </c>
      <c r="AC107" s="3">
        <f ca="1">IFERROR(__xludf.DUMMYFUNCTION("AVERAGE.WEIGHTED(F107:G107,$AJ107:$AK107)"),0.0487913039821706)</f>
        <v>4.8791303982170603E-2</v>
      </c>
      <c r="AD107" s="3" t="str">
        <f ca="1">IFERROR(__xludf.DUMMYFUNCTION("AVERAGE.WEIGHTED(H107:I107,$AA$25:$AB$25)"),"#VALUE!")</f>
        <v>#VALUE!</v>
      </c>
      <c r="AE107" s="3" t="str">
        <f ca="1">IFERROR(__xludf.DUMMYFUNCTION("AVERAGE.WEIGHTED(J107:K107,$AA$25:$AB$25)"),"#VALUE!")</f>
        <v>#VALUE!</v>
      </c>
      <c r="AF107" s="169">
        <v>0.41461890104840599</v>
      </c>
      <c r="AG107" s="3">
        <f t="shared" si="10"/>
        <v>0.58538109895159396</v>
      </c>
      <c r="AH107" s="169">
        <v>0.40552671574916599</v>
      </c>
      <c r="AI107" s="3">
        <f t="shared" si="11"/>
        <v>0.59447328425083401</v>
      </c>
      <c r="AJ107" s="169">
        <v>0.399604726462302</v>
      </c>
      <c r="AK107" s="3">
        <f t="shared" si="12"/>
        <v>0.60039527353769806</v>
      </c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</row>
    <row r="108" spans="1:56" ht="15" x14ac:dyDescent="0.25">
      <c r="A108" s="1">
        <v>80</v>
      </c>
      <c r="B108" s="23">
        <f t="shared" ref="B108:U123" si="29">B$22</f>
        <v>6.6390318338618595E-2</v>
      </c>
      <c r="C108" s="23">
        <f t="shared" si="29"/>
        <v>5.8439318373606552E-2</v>
      </c>
      <c r="D108" s="23">
        <f t="shared" si="29"/>
        <v>5.6000000000000008E-2</v>
      </c>
      <c r="E108" s="23">
        <f t="shared" si="29"/>
        <v>6.4000000000000001E-2</v>
      </c>
      <c r="F108" s="23">
        <f t="shared" si="29"/>
        <v>6.0339468434703704E-2</v>
      </c>
      <c r="G108" s="23">
        <f t="shared" si="29"/>
        <v>6.8000000000000005E-2</v>
      </c>
      <c r="H108" s="23">
        <f t="shared" si="29"/>
        <v>0.1</v>
      </c>
      <c r="I108" s="23">
        <f t="shared" si="29"/>
        <v>7.0000000000000007E-2</v>
      </c>
      <c r="J108" s="23">
        <f t="shared" si="29"/>
        <v>0.11</v>
      </c>
      <c r="K108" s="23">
        <f t="shared" si="29"/>
        <v>0.08</v>
      </c>
      <c r="L108" s="23">
        <f t="shared" si="29"/>
        <v>0.33</v>
      </c>
      <c r="M108" s="23">
        <f t="shared" si="29"/>
        <v>0.25</v>
      </c>
      <c r="N108" s="23">
        <f t="shared" si="29"/>
        <v>0.37</v>
      </c>
      <c r="O108" s="23">
        <f t="shared" si="29"/>
        <v>0.28000000000000003</v>
      </c>
      <c r="P108" s="23">
        <f t="shared" si="29"/>
        <v>0.39</v>
      </c>
      <c r="Q108" s="23">
        <f t="shared" si="29"/>
        <v>0.28999999999999998</v>
      </c>
      <c r="R108" s="23">
        <f t="shared" si="29"/>
        <v>0.41</v>
      </c>
      <c r="S108" s="23">
        <f t="shared" si="29"/>
        <v>0.3</v>
      </c>
      <c r="T108" s="23">
        <f t="shared" si="29"/>
        <v>0.43</v>
      </c>
      <c r="U108" s="23">
        <f t="shared" si="29"/>
        <v>0.33</v>
      </c>
      <c r="V108" s="24">
        <f t="shared" si="5"/>
        <v>6.2414818356112574E-2</v>
      </c>
      <c r="W108" s="24">
        <f t="shared" si="6"/>
        <v>6.0000000000000005E-2</v>
      </c>
      <c r="X108" s="24">
        <f t="shared" si="7"/>
        <v>6.4169734217351851E-2</v>
      </c>
      <c r="Y108" s="24">
        <f t="shared" si="8"/>
        <v>8.5000000000000006E-2</v>
      </c>
      <c r="Z108" s="24">
        <f t="shared" si="9"/>
        <v>9.5000000000000001E-2</v>
      </c>
      <c r="AA108" s="3">
        <f ca="1">IFERROR(__xludf.DUMMYFUNCTION("AVERAGE.WEIGHTED(B108:C108,$AF108:$AG108)"),0.0663531307567778)</f>
        <v>6.6353130756777803E-2</v>
      </c>
      <c r="AB108" s="3">
        <f ca="1">IFERROR(__xludf.DUMMYFUNCTION("AVERAGE.WEIGHTED(D108:E108,$AH108:$AI108)"),0.0752889175495974)</f>
        <v>7.5288917549597406E-2</v>
      </c>
      <c r="AC108" s="3">
        <f ca="1">IFERROR(__xludf.DUMMYFUNCTION("AVERAGE.WEIGHTED(F108:G108,$AJ108:$AK108)"),0.0794459965715417)</f>
        <v>7.9445996571541694E-2</v>
      </c>
      <c r="AD108" s="3" t="str">
        <f ca="1">IFERROR(__xludf.DUMMYFUNCTION("AVERAGE.WEIGHTED(H108:I108,$AA$25:$AB$25)"),"#VALUE!")</f>
        <v>#VALUE!</v>
      </c>
      <c r="AE108" s="3" t="str">
        <f ca="1">IFERROR(__xludf.DUMMYFUNCTION("AVERAGE.WEIGHTED(J108:K108,$AA$25:$AB$25)"),"#VALUE!")</f>
        <v>#VALUE!</v>
      </c>
      <c r="AF108" s="169">
        <v>0.40665785899034301</v>
      </c>
      <c r="AG108" s="3">
        <f t="shared" si="10"/>
        <v>0.59334214100965699</v>
      </c>
      <c r="AH108" s="169">
        <v>0.39572759806144098</v>
      </c>
      <c r="AI108" s="3">
        <f t="shared" si="11"/>
        <v>0.60427240193855902</v>
      </c>
      <c r="AJ108" s="169">
        <v>0.39468953694971398</v>
      </c>
      <c r="AK108" s="3">
        <f t="shared" si="12"/>
        <v>0.60531046305028602</v>
      </c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</row>
    <row r="109" spans="1:56" ht="15" x14ac:dyDescent="0.25">
      <c r="A109" s="1">
        <v>81</v>
      </c>
      <c r="B109" s="23">
        <f t="shared" si="29"/>
        <v>6.6390318338618595E-2</v>
      </c>
      <c r="C109" s="23">
        <f t="shared" si="29"/>
        <v>5.8439318373606552E-2</v>
      </c>
      <c r="D109" s="23">
        <f t="shared" si="29"/>
        <v>5.6000000000000008E-2</v>
      </c>
      <c r="E109" s="23">
        <f t="shared" si="29"/>
        <v>6.4000000000000001E-2</v>
      </c>
      <c r="F109" s="23">
        <f t="shared" si="29"/>
        <v>6.0339468434703704E-2</v>
      </c>
      <c r="G109" s="23">
        <f t="shared" si="29"/>
        <v>6.8000000000000005E-2</v>
      </c>
      <c r="H109" s="23">
        <f t="shared" si="29"/>
        <v>0.1</v>
      </c>
      <c r="I109" s="23">
        <f t="shared" si="29"/>
        <v>7.0000000000000007E-2</v>
      </c>
      <c r="J109" s="23">
        <f t="shared" si="29"/>
        <v>0.11</v>
      </c>
      <c r="K109" s="23">
        <f t="shared" si="29"/>
        <v>0.08</v>
      </c>
      <c r="L109" s="23">
        <f t="shared" si="29"/>
        <v>0.33</v>
      </c>
      <c r="M109" s="23">
        <f t="shared" si="29"/>
        <v>0.25</v>
      </c>
      <c r="N109" s="23">
        <f t="shared" si="29"/>
        <v>0.37</v>
      </c>
      <c r="O109" s="23">
        <f t="shared" si="29"/>
        <v>0.28000000000000003</v>
      </c>
      <c r="P109" s="23">
        <f t="shared" si="29"/>
        <v>0.39</v>
      </c>
      <c r="Q109" s="23">
        <f t="shared" si="29"/>
        <v>0.28999999999999998</v>
      </c>
      <c r="R109" s="23">
        <f t="shared" si="29"/>
        <v>0.41</v>
      </c>
      <c r="S109" s="23">
        <f t="shared" si="29"/>
        <v>0.3</v>
      </c>
      <c r="T109" s="23">
        <f t="shared" si="29"/>
        <v>0.43</v>
      </c>
      <c r="U109" s="23">
        <f t="shared" si="29"/>
        <v>0.33</v>
      </c>
      <c r="V109" s="24">
        <f t="shared" si="5"/>
        <v>6.2414818356112574E-2</v>
      </c>
      <c r="W109" s="24">
        <f t="shared" si="6"/>
        <v>6.0000000000000005E-2</v>
      </c>
      <c r="X109" s="24">
        <f t="shared" si="7"/>
        <v>6.4169734217351851E-2</v>
      </c>
      <c r="Y109" s="24">
        <f t="shared" si="8"/>
        <v>8.5000000000000006E-2</v>
      </c>
      <c r="Z109" s="24">
        <f t="shared" si="9"/>
        <v>9.5000000000000001E-2</v>
      </c>
      <c r="AA109" s="3">
        <f ca="1">IFERROR(__xludf.DUMMYFUNCTION("AVERAGE.WEIGHTED(B109:C109,$AF109:$AG109)"),0.0661446692602123)</f>
        <v>6.6144669260212299E-2</v>
      </c>
      <c r="AB109" s="3">
        <f ca="1">IFERROR(__xludf.DUMMYFUNCTION("AVERAGE.WEIGHTED(D109:E109,$AH109:$AI109)"),0.0750535519825763)</f>
        <v>7.5053551982576294E-2</v>
      </c>
      <c r="AC109" s="3">
        <f ca="1">IFERROR(__xludf.DUMMYFUNCTION("AVERAGE.WEIGHTED(F109:G109,$AJ109:$AK109)"),0.07930851201544)</f>
        <v>7.9308512015439994E-2</v>
      </c>
      <c r="AD109" s="3" t="str">
        <f ca="1">IFERROR(__xludf.DUMMYFUNCTION("AVERAGE.WEIGHTED(H109:I109,$AA$25:$AB$25)"),"#VALUE!")</f>
        <v>#VALUE!</v>
      </c>
      <c r="AE109" s="3" t="str">
        <f ca="1">IFERROR(__xludf.DUMMYFUNCTION("AVERAGE.WEIGHTED(J109:K109,$AA$25:$AB$25)"),"#VALUE!")</f>
        <v>#VALUE!</v>
      </c>
      <c r="AF109" s="169">
        <v>0.39759431566140602</v>
      </c>
      <c r="AG109" s="3">
        <f t="shared" si="10"/>
        <v>0.60240568433859398</v>
      </c>
      <c r="AH109" s="169">
        <v>0.38667507625293801</v>
      </c>
      <c r="AI109" s="3">
        <f t="shared" si="11"/>
        <v>0.61332492374706193</v>
      </c>
      <c r="AJ109" s="169">
        <v>0.38994869018758699</v>
      </c>
      <c r="AK109" s="3">
        <f t="shared" si="12"/>
        <v>0.61005130981241296</v>
      </c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</row>
    <row r="110" spans="1:56" ht="15" x14ac:dyDescent="0.25">
      <c r="A110" s="1">
        <v>82</v>
      </c>
      <c r="B110" s="23">
        <f t="shared" si="29"/>
        <v>6.6390318338618595E-2</v>
      </c>
      <c r="C110" s="23">
        <f t="shared" si="29"/>
        <v>5.8439318373606552E-2</v>
      </c>
      <c r="D110" s="23">
        <f t="shared" si="29"/>
        <v>5.6000000000000008E-2</v>
      </c>
      <c r="E110" s="23">
        <f t="shared" si="29"/>
        <v>6.4000000000000001E-2</v>
      </c>
      <c r="F110" s="23">
        <f t="shared" si="29"/>
        <v>6.0339468434703704E-2</v>
      </c>
      <c r="G110" s="23">
        <f t="shared" si="29"/>
        <v>6.8000000000000005E-2</v>
      </c>
      <c r="H110" s="23">
        <f t="shared" si="29"/>
        <v>0.1</v>
      </c>
      <c r="I110" s="23">
        <f t="shared" si="29"/>
        <v>7.0000000000000007E-2</v>
      </c>
      <c r="J110" s="23">
        <f t="shared" si="29"/>
        <v>0.11</v>
      </c>
      <c r="K110" s="23">
        <f t="shared" si="29"/>
        <v>0.08</v>
      </c>
      <c r="L110" s="23">
        <f t="shared" si="29"/>
        <v>0.33</v>
      </c>
      <c r="M110" s="23">
        <f t="shared" si="29"/>
        <v>0.25</v>
      </c>
      <c r="N110" s="23">
        <f t="shared" si="29"/>
        <v>0.37</v>
      </c>
      <c r="O110" s="23">
        <f t="shared" si="29"/>
        <v>0.28000000000000003</v>
      </c>
      <c r="P110" s="23">
        <f t="shared" si="29"/>
        <v>0.39</v>
      </c>
      <c r="Q110" s="23">
        <f t="shared" si="29"/>
        <v>0.28999999999999998</v>
      </c>
      <c r="R110" s="23">
        <f t="shared" si="29"/>
        <v>0.41</v>
      </c>
      <c r="S110" s="23">
        <f t="shared" si="29"/>
        <v>0.3</v>
      </c>
      <c r="T110" s="23">
        <f t="shared" si="29"/>
        <v>0.43</v>
      </c>
      <c r="U110" s="23">
        <f t="shared" si="29"/>
        <v>0.33</v>
      </c>
      <c r="V110" s="24">
        <f t="shared" si="5"/>
        <v>6.2414818356112574E-2</v>
      </c>
      <c r="W110" s="24">
        <f t="shared" si="6"/>
        <v>6.0000000000000005E-2</v>
      </c>
      <c r="X110" s="24">
        <f t="shared" si="7"/>
        <v>6.4169734217351851E-2</v>
      </c>
      <c r="Y110" s="24">
        <f t="shared" si="8"/>
        <v>8.5000000000000006E-2</v>
      </c>
      <c r="Z110" s="24">
        <f t="shared" si="9"/>
        <v>9.5000000000000001E-2</v>
      </c>
      <c r="AA110" s="3">
        <f ca="1">IFERROR(__xludf.DUMMYFUNCTION("AVERAGE.WEIGHTED(B110:C110,$AF110:$AG110)"),0.06591388922627)</f>
        <v>6.5913889226270006E-2</v>
      </c>
      <c r="AB110" s="3">
        <f ca="1">IFERROR(__xludf.DUMMYFUNCTION("AVERAGE.WEIGHTED(D110:E110,$AH110:$AI110)"),0.07482229649668)</f>
        <v>7.4822296496679999E-2</v>
      </c>
      <c r="AC110" s="3">
        <f ca="1">IFERROR(__xludf.DUMMYFUNCTION("AVERAGE.WEIGHTED(F110:G110,$AJ110:$AK110)"),0.0791759975632044)</f>
        <v>7.9175997563204398E-2</v>
      </c>
      <c r="AD110" s="3" t="str">
        <f ca="1">IFERROR(__xludf.DUMMYFUNCTION("AVERAGE.WEIGHTED(H110:I110,$AA$25:$AB$25)"),"#VALUE!")</f>
        <v>#VALUE!</v>
      </c>
      <c r="AE110" s="3" t="str">
        <f ca="1">IFERROR(__xludf.DUMMYFUNCTION("AVERAGE.WEIGHTED(J110:K110,$AA$25:$AB$25)"),"#VALUE!")</f>
        <v>#VALUE!</v>
      </c>
      <c r="AF110" s="169">
        <v>0.38756040114217399</v>
      </c>
      <c r="AG110" s="3">
        <f t="shared" si="10"/>
        <v>0.61243959885782595</v>
      </c>
      <c r="AH110" s="169">
        <v>0.377780634487693</v>
      </c>
      <c r="AI110" s="3">
        <f t="shared" si="11"/>
        <v>0.62221936551230694</v>
      </c>
      <c r="AJ110" s="169">
        <v>0.38537922631739302</v>
      </c>
      <c r="AK110" s="3">
        <f t="shared" si="12"/>
        <v>0.61462077368260704</v>
      </c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</row>
    <row r="111" spans="1:56" ht="15" x14ac:dyDescent="0.25">
      <c r="A111" s="1">
        <v>83</v>
      </c>
      <c r="B111" s="23">
        <f t="shared" si="29"/>
        <v>6.6390318338618595E-2</v>
      </c>
      <c r="C111" s="23">
        <f t="shared" si="29"/>
        <v>5.8439318373606552E-2</v>
      </c>
      <c r="D111" s="23">
        <f t="shared" si="29"/>
        <v>5.6000000000000008E-2</v>
      </c>
      <c r="E111" s="23">
        <f t="shared" si="29"/>
        <v>6.4000000000000001E-2</v>
      </c>
      <c r="F111" s="23">
        <f t="shared" si="29"/>
        <v>6.0339468434703704E-2</v>
      </c>
      <c r="G111" s="23">
        <f t="shared" si="29"/>
        <v>6.8000000000000005E-2</v>
      </c>
      <c r="H111" s="23">
        <f t="shared" si="29"/>
        <v>0.1</v>
      </c>
      <c r="I111" s="23">
        <f t="shared" si="29"/>
        <v>7.0000000000000007E-2</v>
      </c>
      <c r="J111" s="23">
        <f t="shared" si="29"/>
        <v>0.11</v>
      </c>
      <c r="K111" s="23">
        <f t="shared" si="29"/>
        <v>0.08</v>
      </c>
      <c r="L111" s="23">
        <f t="shared" si="29"/>
        <v>0.33</v>
      </c>
      <c r="M111" s="23">
        <f t="shared" si="29"/>
        <v>0.25</v>
      </c>
      <c r="N111" s="23">
        <f t="shared" si="29"/>
        <v>0.37</v>
      </c>
      <c r="O111" s="23">
        <f t="shared" si="29"/>
        <v>0.28000000000000003</v>
      </c>
      <c r="P111" s="23">
        <f t="shared" si="29"/>
        <v>0.39</v>
      </c>
      <c r="Q111" s="23">
        <f t="shared" si="29"/>
        <v>0.28999999999999998</v>
      </c>
      <c r="R111" s="23">
        <f t="shared" si="29"/>
        <v>0.41</v>
      </c>
      <c r="S111" s="23">
        <f t="shared" si="29"/>
        <v>0.3</v>
      </c>
      <c r="T111" s="23">
        <f t="shared" si="29"/>
        <v>0.43</v>
      </c>
      <c r="U111" s="23">
        <f t="shared" si="29"/>
        <v>0.33</v>
      </c>
      <c r="V111" s="24">
        <f t="shared" si="5"/>
        <v>6.2414818356112574E-2</v>
      </c>
      <c r="W111" s="24">
        <f t="shared" si="6"/>
        <v>6.0000000000000005E-2</v>
      </c>
      <c r="X111" s="24">
        <f t="shared" si="7"/>
        <v>6.4169734217351851E-2</v>
      </c>
      <c r="Y111" s="24">
        <f t="shared" si="8"/>
        <v>8.5000000000000006E-2</v>
      </c>
      <c r="Z111" s="24">
        <f t="shared" si="9"/>
        <v>9.5000000000000001E-2</v>
      </c>
      <c r="AA111" s="3">
        <f ca="1">IFERROR(__xludf.DUMMYFUNCTION("AVERAGE.WEIGHTED(B111:C111,$AF111:$AG111)"),0.0656407798336023)</f>
        <v>6.5640779833602295E-2</v>
      </c>
      <c r="AB111" s="3">
        <f ca="1">IFERROR(__xludf.DUMMYFUNCTION("AVERAGE.WEIGHTED(D111:E111,$AH111:$AI111)"),0.0745881416620657)</f>
        <v>7.4588141662065705E-2</v>
      </c>
      <c r="AC111" s="3">
        <f ca="1">IFERROR(__xludf.DUMMYFUNCTION("AVERAGE.WEIGHTED(F111:G111,$AJ111:$AK111)"),0.0790271781493088)</f>
        <v>7.9027178149308805E-2</v>
      </c>
      <c r="AD111" s="3" t="str">
        <f ca="1">IFERROR(__xludf.DUMMYFUNCTION("AVERAGE.WEIGHTED(H111:I111,$AA$25:$AB$25)"),"#VALUE!")</f>
        <v>#VALUE!</v>
      </c>
      <c r="AE111" s="3" t="str">
        <f ca="1">IFERROR(__xludf.DUMMYFUNCTION("AVERAGE.WEIGHTED(J111:K111,$AA$25:$AB$25)"),"#VALUE!")</f>
        <v>#VALUE!</v>
      </c>
      <c r="AF111" s="169">
        <v>0.37568607972184298</v>
      </c>
      <c r="AG111" s="3">
        <f t="shared" si="10"/>
        <v>0.62431392027815702</v>
      </c>
      <c r="AH111" s="169">
        <v>0.36877467931022201</v>
      </c>
      <c r="AI111" s="3">
        <f t="shared" si="11"/>
        <v>0.63122532068977799</v>
      </c>
      <c r="AJ111" s="169">
        <v>0.38024752238995901</v>
      </c>
      <c r="AK111" s="3">
        <f t="shared" si="12"/>
        <v>0.61975247761004093</v>
      </c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</row>
    <row r="112" spans="1:56" ht="15" x14ac:dyDescent="0.25">
      <c r="A112" s="1">
        <v>84</v>
      </c>
      <c r="B112" s="23">
        <f t="shared" si="29"/>
        <v>6.6390318338618595E-2</v>
      </c>
      <c r="C112" s="23">
        <f t="shared" si="29"/>
        <v>5.8439318373606552E-2</v>
      </c>
      <c r="D112" s="23">
        <f t="shared" si="29"/>
        <v>5.6000000000000008E-2</v>
      </c>
      <c r="E112" s="23">
        <f t="shared" si="29"/>
        <v>6.4000000000000001E-2</v>
      </c>
      <c r="F112" s="23">
        <f t="shared" si="29"/>
        <v>6.0339468434703704E-2</v>
      </c>
      <c r="G112" s="23">
        <f t="shared" si="29"/>
        <v>6.8000000000000005E-2</v>
      </c>
      <c r="H112" s="23">
        <f t="shared" si="29"/>
        <v>0.1</v>
      </c>
      <c r="I112" s="23">
        <f t="shared" si="29"/>
        <v>7.0000000000000007E-2</v>
      </c>
      <c r="J112" s="23">
        <f t="shared" si="29"/>
        <v>0.11</v>
      </c>
      <c r="K112" s="23">
        <f t="shared" si="29"/>
        <v>0.08</v>
      </c>
      <c r="L112" s="23">
        <f t="shared" si="29"/>
        <v>0.33</v>
      </c>
      <c r="M112" s="23">
        <f t="shared" si="29"/>
        <v>0.25</v>
      </c>
      <c r="N112" s="23">
        <f t="shared" si="29"/>
        <v>0.37</v>
      </c>
      <c r="O112" s="23">
        <f t="shared" si="29"/>
        <v>0.28000000000000003</v>
      </c>
      <c r="P112" s="23">
        <f t="shared" si="29"/>
        <v>0.39</v>
      </c>
      <c r="Q112" s="23">
        <f t="shared" si="29"/>
        <v>0.28999999999999998</v>
      </c>
      <c r="R112" s="23">
        <f t="shared" si="29"/>
        <v>0.41</v>
      </c>
      <c r="S112" s="23">
        <f t="shared" si="29"/>
        <v>0.3</v>
      </c>
      <c r="T112" s="23">
        <f t="shared" si="29"/>
        <v>0.43</v>
      </c>
      <c r="U112" s="23">
        <f t="shared" si="29"/>
        <v>0.33</v>
      </c>
      <c r="V112" s="24">
        <f t="shared" si="5"/>
        <v>6.2414818356112574E-2</v>
      </c>
      <c r="W112" s="24">
        <f t="shared" si="6"/>
        <v>6.0000000000000005E-2</v>
      </c>
      <c r="X112" s="24">
        <f t="shared" si="7"/>
        <v>6.4169734217351851E-2</v>
      </c>
      <c r="Y112" s="24">
        <f t="shared" si="8"/>
        <v>8.5000000000000006E-2</v>
      </c>
      <c r="Z112" s="24">
        <f t="shared" si="9"/>
        <v>9.5000000000000001E-2</v>
      </c>
      <c r="AA112" s="3">
        <f ca="1">IFERROR(__xludf.DUMMYFUNCTION("AVERAGE.WEIGHTED(B112:C112,$AF112:$AG112)"),0.06535242302162)</f>
        <v>6.5352423021620004E-2</v>
      </c>
      <c r="AB112" s="3">
        <f ca="1">IFERROR(__xludf.DUMMYFUNCTION("AVERAGE.WEIGHTED(D112:E112,$AH112:$AI112)"),0.0743665616390398)</f>
        <v>7.4366561639039805E-2</v>
      </c>
      <c r="AC112" s="3">
        <f ca="1">IFERROR(__xludf.DUMMYFUNCTION("AVERAGE.WEIGHTED(F112:G112,$AJ112:$AK112)"),0.0788621766641115)</f>
        <v>7.8862176664111494E-2</v>
      </c>
      <c r="AD112" s="3" t="str">
        <f ca="1">IFERROR(__xludf.DUMMYFUNCTION("AVERAGE.WEIGHTED(H112:I112,$AA$25:$AB$25)"),"#VALUE!")</f>
        <v>#VALUE!</v>
      </c>
      <c r="AE112" s="3" t="str">
        <f ca="1">IFERROR(__xludf.DUMMYFUNCTION("AVERAGE.WEIGHTED(J112:K112,$AA$25:$AB$25)"),"#VALUE!")</f>
        <v>#VALUE!</v>
      </c>
      <c r="AF112" s="169">
        <v>0.363148827026957</v>
      </c>
      <c r="AG112" s="3">
        <f t="shared" si="10"/>
        <v>0.63685117297304306</v>
      </c>
      <c r="AH112" s="169">
        <v>0.36025237073230099</v>
      </c>
      <c r="AI112" s="3">
        <f t="shared" si="11"/>
        <v>0.63974762926769901</v>
      </c>
      <c r="AJ112" s="169">
        <v>0.37455781600384702</v>
      </c>
      <c r="AK112" s="3">
        <f t="shared" si="12"/>
        <v>0.62544218399615303</v>
      </c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</row>
    <row r="113" spans="1:56" ht="15" x14ac:dyDescent="0.25">
      <c r="A113" s="1">
        <v>85</v>
      </c>
      <c r="B113" s="23">
        <f t="shared" ref="B113:K128" si="30">B$23</f>
        <v>0.13151959751960099</v>
      </c>
      <c r="C113" s="23">
        <f t="shared" si="30"/>
        <v>0.12789357068313661</v>
      </c>
      <c r="D113" s="23">
        <f t="shared" si="30"/>
        <v>1</v>
      </c>
      <c r="E113" s="23">
        <f t="shared" si="30"/>
        <v>1</v>
      </c>
      <c r="F113" s="23">
        <f t="shared" si="30"/>
        <v>0.139821597655127</v>
      </c>
      <c r="G113" s="23">
        <f t="shared" si="30"/>
        <v>0.17</v>
      </c>
      <c r="H113" s="23">
        <f t="shared" si="30"/>
        <v>0.21</v>
      </c>
      <c r="I113" s="23">
        <f t="shared" si="30"/>
        <v>0.17</v>
      </c>
      <c r="J113" s="23">
        <f t="shared" si="30"/>
        <v>0.21</v>
      </c>
      <c r="K113" s="23">
        <f t="shared" si="30"/>
        <v>0.18</v>
      </c>
      <c r="L113" s="23">
        <f t="shared" si="29"/>
        <v>0.33</v>
      </c>
      <c r="M113" s="23">
        <f t="shared" si="29"/>
        <v>0.25</v>
      </c>
      <c r="N113" s="23">
        <f t="shared" si="29"/>
        <v>0.37</v>
      </c>
      <c r="O113" s="23">
        <f t="shared" si="29"/>
        <v>0.28000000000000003</v>
      </c>
      <c r="P113" s="23">
        <f t="shared" si="29"/>
        <v>0.39</v>
      </c>
      <c r="Q113" s="23">
        <f t="shared" si="29"/>
        <v>0.28999999999999998</v>
      </c>
      <c r="R113" s="23">
        <f t="shared" si="29"/>
        <v>0.41</v>
      </c>
      <c r="S113" s="23">
        <f t="shared" si="29"/>
        <v>0.3</v>
      </c>
      <c r="T113" s="23">
        <f t="shared" si="29"/>
        <v>0.43</v>
      </c>
      <c r="U113" s="23">
        <f t="shared" si="29"/>
        <v>0.33</v>
      </c>
      <c r="V113" s="24">
        <f t="shared" si="5"/>
        <v>0.12970658410136882</v>
      </c>
      <c r="W113" s="24">
        <f t="shared" si="6"/>
        <v>1</v>
      </c>
      <c r="X113" s="24">
        <f t="shared" si="7"/>
        <v>0.15491079882756351</v>
      </c>
      <c r="Y113" s="24">
        <f t="shared" si="8"/>
        <v>0.19</v>
      </c>
      <c r="Z113" s="24">
        <f t="shared" si="9"/>
        <v>0.19500000000000001</v>
      </c>
      <c r="AA113" s="3">
        <f ca="1">IFERROR(__xludf.DUMMYFUNCTION("AVERAGE.WEIGHTED(B113:C113,$AF113:$AG113)"),0.154062048840423)</f>
        <v>0.15406204884042299</v>
      </c>
      <c r="AB113" s="3">
        <f ca="1">IFERROR(__xludf.DUMMYFUNCTION("AVERAGE.WEIGHTED(D113:E113,$AH113:$AI113)"),0.164088755397719)</f>
        <v>0.164088755397719</v>
      </c>
      <c r="AC113" s="3">
        <f ca="1">IFERROR(__xludf.DUMMYFUNCTION("AVERAGE.WEIGHTED(F113:G113,$AJ113:$AK113)"),0.184729886389983)</f>
        <v>0.184729886389983</v>
      </c>
      <c r="AD113" s="3" t="str">
        <f ca="1">IFERROR(__xludf.DUMMYFUNCTION("AVERAGE.WEIGHTED(H113:I113,$AA$25:$AB$25)"),"#VALUE!")</f>
        <v>#VALUE!</v>
      </c>
      <c r="AE113" s="3" t="str">
        <f ca="1">IFERROR(__xludf.DUMMYFUNCTION("AVERAGE.WEIGHTED(J113:K113,$AA$25:$AB$25)"),"#VALUE!")</f>
        <v>#VALUE!</v>
      </c>
      <c r="AF113" s="169">
        <v>0.35155122101059699</v>
      </c>
      <c r="AG113" s="3">
        <f t="shared" si="10"/>
        <v>0.64844877898940301</v>
      </c>
      <c r="AH113" s="169">
        <v>0.35221888494298698</v>
      </c>
      <c r="AI113" s="3">
        <f t="shared" si="11"/>
        <v>0.64778111505701297</v>
      </c>
      <c r="AJ113" s="169">
        <v>0.36824715974959399</v>
      </c>
      <c r="AK113" s="3">
        <f t="shared" si="12"/>
        <v>0.63175284025040601</v>
      </c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</row>
    <row r="114" spans="1:56" ht="15" x14ac:dyDescent="0.25">
      <c r="A114" s="1">
        <v>86</v>
      </c>
      <c r="B114" s="23">
        <f t="shared" si="30"/>
        <v>0.13151959751960099</v>
      </c>
      <c r="C114" s="23">
        <f t="shared" si="30"/>
        <v>0.12789357068313661</v>
      </c>
      <c r="D114" s="23">
        <f t="shared" si="30"/>
        <v>1</v>
      </c>
      <c r="E114" s="23">
        <f t="shared" si="30"/>
        <v>1</v>
      </c>
      <c r="F114" s="23">
        <f t="shared" si="30"/>
        <v>0.139821597655127</v>
      </c>
      <c r="G114" s="23">
        <f t="shared" si="30"/>
        <v>0.17</v>
      </c>
      <c r="H114" s="23">
        <f t="shared" si="30"/>
        <v>0.21</v>
      </c>
      <c r="I114" s="23">
        <f t="shared" si="30"/>
        <v>0.17</v>
      </c>
      <c r="J114" s="23">
        <f t="shared" si="30"/>
        <v>0.21</v>
      </c>
      <c r="K114" s="23">
        <f t="shared" si="30"/>
        <v>0.18</v>
      </c>
      <c r="L114" s="23">
        <f t="shared" si="29"/>
        <v>0.33</v>
      </c>
      <c r="M114" s="23">
        <f t="shared" si="29"/>
        <v>0.25</v>
      </c>
      <c r="N114" s="23">
        <f t="shared" si="29"/>
        <v>0.37</v>
      </c>
      <c r="O114" s="23">
        <f t="shared" si="29"/>
        <v>0.28000000000000003</v>
      </c>
      <c r="P114" s="23">
        <f t="shared" si="29"/>
        <v>0.39</v>
      </c>
      <c r="Q114" s="23">
        <f t="shared" si="29"/>
        <v>0.28999999999999998</v>
      </c>
      <c r="R114" s="23">
        <f t="shared" si="29"/>
        <v>0.41</v>
      </c>
      <c r="S114" s="23">
        <f t="shared" si="29"/>
        <v>0.3</v>
      </c>
      <c r="T114" s="23">
        <f t="shared" si="29"/>
        <v>0.43</v>
      </c>
      <c r="U114" s="23">
        <f t="shared" si="29"/>
        <v>0.33</v>
      </c>
      <c r="V114" s="24">
        <f t="shared" si="5"/>
        <v>0.12970658410136882</v>
      </c>
      <c r="W114" s="24">
        <f t="shared" si="6"/>
        <v>1</v>
      </c>
      <c r="X114" s="24">
        <f t="shared" si="7"/>
        <v>0.15491079882756351</v>
      </c>
      <c r="Y114" s="24">
        <f t="shared" si="8"/>
        <v>0.19</v>
      </c>
      <c r="Z114" s="24">
        <f t="shared" si="9"/>
        <v>0.19500000000000001</v>
      </c>
      <c r="AA114" s="3">
        <f ca="1">IFERROR(__xludf.DUMMYFUNCTION("AVERAGE.WEIGHTED(B114:C114,$AF114:$AG114)"),0.153601703979983)</f>
        <v>0.15360170397998299</v>
      </c>
      <c r="AB114" s="3">
        <f ca="1">IFERROR(__xludf.DUMMYFUNCTION("AVERAGE.WEIGHTED(D114:E114,$AH114:$AI114)"),0.163789388995664)</f>
        <v>0.163789388995664</v>
      </c>
      <c r="AC114" s="3">
        <f ca="1">IFERROR(__xludf.DUMMYFUNCTION("AVERAGE.WEIGHTED(F114:G114,$AJ114:$AK114)"),0.184422667080862)</f>
        <v>0.184422667080862</v>
      </c>
      <c r="AD114" s="3" t="str">
        <f ca="1">IFERROR(__xludf.DUMMYFUNCTION("AVERAGE.WEIGHTED(H114:I114,$AA$25:$AB$25)"),"#VALUE!")</f>
        <v>#VALUE!</v>
      </c>
      <c r="AE114" s="3" t="str">
        <f ca="1">IFERROR(__xludf.DUMMYFUNCTION("AVERAGE.WEIGHTED(J114:K114,$AA$25:$AB$25)"),"#VALUE!")</f>
        <v>#VALUE!</v>
      </c>
      <c r="AF114" s="169">
        <v>0.34004259949959498</v>
      </c>
      <c r="AG114" s="3">
        <f t="shared" si="10"/>
        <v>0.65995740050040497</v>
      </c>
      <c r="AH114" s="169">
        <v>0.34473472489161</v>
      </c>
      <c r="AI114" s="3">
        <f t="shared" si="11"/>
        <v>0.65526527510839006</v>
      </c>
      <c r="AJ114" s="169">
        <v>0.36056667702154999</v>
      </c>
      <c r="AK114" s="3">
        <f t="shared" si="12"/>
        <v>0.63943332297845001</v>
      </c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</row>
    <row r="115" spans="1:56" ht="15" x14ac:dyDescent="0.25">
      <c r="A115" s="1">
        <v>87</v>
      </c>
      <c r="B115" s="23">
        <f t="shared" si="30"/>
        <v>0.13151959751960099</v>
      </c>
      <c r="C115" s="23">
        <f t="shared" si="30"/>
        <v>0.12789357068313661</v>
      </c>
      <c r="D115" s="23">
        <f t="shared" si="30"/>
        <v>1</v>
      </c>
      <c r="E115" s="23">
        <f t="shared" si="30"/>
        <v>1</v>
      </c>
      <c r="F115" s="23">
        <f t="shared" si="30"/>
        <v>0.139821597655127</v>
      </c>
      <c r="G115" s="23">
        <f t="shared" si="30"/>
        <v>0.17</v>
      </c>
      <c r="H115" s="23">
        <f t="shared" si="30"/>
        <v>0.21</v>
      </c>
      <c r="I115" s="23">
        <f t="shared" si="30"/>
        <v>0.17</v>
      </c>
      <c r="J115" s="23">
        <f t="shared" si="30"/>
        <v>0.21</v>
      </c>
      <c r="K115" s="23">
        <f t="shared" si="30"/>
        <v>0.18</v>
      </c>
      <c r="L115" s="23">
        <f t="shared" si="29"/>
        <v>0.33</v>
      </c>
      <c r="M115" s="23">
        <f t="shared" si="29"/>
        <v>0.25</v>
      </c>
      <c r="N115" s="23">
        <f t="shared" si="29"/>
        <v>0.37</v>
      </c>
      <c r="O115" s="23">
        <f t="shared" si="29"/>
        <v>0.28000000000000003</v>
      </c>
      <c r="P115" s="23">
        <f t="shared" si="29"/>
        <v>0.39</v>
      </c>
      <c r="Q115" s="23">
        <f t="shared" si="29"/>
        <v>0.28999999999999998</v>
      </c>
      <c r="R115" s="23">
        <f t="shared" si="29"/>
        <v>0.41</v>
      </c>
      <c r="S115" s="23">
        <f t="shared" si="29"/>
        <v>0.3</v>
      </c>
      <c r="T115" s="23">
        <f t="shared" si="29"/>
        <v>0.43</v>
      </c>
      <c r="U115" s="23">
        <f t="shared" si="29"/>
        <v>0.33</v>
      </c>
      <c r="V115" s="24">
        <f t="shared" si="5"/>
        <v>0.12970658410136882</v>
      </c>
      <c r="W115" s="24">
        <f t="shared" si="6"/>
        <v>1</v>
      </c>
      <c r="X115" s="24">
        <f t="shared" si="7"/>
        <v>0.15491079882756351</v>
      </c>
      <c r="Y115" s="24">
        <f t="shared" si="8"/>
        <v>0.19</v>
      </c>
      <c r="Z115" s="24">
        <f t="shared" si="9"/>
        <v>0.19500000000000001</v>
      </c>
      <c r="AA115" s="3">
        <f ca="1">IFERROR(__xludf.DUMMYFUNCTION("AVERAGE.WEIGHTED(B115:C115,$AF115:$AG115)"),0.153122290180481)</f>
        <v>0.15312229018048101</v>
      </c>
      <c r="AB115" s="3">
        <f ca="1">IFERROR(__xludf.DUMMYFUNCTION("AVERAGE.WEIGHTED(D115:E115,$AH115:$AI115)"),0.163494402880126)</f>
        <v>0.16349440288012601</v>
      </c>
      <c r="AC115" s="3">
        <f ca="1">IFERROR(__xludf.DUMMYFUNCTION("AVERAGE.WEIGHTED(F115:G115,$AJ115:$AK115)"),0.184046073376117)</f>
        <v>0.184046073376117</v>
      </c>
      <c r="AD115" s="3" t="str">
        <f ca="1">IFERROR(__xludf.DUMMYFUNCTION("AVERAGE.WEIGHTED(H115:I115,$AA$25:$AB$25)"),"#VALUE!")</f>
        <v>#VALUE!</v>
      </c>
      <c r="AE115" s="3" t="str">
        <f ca="1">IFERROR(__xludf.DUMMYFUNCTION("AVERAGE.WEIGHTED(J115:K115,$AA$25:$AB$25)"),"#VALUE!")</f>
        <v>#VALUE!</v>
      </c>
      <c r="AF115" s="169">
        <v>0.32805725451202999</v>
      </c>
      <c r="AG115" s="3">
        <f t="shared" si="10"/>
        <v>0.67194274548797006</v>
      </c>
      <c r="AH115" s="169">
        <v>0.33736007200314999</v>
      </c>
      <c r="AI115" s="3">
        <f t="shared" si="11"/>
        <v>0.66263992799685001</v>
      </c>
      <c r="AJ115" s="169">
        <v>0.35115183440293801</v>
      </c>
      <c r="AK115" s="3">
        <f t="shared" si="12"/>
        <v>0.64884816559706193</v>
      </c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</row>
    <row r="116" spans="1:56" ht="15" x14ac:dyDescent="0.25">
      <c r="A116" s="1">
        <v>88</v>
      </c>
      <c r="B116" s="23">
        <f t="shared" si="30"/>
        <v>0.13151959751960099</v>
      </c>
      <c r="C116" s="23">
        <f t="shared" si="30"/>
        <v>0.12789357068313661</v>
      </c>
      <c r="D116" s="23">
        <f t="shared" si="30"/>
        <v>1</v>
      </c>
      <c r="E116" s="23">
        <f t="shared" si="30"/>
        <v>1</v>
      </c>
      <c r="F116" s="23">
        <f t="shared" si="30"/>
        <v>0.139821597655127</v>
      </c>
      <c r="G116" s="23">
        <f t="shared" si="30"/>
        <v>0.17</v>
      </c>
      <c r="H116" s="23">
        <f t="shared" si="30"/>
        <v>0.21</v>
      </c>
      <c r="I116" s="23">
        <f t="shared" si="30"/>
        <v>0.17</v>
      </c>
      <c r="J116" s="23">
        <f t="shared" si="30"/>
        <v>0.21</v>
      </c>
      <c r="K116" s="23">
        <f t="shared" si="30"/>
        <v>0.18</v>
      </c>
      <c r="L116" s="23">
        <f t="shared" si="29"/>
        <v>0.33</v>
      </c>
      <c r="M116" s="23">
        <f t="shared" si="29"/>
        <v>0.25</v>
      </c>
      <c r="N116" s="23">
        <f t="shared" si="29"/>
        <v>0.37</v>
      </c>
      <c r="O116" s="23">
        <f t="shared" si="29"/>
        <v>0.28000000000000003</v>
      </c>
      <c r="P116" s="23">
        <f t="shared" si="29"/>
        <v>0.39</v>
      </c>
      <c r="Q116" s="23">
        <f t="shared" si="29"/>
        <v>0.28999999999999998</v>
      </c>
      <c r="R116" s="23">
        <f t="shared" si="29"/>
        <v>0.41</v>
      </c>
      <c r="S116" s="23">
        <f t="shared" si="29"/>
        <v>0.3</v>
      </c>
      <c r="T116" s="23">
        <f t="shared" si="29"/>
        <v>0.43</v>
      </c>
      <c r="U116" s="23">
        <f t="shared" si="29"/>
        <v>0.33</v>
      </c>
      <c r="V116" s="24">
        <f t="shared" si="5"/>
        <v>0.12970658410136882</v>
      </c>
      <c r="W116" s="24">
        <f t="shared" si="6"/>
        <v>1</v>
      </c>
      <c r="X116" s="24">
        <f t="shared" si="7"/>
        <v>0.15491079882756351</v>
      </c>
      <c r="Y116" s="24">
        <f t="shared" si="8"/>
        <v>0.19</v>
      </c>
      <c r="Z116" s="24">
        <f t="shared" si="9"/>
        <v>0.19500000000000001</v>
      </c>
      <c r="AA116" s="3">
        <f ca="1">IFERROR(__xludf.DUMMYFUNCTION("AVERAGE.WEIGHTED(B116:C116,$AF116:$AG116)"),0.152642419771302)</f>
        <v>0.152642419771302</v>
      </c>
      <c r="AB116" s="3">
        <f ca="1">IFERROR(__xludf.DUMMYFUNCTION("AVERAGE.WEIGHTED(D116:E116,$AH116:$AI116)"),0.163157817969661)</f>
        <v>0.163157817969661</v>
      </c>
      <c r="AC116" s="3">
        <f ca="1">IFERROR(__xludf.DUMMYFUNCTION("AVERAGE.WEIGHTED(F116:G116,$AJ116:$AK116)"),0.183599129233064)</f>
        <v>0.18359912923306401</v>
      </c>
      <c r="AD116" s="3" t="str">
        <f ca="1">IFERROR(__xludf.DUMMYFUNCTION("AVERAGE.WEIGHTED(H116:I116,$AA$25:$AB$25)"),"#VALUE!")</f>
        <v>#VALUE!</v>
      </c>
      <c r="AE116" s="3" t="str">
        <f ca="1">IFERROR(__xludf.DUMMYFUNCTION("AVERAGE.WEIGHTED(J116:K116,$AA$25:$AB$25)"),"#VALUE!")</f>
        <v>#VALUE!</v>
      </c>
      <c r="AF116" s="169">
        <v>0.31606049428255301</v>
      </c>
      <c r="AG116" s="3">
        <f t="shared" si="10"/>
        <v>0.68393950571744699</v>
      </c>
      <c r="AH116" s="169">
        <v>0.32894544924154001</v>
      </c>
      <c r="AI116" s="3">
        <f t="shared" si="11"/>
        <v>0.67105455075845999</v>
      </c>
      <c r="AJ116" s="169">
        <v>0.33997823082661699</v>
      </c>
      <c r="AK116" s="3">
        <f t="shared" si="12"/>
        <v>0.66002176917338296</v>
      </c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</row>
    <row r="117" spans="1:56" ht="15" x14ac:dyDescent="0.25">
      <c r="A117" s="1">
        <v>89</v>
      </c>
      <c r="B117" s="23">
        <f t="shared" si="30"/>
        <v>0.13151959751960099</v>
      </c>
      <c r="C117" s="23">
        <f t="shared" si="30"/>
        <v>0.12789357068313661</v>
      </c>
      <c r="D117" s="23">
        <f t="shared" si="30"/>
        <v>1</v>
      </c>
      <c r="E117" s="23">
        <f t="shared" si="30"/>
        <v>1</v>
      </c>
      <c r="F117" s="23">
        <f t="shared" si="30"/>
        <v>0.139821597655127</v>
      </c>
      <c r="G117" s="23">
        <f t="shared" si="30"/>
        <v>0.17</v>
      </c>
      <c r="H117" s="23">
        <f t="shared" si="30"/>
        <v>0.21</v>
      </c>
      <c r="I117" s="23">
        <f t="shared" si="30"/>
        <v>0.17</v>
      </c>
      <c r="J117" s="23">
        <f t="shared" si="30"/>
        <v>0.21</v>
      </c>
      <c r="K117" s="23">
        <f t="shared" si="30"/>
        <v>0.18</v>
      </c>
      <c r="L117" s="23">
        <f t="shared" si="29"/>
        <v>0.33</v>
      </c>
      <c r="M117" s="23">
        <f t="shared" si="29"/>
        <v>0.25</v>
      </c>
      <c r="N117" s="23">
        <f t="shared" si="29"/>
        <v>0.37</v>
      </c>
      <c r="O117" s="23">
        <f t="shared" si="29"/>
        <v>0.28000000000000003</v>
      </c>
      <c r="P117" s="23">
        <f t="shared" si="29"/>
        <v>0.39</v>
      </c>
      <c r="Q117" s="23">
        <f t="shared" si="29"/>
        <v>0.28999999999999998</v>
      </c>
      <c r="R117" s="23">
        <f t="shared" si="29"/>
        <v>0.41</v>
      </c>
      <c r="S117" s="23">
        <f t="shared" si="29"/>
        <v>0.3</v>
      </c>
      <c r="T117" s="23">
        <f t="shared" si="29"/>
        <v>0.43</v>
      </c>
      <c r="U117" s="23">
        <f t="shared" si="29"/>
        <v>0.33</v>
      </c>
      <c r="V117" s="24">
        <f t="shared" si="5"/>
        <v>0.12970658410136882</v>
      </c>
      <c r="W117" s="24">
        <f t="shared" si="6"/>
        <v>1</v>
      </c>
      <c r="X117" s="24">
        <f t="shared" si="7"/>
        <v>0.15491079882756351</v>
      </c>
      <c r="Y117" s="24">
        <f t="shared" si="8"/>
        <v>0.19</v>
      </c>
      <c r="Z117" s="24">
        <f t="shared" si="9"/>
        <v>0.19500000000000001</v>
      </c>
      <c r="AA117" s="3">
        <f ca="1">IFERROR(__xludf.DUMMYFUNCTION("AVERAGE.WEIGHTED(B117:C117,$AF117:$AG117)"),0.152161392161392)</f>
        <v>0.15216139216139199</v>
      </c>
      <c r="AB117" s="3">
        <f ca="1">IFERROR(__xludf.DUMMYFUNCTION("AVERAGE.WEIGHTED(D117:E117,$AH117:$AI117)"),0.162758470263196)</f>
        <v>0.16275847026319601</v>
      </c>
      <c r="AC117" s="3">
        <f ca="1">IFERROR(__xludf.DUMMYFUNCTION("AVERAGE.WEIGHTED(F117:G117,$AJ117:$AK117)"),0.18308736328897)</f>
        <v>0.18308736328896999</v>
      </c>
      <c r="AD117" s="3" t="str">
        <f ca="1">IFERROR(__xludf.DUMMYFUNCTION("AVERAGE.WEIGHTED(H117:I117,$AA$25:$AB$25)"),"#VALUE!")</f>
        <v>#VALUE!</v>
      </c>
      <c r="AE117" s="3" t="str">
        <f ca="1">IFERROR(__xludf.DUMMYFUNCTION("AVERAGE.WEIGHTED(J117:K117,$AA$25:$AB$25)"),"#VALUE!")</f>
        <v>#VALUE!</v>
      </c>
      <c r="AF117" s="169">
        <v>0.30403480403480398</v>
      </c>
      <c r="AG117" s="3">
        <f t="shared" si="10"/>
        <v>0.69596519596519602</v>
      </c>
      <c r="AH117" s="169">
        <v>0.318961756579904</v>
      </c>
      <c r="AI117" s="3">
        <f t="shared" si="11"/>
        <v>0.681038243420096</v>
      </c>
      <c r="AJ117" s="169">
        <v>0.32718408222427198</v>
      </c>
      <c r="AK117" s="3">
        <f t="shared" si="12"/>
        <v>0.67281591777572802</v>
      </c>
    </row>
    <row r="118" spans="1:56" ht="15" x14ac:dyDescent="0.25">
      <c r="A118" s="1">
        <v>90</v>
      </c>
      <c r="B118" s="23">
        <f t="shared" si="30"/>
        <v>0.13151959751960099</v>
      </c>
      <c r="C118" s="23">
        <f t="shared" si="30"/>
        <v>0.12789357068313661</v>
      </c>
      <c r="D118" s="23">
        <f t="shared" si="30"/>
        <v>1</v>
      </c>
      <c r="E118" s="23">
        <f t="shared" si="30"/>
        <v>1</v>
      </c>
      <c r="F118" s="23">
        <f t="shared" si="30"/>
        <v>0.139821597655127</v>
      </c>
      <c r="G118" s="23">
        <f t="shared" si="30"/>
        <v>0.17</v>
      </c>
      <c r="H118" s="23">
        <f t="shared" si="30"/>
        <v>0.21</v>
      </c>
      <c r="I118" s="23">
        <f t="shared" si="30"/>
        <v>0.17</v>
      </c>
      <c r="J118" s="23">
        <f t="shared" si="30"/>
        <v>0.21</v>
      </c>
      <c r="K118" s="23">
        <f t="shared" si="30"/>
        <v>0.18</v>
      </c>
      <c r="L118" s="23">
        <f t="shared" si="29"/>
        <v>0.33</v>
      </c>
      <c r="M118" s="23">
        <f t="shared" si="29"/>
        <v>0.25</v>
      </c>
      <c r="N118" s="23">
        <f t="shared" si="29"/>
        <v>0.37</v>
      </c>
      <c r="O118" s="23">
        <f t="shared" si="29"/>
        <v>0.28000000000000003</v>
      </c>
      <c r="P118" s="23">
        <f t="shared" si="29"/>
        <v>0.39</v>
      </c>
      <c r="Q118" s="23">
        <f t="shared" si="29"/>
        <v>0.28999999999999998</v>
      </c>
      <c r="R118" s="23">
        <f t="shared" si="29"/>
        <v>0.41</v>
      </c>
      <c r="S118" s="23">
        <f t="shared" si="29"/>
        <v>0.3</v>
      </c>
      <c r="T118" s="23">
        <f t="shared" si="29"/>
        <v>0.43</v>
      </c>
      <c r="U118" s="23">
        <f t="shared" si="29"/>
        <v>0.33</v>
      </c>
      <c r="V118" s="24">
        <f t="shared" si="5"/>
        <v>0.12970658410136882</v>
      </c>
      <c r="W118" s="24">
        <f t="shared" si="6"/>
        <v>1</v>
      </c>
      <c r="X118" s="24">
        <f t="shared" si="7"/>
        <v>0.15491079882756351</v>
      </c>
      <c r="Y118" s="24">
        <f t="shared" si="8"/>
        <v>0.19</v>
      </c>
      <c r="Z118" s="24">
        <f t="shared" si="9"/>
        <v>0.19500000000000001</v>
      </c>
      <c r="AA118" s="3">
        <f ca="1">IFERROR(__xludf.DUMMYFUNCTION("AVERAGE.WEIGHTED(B118:C118,$AF118:$AG118)"),0.151684302445038)</f>
        <v>0.151684302445038</v>
      </c>
      <c r="AB118" s="3">
        <f ca="1">IFERROR(__xludf.DUMMYFUNCTION("AVERAGE.WEIGHTED(D118:E118,$AH118:$AI118)"),0.162287160607455)</f>
        <v>0.16228716060745499</v>
      </c>
      <c r="AC118" s="3">
        <f ca="1">IFERROR(__xludf.DUMMYFUNCTION("AVERAGE.WEIGHTED(F118:G118,$AJ118:$AK118)"),0.182521071065416)</f>
        <v>0.18252107106541601</v>
      </c>
      <c r="AD118" s="3" t="str">
        <f ca="1">IFERROR(__xludf.DUMMYFUNCTION("AVERAGE.WEIGHTED(H118:I118,$AA$25:$AB$25)"),"#VALUE!")</f>
        <v>#VALUE!</v>
      </c>
      <c r="AE118" s="3" t="str">
        <f ca="1">IFERROR(__xludf.DUMMYFUNCTION("AVERAGE.WEIGHTED(J118:K118,$AA$25:$AB$25)"),"#VALUE!")</f>
        <v>#VALUE!</v>
      </c>
      <c r="AF118" s="169">
        <v>0.29210756112594999</v>
      </c>
      <c r="AG118" s="3">
        <f t="shared" si="10"/>
        <v>0.70789243887404996</v>
      </c>
      <c r="AH118" s="169">
        <v>0.30717901518637802</v>
      </c>
      <c r="AI118" s="3">
        <f t="shared" si="11"/>
        <v>0.69282098481362198</v>
      </c>
      <c r="AJ118" s="169">
        <v>0.31302677663540801</v>
      </c>
      <c r="AK118" s="3">
        <f t="shared" si="12"/>
        <v>0.68697322336459199</v>
      </c>
    </row>
    <row r="119" spans="1:56" ht="15" x14ac:dyDescent="0.25">
      <c r="A119" s="1">
        <v>91</v>
      </c>
      <c r="B119" s="23">
        <f t="shared" si="30"/>
        <v>0.13151959751960099</v>
      </c>
      <c r="C119" s="23">
        <f t="shared" si="30"/>
        <v>0.12789357068313661</v>
      </c>
      <c r="D119" s="23">
        <f t="shared" si="30"/>
        <v>1</v>
      </c>
      <c r="E119" s="23">
        <f t="shared" si="30"/>
        <v>1</v>
      </c>
      <c r="F119" s="23">
        <f t="shared" si="30"/>
        <v>0.139821597655127</v>
      </c>
      <c r="G119" s="23">
        <f t="shared" si="30"/>
        <v>0.17</v>
      </c>
      <c r="H119" s="23">
        <f t="shared" si="30"/>
        <v>0.21</v>
      </c>
      <c r="I119" s="23">
        <f t="shared" si="30"/>
        <v>0.17</v>
      </c>
      <c r="J119" s="23">
        <f t="shared" si="30"/>
        <v>0.21</v>
      </c>
      <c r="K119" s="23">
        <f t="shared" si="30"/>
        <v>0.18</v>
      </c>
      <c r="L119" s="23">
        <f t="shared" si="29"/>
        <v>0.33</v>
      </c>
      <c r="M119" s="23">
        <f t="shared" si="29"/>
        <v>0.25</v>
      </c>
      <c r="N119" s="23">
        <f t="shared" si="29"/>
        <v>0.37</v>
      </c>
      <c r="O119" s="23">
        <f t="shared" si="29"/>
        <v>0.28000000000000003</v>
      </c>
      <c r="P119" s="23">
        <f t="shared" si="29"/>
        <v>0.39</v>
      </c>
      <c r="Q119" s="23">
        <f t="shared" si="29"/>
        <v>0.28999999999999998</v>
      </c>
      <c r="R119" s="23">
        <f t="shared" si="29"/>
        <v>0.41</v>
      </c>
      <c r="S119" s="23">
        <f t="shared" si="29"/>
        <v>0.3</v>
      </c>
      <c r="T119" s="23">
        <f t="shared" si="29"/>
        <v>0.43</v>
      </c>
      <c r="U119" s="23">
        <f t="shared" si="29"/>
        <v>0.33</v>
      </c>
      <c r="V119" s="24">
        <f t="shared" si="5"/>
        <v>0.12970658410136882</v>
      </c>
      <c r="W119" s="24">
        <f t="shared" si="6"/>
        <v>1</v>
      </c>
      <c r="X119" s="24">
        <f t="shared" si="7"/>
        <v>0.15491079882756351</v>
      </c>
      <c r="Y119" s="24">
        <f t="shared" si="8"/>
        <v>0.19</v>
      </c>
      <c r="Z119" s="24">
        <f t="shared" si="9"/>
        <v>0.19500000000000001</v>
      </c>
      <c r="AA119" s="3">
        <f ca="1">IFERROR(__xludf.DUMMYFUNCTION("AVERAGE.WEIGHTED(B119:C119,$AF119:$AG119)"),0.151211726154821)</f>
        <v>0.15121172615482101</v>
      </c>
      <c r="AB119" s="3">
        <f ca="1">IFERROR(__xludf.DUMMYFUNCTION("AVERAGE.WEIGHTED(D119:E119,$AH119:$AI119)"),0.161733284634875)</f>
        <v>0.16173328463487499</v>
      </c>
      <c r="AC119" s="3">
        <f ca="1">IFERROR(__xludf.DUMMYFUNCTION("AVERAGE.WEIGHTED(F119:G119,$AJ119:$AK119)"),0.18190909090909)</f>
        <v>0.18190909090908999</v>
      </c>
      <c r="AD119" s="3" t="str">
        <f ca="1">IFERROR(__xludf.DUMMYFUNCTION("AVERAGE.WEIGHTED(H119:I119,$AA$25:$AB$25)"),"#VALUE!")</f>
        <v>#VALUE!</v>
      </c>
      <c r="AE119" s="3" t="str">
        <f ca="1">IFERROR(__xludf.DUMMYFUNCTION("AVERAGE.WEIGHTED(J119:K119,$AA$25:$AB$25)"),"#VALUE!")</f>
        <v>#VALUE!</v>
      </c>
      <c r="AF119" s="169">
        <v>0.28029315387054698</v>
      </c>
      <c r="AG119" s="3">
        <f t="shared" si="10"/>
        <v>0.71970684612945302</v>
      </c>
      <c r="AH119" s="169">
        <v>0.29333211587189301</v>
      </c>
      <c r="AI119" s="3">
        <f t="shared" si="11"/>
        <v>0.70666788412810699</v>
      </c>
      <c r="AJ119" s="169">
        <v>0.29772727272727301</v>
      </c>
      <c r="AK119" s="3">
        <f t="shared" si="12"/>
        <v>0.70227272727272694</v>
      </c>
    </row>
    <row r="120" spans="1:56" ht="15" x14ac:dyDescent="0.25">
      <c r="A120" s="1">
        <v>92</v>
      </c>
      <c r="B120" s="23">
        <f t="shared" si="30"/>
        <v>0.13151959751960099</v>
      </c>
      <c r="C120" s="23">
        <f t="shared" si="30"/>
        <v>0.12789357068313661</v>
      </c>
      <c r="D120" s="23">
        <f t="shared" si="30"/>
        <v>1</v>
      </c>
      <c r="E120" s="23">
        <f t="shared" si="30"/>
        <v>1</v>
      </c>
      <c r="F120" s="23">
        <f t="shared" si="30"/>
        <v>0.139821597655127</v>
      </c>
      <c r="G120" s="23">
        <f t="shared" si="30"/>
        <v>0.17</v>
      </c>
      <c r="H120" s="23">
        <f t="shared" si="30"/>
        <v>0.21</v>
      </c>
      <c r="I120" s="23">
        <f t="shared" si="30"/>
        <v>0.17</v>
      </c>
      <c r="J120" s="23">
        <f t="shared" si="30"/>
        <v>0.21</v>
      </c>
      <c r="K120" s="23">
        <f t="shared" si="30"/>
        <v>0.18</v>
      </c>
      <c r="L120" s="23">
        <f t="shared" si="29"/>
        <v>0.33</v>
      </c>
      <c r="M120" s="23">
        <f t="shared" si="29"/>
        <v>0.25</v>
      </c>
      <c r="N120" s="23">
        <f t="shared" si="29"/>
        <v>0.37</v>
      </c>
      <c r="O120" s="23">
        <f t="shared" si="29"/>
        <v>0.28000000000000003</v>
      </c>
      <c r="P120" s="23">
        <f t="shared" si="29"/>
        <v>0.39</v>
      </c>
      <c r="Q120" s="23">
        <f t="shared" si="29"/>
        <v>0.28999999999999998</v>
      </c>
      <c r="R120" s="23">
        <f t="shared" si="29"/>
        <v>0.41</v>
      </c>
      <c r="S120" s="23">
        <f t="shared" si="29"/>
        <v>0.3</v>
      </c>
      <c r="T120" s="23">
        <f t="shared" si="29"/>
        <v>0.43</v>
      </c>
      <c r="U120" s="23">
        <f t="shared" si="29"/>
        <v>0.33</v>
      </c>
      <c r="V120" s="24">
        <f t="shared" si="5"/>
        <v>0.12970658410136882</v>
      </c>
      <c r="W120" s="24">
        <f t="shared" si="6"/>
        <v>1</v>
      </c>
      <c r="X120" s="24">
        <f t="shared" si="7"/>
        <v>0.15491079882756351</v>
      </c>
      <c r="Y120" s="24">
        <f t="shared" si="8"/>
        <v>0.19</v>
      </c>
      <c r="Z120" s="24">
        <f t="shared" si="9"/>
        <v>0.19500000000000001</v>
      </c>
      <c r="AA120" s="3">
        <f ca="1">IFERROR(__xludf.DUMMYFUNCTION("AVERAGE.WEIGHTED(B120:C120,$AF120:$AG120)"),0.150733235535443)</f>
        <v>0.15073323553544299</v>
      </c>
      <c r="AB120" s="3">
        <f ca="1">IFERROR(__xludf.DUMMYFUNCTION("AVERAGE.WEIGHTED(D120:E120,$AH120:$AI120)"),0.161125741477087)</f>
        <v>0.161125741477087</v>
      </c>
      <c r="AC120" s="3">
        <f ca="1">IFERROR(__xludf.DUMMYFUNCTION("AVERAGE.WEIGHTED(F120:G120,$AJ120:$AK120)"),0.181264378104999)</f>
        <v>0.18126437810499901</v>
      </c>
      <c r="AD120" s="3" t="str">
        <f ca="1">IFERROR(__xludf.DUMMYFUNCTION("AVERAGE.WEIGHTED(H120:I120,$AA$25:$AB$25)"),"#VALUE!")</f>
        <v>#VALUE!</v>
      </c>
      <c r="AE120" s="3" t="str">
        <f ca="1">IFERROR(__xludf.DUMMYFUNCTION("AVERAGE.WEIGHTED(J120:K120,$AA$25:$AB$25)"),"#VALUE!")</f>
        <v>#VALUE!</v>
      </c>
      <c r="AF120" s="169">
        <v>0.26833088838608599</v>
      </c>
      <c r="AG120" s="3">
        <f t="shared" si="10"/>
        <v>0.73166911161391401</v>
      </c>
      <c r="AH120" s="169">
        <v>0.27814353692718902</v>
      </c>
      <c r="AI120" s="3">
        <f t="shared" si="11"/>
        <v>0.72185646307281104</v>
      </c>
      <c r="AJ120" s="169">
        <v>0.28160945262498299</v>
      </c>
      <c r="AK120" s="3">
        <f t="shared" si="12"/>
        <v>0.71839054737501695</v>
      </c>
    </row>
    <row r="121" spans="1:56" ht="15" x14ac:dyDescent="0.25">
      <c r="A121" s="1">
        <v>93</v>
      </c>
      <c r="B121" s="23">
        <f t="shared" si="30"/>
        <v>0.13151959751960099</v>
      </c>
      <c r="C121" s="23">
        <f t="shared" si="30"/>
        <v>0.12789357068313661</v>
      </c>
      <c r="D121" s="23">
        <f t="shared" si="30"/>
        <v>1</v>
      </c>
      <c r="E121" s="23">
        <f t="shared" si="30"/>
        <v>1</v>
      </c>
      <c r="F121" s="23">
        <f t="shared" si="30"/>
        <v>0.139821597655127</v>
      </c>
      <c r="G121" s="23">
        <f t="shared" si="30"/>
        <v>0.17</v>
      </c>
      <c r="H121" s="23">
        <f t="shared" si="30"/>
        <v>0.21</v>
      </c>
      <c r="I121" s="23">
        <f t="shared" si="30"/>
        <v>0.17</v>
      </c>
      <c r="J121" s="23">
        <f t="shared" si="30"/>
        <v>0.21</v>
      </c>
      <c r="K121" s="23">
        <f t="shared" si="30"/>
        <v>0.18</v>
      </c>
      <c r="L121" s="23">
        <f t="shared" si="29"/>
        <v>0.33</v>
      </c>
      <c r="M121" s="23">
        <f t="shared" si="29"/>
        <v>0.25</v>
      </c>
      <c r="N121" s="23">
        <f t="shared" si="29"/>
        <v>0.37</v>
      </c>
      <c r="O121" s="23">
        <f t="shared" si="29"/>
        <v>0.28000000000000003</v>
      </c>
      <c r="P121" s="23">
        <f t="shared" si="29"/>
        <v>0.39</v>
      </c>
      <c r="Q121" s="23">
        <f t="shared" si="29"/>
        <v>0.28999999999999998</v>
      </c>
      <c r="R121" s="23">
        <f t="shared" si="29"/>
        <v>0.41</v>
      </c>
      <c r="S121" s="23">
        <f t="shared" si="29"/>
        <v>0.3</v>
      </c>
      <c r="T121" s="23">
        <f t="shared" si="29"/>
        <v>0.43</v>
      </c>
      <c r="U121" s="23">
        <f t="shared" si="29"/>
        <v>0.33</v>
      </c>
      <c r="V121" s="24">
        <f t="shared" si="5"/>
        <v>0.12970658410136882</v>
      </c>
      <c r="W121" s="24">
        <f t="shared" si="6"/>
        <v>1</v>
      </c>
      <c r="X121" s="24">
        <f t="shared" si="7"/>
        <v>0.15491079882756351</v>
      </c>
      <c r="Y121" s="24">
        <f t="shared" si="8"/>
        <v>0.19</v>
      </c>
      <c r="Z121" s="24">
        <f t="shared" si="9"/>
        <v>0.19500000000000001</v>
      </c>
      <c r="AA121" s="3">
        <f ca="1">IFERROR(__xludf.DUMMYFUNCTION("AVERAGE.WEIGHTED(B121:C121,$AF121:$AG121)"),0.150265842793504)</f>
        <v>0.150265842793504</v>
      </c>
      <c r="AB121" s="3">
        <f ca="1">IFERROR(__xludf.DUMMYFUNCTION("AVERAGE.WEIGHTED(D121:E121,$AH121:$AI121)"),0.160518688024408)</f>
        <v>0.160518688024408</v>
      </c>
      <c r="AC121" s="3">
        <f ca="1">IFERROR(__xludf.DUMMYFUNCTION("AVERAGE.WEIGHTED(F121:G121,$AJ121:$AK121)"),0.180617283950617)</f>
        <v>0.18061728395061699</v>
      </c>
      <c r="AD121" s="3" t="str">
        <f ca="1">IFERROR(__xludf.DUMMYFUNCTION("AVERAGE.WEIGHTED(H121:I121,$AA$25:$AB$25)"),"#VALUE!")</f>
        <v>#VALUE!</v>
      </c>
      <c r="AE121" s="3" t="str">
        <f ca="1">IFERROR(__xludf.DUMMYFUNCTION("AVERAGE.WEIGHTED(J121:K121,$AA$25:$AB$25)"),"#VALUE!")</f>
        <v>#VALUE!</v>
      </c>
      <c r="AF121" s="169">
        <v>0.25664606983762001</v>
      </c>
      <c r="AG121" s="3">
        <f t="shared" si="10"/>
        <v>0.74335393016237994</v>
      </c>
      <c r="AH121" s="169">
        <v>0.262967200610221</v>
      </c>
      <c r="AI121" s="3">
        <f t="shared" si="11"/>
        <v>0.73703279938977895</v>
      </c>
      <c r="AJ121" s="169">
        <v>0.265432098765432</v>
      </c>
      <c r="AK121" s="3">
        <f t="shared" si="12"/>
        <v>0.73456790123456805</v>
      </c>
    </row>
    <row r="122" spans="1:56" ht="15" x14ac:dyDescent="0.25">
      <c r="A122" s="1">
        <v>94</v>
      </c>
      <c r="B122" s="23">
        <f t="shared" si="30"/>
        <v>0.13151959751960099</v>
      </c>
      <c r="C122" s="23">
        <f t="shared" si="30"/>
        <v>0.12789357068313661</v>
      </c>
      <c r="D122" s="23">
        <f t="shared" si="30"/>
        <v>1</v>
      </c>
      <c r="E122" s="23">
        <f t="shared" si="30"/>
        <v>1</v>
      </c>
      <c r="F122" s="23">
        <f t="shared" si="30"/>
        <v>0.139821597655127</v>
      </c>
      <c r="G122" s="23">
        <f t="shared" si="30"/>
        <v>0.17</v>
      </c>
      <c r="H122" s="23">
        <f t="shared" si="30"/>
        <v>0.21</v>
      </c>
      <c r="I122" s="23">
        <f t="shared" si="30"/>
        <v>0.17</v>
      </c>
      <c r="J122" s="23">
        <f t="shared" si="30"/>
        <v>0.21</v>
      </c>
      <c r="K122" s="23">
        <f t="shared" si="30"/>
        <v>0.18</v>
      </c>
      <c r="L122" s="23">
        <f t="shared" si="29"/>
        <v>0.33</v>
      </c>
      <c r="M122" s="23">
        <f t="shared" si="29"/>
        <v>0.25</v>
      </c>
      <c r="N122" s="23">
        <f t="shared" si="29"/>
        <v>0.37</v>
      </c>
      <c r="O122" s="23">
        <f t="shared" si="29"/>
        <v>0.28000000000000003</v>
      </c>
      <c r="P122" s="23">
        <f t="shared" si="29"/>
        <v>0.39</v>
      </c>
      <c r="Q122" s="23">
        <f t="shared" si="29"/>
        <v>0.28999999999999998</v>
      </c>
      <c r="R122" s="23">
        <f t="shared" si="29"/>
        <v>0.41</v>
      </c>
      <c r="S122" s="23">
        <f t="shared" si="29"/>
        <v>0.3</v>
      </c>
      <c r="T122" s="23">
        <f t="shared" si="29"/>
        <v>0.43</v>
      </c>
      <c r="U122" s="23">
        <f t="shared" si="29"/>
        <v>0.33</v>
      </c>
      <c r="V122" s="24">
        <f t="shared" si="5"/>
        <v>0.12970658410136882</v>
      </c>
      <c r="W122" s="24">
        <f t="shared" si="6"/>
        <v>1</v>
      </c>
      <c r="X122" s="24">
        <f t="shared" si="7"/>
        <v>0.15491079882756351</v>
      </c>
      <c r="Y122" s="24">
        <f t="shared" si="8"/>
        <v>0.19</v>
      </c>
      <c r="Z122" s="24">
        <f t="shared" si="9"/>
        <v>0.19500000000000001</v>
      </c>
      <c r="AA122" s="3">
        <f ca="1">IFERROR(__xludf.DUMMYFUNCTION("AVERAGE.WEIGHTED(B122:C122,$AF122:$AG122)"),0.14982508215838)</f>
        <v>0.14982508215838</v>
      </c>
      <c r="AB122" s="3">
        <f ca="1">IFERROR(__xludf.DUMMYFUNCTION("AVERAGE.WEIGHTED(D122:E122,$AH122:$AI122)"),0.159968669894616)</f>
        <v>0.159968669894616</v>
      </c>
      <c r="AC122" s="3">
        <f ca="1">IFERROR(__xludf.DUMMYFUNCTION("AVERAGE.WEIGHTED(F122:G122,$AJ122:$AK122)"),0.180035801771245)</f>
        <v>0.18003580177124501</v>
      </c>
      <c r="AD122" s="3" t="str">
        <f ca="1">IFERROR(__xludf.DUMMYFUNCTION("AVERAGE.WEIGHTED(H122:I122,$AA$25:$AB$25)"),"#VALUE!")</f>
        <v>#VALUE!</v>
      </c>
      <c r="AE122" s="3" t="str">
        <f ca="1">IFERROR(__xludf.DUMMYFUNCTION("AVERAGE.WEIGHTED(J122:K122,$AA$25:$AB$25)"),"#VALUE!")</f>
        <v>#VALUE!</v>
      </c>
      <c r="AF122" s="169">
        <v>0.24562705395950399</v>
      </c>
      <c r="AG122" s="3">
        <f t="shared" si="10"/>
        <v>0.75437294604049598</v>
      </c>
      <c r="AH122" s="169">
        <v>0.24921674736542301</v>
      </c>
      <c r="AI122" s="3">
        <f t="shared" si="11"/>
        <v>0.75078325263457701</v>
      </c>
      <c r="AJ122" s="169">
        <v>0.25089504428113801</v>
      </c>
      <c r="AK122" s="3">
        <f t="shared" si="12"/>
        <v>0.74910495571886204</v>
      </c>
    </row>
    <row r="123" spans="1:56" ht="15" x14ac:dyDescent="0.25">
      <c r="A123" s="1">
        <v>95</v>
      </c>
      <c r="B123" s="23">
        <f t="shared" si="30"/>
        <v>0.13151959751960099</v>
      </c>
      <c r="C123" s="23">
        <f t="shared" si="30"/>
        <v>0.12789357068313661</v>
      </c>
      <c r="D123" s="23">
        <f t="shared" si="30"/>
        <v>1</v>
      </c>
      <c r="E123" s="23">
        <f t="shared" si="30"/>
        <v>1</v>
      </c>
      <c r="F123" s="23">
        <f t="shared" si="30"/>
        <v>0.139821597655127</v>
      </c>
      <c r="G123" s="23">
        <f t="shared" si="30"/>
        <v>0.17</v>
      </c>
      <c r="H123" s="23">
        <f t="shared" si="30"/>
        <v>0.21</v>
      </c>
      <c r="I123" s="23">
        <f t="shared" si="30"/>
        <v>0.17</v>
      </c>
      <c r="J123" s="23">
        <f t="shared" si="30"/>
        <v>0.21</v>
      </c>
      <c r="K123" s="23">
        <f t="shared" si="30"/>
        <v>0.18</v>
      </c>
      <c r="L123" s="23">
        <f t="shared" si="29"/>
        <v>0.33</v>
      </c>
      <c r="M123" s="23">
        <f t="shared" si="29"/>
        <v>0.25</v>
      </c>
      <c r="N123" s="23">
        <f t="shared" si="29"/>
        <v>0.37</v>
      </c>
      <c r="O123" s="23">
        <f t="shared" si="29"/>
        <v>0.28000000000000003</v>
      </c>
      <c r="P123" s="23">
        <f t="shared" si="29"/>
        <v>0.39</v>
      </c>
      <c r="Q123" s="23">
        <f t="shared" si="29"/>
        <v>0.28999999999999998</v>
      </c>
      <c r="R123" s="23">
        <f t="shared" si="29"/>
        <v>0.41</v>
      </c>
      <c r="S123" s="23">
        <f t="shared" si="29"/>
        <v>0.3</v>
      </c>
      <c r="T123" s="23">
        <f t="shared" si="29"/>
        <v>0.43</v>
      </c>
      <c r="U123" s="23">
        <f t="shared" si="29"/>
        <v>0.33</v>
      </c>
      <c r="V123" s="24">
        <f t="shared" si="5"/>
        <v>0.12970658410136882</v>
      </c>
      <c r="W123" s="24">
        <f t="shared" si="6"/>
        <v>1</v>
      </c>
      <c r="X123" s="24">
        <f t="shared" si="7"/>
        <v>0.15491079882756351</v>
      </c>
      <c r="Y123" s="24">
        <f t="shared" si="8"/>
        <v>0.19</v>
      </c>
      <c r="Z123" s="24">
        <f t="shared" si="9"/>
        <v>0.19500000000000001</v>
      </c>
      <c r="AA123" s="3">
        <f ca="1">IFERROR(__xludf.DUMMYFUNCTION("AVERAGE.WEIGHTED(B123:C123,$AF123:$AG123)"),0.149351739727133)</f>
        <v>0.149351739727133</v>
      </c>
      <c r="AB123" s="3">
        <f ca="1">IFERROR(__xludf.DUMMYFUNCTION("AVERAGE.WEIGHTED(D123:E123,$AH123:$AI123)"),0.159443109849312)</f>
        <v>0.15944310984931201</v>
      </c>
      <c r="AC123" s="3">
        <f ca="1">IFERROR(__xludf.DUMMYFUNCTION("AVERAGE.WEIGHTED(F123:G123,$AJ123:$AK123)"),0.179481481481481)</f>
        <v>0.17948148148148099</v>
      </c>
      <c r="AD123" s="3" t="str">
        <f ca="1">IFERROR(__xludf.DUMMYFUNCTION("AVERAGE.WEIGHTED(H123:I123,$AA$25:$AB$25)"),"#VALUE!")</f>
        <v>#VALUE!</v>
      </c>
      <c r="AE123" s="3" t="str">
        <f ca="1">IFERROR(__xludf.DUMMYFUNCTION("AVERAGE.WEIGHTED(J123:K123,$AA$25:$AB$25)"),"#VALUE!")</f>
        <v>#VALUE!</v>
      </c>
      <c r="AF123" s="169">
        <v>0.23379349317833201</v>
      </c>
      <c r="AG123" s="3">
        <f t="shared" si="10"/>
        <v>0.76620650682166802</v>
      </c>
      <c r="AH123" s="169">
        <v>0.236077746232802</v>
      </c>
      <c r="AI123" s="3">
        <f t="shared" si="11"/>
        <v>0.76392225376719802</v>
      </c>
      <c r="AJ123" s="169">
        <v>0.23703703703703699</v>
      </c>
      <c r="AK123" s="3">
        <f t="shared" si="12"/>
        <v>0.76296296296296306</v>
      </c>
    </row>
    <row r="124" spans="1:56" ht="15" x14ac:dyDescent="0.25">
      <c r="A124" s="1">
        <v>96</v>
      </c>
      <c r="B124" s="23">
        <f t="shared" si="30"/>
        <v>0.13151959751960099</v>
      </c>
      <c r="C124" s="23">
        <f t="shared" si="30"/>
        <v>0.12789357068313661</v>
      </c>
      <c r="D124" s="23">
        <f t="shared" si="30"/>
        <v>1</v>
      </c>
      <c r="E124" s="23">
        <f t="shared" si="30"/>
        <v>1</v>
      </c>
      <c r="F124" s="23">
        <f t="shared" si="30"/>
        <v>0.139821597655127</v>
      </c>
      <c r="G124" s="23">
        <f t="shared" si="30"/>
        <v>0.17</v>
      </c>
      <c r="H124" s="23">
        <f t="shared" si="30"/>
        <v>0.21</v>
      </c>
      <c r="I124" s="23">
        <f t="shared" si="30"/>
        <v>0.17</v>
      </c>
      <c r="J124" s="23">
        <f t="shared" si="30"/>
        <v>0.21</v>
      </c>
      <c r="K124" s="23">
        <f t="shared" si="30"/>
        <v>0.18</v>
      </c>
      <c r="L124" s="23">
        <f t="shared" ref="L124:U128" si="31">L$22</f>
        <v>0.33</v>
      </c>
      <c r="M124" s="23">
        <f t="shared" si="31"/>
        <v>0.25</v>
      </c>
      <c r="N124" s="23">
        <f t="shared" si="31"/>
        <v>0.37</v>
      </c>
      <c r="O124" s="23">
        <f t="shared" si="31"/>
        <v>0.28000000000000003</v>
      </c>
      <c r="P124" s="23">
        <f t="shared" si="31"/>
        <v>0.39</v>
      </c>
      <c r="Q124" s="23">
        <f t="shared" si="31"/>
        <v>0.28999999999999998</v>
      </c>
      <c r="R124" s="23">
        <f t="shared" si="31"/>
        <v>0.41</v>
      </c>
      <c r="S124" s="23">
        <f t="shared" si="31"/>
        <v>0.3</v>
      </c>
      <c r="T124" s="23">
        <f t="shared" si="31"/>
        <v>0.43</v>
      </c>
      <c r="U124" s="23">
        <f t="shared" si="31"/>
        <v>0.33</v>
      </c>
      <c r="V124" s="24">
        <f t="shared" si="5"/>
        <v>0.12970658410136882</v>
      </c>
      <c r="W124" s="24">
        <f t="shared" si="6"/>
        <v>1</v>
      </c>
      <c r="X124" s="24">
        <f t="shared" si="7"/>
        <v>0.15491079882756351</v>
      </c>
      <c r="Y124" s="24">
        <f t="shared" si="8"/>
        <v>0.19</v>
      </c>
      <c r="Z124" s="24">
        <f t="shared" si="9"/>
        <v>0.19500000000000001</v>
      </c>
      <c r="AA124" s="3">
        <f ca="1">IFERROR(__xludf.DUMMYFUNCTION("AVERAGE.WEIGHTED(B124:C124,$AF124:$AG124)"),0.148806963645673)</f>
        <v>0.148806963645673</v>
      </c>
      <c r="AB124" s="3">
        <f ca="1">IFERROR(__xludf.DUMMYFUNCTION("AVERAGE.WEIGHTED(D124:E124,$AH124:$AI124)"),0.158895027624309)</f>
        <v>0.15889502762430899</v>
      </c>
      <c r="AC124" s="3">
        <f ca="1">IFERROR(__xludf.DUMMYFUNCTION("AVERAGE.WEIGHTED(F124:G124,$AJ124:$AK124)"),0.178886902101028)</f>
        <v>0.17888690210102801</v>
      </c>
      <c r="AD124" s="3" t="str">
        <f ca="1">IFERROR(__xludf.DUMMYFUNCTION("AVERAGE.WEIGHTED(H124:I124,$AA$25:$AB$25)"),"#VALUE!")</f>
        <v>#VALUE!</v>
      </c>
      <c r="AE124" s="3" t="str">
        <f ca="1">IFERROR(__xludf.DUMMYFUNCTION("AVERAGE.WEIGHTED(J124:K124,$AA$25:$AB$25)"),"#VALUE!")</f>
        <v>#VALUE!</v>
      </c>
      <c r="AF124" s="169">
        <v>0.22017409114183301</v>
      </c>
      <c r="AG124" s="3">
        <f t="shared" si="10"/>
        <v>0.77982590885816694</v>
      </c>
      <c r="AH124" s="169">
        <v>0.22237569060773499</v>
      </c>
      <c r="AI124" s="3">
        <f t="shared" si="11"/>
        <v>0.77762430939226501</v>
      </c>
      <c r="AJ124" s="169">
        <v>0.222172552525704</v>
      </c>
      <c r="AK124" s="3">
        <f t="shared" si="12"/>
        <v>0.777827447474296</v>
      </c>
    </row>
    <row r="125" spans="1:56" ht="15" x14ac:dyDescent="0.25">
      <c r="A125" s="1">
        <v>97</v>
      </c>
      <c r="B125" s="23">
        <f t="shared" si="30"/>
        <v>0.13151959751960099</v>
      </c>
      <c r="C125" s="23">
        <f t="shared" si="30"/>
        <v>0.12789357068313661</v>
      </c>
      <c r="D125" s="23">
        <f t="shared" si="30"/>
        <v>1</v>
      </c>
      <c r="E125" s="23">
        <f t="shared" si="30"/>
        <v>1</v>
      </c>
      <c r="F125" s="23">
        <f t="shared" si="30"/>
        <v>0.139821597655127</v>
      </c>
      <c r="G125" s="23">
        <f t="shared" si="30"/>
        <v>0.17</v>
      </c>
      <c r="H125" s="23">
        <f t="shared" si="30"/>
        <v>0.21</v>
      </c>
      <c r="I125" s="23">
        <f t="shared" si="30"/>
        <v>0.17</v>
      </c>
      <c r="J125" s="23">
        <f t="shared" si="30"/>
        <v>0.21</v>
      </c>
      <c r="K125" s="23">
        <f t="shared" si="30"/>
        <v>0.18</v>
      </c>
      <c r="L125" s="23">
        <f t="shared" si="31"/>
        <v>0.33</v>
      </c>
      <c r="M125" s="23">
        <f t="shared" si="31"/>
        <v>0.25</v>
      </c>
      <c r="N125" s="23">
        <f t="shared" si="31"/>
        <v>0.37</v>
      </c>
      <c r="O125" s="23">
        <f t="shared" si="31"/>
        <v>0.28000000000000003</v>
      </c>
      <c r="P125" s="23">
        <f t="shared" si="31"/>
        <v>0.39</v>
      </c>
      <c r="Q125" s="23">
        <f t="shared" si="31"/>
        <v>0.28999999999999998</v>
      </c>
      <c r="R125" s="23">
        <f t="shared" si="31"/>
        <v>0.41</v>
      </c>
      <c r="S125" s="23">
        <f t="shared" si="31"/>
        <v>0.3</v>
      </c>
      <c r="T125" s="23">
        <f t="shared" si="31"/>
        <v>0.43</v>
      </c>
      <c r="U125" s="23">
        <f t="shared" si="31"/>
        <v>0.33</v>
      </c>
      <c r="V125" s="24">
        <f t="shared" si="5"/>
        <v>0.12970658410136882</v>
      </c>
      <c r="W125" s="24">
        <f t="shared" si="6"/>
        <v>1</v>
      </c>
      <c r="X125" s="24">
        <f t="shared" si="7"/>
        <v>0.15491079882756351</v>
      </c>
      <c r="Y125" s="24">
        <f t="shared" si="8"/>
        <v>0.19</v>
      </c>
      <c r="Z125" s="24">
        <f t="shared" si="9"/>
        <v>0.19500000000000001</v>
      </c>
      <c r="AA125" s="3">
        <f ca="1">IFERROR(__xludf.DUMMYFUNCTION("AVERAGE.WEIGHTED(B125:C125,$AF125:$AG125)"),0.148258497691984)</f>
        <v>0.14825849769198399</v>
      </c>
      <c r="AB125" s="3">
        <f ca="1">IFERROR(__xludf.DUMMYFUNCTION("AVERAGE.WEIGHTED(D125:E125,$AH125:$AI125)"),0.158326348141939)</f>
        <v>0.15832634814193899</v>
      </c>
      <c r="AC125" s="3">
        <f ca="1">IFERROR(__xludf.DUMMYFUNCTION("AVERAGE.WEIGHTED(F125:G125,$AJ125:$AK125)"),0.178301886792452)</f>
        <v>0.17830188679245201</v>
      </c>
      <c r="AD125" s="3" t="str">
        <f ca="1">IFERROR(__xludf.DUMMYFUNCTION("AVERAGE.WEIGHTED(H125:I125,$AA$25:$AB$25)"),"#VALUE!")</f>
        <v>#VALUE!</v>
      </c>
      <c r="AE125" s="3" t="str">
        <f ca="1">IFERROR(__xludf.DUMMYFUNCTION("AVERAGE.WEIGHTED(J125:K125,$AA$25:$AB$25)"),"#VALUE!")</f>
        <v>#VALUE!</v>
      </c>
      <c r="AF125" s="169">
        <v>0.20646244229962199</v>
      </c>
      <c r="AG125" s="3">
        <f t="shared" si="10"/>
        <v>0.79353755770037804</v>
      </c>
      <c r="AH125" s="169">
        <v>0.20815870354847699</v>
      </c>
      <c r="AI125" s="3">
        <f t="shared" si="11"/>
        <v>0.79184129645152301</v>
      </c>
      <c r="AJ125" s="169">
        <v>0.20754716981132099</v>
      </c>
      <c r="AK125" s="3">
        <f t="shared" si="12"/>
        <v>0.79245283018867907</v>
      </c>
    </row>
    <row r="126" spans="1:56" ht="15" x14ac:dyDescent="0.25">
      <c r="A126" s="1">
        <v>98</v>
      </c>
      <c r="B126" s="23">
        <f t="shared" si="30"/>
        <v>0.13151959751960099</v>
      </c>
      <c r="C126" s="23">
        <f t="shared" si="30"/>
        <v>0.12789357068313661</v>
      </c>
      <c r="D126" s="23">
        <f t="shared" si="30"/>
        <v>1</v>
      </c>
      <c r="E126" s="23">
        <f t="shared" si="30"/>
        <v>1</v>
      </c>
      <c r="F126" s="23">
        <f t="shared" si="30"/>
        <v>0.139821597655127</v>
      </c>
      <c r="G126" s="23">
        <f t="shared" si="30"/>
        <v>0.17</v>
      </c>
      <c r="H126" s="23">
        <f t="shared" si="30"/>
        <v>0.21</v>
      </c>
      <c r="I126" s="23">
        <f t="shared" si="30"/>
        <v>0.17</v>
      </c>
      <c r="J126" s="23">
        <f t="shared" si="30"/>
        <v>0.21</v>
      </c>
      <c r="K126" s="23">
        <f t="shared" si="30"/>
        <v>0.18</v>
      </c>
      <c r="L126" s="23">
        <f t="shared" si="31"/>
        <v>0.33</v>
      </c>
      <c r="M126" s="23">
        <f t="shared" si="31"/>
        <v>0.25</v>
      </c>
      <c r="N126" s="23">
        <f t="shared" si="31"/>
        <v>0.37</v>
      </c>
      <c r="O126" s="23">
        <f t="shared" si="31"/>
        <v>0.28000000000000003</v>
      </c>
      <c r="P126" s="23">
        <f t="shared" si="31"/>
        <v>0.39</v>
      </c>
      <c r="Q126" s="23">
        <f t="shared" si="31"/>
        <v>0.28999999999999998</v>
      </c>
      <c r="R126" s="23">
        <f t="shared" si="31"/>
        <v>0.41</v>
      </c>
      <c r="S126" s="23">
        <f t="shared" si="31"/>
        <v>0.3</v>
      </c>
      <c r="T126" s="23">
        <f t="shared" si="31"/>
        <v>0.43</v>
      </c>
      <c r="U126" s="23">
        <f t="shared" si="31"/>
        <v>0.33</v>
      </c>
      <c r="V126" s="24">
        <f t="shared" si="5"/>
        <v>0.12970658410136882</v>
      </c>
      <c r="W126" s="24">
        <f t="shared" si="6"/>
        <v>1</v>
      </c>
      <c r="X126" s="24">
        <f t="shared" si="7"/>
        <v>0.15491079882756351</v>
      </c>
      <c r="Y126" s="24">
        <f t="shared" si="8"/>
        <v>0.19</v>
      </c>
      <c r="Z126" s="24">
        <f t="shared" si="9"/>
        <v>0.19500000000000001</v>
      </c>
      <c r="AA126" s="3">
        <f ca="1">IFERROR(__xludf.DUMMYFUNCTION("AVERAGE.WEIGHTED(B126:C126,$AF126:$AG126)"),0.147733711048158)</f>
        <v>0.147733711048158</v>
      </c>
      <c r="AB126" s="3">
        <f ca="1">IFERROR(__xludf.DUMMYFUNCTION("AVERAGE.WEIGHTED(D126:E126,$AH126:$AI126)"),0.15775623268698)</f>
        <v>0.15775623268698</v>
      </c>
      <c r="AC126" s="3">
        <f ca="1">IFERROR(__xludf.DUMMYFUNCTION("AVERAGE.WEIGHTED(F126:G126,$AJ126:$AK126)"),0.177742718446601)</f>
        <v>0.177742718446601</v>
      </c>
      <c r="AD126" s="3" t="str">
        <f ca="1">IFERROR(__xludf.DUMMYFUNCTION("AVERAGE.WEIGHTED(H126:I126,$AA$25:$AB$25)"),"#VALUE!")</f>
        <v>#VALUE!</v>
      </c>
      <c r="AE126" s="3" t="str">
        <f ca="1">IFERROR(__xludf.DUMMYFUNCTION("AVERAGE.WEIGHTED(J126:K126,$AA$25:$AB$25)"),"#VALUE!")</f>
        <v>#VALUE!</v>
      </c>
      <c r="AF126" s="169">
        <v>0.193342776203966</v>
      </c>
      <c r="AG126" s="3">
        <f t="shared" si="10"/>
        <v>0.806657223796034</v>
      </c>
      <c r="AH126" s="169">
        <v>0.19390581717451499</v>
      </c>
      <c r="AI126" s="3">
        <f t="shared" si="11"/>
        <v>0.80609418282548506</v>
      </c>
      <c r="AJ126" s="169">
        <v>0.19356796116504901</v>
      </c>
      <c r="AK126" s="3">
        <f t="shared" si="12"/>
        <v>0.80643203883495096</v>
      </c>
    </row>
    <row r="127" spans="1:56" ht="15" x14ac:dyDescent="0.25">
      <c r="A127" s="1">
        <v>99</v>
      </c>
      <c r="B127" s="23">
        <f t="shared" si="30"/>
        <v>0.13151959751960099</v>
      </c>
      <c r="C127" s="23">
        <f t="shared" si="30"/>
        <v>0.12789357068313661</v>
      </c>
      <c r="D127" s="23">
        <f t="shared" si="30"/>
        <v>1</v>
      </c>
      <c r="E127" s="23">
        <f t="shared" si="30"/>
        <v>1</v>
      </c>
      <c r="F127" s="23">
        <f t="shared" si="30"/>
        <v>0.139821597655127</v>
      </c>
      <c r="G127" s="23">
        <f t="shared" si="30"/>
        <v>0.17</v>
      </c>
      <c r="H127" s="23">
        <f t="shared" si="30"/>
        <v>0.21</v>
      </c>
      <c r="I127" s="23">
        <f t="shared" si="30"/>
        <v>0.17</v>
      </c>
      <c r="J127" s="23">
        <f t="shared" si="30"/>
        <v>0.21</v>
      </c>
      <c r="K127" s="23">
        <f t="shared" si="30"/>
        <v>0.18</v>
      </c>
      <c r="L127" s="23">
        <f t="shared" si="31"/>
        <v>0.33</v>
      </c>
      <c r="M127" s="23">
        <f t="shared" si="31"/>
        <v>0.25</v>
      </c>
      <c r="N127" s="23">
        <f t="shared" si="31"/>
        <v>0.37</v>
      </c>
      <c r="O127" s="23">
        <f t="shared" si="31"/>
        <v>0.28000000000000003</v>
      </c>
      <c r="P127" s="23">
        <f t="shared" si="31"/>
        <v>0.39</v>
      </c>
      <c r="Q127" s="23">
        <f t="shared" si="31"/>
        <v>0.28999999999999998</v>
      </c>
      <c r="R127" s="23">
        <f t="shared" si="31"/>
        <v>0.41</v>
      </c>
      <c r="S127" s="23">
        <f t="shared" si="31"/>
        <v>0.3</v>
      </c>
      <c r="T127" s="23">
        <f t="shared" si="31"/>
        <v>0.43</v>
      </c>
      <c r="U127" s="23">
        <f t="shared" si="31"/>
        <v>0.33</v>
      </c>
      <c r="V127" s="24">
        <f t="shared" si="5"/>
        <v>0.12970658410136882</v>
      </c>
      <c r="W127" s="24">
        <f t="shared" si="6"/>
        <v>1</v>
      </c>
      <c r="X127" s="24">
        <f t="shared" si="7"/>
        <v>0.15491079882756351</v>
      </c>
      <c r="Y127" s="24">
        <f t="shared" si="8"/>
        <v>0.19</v>
      </c>
      <c r="Z127" s="24">
        <f t="shared" si="9"/>
        <v>0.19500000000000001</v>
      </c>
      <c r="AA127" s="3">
        <f ca="1">IFERROR(__xludf.DUMMYFUNCTION("AVERAGE.WEIGHTED(B127:C127,$AF127:$AG127)"),0.147232472324723)</f>
        <v>0.147232472324723</v>
      </c>
      <c r="AB127" s="3">
        <f ca="1">IFERROR(__xludf.DUMMYFUNCTION("AVERAGE.WEIGHTED(D127:E127,$AH127:$AI127)"),0.157195600942655)</f>
        <v>0.157195600942655</v>
      </c>
      <c r="AC127" s="3">
        <f ca="1">IFERROR(__xludf.DUMMYFUNCTION("AVERAGE.WEIGHTED(F127:G127,$AJ127:$AK127)"),0.177211740041928)</f>
        <v>0.177211740041928</v>
      </c>
      <c r="AD127" s="3" t="str">
        <f ca="1">IFERROR(__xludf.DUMMYFUNCTION("AVERAGE.WEIGHTED(H127:I127,$AA$25:$AB$25)"),"#VALUE!")</f>
        <v>#VALUE!</v>
      </c>
      <c r="AE127" s="3" t="str">
        <f ca="1">IFERROR(__xludf.DUMMYFUNCTION("AVERAGE.WEIGHTED(J127:K127,$AA$25:$AB$25)"),"#VALUE!")</f>
        <v>#VALUE!</v>
      </c>
      <c r="AF127" s="169">
        <v>0.18081180811808101</v>
      </c>
      <c r="AG127" s="3">
        <f t="shared" si="10"/>
        <v>0.81918819188191905</v>
      </c>
      <c r="AH127" s="169">
        <v>0.17989002356637901</v>
      </c>
      <c r="AI127" s="3">
        <f t="shared" si="11"/>
        <v>0.82010997643362105</v>
      </c>
      <c r="AJ127" s="169">
        <v>0.18029350104821801</v>
      </c>
      <c r="AK127" s="3">
        <f t="shared" si="12"/>
        <v>0.81970649895178194</v>
      </c>
    </row>
    <row r="128" spans="1:56" ht="15" x14ac:dyDescent="0.25">
      <c r="A128" s="1">
        <v>100</v>
      </c>
      <c r="B128" s="23">
        <f t="shared" si="30"/>
        <v>0.13151959751960099</v>
      </c>
      <c r="C128" s="23">
        <f t="shared" si="30"/>
        <v>0.12789357068313661</v>
      </c>
      <c r="D128" s="23">
        <f t="shared" si="30"/>
        <v>1</v>
      </c>
      <c r="E128" s="23">
        <f t="shared" si="30"/>
        <v>1</v>
      </c>
      <c r="F128" s="23">
        <f t="shared" si="30"/>
        <v>0.139821597655127</v>
      </c>
      <c r="G128" s="23">
        <f t="shared" si="30"/>
        <v>0.17</v>
      </c>
      <c r="H128" s="23">
        <f t="shared" si="30"/>
        <v>0.21</v>
      </c>
      <c r="I128" s="23">
        <f t="shared" si="30"/>
        <v>0.17</v>
      </c>
      <c r="J128" s="23">
        <f t="shared" si="30"/>
        <v>0.21</v>
      </c>
      <c r="K128" s="23">
        <f t="shared" si="30"/>
        <v>0.18</v>
      </c>
      <c r="L128" s="23">
        <f t="shared" si="31"/>
        <v>0.33</v>
      </c>
      <c r="M128" s="23">
        <f t="shared" si="31"/>
        <v>0.25</v>
      </c>
      <c r="N128" s="23">
        <f t="shared" si="31"/>
        <v>0.37</v>
      </c>
      <c r="O128" s="23">
        <f t="shared" si="31"/>
        <v>0.28000000000000003</v>
      </c>
      <c r="P128" s="23">
        <f t="shared" si="31"/>
        <v>0.39</v>
      </c>
      <c r="Q128" s="23">
        <f t="shared" si="31"/>
        <v>0.28999999999999998</v>
      </c>
      <c r="R128" s="23">
        <f t="shared" si="31"/>
        <v>0.41</v>
      </c>
      <c r="S128" s="23">
        <f t="shared" si="31"/>
        <v>0.3</v>
      </c>
      <c r="T128" s="23">
        <f t="shared" si="31"/>
        <v>0.43</v>
      </c>
      <c r="U128" s="23">
        <f t="shared" si="31"/>
        <v>0.33</v>
      </c>
      <c r="V128" s="24">
        <f t="shared" si="5"/>
        <v>0.12970658410136882</v>
      </c>
      <c r="W128" s="24">
        <f t="shared" si="6"/>
        <v>1</v>
      </c>
      <c r="X128" s="24">
        <f t="shared" si="7"/>
        <v>0.15491079882756351</v>
      </c>
      <c r="Y128" s="24">
        <f t="shared" si="8"/>
        <v>0.19</v>
      </c>
      <c r="Z128" s="24">
        <f t="shared" si="9"/>
        <v>0.19500000000000001</v>
      </c>
      <c r="AA128" s="3">
        <f ca="1">IFERROR(__xludf.DUMMYFUNCTION("AVERAGE.WEIGHTED(B128:C128,$AF128:$AG128)"),0.146280991735537)</f>
        <v>0.14628099173553699</v>
      </c>
      <c r="AB128" s="3">
        <f ca="1">IFERROR(__xludf.DUMMYFUNCTION("AVERAGE.WEIGHTED(D128:E128,$AH128:$AI128)"),0.156173800259403)</f>
        <v>0.156173800259403</v>
      </c>
      <c r="AC128" s="3">
        <f ca="1">IFERROR(__xludf.DUMMYFUNCTION("AVERAGE.WEIGHTED(F128:G128,$AJ128:$AK128)"),0.176323268206039)</f>
        <v>0.176323268206039</v>
      </c>
      <c r="AD128" s="3" t="str">
        <f ca="1">IFERROR(__xludf.DUMMYFUNCTION("AVERAGE.WEIGHTED(H128:I128,$AA$25:$AB$25)"),"#VALUE!")</f>
        <v>#VALUE!</v>
      </c>
      <c r="AE128" s="3" t="str">
        <f ca="1">IFERROR(__xludf.DUMMYFUNCTION("AVERAGE.WEIGHTED(J128:K128,$AA$25:$AB$25)"),"#VALUE!")</f>
        <v>#VALUE!</v>
      </c>
      <c r="AF128" s="169">
        <v>0.15702479338843001</v>
      </c>
      <c r="AG128" s="3">
        <f t="shared" si="10"/>
        <v>0.84297520661156999</v>
      </c>
      <c r="AH128" s="169">
        <v>0.15434500648508401</v>
      </c>
      <c r="AI128" s="3">
        <f t="shared" si="11"/>
        <v>0.84565499351491602</v>
      </c>
      <c r="AJ128" s="169">
        <v>0.158081705150977</v>
      </c>
      <c r="AK128" s="3">
        <f t="shared" si="12"/>
        <v>0.84191829484902303</v>
      </c>
    </row>
  </sheetData>
  <mergeCells count="54">
    <mergeCell ref="AR1:BA1"/>
    <mergeCell ref="BB1:BK1"/>
    <mergeCell ref="BL1:BU1"/>
    <mergeCell ref="E2:F2"/>
    <mergeCell ref="G2:H2"/>
    <mergeCell ref="I2:J2"/>
    <mergeCell ref="K2:L2"/>
    <mergeCell ref="M2:N2"/>
    <mergeCell ref="O2:P2"/>
    <mergeCell ref="Q2:R2"/>
    <mergeCell ref="S2:T2"/>
    <mergeCell ref="AV2:AW2"/>
    <mergeCell ref="AX2:AY2"/>
    <mergeCell ref="AZ2:BA2"/>
    <mergeCell ref="BB2:BC2"/>
    <mergeCell ref="C1:L1"/>
    <mergeCell ref="M1:V1"/>
    <mergeCell ref="BD2:BE2"/>
    <mergeCell ref="BR2:BS2"/>
    <mergeCell ref="BT2:BU2"/>
    <mergeCell ref="F3:G3"/>
    <mergeCell ref="H3:I3"/>
    <mergeCell ref="L3:M3"/>
    <mergeCell ref="N3:O3"/>
    <mergeCell ref="P3:Q3"/>
    <mergeCell ref="R3:S3"/>
    <mergeCell ref="T3:U3"/>
    <mergeCell ref="BF2:BG2"/>
    <mergeCell ref="BH2:BI2"/>
    <mergeCell ref="BJ2:BK2"/>
    <mergeCell ref="BL2:BM2"/>
    <mergeCell ref="BN2:BO2"/>
    <mergeCell ref="BP2:BQ2"/>
    <mergeCell ref="AT2:AU2"/>
    <mergeCell ref="AJ1:AQ1"/>
    <mergeCell ref="AM2:AO2"/>
    <mergeCell ref="AQ2:AR2"/>
    <mergeCell ref="A25:V25"/>
    <mergeCell ref="AG2:AH2"/>
    <mergeCell ref="AI2:AJ2"/>
    <mergeCell ref="AK2:AL2"/>
    <mergeCell ref="U2:V2"/>
    <mergeCell ref="W2:X2"/>
    <mergeCell ref="Y2:Z2"/>
    <mergeCell ref="AA2:AB2"/>
    <mergeCell ref="AC2:AD2"/>
    <mergeCell ref="AE2:AF2"/>
    <mergeCell ref="A1:B1"/>
    <mergeCell ref="W1:AF1"/>
    <mergeCell ref="B26:C26"/>
    <mergeCell ref="D26:E26"/>
    <mergeCell ref="F26:G26"/>
    <mergeCell ref="H26:I26"/>
    <mergeCell ref="J26:K26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outlinePr summaryBelow="0" summaryRight="0"/>
  </sheetPr>
  <dimension ref="A1:BT128"/>
  <sheetViews>
    <sheetView workbookViewId="0">
      <selection activeCell="D22" sqref="D22"/>
    </sheetView>
  </sheetViews>
  <sheetFormatPr baseColWidth="10" defaultColWidth="12.5703125" defaultRowHeight="15.75" customHeight="1" x14ac:dyDescent="0.2"/>
  <sheetData>
    <row r="1" spans="1:72" ht="15" x14ac:dyDescent="0.2">
      <c r="A1" s="231"/>
      <c r="B1" s="230"/>
      <c r="C1" s="231"/>
      <c r="D1" s="230"/>
      <c r="E1" s="230"/>
      <c r="F1" s="230"/>
      <c r="G1" s="230"/>
      <c r="H1" s="230"/>
      <c r="I1" s="230"/>
      <c r="J1" s="230"/>
      <c r="K1" s="230"/>
      <c r="L1" s="230"/>
      <c r="M1" s="231"/>
      <c r="N1" s="230"/>
      <c r="O1" s="230"/>
      <c r="P1" s="230"/>
      <c r="Q1" s="230"/>
      <c r="R1" s="230"/>
      <c r="S1" s="230"/>
      <c r="T1" s="230"/>
      <c r="U1" s="230"/>
      <c r="V1" s="230"/>
      <c r="W1" s="231"/>
      <c r="X1" s="230"/>
      <c r="Y1" s="230"/>
      <c r="Z1" s="230"/>
      <c r="AA1" s="230"/>
      <c r="AB1" s="230"/>
      <c r="AC1" s="230"/>
      <c r="AD1" s="230"/>
      <c r="AE1" s="230"/>
      <c r="AF1" s="230"/>
      <c r="AG1" s="231"/>
      <c r="AH1" s="230"/>
      <c r="AI1" s="230"/>
      <c r="AJ1" s="230"/>
      <c r="AK1" s="230"/>
      <c r="AL1" s="230"/>
      <c r="AM1" s="230"/>
      <c r="AN1" s="230"/>
      <c r="AO1" s="230"/>
      <c r="AP1" s="230"/>
      <c r="AQ1" s="231"/>
      <c r="AR1" s="230"/>
      <c r="AS1" s="230"/>
      <c r="AT1" s="230"/>
      <c r="AU1" s="230"/>
      <c r="AV1" s="230"/>
      <c r="AW1" s="230"/>
      <c r="AX1" s="230"/>
      <c r="AY1" s="230"/>
      <c r="AZ1" s="230"/>
      <c r="BA1" s="231"/>
      <c r="BB1" s="230"/>
      <c r="BC1" s="230"/>
      <c r="BD1" s="230"/>
      <c r="BE1" s="230"/>
      <c r="BF1" s="230"/>
      <c r="BG1" s="230"/>
      <c r="BH1" s="230"/>
      <c r="BI1" s="230"/>
      <c r="BJ1" s="230"/>
      <c r="BK1" s="231"/>
      <c r="BL1" s="230"/>
      <c r="BM1" s="230"/>
      <c r="BN1" s="230"/>
      <c r="BO1" s="230"/>
      <c r="BP1" s="230"/>
      <c r="BQ1" s="230"/>
      <c r="BR1" s="230"/>
      <c r="BS1" s="230"/>
      <c r="BT1" s="230"/>
    </row>
    <row r="2" spans="1:72" ht="15" x14ac:dyDescent="0.2">
      <c r="A2" s="10"/>
      <c r="B2" s="10"/>
      <c r="C2" s="10"/>
      <c r="D2" s="10"/>
      <c r="E2" s="231"/>
      <c r="F2" s="230"/>
      <c r="G2" s="231"/>
      <c r="H2" s="230"/>
      <c r="I2" s="231"/>
      <c r="J2" s="230"/>
      <c r="K2" s="231"/>
      <c r="L2" s="230"/>
      <c r="M2" s="231"/>
      <c r="N2" s="230"/>
      <c r="O2" s="231"/>
      <c r="P2" s="230"/>
      <c r="Q2" s="231"/>
      <c r="R2" s="230"/>
      <c r="S2" s="231"/>
      <c r="T2" s="230"/>
      <c r="U2" s="231"/>
      <c r="V2" s="230"/>
      <c r="W2" s="231"/>
      <c r="X2" s="230"/>
      <c r="Y2" s="231"/>
      <c r="Z2" s="230"/>
      <c r="AA2" s="231"/>
      <c r="AB2" s="230"/>
      <c r="AC2" s="231"/>
      <c r="AD2" s="230"/>
      <c r="AE2" s="231"/>
      <c r="AF2" s="230"/>
      <c r="AG2" s="231"/>
      <c r="AH2" s="230"/>
      <c r="AI2" s="231"/>
      <c r="AJ2" s="230"/>
      <c r="AK2" s="231"/>
      <c r="AL2" s="230"/>
      <c r="AM2" s="231"/>
      <c r="AN2" s="230"/>
      <c r="AO2" s="231"/>
      <c r="AP2" s="230"/>
      <c r="AQ2" s="231"/>
      <c r="AR2" s="230"/>
      <c r="AS2" s="231"/>
      <c r="AT2" s="230"/>
      <c r="AU2" s="231"/>
      <c r="AV2" s="230"/>
      <c r="AW2" s="231"/>
      <c r="AX2" s="230"/>
      <c r="AY2" s="231"/>
      <c r="AZ2" s="230"/>
      <c r="BA2" s="231"/>
      <c r="BB2" s="230"/>
      <c r="BC2" s="231"/>
      <c r="BD2" s="230"/>
      <c r="BE2" s="231"/>
      <c r="BF2" s="230"/>
      <c r="BG2" s="231"/>
      <c r="BH2" s="230"/>
      <c r="BI2" s="231"/>
      <c r="BJ2" s="230"/>
      <c r="BK2" s="231"/>
      <c r="BL2" s="230"/>
      <c r="BM2" s="231"/>
      <c r="BN2" s="230"/>
      <c r="BO2" s="231"/>
      <c r="BP2" s="230"/>
      <c r="BQ2" s="231"/>
      <c r="BR2" s="230"/>
      <c r="BS2" s="231"/>
      <c r="BT2" s="230"/>
    </row>
    <row r="3" spans="1:72" ht="15.75" customHeight="1" x14ac:dyDescent="0.25">
      <c r="A3" s="31"/>
      <c r="B3" s="26">
        <v>2019</v>
      </c>
      <c r="C3" s="26">
        <v>2019</v>
      </c>
      <c r="D3" s="26">
        <v>2019</v>
      </c>
      <c r="E3" s="26">
        <v>2015</v>
      </c>
      <c r="F3" s="26">
        <v>2015</v>
      </c>
      <c r="G3" s="26">
        <v>2015</v>
      </c>
      <c r="H3" s="26">
        <v>2010</v>
      </c>
      <c r="I3" s="26">
        <v>2010</v>
      </c>
      <c r="J3" s="26">
        <v>2010</v>
      </c>
      <c r="K3" s="26">
        <v>2005</v>
      </c>
      <c r="L3" s="26">
        <v>2005</v>
      </c>
      <c r="M3" s="26">
        <v>2005</v>
      </c>
      <c r="N3" s="26">
        <v>2000</v>
      </c>
      <c r="O3" s="26">
        <v>2000</v>
      </c>
      <c r="P3" s="26">
        <v>2000</v>
      </c>
      <c r="Q3" s="11"/>
      <c r="R3" s="229">
        <v>2005</v>
      </c>
      <c r="S3" s="230"/>
      <c r="T3" s="229">
        <v>2000</v>
      </c>
      <c r="U3" s="23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</row>
    <row r="4" spans="1:72" ht="15.75" customHeight="1" x14ac:dyDescent="0.25">
      <c r="A4" s="25" t="s">
        <v>184</v>
      </c>
      <c r="B4" s="25" t="s">
        <v>185</v>
      </c>
      <c r="C4" s="25" t="s">
        <v>182</v>
      </c>
      <c r="D4" s="25" t="s">
        <v>183</v>
      </c>
      <c r="E4" s="25" t="s">
        <v>185</v>
      </c>
      <c r="F4" s="25" t="s">
        <v>182</v>
      </c>
      <c r="G4" s="25" t="s">
        <v>183</v>
      </c>
      <c r="H4" s="25" t="s">
        <v>185</v>
      </c>
      <c r="I4" s="25" t="s">
        <v>182</v>
      </c>
      <c r="J4" s="25" t="s">
        <v>183</v>
      </c>
      <c r="K4" s="25" t="s">
        <v>185</v>
      </c>
      <c r="L4" s="25" t="s">
        <v>182</v>
      </c>
      <c r="M4" s="25" t="s">
        <v>183</v>
      </c>
      <c r="N4" s="25" t="s">
        <v>185</v>
      </c>
      <c r="O4" s="25" t="s">
        <v>182</v>
      </c>
      <c r="P4" s="25" t="s">
        <v>183</v>
      </c>
      <c r="Q4" s="11" t="s">
        <v>183</v>
      </c>
      <c r="R4" s="11" t="s">
        <v>182</v>
      </c>
      <c r="S4" s="11" t="s">
        <v>183</v>
      </c>
      <c r="T4" s="11" t="s">
        <v>182</v>
      </c>
      <c r="U4" s="11" t="s">
        <v>183</v>
      </c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</row>
    <row r="5" spans="1:72" ht="15.75" customHeight="1" x14ac:dyDescent="0.25">
      <c r="A5" s="25" t="s">
        <v>45</v>
      </c>
      <c r="B5" s="29">
        <v>2.8345842999999999E-2</v>
      </c>
      <c r="C5" s="29">
        <v>2.8394243999999999E-2</v>
      </c>
      <c r="D5" s="29">
        <v>2.8292624999999998E-2</v>
      </c>
      <c r="E5" s="29">
        <v>3.7615640999999998E-2</v>
      </c>
      <c r="F5" s="29">
        <v>3.7225724000000002E-2</v>
      </c>
      <c r="G5" s="29">
        <v>3.8046547E-2</v>
      </c>
      <c r="H5" s="29">
        <v>4.6026873000000003E-2</v>
      </c>
      <c r="I5" s="29">
        <v>4.5410469000000002E-2</v>
      </c>
      <c r="J5" s="29">
        <v>4.6701221000000001E-2</v>
      </c>
      <c r="K5" s="29">
        <v>5.830424E-2</v>
      </c>
      <c r="L5" s="29">
        <v>5.7264232999999998E-2</v>
      </c>
      <c r="M5" s="29">
        <v>5.9463560999999998E-2</v>
      </c>
      <c r="N5" s="29">
        <v>6.9968978000000001E-2</v>
      </c>
      <c r="O5" s="29">
        <v>6.9792656999999994E-2</v>
      </c>
      <c r="P5" s="29">
        <v>7.0164931999999999E-2</v>
      </c>
      <c r="Q5" s="27">
        <v>4.4999999999999998E-2</v>
      </c>
      <c r="R5" s="27">
        <v>5.5E-2</v>
      </c>
      <c r="S5" s="27">
        <v>5.7000000000000002E-2</v>
      </c>
      <c r="T5" s="27">
        <v>6.7000000000000004E-2</v>
      </c>
      <c r="U5" s="27">
        <v>6.7000000000000004E-2</v>
      </c>
      <c r="V5" s="15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</row>
    <row r="6" spans="1:72" ht="15.75" customHeight="1" x14ac:dyDescent="0.25">
      <c r="A6" s="25" t="s">
        <v>46</v>
      </c>
      <c r="B6" s="29">
        <v>1.559223E-3</v>
      </c>
      <c r="C6" s="29">
        <v>1.3958969999999999E-3</v>
      </c>
      <c r="D6" s="29">
        <v>1.739006E-3</v>
      </c>
      <c r="E6" s="29">
        <v>2.2271259999999998E-3</v>
      </c>
      <c r="F6" s="29">
        <v>1.938525E-3</v>
      </c>
      <c r="G6" s="29">
        <v>2.5447830000000001E-3</v>
      </c>
      <c r="H6" s="29">
        <v>3.4290039999999998E-3</v>
      </c>
      <c r="I6" s="29">
        <v>2.8900520000000002E-3</v>
      </c>
      <c r="J6" s="29">
        <v>4.0265969999999998E-3</v>
      </c>
      <c r="K6" s="29">
        <v>4.9869459999999999E-3</v>
      </c>
      <c r="L6" s="29">
        <v>4.185149E-3</v>
      </c>
      <c r="M6" s="29">
        <v>5.8844329999999997E-3</v>
      </c>
      <c r="N6" s="29">
        <v>6.7679990000000002E-3</v>
      </c>
      <c r="O6" s="29">
        <v>5.5750089999999997E-3</v>
      </c>
      <c r="P6" s="29">
        <v>8.1029859999999995E-3</v>
      </c>
      <c r="Q6" s="27">
        <v>1.6E-2</v>
      </c>
      <c r="R6" s="27">
        <v>1.7000000000000001E-2</v>
      </c>
      <c r="S6" s="27">
        <v>2.3E-2</v>
      </c>
      <c r="T6" s="27">
        <v>2.1999999999999999E-2</v>
      </c>
      <c r="U6" s="27">
        <v>3.2000000000000001E-2</v>
      </c>
      <c r="V6" s="15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</row>
    <row r="7" spans="1:72" ht="15.75" customHeight="1" x14ac:dyDescent="0.25">
      <c r="A7" s="25" t="s">
        <v>47</v>
      </c>
      <c r="B7" s="29">
        <v>5.58316E-4</v>
      </c>
      <c r="C7" s="29">
        <v>4.9988699999999997E-4</v>
      </c>
      <c r="D7" s="29">
        <v>6.2275899999999996E-4</v>
      </c>
      <c r="E7" s="29">
        <v>7.0593499999999998E-4</v>
      </c>
      <c r="F7" s="29">
        <v>6.1471400000000004E-4</v>
      </c>
      <c r="G7" s="29">
        <v>8.0696100000000003E-4</v>
      </c>
      <c r="H7" s="29">
        <v>1.0147190000000001E-3</v>
      </c>
      <c r="I7" s="29">
        <v>8.5607800000000003E-4</v>
      </c>
      <c r="J7" s="29">
        <v>1.192741E-3</v>
      </c>
      <c r="K7" s="29">
        <v>1.3993269999999999E-3</v>
      </c>
      <c r="L7" s="29">
        <v>1.174645E-3</v>
      </c>
      <c r="M7" s="29">
        <v>1.6515830000000001E-3</v>
      </c>
      <c r="N7" s="29">
        <v>1.8297159999999999E-3</v>
      </c>
      <c r="O7" s="29">
        <v>1.507041E-3</v>
      </c>
      <c r="P7" s="29">
        <v>2.1904049999999999E-3</v>
      </c>
      <c r="Q7" s="27">
        <v>6.0000000000000001E-3</v>
      </c>
      <c r="R7" s="27">
        <v>6.0000000000000001E-3</v>
      </c>
      <c r="S7" s="27">
        <v>8.0000000000000002E-3</v>
      </c>
      <c r="T7" s="27">
        <v>8.0000000000000002E-3</v>
      </c>
      <c r="U7" s="27">
        <v>1.0999999999999999E-2</v>
      </c>
      <c r="V7" s="15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</row>
    <row r="8" spans="1:72" ht="15.75" customHeight="1" x14ac:dyDescent="0.25">
      <c r="A8" s="25" t="s">
        <v>48</v>
      </c>
      <c r="B8" s="29">
        <v>5.4242799999999996E-4</v>
      </c>
      <c r="C8" s="29">
        <v>5.3676699999999995E-4</v>
      </c>
      <c r="D8" s="29">
        <v>5.4871300000000004E-4</v>
      </c>
      <c r="E8" s="29">
        <v>6.3536400000000002E-4</v>
      </c>
      <c r="F8" s="29">
        <v>6.5441299999999996E-4</v>
      </c>
      <c r="G8" s="29">
        <v>6.1399100000000004E-4</v>
      </c>
      <c r="H8" s="29">
        <v>7.9612699999999999E-4</v>
      </c>
      <c r="I8" s="29">
        <v>8.4429299999999997E-4</v>
      </c>
      <c r="J8" s="29">
        <v>7.4200500000000001E-4</v>
      </c>
      <c r="K8" s="29">
        <v>9.7296899999999996E-4</v>
      </c>
      <c r="L8" s="29">
        <v>9.6928800000000001E-4</v>
      </c>
      <c r="M8" s="29">
        <v>9.7708699999999996E-4</v>
      </c>
      <c r="N8" s="29">
        <v>1.135781E-3</v>
      </c>
      <c r="O8" s="29">
        <v>1.1055990000000001E-3</v>
      </c>
      <c r="P8" s="29">
        <v>1.169139E-3</v>
      </c>
      <c r="Q8" s="27">
        <v>4.0000000000000001E-3</v>
      </c>
      <c r="R8" s="27">
        <v>5.0000000000000001E-3</v>
      </c>
      <c r="S8" s="27">
        <v>5.0000000000000001E-3</v>
      </c>
      <c r="T8" s="27">
        <v>6.0000000000000001E-3</v>
      </c>
      <c r="U8" s="27">
        <v>6.0000000000000001E-3</v>
      </c>
      <c r="V8" s="15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</row>
    <row r="9" spans="1:72" ht="15.75" customHeight="1" x14ac:dyDescent="0.25">
      <c r="A9" s="25" t="s">
        <v>49</v>
      </c>
      <c r="B9" s="29">
        <v>8.3872700000000005E-4</v>
      </c>
      <c r="C9" s="29">
        <v>7.9171899999999997E-4</v>
      </c>
      <c r="D9" s="29">
        <v>8.9158200000000003E-4</v>
      </c>
      <c r="E9" s="29">
        <v>9.0088400000000002E-4</v>
      </c>
      <c r="F9" s="29">
        <v>8.9246300000000002E-4</v>
      </c>
      <c r="G9" s="29">
        <v>9.1035200000000001E-4</v>
      </c>
      <c r="H9" s="29">
        <v>1.241184E-3</v>
      </c>
      <c r="I9" s="29">
        <v>1.167705E-3</v>
      </c>
      <c r="J9" s="29">
        <v>1.3235079999999999E-3</v>
      </c>
      <c r="K9" s="29">
        <v>1.5506859999999999E-3</v>
      </c>
      <c r="L9" s="29">
        <v>1.424367E-3</v>
      </c>
      <c r="M9" s="29">
        <v>1.690481E-3</v>
      </c>
      <c r="N9" s="29">
        <v>1.76906E-3</v>
      </c>
      <c r="O9" s="29">
        <v>1.538984E-3</v>
      </c>
      <c r="P9" s="29">
        <v>2.0220619999999998E-3</v>
      </c>
      <c r="Q9" s="27">
        <v>7.0000000000000001E-3</v>
      </c>
      <c r="R9" s="27">
        <v>7.0000000000000001E-3</v>
      </c>
      <c r="S9" s="27">
        <v>8.0000000000000002E-3</v>
      </c>
      <c r="T9" s="27">
        <v>8.0000000000000002E-3</v>
      </c>
      <c r="U9" s="27">
        <v>0.01</v>
      </c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</row>
    <row r="10" spans="1:72" ht="15.75" customHeight="1" x14ac:dyDescent="0.25">
      <c r="A10" s="25" t="s">
        <v>50</v>
      </c>
      <c r="B10" s="29">
        <v>1.301223E-3</v>
      </c>
      <c r="C10" s="29">
        <v>1.366967E-3</v>
      </c>
      <c r="D10" s="29">
        <v>1.2272679999999999E-3</v>
      </c>
      <c r="E10" s="29">
        <v>1.261674E-3</v>
      </c>
      <c r="F10" s="29">
        <v>1.346547E-3</v>
      </c>
      <c r="G10" s="29">
        <v>1.166474E-3</v>
      </c>
      <c r="H10" s="29">
        <v>1.847532E-3</v>
      </c>
      <c r="I10" s="29">
        <v>1.883579E-3</v>
      </c>
      <c r="J10" s="29">
        <v>1.8075439999999999E-3</v>
      </c>
      <c r="K10" s="29">
        <v>2.0468000000000001E-3</v>
      </c>
      <c r="L10" s="29">
        <v>2.0047609999999999E-3</v>
      </c>
      <c r="M10" s="29">
        <v>2.0931470000000001E-3</v>
      </c>
      <c r="N10" s="29">
        <v>2.450855E-3</v>
      </c>
      <c r="O10" s="29">
        <v>2.2413099999999998E-3</v>
      </c>
      <c r="P10" s="29">
        <v>2.6791250000000001E-3</v>
      </c>
      <c r="Q10" s="27">
        <v>8.9999999999999993E-3</v>
      </c>
      <c r="R10" s="27">
        <v>0.01</v>
      </c>
      <c r="S10" s="27">
        <v>0.01</v>
      </c>
      <c r="T10" s="27">
        <v>1.0999999999999999E-2</v>
      </c>
      <c r="U10" s="27">
        <v>1.2999999999999999E-2</v>
      </c>
      <c r="V10" s="15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</row>
    <row r="11" spans="1:72" ht="15.75" customHeight="1" x14ac:dyDescent="0.25">
      <c r="A11" s="25" t="s">
        <v>51</v>
      </c>
      <c r="B11" s="29">
        <v>1.498421E-3</v>
      </c>
      <c r="C11" s="29">
        <v>1.682876E-3</v>
      </c>
      <c r="D11" s="29">
        <v>1.2921149999999999E-3</v>
      </c>
      <c r="E11" s="29">
        <v>1.491111E-3</v>
      </c>
      <c r="F11" s="29">
        <v>1.663917E-3</v>
      </c>
      <c r="G11" s="29">
        <v>1.299541E-3</v>
      </c>
      <c r="H11" s="29">
        <v>2.193029E-3</v>
      </c>
      <c r="I11" s="29">
        <v>2.4690200000000002E-3</v>
      </c>
      <c r="J11" s="29">
        <v>1.888643E-3</v>
      </c>
      <c r="K11" s="29">
        <v>2.4322469999999998E-3</v>
      </c>
      <c r="L11" s="29">
        <v>2.6241060000000002E-3</v>
      </c>
      <c r="M11" s="29">
        <v>2.2231159999999998E-3</v>
      </c>
      <c r="N11" s="29">
        <v>2.9064329999999999E-3</v>
      </c>
      <c r="O11" s="29">
        <v>2.9844279999999999E-3</v>
      </c>
      <c r="P11" s="29">
        <v>2.8217559999999999E-3</v>
      </c>
      <c r="Q11" s="27">
        <v>8.9999999999999993E-3</v>
      </c>
      <c r="R11" s="27">
        <v>1.2999999999999999E-2</v>
      </c>
      <c r="S11" s="27">
        <v>1.0999999999999999E-2</v>
      </c>
      <c r="T11" s="27">
        <v>1.4999999999999999E-2</v>
      </c>
      <c r="U11" s="27">
        <v>1.4E-2</v>
      </c>
      <c r="V11" s="15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</row>
    <row r="12" spans="1:72" ht="15.75" customHeight="1" x14ac:dyDescent="0.25">
      <c r="A12" s="25" t="s">
        <v>52</v>
      </c>
      <c r="B12" s="29">
        <v>1.90733E-3</v>
      </c>
      <c r="C12" s="29">
        <v>2.3089500000000002E-3</v>
      </c>
      <c r="D12" s="29">
        <v>1.4644549999999999E-3</v>
      </c>
      <c r="E12" s="29">
        <v>1.9507140000000001E-3</v>
      </c>
      <c r="F12" s="29">
        <v>2.3390400000000001E-3</v>
      </c>
      <c r="G12" s="29">
        <v>1.5239909999999999E-3</v>
      </c>
      <c r="H12" s="29">
        <v>2.4952289999999998E-3</v>
      </c>
      <c r="I12" s="29">
        <v>2.898294E-3</v>
      </c>
      <c r="J12" s="29">
        <v>2.0573330000000002E-3</v>
      </c>
      <c r="K12" s="29">
        <v>2.8868650000000002E-3</v>
      </c>
      <c r="L12" s="29">
        <v>3.4033230000000002E-3</v>
      </c>
      <c r="M12" s="29">
        <v>2.3278370000000001E-3</v>
      </c>
      <c r="N12" s="29">
        <v>3.230321E-3</v>
      </c>
      <c r="O12" s="29">
        <v>3.5477529999999998E-3</v>
      </c>
      <c r="P12" s="29">
        <v>2.885028E-3</v>
      </c>
      <c r="Q12" s="27">
        <v>0.01</v>
      </c>
      <c r="R12" s="27">
        <v>1.7000000000000001E-2</v>
      </c>
      <c r="S12" s="27">
        <v>1.2E-2</v>
      </c>
      <c r="T12" s="27">
        <v>1.7999999999999999E-2</v>
      </c>
      <c r="U12" s="27">
        <v>1.4E-2</v>
      </c>
      <c r="V12" s="15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</row>
    <row r="13" spans="1:72" ht="15.75" customHeight="1" x14ac:dyDescent="0.25">
      <c r="A13" s="25" t="s">
        <v>53</v>
      </c>
      <c r="B13" s="29">
        <v>2.5478020000000001E-3</v>
      </c>
      <c r="C13" s="29">
        <v>3.1896009999999998E-3</v>
      </c>
      <c r="D13" s="29">
        <v>1.8485839999999999E-3</v>
      </c>
      <c r="E13" s="29">
        <v>2.6807530000000001E-3</v>
      </c>
      <c r="F13" s="29">
        <v>3.338424E-3</v>
      </c>
      <c r="G13" s="29">
        <v>1.9712089999999998E-3</v>
      </c>
      <c r="H13" s="29">
        <v>3.3552740000000001E-3</v>
      </c>
      <c r="I13" s="29">
        <v>4.2707639999999998E-3</v>
      </c>
      <c r="J13" s="29">
        <v>2.3708890000000002E-3</v>
      </c>
      <c r="K13" s="29">
        <v>3.4768249999999998E-3</v>
      </c>
      <c r="L13" s="29">
        <v>4.2896280000000002E-3</v>
      </c>
      <c r="M13" s="29">
        <v>2.5980880000000001E-3</v>
      </c>
      <c r="N13" s="29">
        <v>3.85929E-3</v>
      </c>
      <c r="O13" s="29">
        <v>4.616162E-3</v>
      </c>
      <c r="P13" s="29">
        <v>3.0332079999999999E-3</v>
      </c>
      <c r="Q13" s="27">
        <v>1.2E-2</v>
      </c>
      <c r="R13" s="27">
        <v>2.1000000000000001E-2</v>
      </c>
      <c r="S13" s="27">
        <v>1.2999999999999999E-2</v>
      </c>
      <c r="T13" s="27">
        <v>2.3E-2</v>
      </c>
      <c r="U13" s="27">
        <v>1.4999999999999999E-2</v>
      </c>
      <c r="V13" s="15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</row>
    <row r="14" spans="1:72" ht="15.75" customHeight="1" x14ac:dyDescent="0.25">
      <c r="A14" s="25" t="s">
        <v>54</v>
      </c>
      <c r="B14" s="29">
        <v>3.3589570000000001E-3</v>
      </c>
      <c r="C14" s="29">
        <v>4.0587970000000003E-3</v>
      </c>
      <c r="D14" s="29">
        <v>2.611712E-3</v>
      </c>
      <c r="E14" s="29">
        <v>3.5372350000000001E-3</v>
      </c>
      <c r="F14" s="29">
        <v>4.1506679999999997E-3</v>
      </c>
      <c r="G14" s="29">
        <v>2.8836249999999999E-3</v>
      </c>
      <c r="H14" s="29">
        <v>4.0449520000000001E-3</v>
      </c>
      <c r="I14" s="29">
        <v>5.1582199999999998E-3</v>
      </c>
      <c r="J14" s="29">
        <v>2.8524660000000001E-3</v>
      </c>
      <c r="K14" s="29">
        <v>4.3467189999999998E-3</v>
      </c>
      <c r="L14" s="29">
        <v>5.444806E-3</v>
      </c>
      <c r="M14" s="29">
        <v>3.1590770000000002E-3</v>
      </c>
      <c r="N14" s="29">
        <v>4.5882010000000001E-3</v>
      </c>
      <c r="O14" s="29">
        <v>5.5293039999999996E-3</v>
      </c>
      <c r="P14" s="29">
        <v>3.5589979999999998E-3</v>
      </c>
      <c r="Q14" s="27">
        <v>1.4E-2</v>
      </c>
      <c r="R14" s="27">
        <v>2.7E-2</v>
      </c>
      <c r="S14" s="27">
        <v>1.6E-2</v>
      </c>
      <c r="T14" s="27">
        <v>2.7E-2</v>
      </c>
      <c r="U14" s="27">
        <v>1.7999999999999999E-2</v>
      </c>
      <c r="V14" s="15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</row>
    <row r="15" spans="1:72" ht="15.75" customHeight="1" x14ac:dyDescent="0.25">
      <c r="A15" s="25" t="s">
        <v>55</v>
      </c>
      <c r="B15" s="29">
        <v>4.7905020000000003E-3</v>
      </c>
      <c r="C15" s="29">
        <v>5.9774629999999997E-3</v>
      </c>
      <c r="D15" s="29">
        <v>3.5395130000000002E-3</v>
      </c>
      <c r="E15" s="29">
        <v>5.1281770000000003E-3</v>
      </c>
      <c r="F15" s="29">
        <v>6.379577E-3</v>
      </c>
      <c r="G15" s="29">
        <v>3.803683E-3</v>
      </c>
      <c r="H15" s="29">
        <v>5.9166399999999999E-3</v>
      </c>
      <c r="I15" s="29">
        <v>7.3087940000000004E-3</v>
      </c>
      <c r="J15" s="29">
        <v>4.4291310000000002E-3</v>
      </c>
      <c r="K15" s="29">
        <v>5.9533099999999999E-3</v>
      </c>
      <c r="L15" s="29">
        <v>7.3052990000000003E-3</v>
      </c>
      <c r="M15" s="29">
        <v>4.4931930000000004E-3</v>
      </c>
      <c r="N15" s="29">
        <v>6.6729210000000001E-3</v>
      </c>
      <c r="O15" s="29">
        <v>8.0825480000000002E-3</v>
      </c>
      <c r="P15" s="29">
        <v>5.1366579999999997E-3</v>
      </c>
      <c r="Q15" s="27">
        <v>2.1999999999999999E-2</v>
      </c>
      <c r="R15" s="27">
        <v>3.5999999999999997E-2</v>
      </c>
      <c r="S15" s="27">
        <v>2.1999999999999999E-2</v>
      </c>
      <c r="T15" s="27">
        <v>0.04</v>
      </c>
      <c r="U15" s="27">
        <v>2.5000000000000001E-2</v>
      </c>
      <c r="V15" s="15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7"/>
    </row>
    <row r="16" spans="1:72" ht="15.75" customHeight="1" x14ac:dyDescent="0.25">
      <c r="A16" s="25" t="s">
        <v>56</v>
      </c>
      <c r="B16" s="29">
        <v>7.797099E-3</v>
      </c>
      <c r="C16" s="29">
        <v>8.6974249999999999E-3</v>
      </c>
      <c r="D16" s="29">
        <v>6.8547770000000003E-3</v>
      </c>
      <c r="E16" s="29">
        <v>8.8748479999999994E-3</v>
      </c>
      <c r="F16" s="29">
        <v>9.6824019999999997E-3</v>
      </c>
      <c r="G16" s="29">
        <v>8.0243729999999996E-3</v>
      </c>
      <c r="H16" s="29">
        <v>8.1714879999999993E-3</v>
      </c>
      <c r="I16" s="29">
        <v>9.957881E-3</v>
      </c>
      <c r="J16" s="29">
        <v>6.2730640000000001E-3</v>
      </c>
      <c r="K16" s="29">
        <v>8.3287529999999995E-3</v>
      </c>
      <c r="L16" s="29">
        <v>1.0401957E-2</v>
      </c>
      <c r="M16" s="29">
        <v>6.1089020000000003E-3</v>
      </c>
      <c r="N16" s="29">
        <v>9.7824609999999992E-3</v>
      </c>
      <c r="O16" s="29">
        <v>1.1804972E-2</v>
      </c>
      <c r="P16" s="29">
        <v>7.6913299999999997E-3</v>
      </c>
      <c r="Q16" s="27">
        <v>3.1E-2</v>
      </c>
      <c r="R16" s="27">
        <v>5.0999999999999997E-2</v>
      </c>
      <c r="S16" s="27">
        <v>0.03</v>
      </c>
      <c r="T16" s="27">
        <v>5.7000000000000002E-2</v>
      </c>
      <c r="U16" s="27">
        <v>3.7999999999999999E-2</v>
      </c>
      <c r="V16" s="15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8"/>
      <c r="BN16" s="16"/>
      <c r="BO16" s="16"/>
      <c r="BP16" s="16"/>
      <c r="BQ16" s="16"/>
      <c r="BR16" s="16"/>
      <c r="BS16" s="18"/>
      <c r="BT16" s="16"/>
    </row>
    <row r="17" spans="1:72" ht="15.75" customHeight="1" x14ac:dyDescent="0.25">
      <c r="A17" s="25" t="s">
        <v>57</v>
      </c>
      <c r="B17" s="29">
        <v>1.1786385E-2</v>
      </c>
      <c r="C17" s="29">
        <v>1.4084853E-2</v>
      </c>
      <c r="D17" s="29">
        <v>9.4026089999999993E-3</v>
      </c>
      <c r="E17" s="29">
        <v>1.3001675000000001E-2</v>
      </c>
      <c r="F17" s="29">
        <v>1.5440512999999999E-2</v>
      </c>
      <c r="G17" s="29">
        <v>1.0458008E-2</v>
      </c>
      <c r="H17" s="29">
        <v>1.254567E-2</v>
      </c>
      <c r="I17" s="29">
        <v>1.5746511000000001E-2</v>
      </c>
      <c r="J17" s="29">
        <v>9.1868560000000002E-3</v>
      </c>
      <c r="K17" s="29">
        <v>1.2579059E-2</v>
      </c>
      <c r="L17" s="29">
        <v>1.4739909000000001E-2</v>
      </c>
      <c r="M17" s="29">
        <v>1.0395601000000001E-2</v>
      </c>
      <c r="N17" s="29">
        <v>1.5685791000000001E-2</v>
      </c>
      <c r="O17" s="29">
        <v>1.8456964999999999E-2</v>
      </c>
      <c r="P17" s="29">
        <v>1.2896210999999999E-2</v>
      </c>
      <c r="Q17" s="27">
        <v>4.4999999999999998E-2</v>
      </c>
      <c r="R17" s="27">
        <v>7.0999999999999994E-2</v>
      </c>
      <c r="S17" s="27">
        <v>5.0999999999999997E-2</v>
      </c>
      <c r="T17" s="27">
        <v>8.7999999999999995E-2</v>
      </c>
      <c r="U17" s="27">
        <v>6.2E-2</v>
      </c>
      <c r="V17" s="15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7"/>
      <c r="BQ17" s="17"/>
      <c r="BR17" s="16"/>
      <c r="BS17" s="16"/>
      <c r="BT17" s="16"/>
    </row>
    <row r="18" spans="1:72" ht="15.75" customHeight="1" x14ac:dyDescent="0.25">
      <c r="A18" s="25" t="s">
        <v>58</v>
      </c>
      <c r="B18" s="29">
        <v>1.7562732000000001E-2</v>
      </c>
      <c r="C18" s="29">
        <v>1.9809436E-2</v>
      </c>
      <c r="D18" s="29">
        <v>1.5264842000000001E-2</v>
      </c>
      <c r="E18" s="29">
        <v>1.8868955E-2</v>
      </c>
      <c r="F18" s="29">
        <v>2.1191738000000002E-2</v>
      </c>
      <c r="G18" s="29">
        <v>1.6487110999999999E-2</v>
      </c>
      <c r="H18" s="29">
        <v>1.9518093E-2</v>
      </c>
      <c r="I18" s="29">
        <v>2.3465913000000001E-2</v>
      </c>
      <c r="J18" s="29">
        <v>1.5621166000000001E-2</v>
      </c>
      <c r="K18" s="29">
        <v>2.0425235999999999E-2</v>
      </c>
      <c r="L18" s="29">
        <v>2.3642129000000001E-2</v>
      </c>
      <c r="M18" s="29">
        <v>1.7276593999999999E-2</v>
      </c>
      <c r="N18" s="29">
        <v>2.2366761999999998E-2</v>
      </c>
      <c r="O18" s="29">
        <v>2.5955753000000002E-2</v>
      </c>
      <c r="P18" s="29">
        <v>1.8911279E-2</v>
      </c>
      <c r="Q18" s="27">
        <v>7.4999999999999997E-2</v>
      </c>
      <c r="R18" s="27">
        <v>0.11</v>
      </c>
      <c r="S18" s="27">
        <v>8.3000000000000004E-2</v>
      </c>
      <c r="T18" s="27">
        <v>0.12</v>
      </c>
      <c r="U18" s="27">
        <v>0.09</v>
      </c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8"/>
      <c r="BL18" s="16"/>
      <c r="BM18" s="16"/>
      <c r="BN18" s="16"/>
      <c r="BO18" s="16"/>
      <c r="BP18" s="17"/>
      <c r="BQ18" s="16"/>
      <c r="BR18" s="16"/>
      <c r="BS18" s="16"/>
      <c r="BT18" s="16"/>
    </row>
    <row r="19" spans="1:72" ht="15.75" customHeight="1" x14ac:dyDescent="0.25">
      <c r="A19" s="25" t="s">
        <v>59</v>
      </c>
      <c r="B19" s="29">
        <v>2.6607314999999999E-2</v>
      </c>
      <c r="C19" s="29">
        <v>2.9694389000000002E-2</v>
      </c>
      <c r="D19" s="29">
        <v>2.3520396999999998E-2</v>
      </c>
      <c r="E19" s="29">
        <v>2.7298052E-2</v>
      </c>
      <c r="F19" s="29">
        <v>3.0541023E-2</v>
      </c>
      <c r="G19" s="29">
        <v>2.4177309000000001E-2</v>
      </c>
      <c r="H19" s="29">
        <v>3.2876414E-2</v>
      </c>
      <c r="I19" s="29">
        <v>3.8514484000000002E-2</v>
      </c>
      <c r="J19" s="29">
        <v>2.7512561000000001E-2</v>
      </c>
      <c r="K19" s="29">
        <v>3.1651179000000002E-2</v>
      </c>
      <c r="L19" s="29">
        <v>3.6754666999999998E-2</v>
      </c>
      <c r="M19" s="29">
        <v>2.6918319999999999E-2</v>
      </c>
      <c r="N19" s="29">
        <v>3.7296243999999999E-2</v>
      </c>
      <c r="O19" s="29">
        <v>4.2613248999999999E-2</v>
      </c>
      <c r="P19" s="29">
        <v>3.2280955E-2</v>
      </c>
      <c r="Q19" s="27">
        <v>0.13</v>
      </c>
      <c r="R19" s="27">
        <v>0.17</v>
      </c>
      <c r="S19" s="27">
        <v>0.13</v>
      </c>
      <c r="T19" s="27">
        <v>0.19</v>
      </c>
      <c r="U19" s="27">
        <v>0.15</v>
      </c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8"/>
      <c r="BP19" s="16"/>
      <c r="BQ19" s="18"/>
      <c r="BR19" s="16"/>
      <c r="BS19" s="18"/>
      <c r="BT19" s="16"/>
    </row>
    <row r="20" spans="1:72" ht="15.75" customHeight="1" x14ac:dyDescent="0.25">
      <c r="A20" s="25" t="s">
        <v>60</v>
      </c>
      <c r="B20" s="29">
        <v>4.1230302000000003E-2</v>
      </c>
      <c r="C20" s="29">
        <v>4.4928562999999998E-2</v>
      </c>
      <c r="D20" s="29">
        <v>3.7806164000000003E-2</v>
      </c>
      <c r="E20" s="29">
        <v>4.1640266000000002E-2</v>
      </c>
      <c r="F20" s="29">
        <v>4.5475193999999997E-2</v>
      </c>
      <c r="G20" s="29">
        <v>3.8108741000000002E-2</v>
      </c>
      <c r="H20" s="29">
        <v>4.7205685999999997E-2</v>
      </c>
      <c r="I20" s="29">
        <v>5.2907488000000003E-2</v>
      </c>
      <c r="J20" s="29">
        <v>4.2079181E-2</v>
      </c>
      <c r="K20" s="29">
        <v>5.0567484000000003E-2</v>
      </c>
      <c r="L20" s="29">
        <v>5.6639963000000002E-2</v>
      </c>
      <c r="M20" s="29">
        <v>4.5068189000000002E-2</v>
      </c>
      <c r="N20" s="29">
        <v>5.9325991000000002E-2</v>
      </c>
      <c r="O20" s="29">
        <v>6.5072852E-2</v>
      </c>
      <c r="P20" s="29">
        <v>5.3858731E-2</v>
      </c>
      <c r="Q20" s="27">
        <v>0.19</v>
      </c>
      <c r="R20" s="27">
        <v>0.25</v>
      </c>
      <c r="S20" s="27">
        <v>0.2</v>
      </c>
      <c r="T20" s="27">
        <v>0.28000000000000003</v>
      </c>
      <c r="U20" s="27">
        <v>0.24</v>
      </c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8"/>
      <c r="BL20" s="16"/>
      <c r="BM20" s="16"/>
      <c r="BN20" s="16"/>
      <c r="BO20" s="17"/>
      <c r="BP20" s="16"/>
      <c r="BQ20" s="16"/>
      <c r="BR20" s="17"/>
      <c r="BS20" s="16"/>
      <c r="BT20" s="16"/>
    </row>
    <row r="21" spans="1:72" ht="15.75" customHeight="1" x14ac:dyDescent="0.25">
      <c r="A21" s="25" t="s">
        <v>61</v>
      </c>
      <c r="B21" s="29">
        <v>6.2868255999999997E-2</v>
      </c>
      <c r="C21" s="29">
        <v>6.8316935999999995E-2</v>
      </c>
      <c r="D21" s="29">
        <v>5.8071479000000002E-2</v>
      </c>
      <c r="E21" s="29">
        <v>6.4788433000000006E-2</v>
      </c>
      <c r="F21" s="29">
        <v>7.0637001000000005E-2</v>
      </c>
      <c r="G21" s="29">
        <v>5.9747314000000003E-2</v>
      </c>
      <c r="H21" s="29">
        <v>6.9944739000000006E-2</v>
      </c>
      <c r="I21" s="29">
        <v>7.7824775999999998E-2</v>
      </c>
      <c r="J21" s="29">
        <v>6.3033595999999997E-2</v>
      </c>
      <c r="K21" s="29">
        <v>8.1968427999999996E-2</v>
      </c>
      <c r="L21" s="29">
        <v>8.7874479000000005E-2</v>
      </c>
      <c r="M21" s="29">
        <v>7.6579786999999996E-2</v>
      </c>
      <c r="N21" s="29">
        <v>9.4792345E-2</v>
      </c>
      <c r="O21" s="29">
        <v>9.9799936000000006E-2</v>
      </c>
      <c r="P21" s="29">
        <v>9.0112378000000007E-2</v>
      </c>
      <c r="Q21" s="27">
        <v>0.27</v>
      </c>
      <c r="R21" s="27">
        <v>0.36</v>
      </c>
      <c r="S21" s="27">
        <v>0.32</v>
      </c>
      <c r="T21" s="27">
        <v>0.4</v>
      </c>
      <c r="U21" s="27">
        <v>0.37</v>
      </c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7"/>
      <c r="BL21" s="16"/>
      <c r="BM21" s="16"/>
      <c r="BN21" s="16"/>
      <c r="BO21" s="16"/>
      <c r="BP21" s="16"/>
      <c r="BQ21" s="18"/>
      <c r="BR21" s="16"/>
      <c r="BS21" s="16"/>
      <c r="BT21" s="16"/>
    </row>
    <row r="22" spans="1:72" ht="15.75" customHeight="1" x14ac:dyDescent="0.25">
      <c r="A22" s="25" t="s">
        <v>62</v>
      </c>
      <c r="B22" s="29">
        <v>0.10828625</v>
      </c>
      <c r="C22" s="29">
        <v>0.113038526</v>
      </c>
      <c r="D22" s="29">
        <v>0.10436274099999999</v>
      </c>
      <c r="E22" s="29">
        <v>0.116634785</v>
      </c>
      <c r="F22" s="29">
        <v>0.12370346</v>
      </c>
      <c r="G22" s="29">
        <v>0.11069469</v>
      </c>
      <c r="H22" s="29">
        <v>9.8521797999999994E-2</v>
      </c>
      <c r="I22" s="29">
        <v>0.10510869</v>
      </c>
      <c r="J22" s="29">
        <v>9.2786682999999995E-2</v>
      </c>
      <c r="K22" s="29">
        <v>0.13138867900000001</v>
      </c>
      <c r="L22" s="29">
        <v>0.135546322</v>
      </c>
      <c r="M22" s="29">
        <v>0.12773235099999999</v>
      </c>
      <c r="N22" s="29">
        <v>0.14900369399999999</v>
      </c>
      <c r="O22" s="29">
        <v>0.15142082800000001</v>
      </c>
      <c r="P22" s="29">
        <v>0.146863295</v>
      </c>
      <c r="Q22" s="27">
        <v>0.38</v>
      </c>
      <c r="R22" s="27">
        <v>0.51</v>
      </c>
      <c r="S22" s="27">
        <v>0.48</v>
      </c>
      <c r="T22" s="27">
        <v>0.55000000000000004</v>
      </c>
      <c r="U22" s="27">
        <v>0.54</v>
      </c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8"/>
      <c r="BM22" s="16"/>
      <c r="BN22" s="16"/>
      <c r="BO22" s="16"/>
      <c r="BP22" s="18"/>
      <c r="BQ22" s="16"/>
      <c r="BR22" s="16"/>
      <c r="BS22" s="16"/>
      <c r="BT22" s="16"/>
    </row>
    <row r="23" spans="1:72" ht="15.75" customHeight="1" x14ac:dyDescent="0.25">
      <c r="A23" s="25" t="s">
        <v>63</v>
      </c>
      <c r="B23" s="29">
        <v>0.17864340400000001</v>
      </c>
      <c r="C23" s="29">
        <v>0.18579240999999999</v>
      </c>
      <c r="D23" s="29">
        <v>0.172897945</v>
      </c>
      <c r="E23" s="29">
        <v>0.18393411800000001</v>
      </c>
      <c r="F23" s="29">
        <v>0.19511571</v>
      </c>
      <c r="G23" s="29">
        <v>0.174944289</v>
      </c>
      <c r="H23" s="29">
        <v>0.193028859</v>
      </c>
      <c r="I23" s="29">
        <v>0.20209803700000001</v>
      </c>
      <c r="J23" s="29">
        <v>0.18607059200000001</v>
      </c>
      <c r="K23" s="29">
        <v>0.231252923</v>
      </c>
      <c r="L23" s="29">
        <v>0.23287781099999999</v>
      </c>
      <c r="M23" s="29">
        <v>0.230036297</v>
      </c>
      <c r="N23" s="29">
        <v>0.25114038399999999</v>
      </c>
      <c r="O23" s="29">
        <v>0.25045528700000003</v>
      </c>
      <c r="P23" s="29">
        <v>0.25163776399999999</v>
      </c>
      <c r="Q23" s="27">
        <v>1</v>
      </c>
      <c r="R23" s="27">
        <v>1</v>
      </c>
      <c r="S23" s="27">
        <v>1</v>
      </c>
      <c r="T23" s="27">
        <v>1</v>
      </c>
      <c r="U23" s="27">
        <v>1</v>
      </c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7"/>
      <c r="BL23" s="16"/>
      <c r="BM23" s="16"/>
      <c r="BN23" s="18"/>
      <c r="BO23" s="16"/>
      <c r="BP23" s="17"/>
      <c r="BQ23" s="16"/>
      <c r="BR23" s="16"/>
      <c r="BS23" s="18"/>
      <c r="BT23" s="16"/>
    </row>
    <row r="24" spans="1:72" ht="15.75" customHeight="1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</row>
    <row r="25" spans="1:72" ht="15.75" customHeight="1" x14ac:dyDescent="0.25">
      <c r="A25" s="232"/>
      <c r="B25" s="230"/>
      <c r="C25" s="230"/>
      <c r="D25" s="230"/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0"/>
      <c r="T25" s="230"/>
      <c r="U25" s="230"/>
      <c r="V25" s="230"/>
      <c r="W25" s="19"/>
      <c r="X25" s="19"/>
      <c r="Y25" s="19"/>
      <c r="Z25" s="19"/>
      <c r="AA25" s="19"/>
      <c r="AB25" s="16">
        <v>0.57999999999999996</v>
      </c>
      <c r="AC25" s="16">
        <v>0.42</v>
      </c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</row>
    <row r="26" spans="1:72" ht="15.75" customHeight="1" x14ac:dyDescent="0.25">
      <c r="A26" s="19"/>
      <c r="B26" s="232">
        <v>2019</v>
      </c>
      <c r="C26" s="230"/>
      <c r="D26" s="230"/>
      <c r="E26" s="232">
        <v>2015</v>
      </c>
      <c r="F26" s="230"/>
      <c r="G26" s="230"/>
      <c r="H26" s="232">
        <v>2010</v>
      </c>
      <c r="I26" s="230"/>
      <c r="J26" s="230"/>
      <c r="K26" s="232">
        <v>2005</v>
      </c>
      <c r="L26" s="230"/>
      <c r="M26" s="230"/>
      <c r="N26" s="232">
        <v>2000</v>
      </c>
      <c r="O26" s="230"/>
      <c r="P26" s="230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</row>
    <row r="27" spans="1:72" ht="15.75" customHeight="1" x14ac:dyDescent="0.25">
      <c r="A27" s="19"/>
      <c r="B27" s="16" t="s">
        <v>28</v>
      </c>
      <c r="C27" s="16" t="s">
        <v>66</v>
      </c>
      <c r="D27" s="16" t="s">
        <v>67</v>
      </c>
      <c r="E27" s="16" t="s">
        <v>28</v>
      </c>
      <c r="F27" s="16" t="s">
        <v>66</v>
      </c>
      <c r="G27" s="16" t="s">
        <v>67</v>
      </c>
      <c r="H27" s="16" t="s">
        <v>28</v>
      </c>
      <c r="I27" s="16" t="s">
        <v>66</v>
      </c>
      <c r="J27" s="16" t="s">
        <v>67</v>
      </c>
      <c r="K27" s="16" t="s">
        <v>28</v>
      </c>
      <c r="L27" s="16" t="s">
        <v>66</v>
      </c>
      <c r="M27" s="16" t="s">
        <v>67</v>
      </c>
      <c r="N27" s="16" t="s">
        <v>28</v>
      </c>
      <c r="O27" s="16" t="s">
        <v>66</v>
      </c>
      <c r="P27" s="16" t="s">
        <v>67</v>
      </c>
      <c r="Q27" s="19"/>
      <c r="R27" s="19"/>
      <c r="S27" s="19"/>
      <c r="T27" s="19"/>
      <c r="U27" s="19"/>
      <c r="V27" s="21" t="s">
        <v>68</v>
      </c>
      <c r="W27" s="22" t="s">
        <v>69</v>
      </c>
      <c r="X27" s="22" t="s">
        <v>70</v>
      </c>
      <c r="Y27" s="22" t="s">
        <v>71</v>
      </c>
      <c r="Z27" s="22" t="s">
        <v>72</v>
      </c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</row>
    <row r="28" spans="1:72" ht="12.75" x14ac:dyDescent="0.2">
      <c r="A28" s="1">
        <v>0</v>
      </c>
      <c r="B28" s="28">
        <f t="shared" ref="B28:U28" si="0">B5</f>
        <v>2.8345842999999999E-2</v>
      </c>
      <c r="C28" s="28">
        <f t="shared" si="0"/>
        <v>2.8394243999999999E-2</v>
      </c>
      <c r="D28" s="28">
        <f t="shared" si="0"/>
        <v>2.8292624999999998E-2</v>
      </c>
      <c r="E28" s="28">
        <f t="shared" si="0"/>
        <v>3.7615640999999998E-2</v>
      </c>
      <c r="F28" s="28">
        <f t="shared" si="0"/>
        <v>3.7225724000000002E-2</v>
      </c>
      <c r="G28" s="28">
        <f t="shared" si="0"/>
        <v>3.8046547E-2</v>
      </c>
      <c r="H28" s="28">
        <f t="shared" si="0"/>
        <v>4.6026873000000003E-2</v>
      </c>
      <c r="I28" s="28">
        <f t="shared" si="0"/>
        <v>4.5410469000000002E-2</v>
      </c>
      <c r="J28" s="28">
        <f t="shared" si="0"/>
        <v>4.6701221000000001E-2</v>
      </c>
      <c r="K28" s="28">
        <f t="shared" si="0"/>
        <v>5.830424E-2</v>
      </c>
      <c r="L28" s="28">
        <f t="shared" si="0"/>
        <v>5.7264232999999998E-2</v>
      </c>
      <c r="M28" s="28">
        <f t="shared" si="0"/>
        <v>5.9463560999999998E-2</v>
      </c>
      <c r="N28" s="28">
        <f t="shared" si="0"/>
        <v>6.9968978000000001E-2</v>
      </c>
      <c r="O28" s="28">
        <f t="shared" si="0"/>
        <v>6.9792656999999994E-2</v>
      </c>
      <c r="P28" s="28">
        <f t="shared" si="0"/>
        <v>7.0164931999999999E-2</v>
      </c>
      <c r="Q28" s="28">
        <f t="shared" si="0"/>
        <v>4.4999999999999998E-2</v>
      </c>
      <c r="R28" s="28">
        <f t="shared" si="0"/>
        <v>5.5E-2</v>
      </c>
      <c r="S28" s="28">
        <f t="shared" si="0"/>
        <v>5.7000000000000002E-2</v>
      </c>
      <c r="T28" s="28">
        <f t="shared" si="0"/>
        <v>6.7000000000000004E-2</v>
      </c>
      <c r="U28" s="28">
        <f t="shared" si="0"/>
        <v>6.7000000000000004E-2</v>
      </c>
      <c r="V28" s="24">
        <f t="shared" ref="V28:V128" si="1">AVERAGE($B28:$C28)</f>
        <v>2.8370043499999997E-2</v>
      </c>
      <c r="W28" s="24">
        <f t="shared" ref="W28:W128" si="2">AVERAGE($D28:$E28)</f>
        <v>3.2954132999999997E-2</v>
      </c>
      <c r="X28" s="24">
        <f t="shared" ref="X28:X128" si="3">AVERAGE($F28:$G28)</f>
        <v>3.7636135500000001E-2</v>
      </c>
      <c r="Y28" s="24">
        <f t="shared" ref="Y28:Y128" si="4">AVERAGE($H28:$I28)</f>
        <v>4.5718671000000002E-2</v>
      </c>
      <c r="Z28" s="24">
        <f t="shared" ref="Z28:Z128" si="5">AVERAGE($J28:$K28)</f>
        <v>5.2502730499999997E-2</v>
      </c>
      <c r="AB28" s="3">
        <f ca="1">IFERROR(__xludf.DUMMYFUNCTION("AVERAGE.WEIGHTED(C28:D28,$AB$25:$AC$25)"),0.0283515640199999)</f>
        <v>2.83515640199999E-2</v>
      </c>
      <c r="AC28" s="3">
        <f ca="1">IFERROR(__xludf.DUMMYFUNCTION("AVERAGE.WEIGHTED(F28:G28,$AB$25:$AC$25)"),0.03757046966)</f>
        <v>3.7570469660000001E-2</v>
      </c>
      <c r="AD28" s="3">
        <f ca="1">IFERROR(__xludf.DUMMYFUNCTION("AVERAGE.WEIGHTED(I28:J28,$AB$25:$AC$25)"),0.04595258484)</f>
        <v>4.5952584839999998E-2</v>
      </c>
    </row>
    <row r="29" spans="1:72" ht="12.75" x14ac:dyDescent="0.2">
      <c r="A29" s="1">
        <v>1</v>
      </c>
      <c r="B29" s="28">
        <f t="shared" ref="B29:U29" si="6">B$6</f>
        <v>1.559223E-3</v>
      </c>
      <c r="C29" s="28">
        <f t="shared" si="6"/>
        <v>1.3958969999999999E-3</v>
      </c>
      <c r="D29" s="28">
        <f t="shared" si="6"/>
        <v>1.739006E-3</v>
      </c>
      <c r="E29" s="28">
        <f t="shared" si="6"/>
        <v>2.2271259999999998E-3</v>
      </c>
      <c r="F29" s="28">
        <f t="shared" si="6"/>
        <v>1.938525E-3</v>
      </c>
      <c r="G29" s="28">
        <f t="shared" si="6"/>
        <v>2.5447830000000001E-3</v>
      </c>
      <c r="H29" s="28">
        <f t="shared" si="6"/>
        <v>3.4290039999999998E-3</v>
      </c>
      <c r="I29" s="28">
        <f t="shared" si="6"/>
        <v>2.8900520000000002E-3</v>
      </c>
      <c r="J29" s="28">
        <f t="shared" si="6"/>
        <v>4.0265969999999998E-3</v>
      </c>
      <c r="K29" s="28">
        <f t="shared" si="6"/>
        <v>4.9869459999999999E-3</v>
      </c>
      <c r="L29" s="28">
        <f t="shared" si="6"/>
        <v>4.185149E-3</v>
      </c>
      <c r="M29" s="28">
        <f t="shared" si="6"/>
        <v>5.8844329999999997E-3</v>
      </c>
      <c r="N29" s="28">
        <f t="shared" si="6"/>
        <v>6.7679990000000002E-3</v>
      </c>
      <c r="O29" s="28">
        <f t="shared" si="6"/>
        <v>5.5750089999999997E-3</v>
      </c>
      <c r="P29" s="28">
        <f t="shared" si="6"/>
        <v>8.1029859999999995E-3</v>
      </c>
      <c r="Q29" s="28">
        <f t="shared" si="6"/>
        <v>1.6E-2</v>
      </c>
      <c r="R29" s="28">
        <f t="shared" si="6"/>
        <v>1.7000000000000001E-2</v>
      </c>
      <c r="S29" s="28">
        <f t="shared" si="6"/>
        <v>2.3E-2</v>
      </c>
      <c r="T29" s="28">
        <f t="shared" si="6"/>
        <v>2.1999999999999999E-2</v>
      </c>
      <c r="U29" s="28">
        <f t="shared" si="6"/>
        <v>3.2000000000000001E-2</v>
      </c>
      <c r="V29" s="24">
        <f t="shared" si="1"/>
        <v>1.4775599999999999E-3</v>
      </c>
      <c r="W29" s="24">
        <f t="shared" si="2"/>
        <v>1.9830659999999999E-3</v>
      </c>
      <c r="X29" s="24">
        <f t="shared" si="3"/>
        <v>2.241654E-3</v>
      </c>
      <c r="Y29" s="24">
        <f t="shared" si="4"/>
        <v>3.159528E-3</v>
      </c>
      <c r="Z29" s="24">
        <f t="shared" si="5"/>
        <v>4.5067714999999994E-3</v>
      </c>
      <c r="AB29" s="3">
        <f ca="1">IFERROR(__xludf.DUMMYFUNCTION("AVERAGE.WEIGHTED(C29:D29,$AB$25:$AC$25)"),0.00154000277999999)</f>
        <v>1.5400027799999899E-3</v>
      </c>
      <c r="AC29" s="3">
        <f ca="1">IFERROR(__xludf.DUMMYFUNCTION("AVERAGE.WEIGHTED(F29:G29,$AB$25:$AC$25)"),0.00219315336)</f>
        <v>2.1931533600000001E-3</v>
      </c>
      <c r="AD29" s="3">
        <f ca="1">IFERROR(__xludf.DUMMYFUNCTION("AVERAGE.WEIGHTED(I29:J29,$AB$25:$AC$25)"),0.0033674009)</f>
        <v>3.3674008999999999E-3</v>
      </c>
    </row>
    <row r="30" spans="1:72" ht="12.75" x14ac:dyDescent="0.2">
      <c r="A30" s="1">
        <v>2</v>
      </c>
      <c r="B30" s="28">
        <f t="shared" ref="B30:U30" si="7">B$6</f>
        <v>1.559223E-3</v>
      </c>
      <c r="C30" s="28">
        <f t="shared" si="7"/>
        <v>1.3958969999999999E-3</v>
      </c>
      <c r="D30" s="28">
        <f t="shared" si="7"/>
        <v>1.739006E-3</v>
      </c>
      <c r="E30" s="28">
        <f t="shared" si="7"/>
        <v>2.2271259999999998E-3</v>
      </c>
      <c r="F30" s="28">
        <f t="shared" si="7"/>
        <v>1.938525E-3</v>
      </c>
      <c r="G30" s="28">
        <f t="shared" si="7"/>
        <v>2.5447830000000001E-3</v>
      </c>
      <c r="H30" s="28">
        <f t="shared" si="7"/>
        <v>3.4290039999999998E-3</v>
      </c>
      <c r="I30" s="28">
        <f t="shared" si="7"/>
        <v>2.8900520000000002E-3</v>
      </c>
      <c r="J30" s="28">
        <f t="shared" si="7"/>
        <v>4.0265969999999998E-3</v>
      </c>
      <c r="K30" s="28">
        <f t="shared" si="7"/>
        <v>4.9869459999999999E-3</v>
      </c>
      <c r="L30" s="28">
        <f t="shared" si="7"/>
        <v>4.185149E-3</v>
      </c>
      <c r="M30" s="28">
        <f t="shared" si="7"/>
        <v>5.8844329999999997E-3</v>
      </c>
      <c r="N30" s="28">
        <f t="shared" si="7"/>
        <v>6.7679990000000002E-3</v>
      </c>
      <c r="O30" s="28">
        <f t="shared" si="7"/>
        <v>5.5750089999999997E-3</v>
      </c>
      <c r="P30" s="28">
        <f t="shared" si="7"/>
        <v>8.1029859999999995E-3</v>
      </c>
      <c r="Q30" s="28">
        <f t="shared" si="7"/>
        <v>1.6E-2</v>
      </c>
      <c r="R30" s="28">
        <f t="shared" si="7"/>
        <v>1.7000000000000001E-2</v>
      </c>
      <c r="S30" s="28">
        <f t="shared" si="7"/>
        <v>2.3E-2</v>
      </c>
      <c r="T30" s="28">
        <f t="shared" si="7"/>
        <v>2.1999999999999999E-2</v>
      </c>
      <c r="U30" s="28">
        <f t="shared" si="7"/>
        <v>3.2000000000000001E-2</v>
      </c>
      <c r="V30" s="24">
        <f t="shared" si="1"/>
        <v>1.4775599999999999E-3</v>
      </c>
      <c r="W30" s="24">
        <f t="shared" si="2"/>
        <v>1.9830659999999999E-3</v>
      </c>
      <c r="X30" s="24">
        <f t="shared" si="3"/>
        <v>2.241654E-3</v>
      </c>
      <c r="Y30" s="24">
        <f t="shared" si="4"/>
        <v>3.159528E-3</v>
      </c>
      <c r="Z30" s="24">
        <f t="shared" si="5"/>
        <v>4.5067714999999994E-3</v>
      </c>
      <c r="AB30" s="3">
        <f ca="1">IFERROR(__xludf.DUMMYFUNCTION("AVERAGE.WEIGHTED(C30:D30,$AB$25:$AC$25)"),0.00154000277999999)</f>
        <v>1.5400027799999899E-3</v>
      </c>
      <c r="AC30" s="3">
        <f ca="1">IFERROR(__xludf.DUMMYFUNCTION("AVERAGE.WEIGHTED(F30:G30,$AB$25:$AC$25)"),0.00219315336)</f>
        <v>2.1931533600000001E-3</v>
      </c>
      <c r="AD30" s="3">
        <f ca="1">IFERROR(__xludf.DUMMYFUNCTION("AVERAGE.WEIGHTED(I30:J30,$AB$25:$AC$25)"),0.0033674009)</f>
        <v>3.3674008999999999E-3</v>
      </c>
    </row>
    <row r="31" spans="1:72" ht="12.75" x14ac:dyDescent="0.2">
      <c r="A31" s="1">
        <v>3</v>
      </c>
      <c r="B31" s="28">
        <f t="shared" ref="B31:U31" si="8">B$6</f>
        <v>1.559223E-3</v>
      </c>
      <c r="C31" s="28">
        <f t="shared" si="8"/>
        <v>1.3958969999999999E-3</v>
      </c>
      <c r="D31" s="28">
        <f t="shared" si="8"/>
        <v>1.739006E-3</v>
      </c>
      <c r="E31" s="28">
        <f t="shared" si="8"/>
        <v>2.2271259999999998E-3</v>
      </c>
      <c r="F31" s="28">
        <f t="shared" si="8"/>
        <v>1.938525E-3</v>
      </c>
      <c r="G31" s="28">
        <f t="shared" si="8"/>
        <v>2.5447830000000001E-3</v>
      </c>
      <c r="H31" s="28">
        <f t="shared" si="8"/>
        <v>3.4290039999999998E-3</v>
      </c>
      <c r="I31" s="28">
        <f t="shared" si="8"/>
        <v>2.8900520000000002E-3</v>
      </c>
      <c r="J31" s="28">
        <f t="shared" si="8"/>
        <v>4.0265969999999998E-3</v>
      </c>
      <c r="K31" s="28">
        <f t="shared" si="8"/>
        <v>4.9869459999999999E-3</v>
      </c>
      <c r="L31" s="28">
        <f t="shared" si="8"/>
        <v>4.185149E-3</v>
      </c>
      <c r="M31" s="28">
        <f t="shared" si="8"/>
        <v>5.8844329999999997E-3</v>
      </c>
      <c r="N31" s="28">
        <f t="shared" si="8"/>
        <v>6.7679990000000002E-3</v>
      </c>
      <c r="O31" s="28">
        <f t="shared" si="8"/>
        <v>5.5750089999999997E-3</v>
      </c>
      <c r="P31" s="28">
        <f t="shared" si="8"/>
        <v>8.1029859999999995E-3</v>
      </c>
      <c r="Q31" s="28">
        <f t="shared" si="8"/>
        <v>1.6E-2</v>
      </c>
      <c r="R31" s="28">
        <f t="shared" si="8"/>
        <v>1.7000000000000001E-2</v>
      </c>
      <c r="S31" s="28">
        <f t="shared" si="8"/>
        <v>2.3E-2</v>
      </c>
      <c r="T31" s="28">
        <f t="shared" si="8"/>
        <v>2.1999999999999999E-2</v>
      </c>
      <c r="U31" s="28">
        <f t="shared" si="8"/>
        <v>3.2000000000000001E-2</v>
      </c>
      <c r="V31" s="24">
        <f t="shared" si="1"/>
        <v>1.4775599999999999E-3</v>
      </c>
      <c r="W31" s="24">
        <f t="shared" si="2"/>
        <v>1.9830659999999999E-3</v>
      </c>
      <c r="X31" s="24">
        <f t="shared" si="3"/>
        <v>2.241654E-3</v>
      </c>
      <c r="Y31" s="24">
        <f t="shared" si="4"/>
        <v>3.159528E-3</v>
      </c>
      <c r="Z31" s="24">
        <f t="shared" si="5"/>
        <v>4.5067714999999994E-3</v>
      </c>
      <c r="AB31" s="3">
        <f ca="1">IFERROR(__xludf.DUMMYFUNCTION("AVERAGE.WEIGHTED(C31:D31,$AB$25:$AC$25)"),0.00154000277999999)</f>
        <v>1.5400027799999899E-3</v>
      </c>
      <c r="AC31" s="3">
        <f ca="1">IFERROR(__xludf.DUMMYFUNCTION("AVERAGE.WEIGHTED(F31:G31,$AB$25:$AC$25)"),0.00219315336)</f>
        <v>2.1931533600000001E-3</v>
      </c>
      <c r="AD31" s="3">
        <f ca="1">IFERROR(__xludf.DUMMYFUNCTION("AVERAGE.WEIGHTED(I31:J31,$AB$25:$AC$25)"),0.0033674009)</f>
        <v>3.3674008999999999E-3</v>
      </c>
    </row>
    <row r="32" spans="1:72" ht="12.75" x14ac:dyDescent="0.2">
      <c r="A32" s="1">
        <v>4</v>
      </c>
      <c r="B32" s="28">
        <f t="shared" ref="B32:U32" si="9">B$6</f>
        <v>1.559223E-3</v>
      </c>
      <c r="C32" s="28">
        <f t="shared" si="9"/>
        <v>1.3958969999999999E-3</v>
      </c>
      <c r="D32" s="28">
        <f t="shared" si="9"/>
        <v>1.739006E-3</v>
      </c>
      <c r="E32" s="28">
        <f t="shared" si="9"/>
        <v>2.2271259999999998E-3</v>
      </c>
      <c r="F32" s="28">
        <f t="shared" si="9"/>
        <v>1.938525E-3</v>
      </c>
      <c r="G32" s="28">
        <f t="shared" si="9"/>
        <v>2.5447830000000001E-3</v>
      </c>
      <c r="H32" s="28">
        <f t="shared" si="9"/>
        <v>3.4290039999999998E-3</v>
      </c>
      <c r="I32" s="28">
        <f t="shared" si="9"/>
        <v>2.8900520000000002E-3</v>
      </c>
      <c r="J32" s="28">
        <f t="shared" si="9"/>
        <v>4.0265969999999998E-3</v>
      </c>
      <c r="K32" s="28">
        <f t="shared" si="9"/>
        <v>4.9869459999999999E-3</v>
      </c>
      <c r="L32" s="28">
        <f t="shared" si="9"/>
        <v>4.185149E-3</v>
      </c>
      <c r="M32" s="28">
        <f t="shared" si="9"/>
        <v>5.8844329999999997E-3</v>
      </c>
      <c r="N32" s="28">
        <f t="shared" si="9"/>
        <v>6.7679990000000002E-3</v>
      </c>
      <c r="O32" s="28">
        <f t="shared" si="9"/>
        <v>5.5750089999999997E-3</v>
      </c>
      <c r="P32" s="28">
        <f t="shared" si="9"/>
        <v>8.1029859999999995E-3</v>
      </c>
      <c r="Q32" s="28">
        <f t="shared" si="9"/>
        <v>1.6E-2</v>
      </c>
      <c r="R32" s="28">
        <f t="shared" si="9"/>
        <v>1.7000000000000001E-2</v>
      </c>
      <c r="S32" s="28">
        <f t="shared" si="9"/>
        <v>2.3E-2</v>
      </c>
      <c r="T32" s="28">
        <f t="shared" si="9"/>
        <v>2.1999999999999999E-2</v>
      </c>
      <c r="U32" s="28">
        <f t="shared" si="9"/>
        <v>3.2000000000000001E-2</v>
      </c>
      <c r="V32" s="24">
        <f t="shared" si="1"/>
        <v>1.4775599999999999E-3</v>
      </c>
      <c r="W32" s="24">
        <f t="shared" si="2"/>
        <v>1.9830659999999999E-3</v>
      </c>
      <c r="X32" s="24">
        <f t="shared" si="3"/>
        <v>2.241654E-3</v>
      </c>
      <c r="Y32" s="24">
        <f t="shared" si="4"/>
        <v>3.159528E-3</v>
      </c>
      <c r="Z32" s="24">
        <f t="shared" si="5"/>
        <v>4.5067714999999994E-3</v>
      </c>
      <c r="AB32" s="3">
        <f ca="1">IFERROR(__xludf.DUMMYFUNCTION("AVERAGE.WEIGHTED(C32:D32,$AB$25:$AC$25)"),0.00154000277999999)</f>
        <v>1.5400027799999899E-3</v>
      </c>
      <c r="AC32" s="3">
        <f ca="1">IFERROR(__xludf.DUMMYFUNCTION("AVERAGE.WEIGHTED(F32:G32,$AB$25:$AC$25)"),0.00219315336)</f>
        <v>2.1931533600000001E-3</v>
      </c>
      <c r="AD32" s="3">
        <f ca="1">IFERROR(__xludf.DUMMYFUNCTION("AVERAGE.WEIGHTED(I32:J32,$AB$25:$AC$25)"),0.0033674009)</f>
        <v>3.3674008999999999E-3</v>
      </c>
    </row>
    <row r="33" spans="1:30" ht="12.75" x14ac:dyDescent="0.2">
      <c r="A33" s="1">
        <v>5</v>
      </c>
      <c r="B33" s="28">
        <f t="shared" ref="B33:U33" si="10">B$7</f>
        <v>5.58316E-4</v>
      </c>
      <c r="C33" s="28">
        <f t="shared" si="10"/>
        <v>4.9988699999999997E-4</v>
      </c>
      <c r="D33" s="28">
        <f t="shared" si="10"/>
        <v>6.2275899999999996E-4</v>
      </c>
      <c r="E33" s="28">
        <f t="shared" si="10"/>
        <v>7.0593499999999998E-4</v>
      </c>
      <c r="F33" s="28">
        <f t="shared" si="10"/>
        <v>6.1471400000000004E-4</v>
      </c>
      <c r="G33" s="28">
        <f t="shared" si="10"/>
        <v>8.0696100000000003E-4</v>
      </c>
      <c r="H33" s="28">
        <f t="shared" si="10"/>
        <v>1.0147190000000001E-3</v>
      </c>
      <c r="I33" s="28">
        <f t="shared" si="10"/>
        <v>8.5607800000000003E-4</v>
      </c>
      <c r="J33" s="28">
        <f t="shared" si="10"/>
        <v>1.192741E-3</v>
      </c>
      <c r="K33" s="28">
        <f t="shared" si="10"/>
        <v>1.3993269999999999E-3</v>
      </c>
      <c r="L33" s="28">
        <f t="shared" si="10"/>
        <v>1.174645E-3</v>
      </c>
      <c r="M33" s="28">
        <f t="shared" si="10"/>
        <v>1.6515830000000001E-3</v>
      </c>
      <c r="N33" s="28">
        <f t="shared" si="10"/>
        <v>1.8297159999999999E-3</v>
      </c>
      <c r="O33" s="28">
        <f t="shared" si="10"/>
        <v>1.507041E-3</v>
      </c>
      <c r="P33" s="28">
        <f t="shared" si="10"/>
        <v>2.1904049999999999E-3</v>
      </c>
      <c r="Q33" s="28">
        <f t="shared" si="10"/>
        <v>6.0000000000000001E-3</v>
      </c>
      <c r="R33" s="28">
        <f t="shared" si="10"/>
        <v>6.0000000000000001E-3</v>
      </c>
      <c r="S33" s="28">
        <f t="shared" si="10"/>
        <v>8.0000000000000002E-3</v>
      </c>
      <c r="T33" s="28">
        <f t="shared" si="10"/>
        <v>8.0000000000000002E-3</v>
      </c>
      <c r="U33" s="28">
        <f t="shared" si="10"/>
        <v>1.0999999999999999E-2</v>
      </c>
      <c r="V33" s="24">
        <f t="shared" si="1"/>
        <v>5.2910149999999998E-4</v>
      </c>
      <c r="W33" s="24">
        <f t="shared" si="2"/>
        <v>6.6434700000000003E-4</v>
      </c>
      <c r="X33" s="24">
        <f t="shared" si="3"/>
        <v>7.1083750000000003E-4</v>
      </c>
      <c r="Y33" s="24">
        <f t="shared" si="4"/>
        <v>9.353985E-4</v>
      </c>
      <c r="Z33" s="24">
        <f t="shared" si="5"/>
        <v>1.2960339999999999E-3</v>
      </c>
      <c r="AB33" s="3">
        <f ca="1">IFERROR(__xludf.DUMMYFUNCTION("AVERAGE.WEIGHTED(C33:D33,$AB$25:$AC$25)"),0.000551493239999999)</f>
        <v>5.5149323999999895E-4</v>
      </c>
      <c r="AC33" s="3">
        <f ca="1">IFERROR(__xludf.DUMMYFUNCTION("AVERAGE.WEIGHTED(F33:G33,$AB$25:$AC$25)"),0.00069545774)</f>
        <v>6.9545773999999999E-4</v>
      </c>
      <c r="AD33" s="3">
        <f ca="1">IFERROR(__xludf.DUMMYFUNCTION("AVERAGE.WEIGHTED(I33:J33,$AB$25:$AC$25)"),0.00099747646)</f>
        <v>9.9747646000000008E-4</v>
      </c>
    </row>
    <row r="34" spans="1:30" ht="12.75" x14ac:dyDescent="0.2">
      <c r="A34" s="1">
        <v>6</v>
      </c>
      <c r="B34" s="28">
        <f t="shared" ref="B34:U34" si="11">B$7</f>
        <v>5.58316E-4</v>
      </c>
      <c r="C34" s="28">
        <f t="shared" si="11"/>
        <v>4.9988699999999997E-4</v>
      </c>
      <c r="D34" s="28">
        <f t="shared" si="11"/>
        <v>6.2275899999999996E-4</v>
      </c>
      <c r="E34" s="28">
        <f t="shared" si="11"/>
        <v>7.0593499999999998E-4</v>
      </c>
      <c r="F34" s="28">
        <f t="shared" si="11"/>
        <v>6.1471400000000004E-4</v>
      </c>
      <c r="G34" s="28">
        <f t="shared" si="11"/>
        <v>8.0696100000000003E-4</v>
      </c>
      <c r="H34" s="28">
        <f t="shared" si="11"/>
        <v>1.0147190000000001E-3</v>
      </c>
      <c r="I34" s="28">
        <f t="shared" si="11"/>
        <v>8.5607800000000003E-4</v>
      </c>
      <c r="J34" s="28">
        <f t="shared" si="11"/>
        <v>1.192741E-3</v>
      </c>
      <c r="K34" s="28">
        <f t="shared" si="11"/>
        <v>1.3993269999999999E-3</v>
      </c>
      <c r="L34" s="28">
        <f t="shared" si="11"/>
        <v>1.174645E-3</v>
      </c>
      <c r="M34" s="28">
        <f t="shared" si="11"/>
        <v>1.6515830000000001E-3</v>
      </c>
      <c r="N34" s="28">
        <f t="shared" si="11"/>
        <v>1.8297159999999999E-3</v>
      </c>
      <c r="O34" s="28">
        <f t="shared" si="11"/>
        <v>1.507041E-3</v>
      </c>
      <c r="P34" s="28">
        <f t="shared" si="11"/>
        <v>2.1904049999999999E-3</v>
      </c>
      <c r="Q34" s="28">
        <f t="shared" si="11"/>
        <v>6.0000000000000001E-3</v>
      </c>
      <c r="R34" s="28">
        <f t="shared" si="11"/>
        <v>6.0000000000000001E-3</v>
      </c>
      <c r="S34" s="28">
        <f t="shared" si="11"/>
        <v>8.0000000000000002E-3</v>
      </c>
      <c r="T34" s="28">
        <f t="shared" si="11"/>
        <v>8.0000000000000002E-3</v>
      </c>
      <c r="U34" s="28">
        <f t="shared" si="11"/>
        <v>1.0999999999999999E-2</v>
      </c>
      <c r="V34" s="24">
        <f t="shared" si="1"/>
        <v>5.2910149999999998E-4</v>
      </c>
      <c r="W34" s="24">
        <f t="shared" si="2"/>
        <v>6.6434700000000003E-4</v>
      </c>
      <c r="X34" s="24">
        <f t="shared" si="3"/>
        <v>7.1083750000000003E-4</v>
      </c>
      <c r="Y34" s="24">
        <f t="shared" si="4"/>
        <v>9.353985E-4</v>
      </c>
      <c r="Z34" s="24">
        <f t="shared" si="5"/>
        <v>1.2960339999999999E-3</v>
      </c>
      <c r="AB34" s="3">
        <f ca="1">IFERROR(__xludf.DUMMYFUNCTION("AVERAGE.WEIGHTED(C34:D34,$AB$25:$AC$25)"),0.000551493239999999)</f>
        <v>5.5149323999999895E-4</v>
      </c>
      <c r="AC34" s="3">
        <f ca="1">IFERROR(__xludf.DUMMYFUNCTION("AVERAGE.WEIGHTED(F34:G34,$AB$25:$AC$25)"),0.00069545774)</f>
        <v>6.9545773999999999E-4</v>
      </c>
      <c r="AD34" s="3">
        <f ca="1">IFERROR(__xludf.DUMMYFUNCTION("AVERAGE.WEIGHTED(I34:J34,$AB$25:$AC$25)"),0.00099747646)</f>
        <v>9.9747646000000008E-4</v>
      </c>
    </row>
    <row r="35" spans="1:30" ht="12.75" x14ac:dyDescent="0.2">
      <c r="A35" s="1">
        <v>7</v>
      </c>
      <c r="B35" s="28">
        <f t="shared" ref="B35:U35" si="12">B$7</f>
        <v>5.58316E-4</v>
      </c>
      <c r="C35" s="28">
        <f t="shared" si="12"/>
        <v>4.9988699999999997E-4</v>
      </c>
      <c r="D35" s="28">
        <f t="shared" si="12"/>
        <v>6.2275899999999996E-4</v>
      </c>
      <c r="E35" s="28">
        <f t="shared" si="12"/>
        <v>7.0593499999999998E-4</v>
      </c>
      <c r="F35" s="28">
        <f t="shared" si="12"/>
        <v>6.1471400000000004E-4</v>
      </c>
      <c r="G35" s="28">
        <f t="shared" si="12"/>
        <v>8.0696100000000003E-4</v>
      </c>
      <c r="H35" s="28">
        <f t="shared" si="12"/>
        <v>1.0147190000000001E-3</v>
      </c>
      <c r="I35" s="28">
        <f t="shared" si="12"/>
        <v>8.5607800000000003E-4</v>
      </c>
      <c r="J35" s="28">
        <f t="shared" si="12"/>
        <v>1.192741E-3</v>
      </c>
      <c r="K35" s="28">
        <f t="shared" si="12"/>
        <v>1.3993269999999999E-3</v>
      </c>
      <c r="L35" s="28">
        <f t="shared" si="12"/>
        <v>1.174645E-3</v>
      </c>
      <c r="M35" s="28">
        <f t="shared" si="12"/>
        <v>1.6515830000000001E-3</v>
      </c>
      <c r="N35" s="28">
        <f t="shared" si="12"/>
        <v>1.8297159999999999E-3</v>
      </c>
      <c r="O35" s="28">
        <f t="shared" si="12"/>
        <v>1.507041E-3</v>
      </c>
      <c r="P35" s="28">
        <f t="shared" si="12"/>
        <v>2.1904049999999999E-3</v>
      </c>
      <c r="Q35" s="28">
        <f t="shared" si="12"/>
        <v>6.0000000000000001E-3</v>
      </c>
      <c r="R35" s="28">
        <f t="shared" si="12"/>
        <v>6.0000000000000001E-3</v>
      </c>
      <c r="S35" s="28">
        <f t="shared" si="12"/>
        <v>8.0000000000000002E-3</v>
      </c>
      <c r="T35" s="28">
        <f t="shared" si="12"/>
        <v>8.0000000000000002E-3</v>
      </c>
      <c r="U35" s="28">
        <f t="shared" si="12"/>
        <v>1.0999999999999999E-2</v>
      </c>
      <c r="V35" s="24">
        <f t="shared" si="1"/>
        <v>5.2910149999999998E-4</v>
      </c>
      <c r="W35" s="24">
        <f t="shared" si="2"/>
        <v>6.6434700000000003E-4</v>
      </c>
      <c r="X35" s="24">
        <f t="shared" si="3"/>
        <v>7.1083750000000003E-4</v>
      </c>
      <c r="Y35" s="24">
        <f t="shared" si="4"/>
        <v>9.353985E-4</v>
      </c>
      <c r="Z35" s="24">
        <f t="shared" si="5"/>
        <v>1.2960339999999999E-3</v>
      </c>
      <c r="AB35" s="3">
        <f ca="1">IFERROR(__xludf.DUMMYFUNCTION("AVERAGE.WEIGHTED(C35:D35,$AB$25:$AC$25)"),0.000551493239999999)</f>
        <v>5.5149323999999895E-4</v>
      </c>
      <c r="AC35" s="3">
        <f ca="1">IFERROR(__xludf.DUMMYFUNCTION("AVERAGE.WEIGHTED(F35:G35,$AB$25:$AC$25)"),0.00069545774)</f>
        <v>6.9545773999999999E-4</v>
      </c>
      <c r="AD35" s="3">
        <f ca="1">IFERROR(__xludf.DUMMYFUNCTION("AVERAGE.WEIGHTED(I35:J35,$AB$25:$AC$25)"),0.00099747646)</f>
        <v>9.9747646000000008E-4</v>
      </c>
    </row>
    <row r="36" spans="1:30" ht="12.75" x14ac:dyDescent="0.2">
      <c r="A36" s="1">
        <v>8</v>
      </c>
      <c r="B36" s="28">
        <f t="shared" ref="B36:U36" si="13">B$7</f>
        <v>5.58316E-4</v>
      </c>
      <c r="C36" s="28">
        <f t="shared" si="13"/>
        <v>4.9988699999999997E-4</v>
      </c>
      <c r="D36" s="28">
        <f t="shared" si="13"/>
        <v>6.2275899999999996E-4</v>
      </c>
      <c r="E36" s="28">
        <f t="shared" si="13"/>
        <v>7.0593499999999998E-4</v>
      </c>
      <c r="F36" s="28">
        <f t="shared" si="13"/>
        <v>6.1471400000000004E-4</v>
      </c>
      <c r="G36" s="28">
        <f t="shared" si="13"/>
        <v>8.0696100000000003E-4</v>
      </c>
      <c r="H36" s="28">
        <f t="shared" si="13"/>
        <v>1.0147190000000001E-3</v>
      </c>
      <c r="I36" s="28">
        <f t="shared" si="13"/>
        <v>8.5607800000000003E-4</v>
      </c>
      <c r="J36" s="28">
        <f t="shared" si="13"/>
        <v>1.192741E-3</v>
      </c>
      <c r="K36" s="28">
        <f t="shared" si="13"/>
        <v>1.3993269999999999E-3</v>
      </c>
      <c r="L36" s="28">
        <f t="shared" si="13"/>
        <v>1.174645E-3</v>
      </c>
      <c r="M36" s="28">
        <f t="shared" si="13"/>
        <v>1.6515830000000001E-3</v>
      </c>
      <c r="N36" s="28">
        <f t="shared" si="13"/>
        <v>1.8297159999999999E-3</v>
      </c>
      <c r="O36" s="28">
        <f t="shared" si="13"/>
        <v>1.507041E-3</v>
      </c>
      <c r="P36" s="28">
        <f t="shared" si="13"/>
        <v>2.1904049999999999E-3</v>
      </c>
      <c r="Q36" s="28">
        <f t="shared" si="13"/>
        <v>6.0000000000000001E-3</v>
      </c>
      <c r="R36" s="28">
        <f t="shared" si="13"/>
        <v>6.0000000000000001E-3</v>
      </c>
      <c r="S36" s="28">
        <f t="shared" si="13"/>
        <v>8.0000000000000002E-3</v>
      </c>
      <c r="T36" s="28">
        <f t="shared" si="13"/>
        <v>8.0000000000000002E-3</v>
      </c>
      <c r="U36" s="28">
        <f t="shared" si="13"/>
        <v>1.0999999999999999E-2</v>
      </c>
      <c r="V36" s="24">
        <f t="shared" si="1"/>
        <v>5.2910149999999998E-4</v>
      </c>
      <c r="W36" s="24">
        <f t="shared" si="2"/>
        <v>6.6434700000000003E-4</v>
      </c>
      <c r="X36" s="24">
        <f t="shared" si="3"/>
        <v>7.1083750000000003E-4</v>
      </c>
      <c r="Y36" s="24">
        <f t="shared" si="4"/>
        <v>9.353985E-4</v>
      </c>
      <c r="Z36" s="24">
        <f t="shared" si="5"/>
        <v>1.2960339999999999E-3</v>
      </c>
      <c r="AB36" s="3">
        <f ca="1">IFERROR(__xludf.DUMMYFUNCTION("AVERAGE.WEIGHTED(C36:D36,$AB$25:$AC$25)"),0.000551493239999999)</f>
        <v>5.5149323999999895E-4</v>
      </c>
      <c r="AC36" s="3">
        <f ca="1">IFERROR(__xludf.DUMMYFUNCTION("AVERAGE.WEIGHTED(F36:G36,$AB$25:$AC$25)"),0.00069545774)</f>
        <v>6.9545773999999999E-4</v>
      </c>
      <c r="AD36" s="3">
        <f ca="1">IFERROR(__xludf.DUMMYFUNCTION("AVERAGE.WEIGHTED(I36:J36,$AB$25:$AC$25)"),0.00099747646)</f>
        <v>9.9747646000000008E-4</v>
      </c>
    </row>
    <row r="37" spans="1:30" ht="12.75" x14ac:dyDescent="0.2">
      <c r="A37" s="1">
        <v>9</v>
      </c>
      <c r="B37" s="28">
        <f t="shared" ref="B37:U37" si="14">B$7</f>
        <v>5.58316E-4</v>
      </c>
      <c r="C37" s="28">
        <f t="shared" si="14"/>
        <v>4.9988699999999997E-4</v>
      </c>
      <c r="D37" s="28">
        <f t="shared" si="14"/>
        <v>6.2275899999999996E-4</v>
      </c>
      <c r="E37" s="28">
        <f t="shared" si="14"/>
        <v>7.0593499999999998E-4</v>
      </c>
      <c r="F37" s="28">
        <f t="shared" si="14"/>
        <v>6.1471400000000004E-4</v>
      </c>
      <c r="G37" s="28">
        <f t="shared" si="14"/>
        <v>8.0696100000000003E-4</v>
      </c>
      <c r="H37" s="28">
        <f t="shared" si="14"/>
        <v>1.0147190000000001E-3</v>
      </c>
      <c r="I37" s="28">
        <f t="shared" si="14"/>
        <v>8.5607800000000003E-4</v>
      </c>
      <c r="J37" s="28">
        <f t="shared" si="14"/>
        <v>1.192741E-3</v>
      </c>
      <c r="K37" s="28">
        <f t="shared" si="14"/>
        <v>1.3993269999999999E-3</v>
      </c>
      <c r="L37" s="28">
        <f t="shared" si="14"/>
        <v>1.174645E-3</v>
      </c>
      <c r="M37" s="28">
        <f t="shared" si="14"/>
        <v>1.6515830000000001E-3</v>
      </c>
      <c r="N37" s="28">
        <f t="shared" si="14"/>
        <v>1.8297159999999999E-3</v>
      </c>
      <c r="O37" s="28">
        <f t="shared" si="14"/>
        <v>1.507041E-3</v>
      </c>
      <c r="P37" s="28">
        <f t="shared" si="14"/>
        <v>2.1904049999999999E-3</v>
      </c>
      <c r="Q37" s="28">
        <f t="shared" si="14"/>
        <v>6.0000000000000001E-3</v>
      </c>
      <c r="R37" s="28">
        <f t="shared" si="14"/>
        <v>6.0000000000000001E-3</v>
      </c>
      <c r="S37" s="28">
        <f t="shared" si="14"/>
        <v>8.0000000000000002E-3</v>
      </c>
      <c r="T37" s="28">
        <f t="shared" si="14"/>
        <v>8.0000000000000002E-3</v>
      </c>
      <c r="U37" s="28">
        <f t="shared" si="14"/>
        <v>1.0999999999999999E-2</v>
      </c>
      <c r="V37" s="24">
        <f t="shared" si="1"/>
        <v>5.2910149999999998E-4</v>
      </c>
      <c r="W37" s="24">
        <f t="shared" si="2"/>
        <v>6.6434700000000003E-4</v>
      </c>
      <c r="X37" s="24">
        <f t="shared" si="3"/>
        <v>7.1083750000000003E-4</v>
      </c>
      <c r="Y37" s="24">
        <f t="shared" si="4"/>
        <v>9.353985E-4</v>
      </c>
      <c r="Z37" s="24">
        <f t="shared" si="5"/>
        <v>1.2960339999999999E-3</v>
      </c>
      <c r="AB37" s="3">
        <f ca="1">IFERROR(__xludf.DUMMYFUNCTION("AVERAGE.WEIGHTED(C37:D37,$AB$25:$AC$25)"),0.000551493239999999)</f>
        <v>5.5149323999999895E-4</v>
      </c>
      <c r="AC37" s="3">
        <f ca="1">IFERROR(__xludf.DUMMYFUNCTION("AVERAGE.WEIGHTED(F37:G37,$AB$25:$AC$25)"),0.00069545774)</f>
        <v>6.9545773999999999E-4</v>
      </c>
      <c r="AD37" s="3">
        <f ca="1">IFERROR(__xludf.DUMMYFUNCTION("AVERAGE.WEIGHTED(I37:J37,$AB$25:$AC$25)"),0.00099747646)</f>
        <v>9.9747646000000008E-4</v>
      </c>
    </row>
    <row r="38" spans="1:30" ht="12.75" x14ac:dyDescent="0.2">
      <c r="A38" s="1">
        <v>10</v>
      </c>
      <c r="B38" s="28">
        <f t="shared" ref="B38:U38" si="15">B$8</f>
        <v>5.4242799999999996E-4</v>
      </c>
      <c r="C38" s="28">
        <f t="shared" si="15"/>
        <v>5.3676699999999995E-4</v>
      </c>
      <c r="D38" s="28">
        <f t="shared" si="15"/>
        <v>5.4871300000000004E-4</v>
      </c>
      <c r="E38" s="28">
        <f t="shared" si="15"/>
        <v>6.3536400000000002E-4</v>
      </c>
      <c r="F38" s="28">
        <f t="shared" si="15"/>
        <v>6.5441299999999996E-4</v>
      </c>
      <c r="G38" s="28">
        <f t="shared" si="15"/>
        <v>6.1399100000000004E-4</v>
      </c>
      <c r="H38" s="28">
        <f t="shared" si="15"/>
        <v>7.9612699999999999E-4</v>
      </c>
      <c r="I38" s="28">
        <f t="shared" si="15"/>
        <v>8.4429299999999997E-4</v>
      </c>
      <c r="J38" s="28">
        <f t="shared" si="15"/>
        <v>7.4200500000000001E-4</v>
      </c>
      <c r="K38" s="28">
        <f t="shared" si="15"/>
        <v>9.7296899999999996E-4</v>
      </c>
      <c r="L38" s="28">
        <f t="shared" si="15"/>
        <v>9.6928800000000001E-4</v>
      </c>
      <c r="M38" s="28">
        <f t="shared" si="15"/>
        <v>9.7708699999999996E-4</v>
      </c>
      <c r="N38" s="28">
        <f t="shared" si="15"/>
        <v>1.135781E-3</v>
      </c>
      <c r="O38" s="28">
        <f t="shared" si="15"/>
        <v>1.1055990000000001E-3</v>
      </c>
      <c r="P38" s="28">
        <f t="shared" si="15"/>
        <v>1.169139E-3</v>
      </c>
      <c r="Q38" s="28">
        <f t="shared" si="15"/>
        <v>4.0000000000000001E-3</v>
      </c>
      <c r="R38" s="28">
        <f t="shared" si="15"/>
        <v>5.0000000000000001E-3</v>
      </c>
      <c r="S38" s="28">
        <f t="shared" si="15"/>
        <v>5.0000000000000001E-3</v>
      </c>
      <c r="T38" s="28">
        <f t="shared" si="15"/>
        <v>6.0000000000000001E-3</v>
      </c>
      <c r="U38" s="28">
        <f t="shared" si="15"/>
        <v>6.0000000000000001E-3</v>
      </c>
      <c r="V38" s="24">
        <f t="shared" si="1"/>
        <v>5.395974999999999E-4</v>
      </c>
      <c r="W38" s="24">
        <f t="shared" si="2"/>
        <v>5.9203849999999998E-4</v>
      </c>
      <c r="X38" s="24">
        <f t="shared" si="3"/>
        <v>6.3420199999999994E-4</v>
      </c>
      <c r="Y38" s="24">
        <f t="shared" si="4"/>
        <v>8.2021000000000004E-4</v>
      </c>
      <c r="Z38" s="24">
        <f t="shared" si="5"/>
        <v>8.5748699999999998E-4</v>
      </c>
      <c r="AB38" s="3">
        <f ca="1">IFERROR(__xludf.DUMMYFUNCTION("AVERAGE.WEIGHTED(C38:D38,$AB$25:$AC$25)"),0.00054178432)</f>
        <v>5.4178432000000004E-4</v>
      </c>
      <c r="AC38" s="3">
        <f ca="1">IFERROR(__xludf.DUMMYFUNCTION("AVERAGE.WEIGHTED(F38:G38,$AB$25:$AC$25)"),0.00063743576)</f>
        <v>6.3743576E-4</v>
      </c>
      <c r="AD38" s="3">
        <f ca="1">IFERROR(__xludf.DUMMYFUNCTION("AVERAGE.WEIGHTED(I38:J38,$AB$25:$AC$25)"),0.00080133204)</f>
        <v>8.0133204000000003E-4</v>
      </c>
    </row>
    <row r="39" spans="1:30" ht="12.75" x14ac:dyDescent="0.2">
      <c r="A39" s="1">
        <v>11</v>
      </c>
      <c r="B39" s="28">
        <f t="shared" ref="B39:U39" si="16">B$8</f>
        <v>5.4242799999999996E-4</v>
      </c>
      <c r="C39" s="28">
        <f t="shared" si="16"/>
        <v>5.3676699999999995E-4</v>
      </c>
      <c r="D39" s="28">
        <f t="shared" si="16"/>
        <v>5.4871300000000004E-4</v>
      </c>
      <c r="E39" s="28">
        <f t="shared" si="16"/>
        <v>6.3536400000000002E-4</v>
      </c>
      <c r="F39" s="28">
        <f t="shared" si="16"/>
        <v>6.5441299999999996E-4</v>
      </c>
      <c r="G39" s="28">
        <f t="shared" si="16"/>
        <v>6.1399100000000004E-4</v>
      </c>
      <c r="H39" s="28">
        <f t="shared" si="16"/>
        <v>7.9612699999999999E-4</v>
      </c>
      <c r="I39" s="28">
        <f t="shared" si="16"/>
        <v>8.4429299999999997E-4</v>
      </c>
      <c r="J39" s="28">
        <f t="shared" si="16"/>
        <v>7.4200500000000001E-4</v>
      </c>
      <c r="K39" s="28">
        <f t="shared" si="16"/>
        <v>9.7296899999999996E-4</v>
      </c>
      <c r="L39" s="28">
        <f t="shared" si="16"/>
        <v>9.6928800000000001E-4</v>
      </c>
      <c r="M39" s="28">
        <f t="shared" si="16"/>
        <v>9.7708699999999996E-4</v>
      </c>
      <c r="N39" s="28">
        <f t="shared" si="16"/>
        <v>1.135781E-3</v>
      </c>
      <c r="O39" s="28">
        <f t="shared" si="16"/>
        <v>1.1055990000000001E-3</v>
      </c>
      <c r="P39" s="28">
        <f t="shared" si="16"/>
        <v>1.169139E-3</v>
      </c>
      <c r="Q39" s="28">
        <f t="shared" si="16"/>
        <v>4.0000000000000001E-3</v>
      </c>
      <c r="R39" s="28">
        <f t="shared" si="16"/>
        <v>5.0000000000000001E-3</v>
      </c>
      <c r="S39" s="28">
        <f t="shared" si="16"/>
        <v>5.0000000000000001E-3</v>
      </c>
      <c r="T39" s="28">
        <f t="shared" si="16"/>
        <v>6.0000000000000001E-3</v>
      </c>
      <c r="U39" s="28">
        <f t="shared" si="16"/>
        <v>6.0000000000000001E-3</v>
      </c>
      <c r="V39" s="24">
        <f t="shared" si="1"/>
        <v>5.395974999999999E-4</v>
      </c>
      <c r="W39" s="24">
        <f t="shared" si="2"/>
        <v>5.9203849999999998E-4</v>
      </c>
      <c r="X39" s="24">
        <f t="shared" si="3"/>
        <v>6.3420199999999994E-4</v>
      </c>
      <c r="Y39" s="24">
        <f t="shared" si="4"/>
        <v>8.2021000000000004E-4</v>
      </c>
      <c r="Z39" s="24">
        <f t="shared" si="5"/>
        <v>8.5748699999999998E-4</v>
      </c>
      <c r="AB39" s="3">
        <f ca="1">IFERROR(__xludf.DUMMYFUNCTION("AVERAGE.WEIGHTED(C39:D39,$AB$25:$AC$25)"),0.00054178432)</f>
        <v>5.4178432000000004E-4</v>
      </c>
      <c r="AC39" s="3">
        <f ca="1">IFERROR(__xludf.DUMMYFUNCTION("AVERAGE.WEIGHTED(F39:G39,$AB$25:$AC$25)"),0.00063743576)</f>
        <v>6.3743576E-4</v>
      </c>
      <c r="AD39" s="3">
        <f ca="1">IFERROR(__xludf.DUMMYFUNCTION("AVERAGE.WEIGHTED(I39:J39,$AB$25:$AC$25)"),0.00080133204)</f>
        <v>8.0133204000000003E-4</v>
      </c>
    </row>
    <row r="40" spans="1:30" ht="12.75" x14ac:dyDescent="0.2">
      <c r="A40" s="1">
        <v>12</v>
      </c>
      <c r="B40" s="28">
        <f t="shared" ref="B40:U40" si="17">B$8</f>
        <v>5.4242799999999996E-4</v>
      </c>
      <c r="C40" s="28">
        <f t="shared" si="17"/>
        <v>5.3676699999999995E-4</v>
      </c>
      <c r="D40" s="28">
        <f t="shared" si="17"/>
        <v>5.4871300000000004E-4</v>
      </c>
      <c r="E40" s="28">
        <f t="shared" si="17"/>
        <v>6.3536400000000002E-4</v>
      </c>
      <c r="F40" s="28">
        <f t="shared" si="17"/>
        <v>6.5441299999999996E-4</v>
      </c>
      <c r="G40" s="28">
        <f t="shared" si="17"/>
        <v>6.1399100000000004E-4</v>
      </c>
      <c r="H40" s="28">
        <f t="shared" si="17"/>
        <v>7.9612699999999999E-4</v>
      </c>
      <c r="I40" s="28">
        <f t="shared" si="17"/>
        <v>8.4429299999999997E-4</v>
      </c>
      <c r="J40" s="28">
        <f t="shared" si="17"/>
        <v>7.4200500000000001E-4</v>
      </c>
      <c r="K40" s="28">
        <f t="shared" si="17"/>
        <v>9.7296899999999996E-4</v>
      </c>
      <c r="L40" s="28">
        <f t="shared" si="17"/>
        <v>9.6928800000000001E-4</v>
      </c>
      <c r="M40" s="28">
        <f t="shared" si="17"/>
        <v>9.7708699999999996E-4</v>
      </c>
      <c r="N40" s="28">
        <f t="shared" si="17"/>
        <v>1.135781E-3</v>
      </c>
      <c r="O40" s="28">
        <f t="shared" si="17"/>
        <v>1.1055990000000001E-3</v>
      </c>
      <c r="P40" s="28">
        <f t="shared" si="17"/>
        <v>1.169139E-3</v>
      </c>
      <c r="Q40" s="28">
        <f t="shared" si="17"/>
        <v>4.0000000000000001E-3</v>
      </c>
      <c r="R40" s="28">
        <f t="shared" si="17"/>
        <v>5.0000000000000001E-3</v>
      </c>
      <c r="S40" s="28">
        <f t="shared" si="17"/>
        <v>5.0000000000000001E-3</v>
      </c>
      <c r="T40" s="28">
        <f t="shared" si="17"/>
        <v>6.0000000000000001E-3</v>
      </c>
      <c r="U40" s="28">
        <f t="shared" si="17"/>
        <v>6.0000000000000001E-3</v>
      </c>
      <c r="V40" s="24">
        <f t="shared" si="1"/>
        <v>5.395974999999999E-4</v>
      </c>
      <c r="W40" s="24">
        <f t="shared" si="2"/>
        <v>5.9203849999999998E-4</v>
      </c>
      <c r="X40" s="24">
        <f t="shared" si="3"/>
        <v>6.3420199999999994E-4</v>
      </c>
      <c r="Y40" s="24">
        <f t="shared" si="4"/>
        <v>8.2021000000000004E-4</v>
      </c>
      <c r="Z40" s="24">
        <f t="shared" si="5"/>
        <v>8.5748699999999998E-4</v>
      </c>
      <c r="AB40" s="3">
        <f ca="1">IFERROR(__xludf.DUMMYFUNCTION("AVERAGE.WEIGHTED(C40:D40,$AB$25:$AC$25)"),0.00054178432)</f>
        <v>5.4178432000000004E-4</v>
      </c>
      <c r="AC40" s="3">
        <f ca="1">IFERROR(__xludf.DUMMYFUNCTION("AVERAGE.WEIGHTED(F40:G40,$AB$25:$AC$25)"),0.00063743576)</f>
        <v>6.3743576E-4</v>
      </c>
      <c r="AD40" s="3">
        <f ca="1">IFERROR(__xludf.DUMMYFUNCTION("AVERAGE.WEIGHTED(I40:J40,$AB$25:$AC$25)"),0.00080133204)</f>
        <v>8.0133204000000003E-4</v>
      </c>
    </row>
    <row r="41" spans="1:30" ht="12.75" x14ac:dyDescent="0.2">
      <c r="A41" s="1">
        <v>13</v>
      </c>
      <c r="B41" s="28">
        <f t="shared" ref="B41:U41" si="18">B$8</f>
        <v>5.4242799999999996E-4</v>
      </c>
      <c r="C41" s="28">
        <f t="shared" si="18"/>
        <v>5.3676699999999995E-4</v>
      </c>
      <c r="D41" s="28">
        <f t="shared" si="18"/>
        <v>5.4871300000000004E-4</v>
      </c>
      <c r="E41" s="28">
        <f t="shared" si="18"/>
        <v>6.3536400000000002E-4</v>
      </c>
      <c r="F41" s="28">
        <f t="shared" si="18"/>
        <v>6.5441299999999996E-4</v>
      </c>
      <c r="G41" s="28">
        <f t="shared" si="18"/>
        <v>6.1399100000000004E-4</v>
      </c>
      <c r="H41" s="28">
        <f t="shared" si="18"/>
        <v>7.9612699999999999E-4</v>
      </c>
      <c r="I41" s="28">
        <f t="shared" si="18"/>
        <v>8.4429299999999997E-4</v>
      </c>
      <c r="J41" s="28">
        <f t="shared" si="18"/>
        <v>7.4200500000000001E-4</v>
      </c>
      <c r="K41" s="28">
        <f t="shared" si="18"/>
        <v>9.7296899999999996E-4</v>
      </c>
      <c r="L41" s="28">
        <f t="shared" si="18"/>
        <v>9.6928800000000001E-4</v>
      </c>
      <c r="M41" s="28">
        <f t="shared" si="18"/>
        <v>9.7708699999999996E-4</v>
      </c>
      <c r="N41" s="28">
        <f t="shared" si="18"/>
        <v>1.135781E-3</v>
      </c>
      <c r="O41" s="28">
        <f t="shared" si="18"/>
        <v>1.1055990000000001E-3</v>
      </c>
      <c r="P41" s="28">
        <f t="shared" si="18"/>
        <v>1.169139E-3</v>
      </c>
      <c r="Q41" s="28">
        <f t="shared" si="18"/>
        <v>4.0000000000000001E-3</v>
      </c>
      <c r="R41" s="28">
        <f t="shared" si="18"/>
        <v>5.0000000000000001E-3</v>
      </c>
      <c r="S41" s="28">
        <f t="shared" si="18"/>
        <v>5.0000000000000001E-3</v>
      </c>
      <c r="T41" s="28">
        <f t="shared" si="18"/>
        <v>6.0000000000000001E-3</v>
      </c>
      <c r="U41" s="28">
        <f t="shared" si="18"/>
        <v>6.0000000000000001E-3</v>
      </c>
      <c r="V41" s="24">
        <f t="shared" si="1"/>
        <v>5.395974999999999E-4</v>
      </c>
      <c r="W41" s="24">
        <f t="shared" si="2"/>
        <v>5.9203849999999998E-4</v>
      </c>
      <c r="X41" s="24">
        <f t="shared" si="3"/>
        <v>6.3420199999999994E-4</v>
      </c>
      <c r="Y41" s="24">
        <f t="shared" si="4"/>
        <v>8.2021000000000004E-4</v>
      </c>
      <c r="Z41" s="24">
        <f t="shared" si="5"/>
        <v>8.5748699999999998E-4</v>
      </c>
      <c r="AB41" s="3">
        <f ca="1">IFERROR(__xludf.DUMMYFUNCTION("AVERAGE.WEIGHTED(C41:D41,$AB$25:$AC$25)"),0.00054178432)</f>
        <v>5.4178432000000004E-4</v>
      </c>
      <c r="AC41" s="3">
        <f ca="1">IFERROR(__xludf.DUMMYFUNCTION("AVERAGE.WEIGHTED(F41:G41,$AB$25:$AC$25)"),0.00063743576)</f>
        <v>6.3743576E-4</v>
      </c>
      <c r="AD41" s="3">
        <f ca="1">IFERROR(__xludf.DUMMYFUNCTION("AVERAGE.WEIGHTED(I41:J41,$AB$25:$AC$25)"),0.00080133204)</f>
        <v>8.0133204000000003E-4</v>
      </c>
    </row>
    <row r="42" spans="1:30" ht="12.75" x14ac:dyDescent="0.2">
      <c r="A42" s="1">
        <v>14</v>
      </c>
      <c r="B42" s="28">
        <f t="shared" ref="B42:U42" si="19">B$8</f>
        <v>5.4242799999999996E-4</v>
      </c>
      <c r="C42" s="28">
        <f t="shared" si="19"/>
        <v>5.3676699999999995E-4</v>
      </c>
      <c r="D42" s="28">
        <f t="shared" si="19"/>
        <v>5.4871300000000004E-4</v>
      </c>
      <c r="E42" s="28">
        <f t="shared" si="19"/>
        <v>6.3536400000000002E-4</v>
      </c>
      <c r="F42" s="28">
        <f t="shared" si="19"/>
        <v>6.5441299999999996E-4</v>
      </c>
      <c r="G42" s="28">
        <f t="shared" si="19"/>
        <v>6.1399100000000004E-4</v>
      </c>
      <c r="H42" s="28">
        <f t="shared" si="19"/>
        <v>7.9612699999999999E-4</v>
      </c>
      <c r="I42" s="28">
        <f t="shared" si="19"/>
        <v>8.4429299999999997E-4</v>
      </c>
      <c r="J42" s="28">
        <f t="shared" si="19"/>
        <v>7.4200500000000001E-4</v>
      </c>
      <c r="K42" s="28">
        <f t="shared" si="19"/>
        <v>9.7296899999999996E-4</v>
      </c>
      <c r="L42" s="28">
        <f t="shared" si="19"/>
        <v>9.6928800000000001E-4</v>
      </c>
      <c r="M42" s="28">
        <f t="shared" si="19"/>
        <v>9.7708699999999996E-4</v>
      </c>
      <c r="N42" s="28">
        <f t="shared" si="19"/>
        <v>1.135781E-3</v>
      </c>
      <c r="O42" s="28">
        <f t="shared" si="19"/>
        <v>1.1055990000000001E-3</v>
      </c>
      <c r="P42" s="28">
        <f t="shared" si="19"/>
        <v>1.169139E-3</v>
      </c>
      <c r="Q42" s="28">
        <f t="shared" si="19"/>
        <v>4.0000000000000001E-3</v>
      </c>
      <c r="R42" s="28">
        <f t="shared" si="19"/>
        <v>5.0000000000000001E-3</v>
      </c>
      <c r="S42" s="28">
        <f t="shared" si="19"/>
        <v>5.0000000000000001E-3</v>
      </c>
      <c r="T42" s="28">
        <f t="shared" si="19"/>
        <v>6.0000000000000001E-3</v>
      </c>
      <c r="U42" s="28">
        <f t="shared" si="19"/>
        <v>6.0000000000000001E-3</v>
      </c>
      <c r="V42" s="24">
        <f t="shared" si="1"/>
        <v>5.395974999999999E-4</v>
      </c>
      <c r="W42" s="24">
        <f t="shared" si="2"/>
        <v>5.9203849999999998E-4</v>
      </c>
      <c r="X42" s="24">
        <f t="shared" si="3"/>
        <v>6.3420199999999994E-4</v>
      </c>
      <c r="Y42" s="24">
        <f t="shared" si="4"/>
        <v>8.2021000000000004E-4</v>
      </c>
      <c r="Z42" s="24">
        <f t="shared" si="5"/>
        <v>8.5748699999999998E-4</v>
      </c>
      <c r="AB42" s="3">
        <f ca="1">IFERROR(__xludf.DUMMYFUNCTION("AVERAGE.WEIGHTED(C42:D42,$AB$25:$AC$25)"),0.00054178432)</f>
        <v>5.4178432000000004E-4</v>
      </c>
      <c r="AC42" s="3">
        <f ca="1">IFERROR(__xludf.DUMMYFUNCTION("AVERAGE.WEIGHTED(F42:G42,$AB$25:$AC$25)"),0.00063743576)</f>
        <v>6.3743576E-4</v>
      </c>
      <c r="AD42" s="3">
        <f ca="1">IFERROR(__xludf.DUMMYFUNCTION("AVERAGE.WEIGHTED(I42:J42,$AB$25:$AC$25)"),0.00080133204)</f>
        <v>8.0133204000000003E-4</v>
      </c>
    </row>
    <row r="43" spans="1:30" ht="12.75" x14ac:dyDescent="0.2">
      <c r="A43" s="1">
        <v>15</v>
      </c>
      <c r="B43" s="28">
        <f t="shared" ref="B43:U43" si="20">B$9</f>
        <v>8.3872700000000005E-4</v>
      </c>
      <c r="C43" s="28">
        <f t="shared" si="20"/>
        <v>7.9171899999999997E-4</v>
      </c>
      <c r="D43" s="28">
        <f t="shared" si="20"/>
        <v>8.9158200000000003E-4</v>
      </c>
      <c r="E43" s="28">
        <f t="shared" si="20"/>
        <v>9.0088400000000002E-4</v>
      </c>
      <c r="F43" s="28">
        <f t="shared" si="20"/>
        <v>8.9246300000000002E-4</v>
      </c>
      <c r="G43" s="28">
        <f t="shared" si="20"/>
        <v>9.1035200000000001E-4</v>
      </c>
      <c r="H43" s="28">
        <f t="shared" si="20"/>
        <v>1.241184E-3</v>
      </c>
      <c r="I43" s="28">
        <f t="shared" si="20"/>
        <v>1.167705E-3</v>
      </c>
      <c r="J43" s="28">
        <f t="shared" si="20"/>
        <v>1.3235079999999999E-3</v>
      </c>
      <c r="K43" s="28">
        <f t="shared" si="20"/>
        <v>1.5506859999999999E-3</v>
      </c>
      <c r="L43" s="28">
        <f t="shared" si="20"/>
        <v>1.424367E-3</v>
      </c>
      <c r="M43" s="28">
        <f t="shared" si="20"/>
        <v>1.690481E-3</v>
      </c>
      <c r="N43" s="28">
        <f t="shared" si="20"/>
        <v>1.76906E-3</v>
      </c>
      <c r="O43" s="28">
        <f t="shared" si="20"/>
        <v>1.538984E-3</v>
      </c>
      <c r="P43" s="28">
        <f t="shared" si="20"/>
        <v>2.0220619999999998E-3</v>
      </c>
      <c r="Q43" s="28">
        <f t="shared" si="20"/>
        <v>7.0000000000000001E-3</v>
      </c>
      <c r="R43" s="28">
        <f t="shared" si="20"/>
        <v>7.0000000000000001E-3</v>
      </c>
      <c r="S43" s="28">
        <f t="shared" si="20"/>
        <v>8.0000000000000002E-3</v>
      </c>
      <c r="T43" s="28">
        <f t="shared" si="20"/>
        <v>8.0000000000000002E-3</v>
      </c>
      <c r="U43" s="28">
        <f t="shared" si="20"/>
        <v>0.01</v>
      </c>
      <c r="V43" s="24">
        <f t="shared" si="1"/>
        <v>8.1522300000000001E-4</v>
      </c>
      <c r="W43" s="24">
        <f t="shared" si="2"/>
        <v>8.9623299999999997E-4</v>
      </c>
      <c r="X43" s="24">
        <f t="shared" si="3"/>
        <v>9.0140750000000007E-4</v>
      </c>
      <c r="Y43" s="24">
        <f t="shared" si="4"/>
        <v>1.2044445E-3</v>
      </c>
      <c r="Z43" s="24">
        <f t="shared" si="5"/>
        <v>1.437097E-3</v>
      </c>
      <c r="AB43" s="3">
        <f ca="1">IFERROR(__xludf.DUMMYFUNCTION("AVERAGE.WEIGHTED(C43:D43,$AB$25:$AC$25)"),0.00083366146)</f>
        <v>8.3366145999999998E-4</v>
      </c>
      <c r="AC43" s="3">
        <f ca="1">IFERROR(__xludf.DUMMYFUNCTION("AVERAGE.WEIGHTED(F43:G43,$AB$25:$AC$25)"),0.00089997638)</f>
        <v>8.9997638000000003E-4</v>
      </c>
      <c r="AD43" s="3">
        <f ca="1">IFERROR(__xludf.DUMMYFUNCTION("AVERAGE.WEIGHTED(I43:J43,$AB$25:$AC$25)"),0.00123314226)</f>
        <v>1.2331422600000001E-3</v>
      </c>
    </row>
    <row r="44" spans="1:30" ht="12.75" x14ac:dyDescent="0.2">
      <c r="A44" s="1">
        <v>16</v>
      </c>
      <c r="B44" s="28">
        <f t="shared" ref="B44:U44" si="21">B$9</f>
        <v>8.3872700000000005E-4</v>
      </c>
      <c r="C44" s="28">
        <f t="shared" si="21"/>
        <v>7.9171899999999997E-4</v>
      </c>
      <c r="D44" s="28">
        <f t="shared" si="21"/>
        <v>8.9158200000000003E-4</v>
      </c>
      <c r="E44" s="28">
        <f t="shared" si="21"/>
        <v>9.0088400000000002E-4</v>
      </c>
      <c r="F44" s="28">
        <f t="shared" si="21"/>
        <v>8.9246300000000002E-4</v>
      </c>
      <c r="G44" s="28">
        <f t="shared" si="21"/>
        <v>9.1035200000000001E-4</v>
      </c>
      <c r="H44" s="28">
        <f t="shared" si="21"/>
        <v>1.241184E-3</v>
      </c>
      <c r="I44" s="28">
        <f t="shared" si="21"/>
        <v>1.167705E-3</v>
      </c>
      <c r="J44" s="28">
        <f t="shared" si="21"/>
        <v>1.3235079999999999E-3</v>
      </c>
      <c r="K44" s="28">
        <f t="shared" si="21"/>
        <v>1.5506859999999999E-3</v>
      </c>
      <c r="L44" s="28">
        <f t="shared" si="21"/>
        <v>1.424367E-3</v>
      </c>
      <c r="M44" s="28">
        <f t="shared" si="21"/>
        <v>1.690481E-3</v>
      </c>
      <c r="N44" s="28">
        <f t="shared" si="21"/>
        <v>1.76906E-3</v>
      </c>
      <c r="O44" s="28">
        <f t="shared" si="21"/>
        <v>1.538984E-3</v>
      </c>
      <c r="P44" s="28">
        <f t="shared" si="21"/>
        <v>2.0220619999999998E-3</v>
      </c>
      <c r="Q44" s="28">
        <f t="shared" si="21"/>
        <v>7.0000000000000001E-3</v>
      </c>
      <c r="R44" s="28">
        <f t="shared" si="21"/>
        <v>7.0000000000000001E-3</v>
      </c>
      <c r="S44" s="28">
        <f t="shared" si="21"/>
        <v>8.0000000000000002E-3</v>
      </c>
      <c r="T44" s="28">
        <f t="shared" si="21"/>
        <v>8.0000000000000002E-3</v>
      </c>
      <c r="U44" s="28">
        <f t="shared" si="21"/>
        <v>0.01</v>
      </c>
      <c r="V44" s="24">
        <f t="shared" si="1"/>
        <v>8.1522300000000001E-4</v>
      </c>
      <c r="W44" s="24">
        <f t="shared" si="2"/>
        <v>8.9623299999999997E-4</v>
      </c>
      <c r="X44" s="24">
        <f t="shared" si="3"/>
        <v>9.0140750000000007E-4</v>
      </c>
      <c r="Y44" s="24">
        <f t="shared" si="4"/>
        <v>1.2044445E-3</v>
      </c>
      <c r="Z44" s="24">
        <f t="shared" si="5"/>
        <v>1.437097E-3</v>
      </c>
      <c r="AB44" s="3">
        <f ca="1">IFERROR(__xludf.DUMMYFUNCTION("AVERAGE.WEIGHTED(C44:D44,$AB$25:$AC$25)"),0.00083366146)</f>
        <v>8.3366145999999998E-4</v>
      </c>
      <c r="AC44" s="3">
        <f ca="1">IFERROR(__xludf.DUMMYFUNCTION("AVERAGE.WEIGHTED(F44:G44,$AB$25:$AC$25)"),0.00089997638)</f>
        <v>8.9997638000000003E-4</v>
      </c>
      <c r="AD44" s="3">
        <f ca="1">IFERROR(__xludf.DUMMYFUNCTION("AVERAGE.WEIGHTED(I44:J44,$AB$25:$AC$25)"),0.00123314226)</f>
        <v>1.2331422600000001E-3</v>
      </c>
    </row>
    <row r="45" spans="1:30" ht="12.75" x14ac:dyDescent="0.2">
      <c r="A45" s="1">
        <v>17</v>
      </c>
      <c r="B45" s="28">
        <f t="shared" ref="B45:U45" si="22">B$9</f>
        <v>8.3872700000000005E-4</v>
      </c>
      <c r="C45" s="28">
        <f t="shared" si="22"/>
        <v>7.9171899999999997E-4</v>
      </c>
      <c r="D45" s="28">
        <f t="shared" si="22"/>
        <v>8.9158200000000003E-4</v>
      </c>
      <c r="E45" s="28">
        <f t="shared" si="22"/>
        <v>9.0088400000000002E-4</v>
      </c>
      <c r="F45" s="28">
        <f t="shared" si="22"/>
        <v>8.9246300000000002E-4</v>
      </c>
      <c r="G45" s="28">
        <f t="shared" si="22"/>
        <v>9.1035200000000001E-4</v>
      </c>
      <c r="H45" s="28">
        <f t="shared" si="22"/>
        <v>1.241184E-3</v>
      </c>
      <c r="I45" s="28">
        <f t="shared" si="22"/>
        <v>1.167705E-3</v>
      </c>
      <c r="J45" s="28">
        <f t="shared" si="22"/>
        <v>1.3235079999999999E-3</v>
      </c>
      <c r="K45" s="28">
        <f t="shared" si="22"/>
        <v>1.5506859999999999E-3</v>
      </c>
      <c r="L45" s="28">
        <f t="shared" si="22"/>
        <v>1.424367E-3</v>
      </c>
      <c r="M45" s="28">
        <f t="shared" si="22"/>
        <v>1.690481E-3</v>
      </c>
      <c r="N45" s="28">
        <f t="shared" si="22"/>
        <v>1.76906E-3</v>
      </c>
      <c r="O45" s="28">
        <f t="shared" si="22"/>
        <v>1.538984E-3</v>
      </c>
      <c r="P45" s="28">
        <f t="shared" si="22"/>
        <v>2.0220619999999998E-3</v>
      </c>
      <c r="Q45" s="28">
        <f t="shared" si="22"/>
        <v>7.0000000000000001E-3</v>
      </c>
      <c r="R45" s="28">
        <f t="shared" si="22"/>
        <v>7.0000000000000001E-3</v>
      </c>
      <c r="S45" s="28">
        <f t="shared" si="22"/>
        <v>8.0000000000000002E-3</v>
      </c>
      <c r="T45" s="28">
        <f t="shared" si="22"/>
        <v>8.0000000000000002E-3</v>
      </c>
      <c r="U45" s="28">
        <f t="shared" si="22"/>
        <v>0.01</v>
      </c>
      <c r="V45" s="24">
        <f t="shared" si="1"/>
        <v>8.1522300000000001E-4</v>
      </c>
      <c r="W45" s="24">
        <f t="shared" si="2"/>
        <v>8.9623299999999997E-4</v>
      </c>
      <c r="X45" s="24">
        <f t="shared" si="3"/>
        <v>9.0140750000000007E-4</v>
      </c>
      <c r="Y45" s="24">
        <f t="shared" si="4"/>
        <v>1.2044445E-3</v>
      </c>
      <c r="Z45" s="24">
        <f t="shared" si="5"/>
        <v>1.437097E-3</v>
      </c>
      <c r="AB45" s="3">
        <f ca="1">IFERROR(__xludf.DUMMYFUNCTION("AVERAGE.WEIGHTED(C45:D45,$AB$25:$AC$25)"),0.00083366146)</f>
        <v>8.3366145999999998E-4</v>
      </c>
      <c r="AC45" s="3">
        <f ca="1">IFERROR(__xludf.DUMMYFUNCTION("AVERAGE.WEIGHTED(F45:G45,$AB$25:$AC$25)"),0.00089997638)</f>
        <v>8.9997638000000003E-4</v>
      </c>
      <c r="AD45" s="3">
        <f ca="1">IFERROR(__xludf.DUMMYFUNCTION("AVERAGE.WEIGHTED(I45:J45,$AB$25:$AC$25)"),0.00123314226)</f>
        <v>1.2331422600000001E-3</v>
      </c>
    </row>
    <row r="46" spans="1:30" ht="12.75" x14ac:dyDescent="0.2">
      <c r="A46" s="1">
        <v>18</v>
      </c>
      <c r="B46" s="28">
        <f t="shared" ref="B46:U46" si="23">B$9</f>
        <v>8.3872700000000005E-4</v>
      </c>
      <c r="C46" s="28">
        <f t="shared" si="23"/>
        <v>7.9171899999999997E-4</v>
      </c>
      <c r="D46" s="28">
        <f t="shared" si="23"/>
        <v>8.9158200000000003E-4</v>
      </c>
      <c r="E46" s="28">
        <f t="shared" si="23"/>
        <v>9.0088400000000002E-4</v>
      </c>
      <c r="F46" s="28">
        <f t="shared" si="23"/>
        <v>8.9246300000000002E-4</v>
      </c>
      <c r="G46" s="28">
        <f t="shared" si="23"/>
        <v>9.1035200000000001E-4</v>
      </c>
      <c r="H46" s="28">
        <f t="shared" si="23"/>
        <v>1.241184E-3</v>
      </c>
      <c r="I46" s="28">
        <f t="shared" si="23"/>
        <v>1.167705E-3</v>
      </c>
      <c r="J46" s="28">
        <f t="shared" si="23"/>
        <v>1.3235079999999999E-3</v>
      </c>
      <c r="K46" s="28">
        <f t="shared" si="23"/>
        <v>1.5506859999999999E-3</v>
      </c>
      <c r="L46" s="28">
        <f t="shared" si="23"/>
        <v>1.424367E-3</v>
      </c>
      <c r="M46" s="28">
        <f t="shared" si="23"/>
        <v>1.690481E-3</v>
      </c>
      <c r="N46" s="28">
        <f t="shared" si="23"/>
        <v>1.76906E-3</v>
      </c>
      <c r="O46" s="28">
        <f t="shared" si="23"/>
        <v>1.538984E-3</v>
      </c>
      <c r="P46" s="28">
        <f t="shared" si="23"/>
        <v>2.0220619999999998E-3</v>
      </c>
      <c r="Q46" s="28">
        <f t="shared" si="23"/>
        <v>7.0000000000000001E-3</v>
      </c>
      <c r="R46" s="28">
        <f t="shared" si="23"/>
        <v>7.0000000000000001E-3</v>
      </c>
      <c r="S46" s="28">
        <f t="shared" si="23"/>
        <v>8.0000000000000002E-3</v>
      </c>
      <c r="T46" s="28">
        <f t="shared" si="23"/>
        <v>8.0000000000000002E-3</v>
      </c>
      <c r="U46" s="28">
        <f t="shared" si="23"/>
        <v>0.01</v>
      </c>
      <c r="V46" s="24">
        <f t="shared" si="1"/>
        <v>8.1522300000000001E-4</v>
      </c>
      <c r="W46" s="24">
        <f t="shared" si="2"/>
        <v>8.9623299999999997E-4</v>
      </c>
      <c r="X46" s="24">
        <f t="shared" si="3"/>
        <v>9.0140750000000007E-4</v>
      </c>
      <c r="Y46" s="24">
        <f t="shared" si="4"/>
        <v>1.2044445E-3</v>
      </c>
      <c r="Z46" s="24">
        <f t="shared" si="5"/>
        <v>1.437097E-3</v>
      </c>
      <c r="AB46" s="3">
        <f ca="1">IFERROR(__xludf.DUMMYFUNCTION("AVERAGE.WEIGHTED(C46:D46,$AB$25:$AC$25)"),0.00083366146)</f>
        <v>8.3366145999999998E-4</v>
      </c>
      <c r="AC46" s="3">
        <f ca="1">IFERROR(__xludf.DUMMYFUNCTION("AVERAGE.WEIGHTED(F46:G46,$AB$25:$AC$25)"),0.00089997638)</f>
        <v>8.9997638000000003E-4</v>
      </c>
      <c r="AD46" s="3">
        <f ca="1">IFERROR(__xludf.DUMMYFUNCTION("AVERAGE.WEIGHTED(I46:J46,$AB$25:$AC$25)"),0.00123314226)</f>
        <v>1.2331422600000001E-3</v>
      </c>
    </row>
    <row r="47" spans="1:30" ht="12.75" x14ac:dyDescent="0.2">
      <c r="A47" s="1">
        <v>19</v>
      </c>
      <c r="B47" s="28">
        <f t="shared" ref="B47:U47" si="24">B$9</f>
        <v>8.3872700000000005E-4</v>
      </c>
      <c r="C47" s="28">
        <f t="shared" si="24"/>
        <v>7.9171899999999997E-4</v>
      </c>
      <c r="D47" s="28">
        <f t="shared" si="24"/>
        <v>8.9158200000000003E-4</v>
      </c>
      <c r="E47" s="28">
        <f t="shared" si="24"/>
        <v>9.0088400000000002E-4</v>
      </c>
      <c r="F47" s="28">
        <f t="shared" si="24"/>
        <v>8.9246300000000002E-4</v>
      </c>
      <c r="G47" s="28">
        <f t="shared" si="24"/>
        <v>9.1035200000000001E-4</v>
      </c>
      <c r="H47" s="28">
        <f t="shared" si="24"/>
        <v>1.241184E-3</v>
      </c>
      <c r="I47" s="28">
        <f t="shared" si="24"/>
        <v>1.167705E-3</v>
      </c>
      <c r="J47" s="28">
        <f t="shared" si="24"/>
        <v>1.3235079999999999E-3</v>
      </c>
      <c r="K47" s="28">
        <f t="shared" si="24"/>
        <v>1.5506859999999999E-3</v>
      </c>
      <c r="L47" s="28">
        <f t="shared" si="24"/>
        <v>1.424367E-3</v>
      </c>
      <c r="M47" s="28">
        <f t="shared" si="24"/>
        <v>1.690481E-3</v>
      </c>
      <c r="N47" s="28">
        <f t="shared" si="24"/>
        <v>1.76906E-3</v>
      </c>
      <c r="O47" s="28">
        <f t="shared" si="24"/>
        <v>1.538984E-3</v>
      </c>
      <c r="P47" s="28">
        <f t="shared" si="24"/>
        <v>2.0220619999999998E-3</v>
      </c>
      <c r="Q47" s="28">
        <f t="shared" si="24"/>
        <v>7.0000000000000001E-3</v>
      </c>
      <c r="R47" s="28">
        <f t="shared" si="24"/>
        <v>7.0000000000000001E-3</v>
      </c>
      <c r="S47" s="28">
        <f t="shared" si="24"/>
        <v>8.0000000000000002E-3</v>
      </c>
      <c r="T47" s="28">
        <f t="shared" si="24"/>
        <v>8.0000000000000002E-3</v>
      </c>
      <c r="U47" s="28">
        <f t="shared" si="24"/>
        <v>0.01</v>
      </c>
      <c r="V47" s="24">
        <f t="shared" si="1"/>
        <v>8.1522300000000001E-4</v>
      </c>
      <c r="W47" s="24">
        <f t="shared" si="2"/>
        <v>8.9623299999999997E-4</v>
      </c>
      <c r="X47" s="24">
        <f t="shared" si="3"/>
        <v>9.0140750000000007E-4</v>
      </c>
      <c r="Y47" s="24">
        <f t="shared" si="4"/>
        <v>1.2044445E-3</v>
      </c>
      <c r="Z47" s="24">
        <f t="shared" si="5"/>
        <v>1.437097E-3</v>
      </c>
      <c r="AB47" s="3">
        <f ca="1">IFERROR(__xludf.DUMMYFUNCTION("AVERAGE.WEIGHTED(C47:D47,$AB$25:$AC$25)"),0.00083366146)</f>
        <v>8.3366145999999998E-4</v>
      </c>
      <c r="AC47" s="3">
        <f ca="1">IFERROR(__xludf.DUMMYFUNCTION("AVERAGE.WEIGHTED(F47:G47,$AB$25:$AC$25)"),0.00089997638)</f>
        <v>8.9997638000000003E-4</v>
      </c>
      <c r="AD47" s="3">
        <f ca="1">IFERROR(__xludf.DUMMYFUNCTION("AVERAGE.WEIGHTED(I47:J47,$AB$25:$AC$25)"),0.00123314226)</f>
        <v>1.2331422600000001E-3</v>
      </c>
    </row>
    <row r="48" spans="1:30" ht="12.75" x14ac:dyDescent="0.2">
      <c r="A48" s="1">
        <v>20</v>
      </c>
      <c r="B48" s="28">
        <f t="shared" ref="B48:U48" si="25">B$10</f>
        <v>1.301223E-3</v>
      </c>
      <c r="C48" s="28">
        <f t="shared" si="25"/>
        <v>1.366967E-3</v>
      </c>
      <c r="D48" s="28">
        <f t="shared" si="25"/>
        <v>1.2272679999999999E-3</v>
      </c>
      <c r="E48" s="28">
        <f t="shared" si="25"/>
        <v>1.261674E-3</v>
      </c>
      <c r="F48" s="28">
        <f t="shared" si="25"/>
        <v>1.346547E-3</v>
      </c>
      <c r="G48" s="28">
        <f t="shared" si="25"/>
        <v>1.166474E-3</v>
      </c>
      <c r="H48" s="28">
        <f t="shared" si="25"/>
        <v>1.847532E-3</v>
      </c>
      <c r="I48" s="28">
        <f t="shared" si="25"/>
        <v>1.883579E-3</v>
      </c>
      <c r="J48" s="28">
        <f t="shared" si="25"/>
        <v>1.8075439999999999E-3</v>
      </c>
      <c r="K48" s="28">
        <f t="shared" si="25"/>
        <v>2.0468000000000001E-3</v>
      </c>
      <c r="L48" s="28">
        <f t="shared" si="25"/>
        <v>2.0047609999999999E-3</v>
      </c>
      <c r="M48" s="28">
        <f t="shared" si="25"/>
        <v>2.0931470000000001E-3</v>
      </c>
      <c r="N48" s="28">
        <f t="shared" si="25"/>
        <v>2.450855E-3</v>
      </c>
      <c r="O48" s="28">
        <f t="shared" si="25"/>
        <v>2.2413099999999998E-3</v>
      </c>
      <c r="P48" s="28">
        <f t="shared" si="25"/>
        <v>2.6791250000000001E-3</v>
      </c>
      <c r="Q48" s="28">
        <f t="shared" si="25"/>
        <v>8.9999999999999993E-3</v>
      </c>
      <c r="R48" s="28">
        <f t="shared" si="25"/>
        <v>0.01</v>
      </c>
      <c r="S48" s="28">
        <f t="shared" si="25"/>
        <v>0.01</v>
      </c>
      <c r="T48" s="28">
        <f t="shared" si="25"/>
        <v>1.0999999999999999E-2</v>
      </c>
      <c r="U48" s="28">
        <f t="shared" si="25"/>
        <v>1.2999999999999999E-2</v>
      </c>
      <c r="V48" s="24">
        <f t="shared" si="1"/>
        <v>1.334095E-3</v>
      </c>
      <c r="W48" s="24">
        <f t="shared" si="2"/>
        <v>1.244471E-3</v>
      </c>
      <c r="X48" s="24">
        <f t="shared" si="3"/>
        <v>1.2565104999999999E-3</v>
      </c>
      <c r="Y48" s="24">
        <f t="shared" si="4"/>
        <v>1.8655555E-3</v>
      </c>
      <c r="Z48" s="24">
        <f t="shared" si="5"/>
        <v>1.927172E-3</v>
      </c>
      <c r="AB48" s="3">
        <f ca="1">IFERROR(__xludf.DUMMYFUNCTION("AVERAGE.WEIGHTED(C48:D48,$AB$25:$AC$25)"),0.00130829342)</f>
        <v>1.3082934199999999E-3</v>
      </c>
      <c r="AC48" s="3">
        <f ca="1">IFERROR(__xludf.DUMMYFUNCTION("AVERAGE.WEIGHTED(F48:G48,$AB$25:$AC$25)"),0.00127091634)</f>
        <v>1.2709163399999999E-3</v>
      </c>
      <c r="AD48" s="3">
        <f ca="1">IFERROR(__xludf.DUMMYFUNCTION("AVERAGE.WEIGHTED(I48:J48,$AB$25:$AC$25)"),0.0018516443)</f>
        <v>1.8516443E-3</v>
      </c>
    </row>
    <row r="49" spans="1:30" ht="12.75" x14ac:dyDescent="0.2">
      <c r="A49" s="1">
        <v>21</v>
      </c>
      <c r="B49" s="28">
        <f t="shared" ref="B49:U49" si="26">B$10</f>
        <v>1.301223E-3</v>
      </c>
      <c r="C49" s="28">
        <f t="shared" si="26"/>
        <v>1.366967E-3</v>
      </c>
      <c r="D49" s="28">
        <f t="shared" si="26"/>
        <v>1.2272679999999999E-3</v>
      </c>
      <c r="E49" s="28">
        <f t="shared" si="26"/>
        <v>1.261674E-3</v>
      </c>
      <c r="F49" s="28">
        <f t="shared" si="26"/>
        <v>1.346547E-3</v>
      </c>
      <c r="G49" s="28">
        <f t="shared" si="26"/>
        <v>1.166474E-3</v>
      </c>
      <c r="H49" s="28">
        <f t="shared" si="26"/>
        <v>1.847532E-3</v>
      </c>
      <c r="I49" s="28">
        <f t="shared" si="26"/>
        <v>1.883579E-3</v>
      </c>
      <c r="J49" s="28">
        <f t="shared" si="26"/>
        <v>1.8075439999999999E-3</v>
      </c>
      <c r="K49" s="28">
        <f t="shared" si="26"/>
        <v>2.0468000000000001E-3</v>
      </c>
      <c r="L49" s="28">
        <f t="shared" si="26"/>
        <v>2.0047609999999999E-3</v>
      </c>
      <c r="M49" s="28">
        <f t="shared" si="26"/>
        <v>2.0931470000000001E-3</v>
      </c>
      <c r="N49" s="28">
        <f t="shared" si="26"/>
        <v>2.450855E-3</v>
      </c>
      <c r="O49" s="28">
        <f t="shared" si="26"/>
        <v>2.2413099999999998E-3</v>
      </c>
      <c r="P49" s="28">
        <f t="shared" si="26"/>
        <v>2.6791250000000001E-3</v>
      </c>
      <c r="Q49" s="28">
        <f t="shared" si="26"/>
        <v>8.9999999999999993E-3</v>
      </c>
      <c r="R49" s="28">
        <f t="shared" si="26"/>
        <v>0.01</v>
      </c>
      <c r="S49" s="28">
        <f t="shared" si="26"/>
        <v>0.01</v>
      </c>
      <c r="T49" s="28">
        <f t="shared" si="26"/>
        <v>1.0999999999999999E-2</v>
      </c>
      <c r="U49" s="28">
        <f t="shared" si="26"/>
        <v>1.2999999999999999E-2</v>
      </c>
      <c r="V49" s="24">
        <f t="shared" si="1"/>
        <v>1.334095E-3</v>
      </c>
      <c r="W49" s="24">
        <f t="shared" si="2"/>
        <v>1.244471E-3</v>
      </c>
      <c r="X49" s="24">
        <f t="shared" si="3"/>
        <v>1.2565104999999999E-3</v>
      </c>
      <c r="Y49" s="24">
        <f t="shared" si="4"/>
        <v>1.8655555E-3</v>
      </c>
      <c r="Z49" s="24">
        <f t="shared" si="5"/>
        <v>1.927172E-3</v>
      </c>
      <c r="AB49" s="3">
        <f ca="1">IFERROR(__xludf.DUMMYFUNCTION("AVERAGE.WEIGHTED(C49:D49,$AB$25:$AC$25)"),0.00130829342)</f>
        <v>1.3082934199999999E-3</v>
      </c>
      <c r="AC49" s="3">
        <f ca="1">IFERROR(__xludf.DUMMYFUNCTION("AVERAGE.WEIGHTED(F49:G49,$AB$25:$AC$25)"),0.00127091634)</f>
        <v>1.2709163399999999E-3</v>
      </c>
      <c r="AD49" s="3">
        <f ca="1">IFERROR(__xludf.DUMMYFUNCTION("AVERAGE.WEIGHTED(I49:J49,$AB$25:$AC$25)"),0.0018516443)</f>
        <v>1.8516443E-3</v>
      </c>
    </row>
    <row r="50" spans="1:30" ht="12.75" x14ac:dyDescent="0.2">
      <c r="A50" s="1">
        <v>22</v>
      </c>
      <c r="B50" s="28">
        <f t="shared" ref="B50:U50" si="27">B$10</f>
        <v>1.301223E-3</v>
      </c>
      <c r="C50" s="28">
        <f t="shared" si="27"/>
        <v>1.366967E-3</v>
      </c>
      <c r="D50" s="28">
        <f t="shared" si="27"/>
        <v>1.2272679999999999E-3</v>
      </c>
      <c r="E50" s="28">
        <f t="shared" si="27"/>
        <v>1.261674E-3</v>
      </c>
      <c r="F50" s="28">
        <f t="shared" si="27"/>
        <v>1.346547E-3</v>
      </c>
      <c r="G50" s="28">
        <f t="shared" si="27"/>
        <v>1.166474E-3</v>
      </c>
      <c r="H50" s="28">
        <f t="shared" si="27"/>
        <v>1.847532E-3</v>
      </c>
      <c r="I50" s="28">
        <f t="shared" si="27"/>
        <v>1.883579E-3</v>
      </c>
      <c r="J50" s="28">
        <f t="shared" si="27"/>
        <v>1.8075439999999999E-3</v>
      </c>
      <c r="K50" s="28">
        <f t="shared" si="27"/>
        <v>2.0468000000000001E-3</v>
      </c>
      <c r="L50" s="28">
        <f t="shared" si="27"/>
        <v>2.0047609999999999E-3</v>
      </c>
      <c r="M50" s="28">
        <f t="shared" si="27"/>
        <v>2.0931470000000001E-3</v>
      </c>
      <c r="N50" s="28">
        <f t="shared" si="27"/>
        <v>2.450855E-3</v>
      </c>
      <c r="O50" s="28">
        <f t="shared" si="27"/>
        <v>2.2413099999999998E-3</v>
      </c>
      <c r="P50" s="28">
        <f t="shared" si="27"/>
        <v>2.6791250000000001E-3</v>
      </c>
      <c r="Q50" s="28">
        <f t="shared" si="27"/>
        <v>8.9999999999999993E-3</v>
      </c>
      <c r="R50" s="28">
        <f t="shared" si="27"/>
        <v>0.01</v>
      </c>
      <c r="S50" s="28">
        <f t="shared" si="27"/>
        <v>0.01</v>
      </c>
      <c r="T50" s="28">
        <f t="shared" si="27"/>
        <v>1.0999999999999999E-2</v>
      </c>
      <c r="U50" s="28">
        <f t="shared" si="27"/>
        <v>1.2999999999999999E-2</v>
      </c>
      <c r="V50" s="24">
        <f t="shared" si="1"/>
        <v>1.334095E-3</v>
      </c>
      <c r="W50" s="24">
        <f t="shared" si="2"/>
        <v>1.244471E-3</v>
      </c>
      <c r="X50" s="24">
        <f t="shared" si="3"/>
        <v>1.2565104999999999E-3</v>
      </c>
      <c r="Y50" s="24">
        <f t="shared" si="4"/>
        <v>1.8655555E-3</v>
      </c>
      <c r="Z50" s="24">
        <f t="shared" si="5"/>
        <v>1.927172E-3</v>
      </c>
      <c r="AB50" s="3">
        <f ca="1">IFERROR(__xludf.DUMMYFUNCTION("AVERAGE.WEIGHTED(C50:D50,$AB$25:$AC$25)"),0.00130829342)</f>
        <v>1.3082934199999999E-3</v>
      </c>
      <c r="AC50" s="3">
        <f ca="1">IFERROR(__xludf.DUMMYFUNCTION("AVERAGE.WEIGHTED(F50:G50,$AB$25:$AC$25)"),0.00127091634)</f>
        <v>1.2709163399999999E-3</v>
      </c>
      <c r="AD50" s="3">
        <f ca="1">IFERROR(__xludf.DUMMYFUNCTION("AVERAGE.WEIGHTED(I50:J50,$AB$25:$AC$25)"),0.0018516443)</f>
        <v>1.8516443E-3</v>
      </c>
    </row>
    <row r="51" spans="1:30" ht="12.75" x14ac:dyDescent="0.2">
      <c r="A51" s="1">
        <v>23</v>
      </c>
      <c r="B51" s="28">
        <f t="shared" ref="B51:U51" si="28">B$10</f>
        <v>1.301223E-3</v>
      </c>
      <c r="C51" s="28">
        <f t="shared" si="28"/>
        <v>1.366967E-3</v>
      </c>
      <c r="D51" s="28">
        <f t="shared" si="28"/>
        <v>1.2272679999999999E-3</v>
      </c>
      <c r="E51" s="28">
        <f t="shared" si="28"/>
        <v>1.261674E-3</v>
      </c>
      <c r="F51" s="28">
        <f t="shared" si="28"/>
        <v>1.346547E-3</v>
      </c>
      <c r="G51" s="28">
        <f t="shared" si="28"/>
        <v>1.166474E-3</v>
      </c>
      <c r="H51" s="28">
        <f t="shared" si="28"/>
        <v>1.847532E-3</v>
      </c>
      <c r="I51" s="28">
        <f t="shared" si="28"/>
        <v>1.883579E-3</v>
      </c>
      <c r="J51" s="28">
        <f t="shared" si="28"/>
        <v>1.8075439999999999E-3</v>
      </c>
      <c r="K51" s="28">
        <f t="shared" si="28"/>
        <v>2.0468000000000001E-3</v>
      </c>
      <c r="L51" s="28">
        <f t="shared" si="28"/>
        <v>2.0047609999999999E-3</v>
      </c>
      <c r="M51" s="28">
        <f t="shared" si="28"/>
        <v>2.0931470000000001E-3</v>
      </c>
      <c r="N51" s="28">
        <f t="shared" si="28"/>
        <v>2.450855E-3</v>
      </c>
      <c r="O51" s="28">
        <f t="shared" si="28"/>
        <v>2.2413099999999998E-3</v>
      </c>
      <c r="P51" s="28">
        <f t="shared" si="28"/>
        <v>2.6791250000000001E-3</v>
      </c>
      <c r="Q51" s="28">
        <f t="shared" si="28"/>
        <v>8.9999999999999993E-3</v>
      </c>
      <c r="R51" s="28">
        <f t="shared" si="28"/>
        <v>0.01</v>
      </c>
      <c r="S51" s="28">
        <f t="shared" si="28"/>
        <v>0.01</v>
      </c>
      <c r="T51" s="28">
        <f t="shared" si="28"/>
        <v>1.0999999999999999E-2</v>
      </c>
      <c r="U51" s="28">
        <f t="shared" si="28"/>
        <v>1.2999999999999999E-2</v>
      </c>
      <c r="V51" s="24">
        <f t="shared" si="1"/>
        <v>1.334095E-3</v>
      </c>
      <c r="W51" s="24">
        <f t="shared" si="2"/>
        <v>1.244471E-3</v>
      </c>
      <c r="X51" s="24">
        <f t="shared" si="3"/>
        <v>1.2565104999999999E-3</v>
      </c>
      <c r="Y51" s="24">
        <f t="shared" si="4"/>
        <v>1.8655555E-3</v>
      </c>
      <c r="Z51" s="24">
        <f t="shared" si="5"/>
        <v>1.927172E-3</v>
      </c>
      <c r="AB51" s="3">
        <f ca="1">IFERROR(__xludf.DUMMYFUNCTION("AVERAGE.WEIGHTED(C51:D51,$AB$25:$AC$25)"),0.00130829342)</f>
        <v>1.3082934199999999E-3</v>
      </c>
      <c r="AC51" s="3">
        <f ca="1">IFERROR(__xludf.DUMMYFUNCTION("AVERAGE.WEIGHTED(F51:G51,$AB$25:$AC$25)"),0.00127091634)</f>
        <v>1.2709163399999999E-3</v>
      </c>
      <c r="AD51" s="3">
        <f ca="1">IFERROR(__xludf.DUMMYFUNCTION("AVERAGE.WEIGHTED(I51:J51,$AB$25:$AC$25)"),0.0018516443)</f>
        <v>1.8516443E-3</v>
      </c>
    </row>
    <row r="52" spans="1:30" ht="12.75" x14ac:dyDescent="0.2">
      <c r="A52" s="1">
        <v>24</v>
      </c>
      <c r="B52" s="28">
        <f t="shared" ref="B52:U52" si="29">B$10</f>
        <v>1.301223E-3</v>
      </c>
      <c r="C52" s="28">
        <f t="shared" si="29"/>
        <v>1.366967E-3</v>
      </c>
      <c r="D52" s="28">
        <f t="shared" si="29"/>
        <v>1.2272679999999999E-3</v>
      </c>
      <c r="E52" s="28">
        <f t="shared" si="29"/>
        <v>1.261674E-3</v>
      </c>
      <c r="F52" s="28">
        <f t="shared" si="29"/>
        <v>1.346547E-3</v>
      </c>
      <c r="G52" s="28">
        <f t="shared" si="29"/>
        <v>1.166474E-3</v>
      </c>
      <c r="H52" s="28">
        <f t="shared" si="29"/>
        <v>1.847532E-3</v>
      </c>
      <c r="I52" s="28">
        <f t="shared" si="29"/>
        <v>1.883579E-3</v>
      </c>
      <c r="J52" s="28">
        <f t="shared" si="29"/>
        <v>1.8075439999999999E-3</v>
      </c>
      <c r="K52" s="28">
        <f t="shared" si="29"/>
        <v>2.0468000000000001E-3</v>
      </c>
      <c r="L52" s="28">
        <f t="shared" si="29"/>
        <v>2.0047609999999999E-3</v>
      </c>
      <c r="M52" s="28">
        <f t="shared" si="29"/>
        <v>2.0931470000000001E-3</v>
      </c>
      <c r="N52" s="28">
        <f t="shared" si="29"/>
        <v>2.450855E-3</v>
      </c>
      <c r="O52" s="28">
        <f t="shared" si="29"/>
        <v>2.2413099999999998E-3</v>
      </c>
      <c r="P52" s="28">
        <f t="shared" si="29"/>
        <v>2.6791250000000001E-3</v>
      </c>
      <c r="Q52" s="28">
        <f t="shared" si="29"/>
        <v>8.9999999999999993E-3</v>
      </c>
      <c r="R52" s="28">
        <f t="shared" si="29"/>
        <v>0.01</v>
      </c>
      <c r="S52" s="28">
        <f t="shared" si="29"/>
        <v>0.01</v>
      </c>
      <c r="T52" s="28">
        <f t="shared" si="29"/>
        <v>1.0999999999999999E-2</v>
      </c>
      <c r="U52" s="28">
        <f t="shared" si="29"/>
        <v>1.2999999999999999E-2</v>
      </c>
      <c r="V52" s="24">
        <f t="shared" si="1"/>
        <v>1.334095E-3</v>
      </c>
      <c r="W52" s="24">
        <f t="shared" si="2"/>
        <v>1.244471E-3</v>
      </c>
      <c r="X52" s="24">
        <f t="shared" si="3"/>
        <v>1.2565104999999999E-3</v>
      </c>
      <c r="Y52" s="24">
        <f t="shared" si="4"/>
        <v>1.8655555E-3</v>
      </c>
      <c r="Z52" s="24">
        <f t="shared" si="5"/>
        <v>1.927172E-3</v>
      </c>
      <c r="AB52" s="3">
        <f ca="1">IFERROR(__xludf.DUMMYFUNCTION("AVERAGE.WEIGHTED(C52:D52,$AB$25:$AC$25)"),0.00130829342)</f>
        <v>1.3082934199999999E-3</v>
      </c>
      <c r="AC52" s="3">
        <f ca="1">IFERROR(__xludf.DUMMYFUNCTION("AVERAGE.WEIGHTED(F52:G52,$AB$25:$AC$25)"),0.00127091634)</f>
        <v>1.2709163399999999E-3</v>
      </c>
      <c r="AD52" s="3">
        <f ca="1">IFERROR(__xludf.DUMMYFUNCTION("AVERAGE.WEIGHTED(I52:J52,$AB$25:$AC$25)"),0.0018516443)</f>
        <v>1.8516443E-3</v>
      </c>
    </row>
    <row r="53" spans="1:30" ht="12.75" x14ac:dyDescent="0.2">
      <c r="A53" s="1">
        <v>25</v>
      </c>
      <c r="B53" s="28">
        <f t="shared" ref="B53:U53" si="30">B$11</f>
        <v>1.498421E-3</v>
      </c>
      <c r="C53" s="28">
        <f t="shared" si="30"/>
        <v>1.682876E-3</v>
      </c>
      <c r="D53" s="28">
        <f t="shared" si="30"/>
        <v>1.2921149999999999E-3</v>
      </c>
      <c r="E53" s="28">
        <f t="shared" si="30"/>
        <v>1.491111E-3</v>
      </c>
      <c r="F53" s="28">
        <f t="shared" si="30"/>
        <v>1.663917E-3</v>
      </c>
      <c r="G53" s="28">
        <f t="shared" si="30"/>
        <v>1.299541E-3</v>
      </c>
      <c r="H53" s="28">
        <f t="shared" si="30"/>
        <v>2.193029E-3</v>
      </c>
      <c r="I53" s="28">
        <f t="shared" si="30"/>
        <v>2.4690200000000002E-3</v>
      </c>
      <c r="J53" s="28">
        <f t="shared" si="30"/>
        <v>1.888643E-3</v>
      </c>
      <c r="K53" s="28">
        <f t="shared" si="30"/>
        <v>2.4322469999999998E-3</v>
      </c>
      <c r="L53" s="28">
        <f t="shared" si="30"/>
        <v>2.6241060000000002E-3</v>
      </c>
      <c r="M53" s="28">
        <f t="shared" si="30"/>
        <v>2.2231159999999998E-3</v>
      </c>
      <c r="N53" s="28">
        <f t="shared" si="30"/>
        <v>2.9064329999999999E-3</v>
      </c>
      <c r="O53" s="28">
        <f t="shared" si="30"/>
        <v>2.9844279999999999E-3</v>
      </c>
      <c r="P53" s="28">
        <f t="shared" si="30"/>
        <v>2.8217559999999999E-3</v>
      </c>
      <c r="Q53" s="28">
        <f t="shared" si="30"/>
        <v>8.9999999999999993E-3</v>
      </c>
      <c r="R53" s="28">
        <f t="shared" si="30"/>
        <v>1.2999999999999999E-2</v>
      </c>
      <c r="S53" s="28">
        <f t="shared" si="30"/>
        <v>1.0999999999999999E-2</v>
      </c>
      <c r="T53" s="28">
        <f t="shared" si="30"/>
        <v>1.4999999999999999E-2</v>
      </c>
      <c r="U53" s="28">
        <f t="shared" si="30"/>
        <v>1.4E-2</v>
      </c>
      <c r="V53" s="24">
        <f t="shared" si="1"/>
        <v>1.5906485E-3</v>
      </c>
      <c r="W53" s="24">
        <f t="shared" si="2"/>
        <v>1.3916129999999999E-3</v>
      </c>
      <c r="X53" s="24">
        <f t="shared" si="3"/>
        <v>1.481729E-3</v>
      </c>
      <c r="Y53" s="24">
        <f t="shared" si="4"/>
        <v>2.3310244999999999E-3</v>
      </c>
      <c r="Z53" s="24">
        <f t="shared" si="5"/>
        <v>2.160445E-3</v>
      </c>
      <c r="AB53" s="3">
        <f ca="1">IFERROR(__xludf.DUMMYFUNCTION("AVERAGE.WEIGHTED(C53:D53,$AB$25:$AC$25)"),0.00151875638)</f>
        <v>1.51875638E-3</v>
      </c>
      <c r="AC53" s="3">
        <f ca="1">IFERROR(__xludf.DUMMYFUNCTION("AVERAGE.WEIGHTED(F53:G53,$AB$25:$AC$25)"),0.00151087908)</f>
        <v>1.51087908E-3</v>
      </c>
      <c r="AD53" s="3">
        <f ca="1">IFERROR(__xludf.DUMMYFUNCTION("AVERAGE.WEIGHTED(I53:J53,$AB$25:$AC$25)"),0.00222526166)</f>
        <v>2.22526166E-3</v>
      </c>
    </row>
    <row r="54" spans="1:30" ht="12.75" x14ac:dyDescent="0.2">
      <c r="A54" s="1">
        <v>26</v>
      </c>
      <c r="B54" s="28">
        <f t="shared" ref="B54:U54" si="31">B$11</f>
        <v>1.498421E-3</v>
      </c>
      <c r="C54" s="28">
        <f t="shared" si="31"/>
        <v>1.682876E-3</v>
      </c>
      <c r="D54" s="28">
        <f t="shared" si="31"/>
        <v>1.2921149999999999E-3</v>
      </c>
      <c r="E54" s="28">
        <f t="shared" si="31"/>
        <v>1.491111E-3</v>
      </c>
      <c r="F54" s="28">
        <f t="shared" si="31"/>
        <v>1.663917E-3</v>
      </c>
      <c r="G54" s="28">
        <f t="shared" si="31"/>
        <v>1.299541E-3</v>
      </c>
      <c r="H54" s="28">
        <f t="shared" si="31"/>
        <v>2.193029E-3</v>
      </c>
      <c r="I54" s="28">
        <f t="shared" si="31"/>
        <v>2.4690200000000002E-3</v>
      </c>
      <c r="J54" s="28">
        <f t="shared" si="31"/>
        <v>1.888643E-3</v>
      </c>
      <c r="K54" s="28">
        <f t="shared" si="31"/>
        <v>2.4322469999999998E-3</v>
      </c>
      <c r="L54" s="28">
        <f t="shared" si="31"/>
        <v>2.6241060000000002E-3</v>
      </c>
      <c r="M54" s="28">
        <f t="shared" si="31"/>
        <v>2.2231159999999998E-3</v>
      </c>
      <c r="N54" s="28">
        <f t="shared" si="31"/>
        <v>2.9064329999999999E-3</v>
      </c>
      <c r="O54" s="28">
        <f t="shared" si="31"/>
        <v>2.9844279999999999E-3</v>
      </c>
      <c r="P54" s="28">
        <f t="shared" si="31"/>
        <v>2.8217559999999999E-3</v>
      </c>
      <c r="Q54" s="28">
        <f t="shared" si="31"/>
        <v>8.9999999999999993E-3</v>
      </c>
      <c r="R54" s="28">
        <f t="shared" si="31"/>
        <v>1.2999999999999999E-2</v>
      </c>
      <c r="S54" s="28">
        <f t="shared" si="31"/>
        <v>1.0999999999999999E-2</v>
      </c>
      <c r="T54" s="28">
        <f t="shared" si="31"/>
        <v>1.4999999999999999E-2</v>
      </c>
      <c r="U54" s="28">
        <f t="shared" si="31"/>
        <v>1.4E-2</v>
      </c>
      <c r="V54" s="24">
        <f t="shared" si="1"/>
        <v>1.5906485E-3</v>
      </c>
      <c r="W54" s="24">
        <f t="shared" si="2"/>
        <v>1.3916129999999999E-3</v>
      </c>
      <c r="X54" s="24">
        <f t="shared" si="3"/>
        <v>1.481729E-3</v>
      </c>
      <c r="Y54" s="24">
        <f t="shared" si="4"/>
        <v>2.3310244999999999E-3</v>
      </c>
      <c r="Z54" s="24">
        <f t="shared" si="5"/>
        <v>2.160445E-3</v>
      </c>
      <c r="AB54" s="3">
        <f ca="1">IFERROR(__xludf.DUMMYFUNCTION("AVERAGE.WEIGHTED(C54:D54,$AB$25:$AC$25)"),0.00151875638)</f>
        <v>1.51875638E-3</v>
      </c>
      <c r="AC54" s="3">
        <f ca="1">IFERROR(__xludf.DUMMYFUNCTION("AVERAGE.WEIGHTED(F54:G54,$AB$25:$AC$25)"),0.00151087908)</f>
        <v>1.51087908E-3</v>
      </c>
      <c r="AD54" s="3">
        <f ca="1">IFERROR(__xludf.DUMMYFUNCTION("AVERAGE.WEIGHTED(I54:J54,$AB$25:$AC$25)"),0.00222526166)</f>
        <v>2.22526166E-3</v>
      </c>
    </row>
    <row r="55" spans="1:30" ht="12.75" x14ac:dyDescent="0.2">
      <c r="A55" s="1">
        <v>27</v>
      </c>
      <c r="B55" s="28">
        <f t="shared" ref="B55:U55" si="32">B$11</f>
        <v>1.498421E-3</v>
      </c>
      <c r="C55" s="28">
        <f t="shared" si="32"/>
        <v>1.682876E-3</v>
      </c>
      <c r="D55" s="28">
        <f t="shared" si="32"/>
        <v>1.2921149999999999E-3</v>
      </c>
      <c r="E55" s="28">
        <f t="shared" si="32"/>
        <v>1.491111E-3</v>
      </c>
      <c r="F55" s="28">
        <f t="shared" si="32"/>
        <v>1.663917E-3</v>
      </c>
      <c r="G55" s="28">
        <f t="shared" si="32"/>
        <v>1.299541E-3</v>
      </c>
      <c r="H55" s="28">
        <f t="shared" si="32"/>
        <v>2.193029E-3</v>
      </c>
      <c r="I55" s="28">
        <f t="shared" si="32"/>
        <v>2.4690200000000002E-3</v>
      </c>
      <c r="J55" s="28">
        <f t="shared" si="32"/>
        <v>1.888643E-3</v>
      </c>
      <c r="K55" s="28">
        <f t="shared" si="32"/>
        <v>2.4322469999999998E-3</v>
      </c>
      <c r="L55" s="28">
        <f t="shared" si="32"/>
        <v>2.6241060000000002E-3</v>
      </c>
      <c r="M55" s="28">
        <f t="shared" si="32"/>
        <v>2.2231159999999998E-3</v>
      </c>
      <c r="N55" s="28">
        <f t="shared" si="32"/>
        <v>2.9064329999999999E-3</v>
      </c>
      <c r="O55" s="28">
        <f t="shared" si="32"/>
        <v>2.9844279999999999E-3</v>
      </c>
      <c r="P55" s="28">
        <f t="shared" si="32"/>
        <v>2.8217559999999999E-3</v>
      </c>
      <c r="Q55" s="28">
        <f t="shared" si="32"/>
        <v>8.9999999999999993E-3</v>
      </c>
      <c r="R55" s="28">
        <f t="shared" si="32"/>
        <v>1.2999999999999999E-2</v>
      </c>
      <c r="S55" s="28">
        <f t="shared" si="32"/>
        <v>1.0999999999999999E-2</v>
      </c>
      <c r="T55" s="28">
        <f t="shared" si="32"/>
        <v>1.4999999999999999E-2</v>
      </c>
      <c r="U55" s="28">
        <f t="shared" si="32"/>
        <v>1.4E-2</v>
      </c>
      <c r="V55" s="24">
        <f t="shared" si="1"/>
        <v>1.5906485E-3</v>
      </c>
      <c r="W55" s="24">
        <f t="shared" si="2"/>
        <v>1.3916129999999999E-3</v>
      </c>
      <c r="X55" s="24">
        <f t="shared" si="3"/>
        <v>1.481729E-3</v>
      </c>
      <c r="Y55" s="24">
        <f t="shared" si="4"/>
        <v>2.3310244999999999E-3</v>
      </c>
      <c r="Z55" s="24">
        <f t="shared" si="5"/>
        <v>2.160445E-3</v>
      </c>
      <c r="AB55" s="3">
        <f ca="1">IFERROR(__xludf.DUMMYFUNCTION("AVERAGE.WEIGHTED(C55:D55,$AB$25:$AC$25)"),0.00151875638)</f>
        <v>1.51875638E-3</v>
      </c>
      <c r="AC55" s="3">
        <f ca="1">IFERROR(__xludf.DUMMYFUNCTION("AVERAGE.WEIGHTED(F55:G55,$AB$25:$AC$25)"),0.00151087908)</f>
        <v>1.51087908E-3</v>
      </c>
      <c r="AD55" s="3">
        <f ca="1">IFERROR(__xludf.DUMMYFUNCTION("AVERAGE.WEIGHTED(I55:J55,$AB$25:$AC$25)"),0.00222526166)</f>
        <v>2.22526166E-3</v>
      </c>
    </row>
    <row r="56" spans="1:30" ht="12.75" x14ac:dyDescent="0.2">
      <c r="A56" s="1">
        <v>28</v>
      </c>
      <c r="B56" s="28">
        <f t="shared" ref="B56:U56" si="33">B$11</f>
        <v>1.498421E-3</v>
      </c>
      <c r="C56" s="28">
        <f t="shared" si="33"/>
        <v>1.682876E-3</v>
      </c>
      <c r="D56" s="28">
        <f t="shared" si="33"/>
        <v>1.2921149999999999E-3</v>
      </c>
      <c r="E56" s="28">
        <f t="shared" si="33"/>
        <v>1.491111E-3</v>
      </c>
      <c r="F56" s="28">
        <f t="shared" si="33"/>
        <v>1.663917E-3</v>
      </c>
      <c r="G56" s="28">
        <f t="shared" si="33"/>
        <v>1.299541E-3</v>
      </c>
      <c r="H56" s="28">
        <f t="shared" si="33"/>
        <v>2.193029E-3</v>
      </c>
      <c r="I56" s="28">
        <f t="shared" si="33"/>
        <v>2.4690200000000002E-3</v>
      </c>
      <c r="J56" s="28">
        <f t="shared" si="33"/>
        <v>1.888643E-3</v>
      </c>
      <c r="K56" s="28">
        <f t="shared" si="33"/>
        <v>2.4322469999999998E-3</v>
      </c>
      <c r="L56" s="28">
        <f t="shared" si="33"/>
        <v>2.6241060000000002E-3</v>
      </c>
      <c r="M56" s="28">
        <f t="shared" si="33"/>
        <v>2.2231159999999998E-3</v>
      </c>
      <c r="N56" s="28">
        <f t="shared" si="33"/>
        <v>2.9064329999999999E-3</v>
      </c>
      <c r="O56" s="28">
        <f t="shared" si="33"/>
        <v>2.9844279999999999E-3</v>
      </c>
      <c r="P56" s="28">
        <f t="shared" si="33"/>
        <v>2.8217559999999999E-3</v>
      </c>
      <c r="Q56" s="28">
        <f t="shared" si="33"/>
        <v>8.9999999999999993E-3</v>
      </c>
      <c r="R56" s="28">
        <f t="shared" si="33"/>
        <v>1.2999999999999999E-2</v>
      </c>
      <c r="S56" s="28">
        <f t="shared" si="33"/>
        <v>1.0999999999999999E-2</v>
      </c>
      <c r="T56" s="28">
        <f t="shared" si="33"/>
        <v>1.4999999999999999E-2</v>
      </c>
      <c r="U56" s="28">
        <f t="shared" si="33"/>
        <v>1.4E-2</v>
      </c>
      <c r="V56" s="24">
        <f t="shared" si="1"/>
        <v>1.5906485E-3</v>
      </c>
      <c r="W56" s="24">
        <f t="shared" si="2"/>
        <v>1.3916129999999999E-3</v>
      </c>
      <c r="X56" s="24">
        <f t="shared" si="3"/>
        <v>1.481729E-3</v>
      </c>
      <c r="Y56" s="24">
        <f t="shared" si="4"/>
        <v>2.3310244999999999E-3</v>
      </c>
      <c r="Z56" s="24">
        <f t="shared" si="5"/>
        <v>2.160445E-3</v>
      </c>
      <c r="AB56" s="3">
        <f ca="1">IFERROR(__xludf.DUMMYFUNCTION("AVERAGE.WEIGHTED(C56:D56,$AB$25:$AC$25)"),0.00151875638)</f>
        <v>1.51875638E-3</v>
      </c>
      <c r="AC56" s="3">
        <f ca="1">IFERROR(__xludf.DUMMYFUNCTION("AVERAGE.WEIGHTED(F56:G56,$AB$25:$AC$25)"),0.00151087908)</f>
        <v>1.51087908E-3</v>
      </c>
      <c r="AD56" s="3">
        <f ca="1">IFERROR(__xludf.DUMMYFUNCTION("AVERAGE.WEIGHTED(I56:J56,$AB$25:$AC$25)"),0.00222526166)</f>
        <v>2.22526166E-3</v>
      </c>
    </row>
    <row r="57" spans="1:30" ht="12.75" x14ac:dyDescent="0.2">
      <c r="A57" s="1">
        <v>29</v>
      </c>
      <c r="B57" s="28">
        <f t="shared" ref="B57:U57" si="34">B$11</f>
        <v>1.498421E-3</v>
      </c>
      <c r="C57" s="28">
        <f t="shared" si="34"/>
        <v>1.682876E-3</v>
      </c>
      <c r="D57" s="28">
        <f t="shared" si="34"/>
        <v>1.2921149999999999E-3</v>
      </c>
      <c r="E57" s="28">
        <f t="shared" si="34"/>
        <v>1.491111E-3</v>
      </c>
      <c r="F57" s="28">
        <f t="shared" si="34"/>
        <v>1.663917E-3</v>
      </c>
      <c r="G57" s="28">
        <f t="shared" si="34"/>
        <v>1.299541E-3</v>
      </c>
      <c r="H57" s="28">
        <f t="shared" si="34"/>
        <v>2.193029E-3</v>
      </c>
      <c r="I57" s="28">
        <f t="shared" si="34"/>
        <v>2.4690200000000002E-3</v>
      </c>
      <c r="J57" s="28">
        <f t="shared" si="34"/>
        <v>1.888643E-3</v>
      </c>
      <c r="K57" s="28">
        <f t="shared" si="34"/>
        <v>2.4322469999999998E-3</v>
      </c>
      <c r="L57" s="28">
        <f t="shared" si="34"/>
        <v>2.6241060000000002E-3</v>
      </c>
      <c r="M57" s="28">
        <f t="shared" si="34"/>
        <v>2.2231159999999998E-3</v>
      </c>
      <c r="N57" s="28">
        <f t="shared" si="34"/>
        <v>2.9064329999999999E-3</v>
      </c>
      <c r="O57" s="28">
        <f t="shared" si="34"/>
        <v>2.9844279999999999E-3</v>
      </c>
      <c r="P57" s="28">
        <f t="shared" si="34"/>
        <v>2.8217559999999999E-3</v>
      </c>
      <c r="Q57" s="28">
        <f t="shared" si="34"/>
        <v>8.9999999999999993E-3</v>
      </c>
      <c r="R57" s="28">
        <f t="shared" si="34"/>
        <v>1.2999999999999999E-2</v>
      </c>
      <c r="S57" s="28">
        <f t="shared" si="34"/>
        <v>1.0999999999999999E-2</v>
      </c>
      <c r="T57" s="28">
        <f t="shared" si="34"/>
        <v>1.4999999999999999E-2</v>
      </c>
      <c r="U57" s="28">
        <f t="shared" si="34"/>
        <v>1.4E-2</v>
      </c>
      <c r="V57" s="24">
        <f t="shared" si="1"/>
        <v>1.5906485E-3</v>
      </c>
      <c r="W57" s="24">
        <f t="shared" si="2"/>
        <v>1.3916129999999999E-3</v>
      </c>
      <c r="X57" s="24">
        <f t="shared" si="3"/>
        <v>1.481729E-3</v>
      </c>
      <c r="Y57" s="24">
        <f t="shared" si="4"/>
        <v>2.3310244999999999E-3</v>
      </c>
      <c r="Z57" s="24">
        <f t="shared" si="5"/>
        <v>2.160445E-3</v>
      </c>
      <c r="AB57" s="3">
        <f ca="1">IFERROR(__xludf.DUMMYFUNCTION("AVERAGE.WEIGHTED(C57:D57,$AB$25:$AC$25)"),0.00151875638)</f>
        <v>1.51875638E-3</v>
      </c>
      <c r="AC57" s="3">
        <f ca="1">IFERROR(__xludf.DUMMYFUNCTION("AVERAGE.WEIGHTED(F57:G57,$AB$25:$AC$25)"),0.00151087908)</f>
        <v>1.51087908E-3</v>
      </c>
      <c r="AD57" s="3">
        <f ca="1">IFERROR(__xludf.DUMMYFUNCTION("AVERAGE.WEIGHTED(I57:J57,$AB$25:$AC$25)"),0.00222526166)</f>
        <v>2.22526166E-3</v>
      </c>
    </row>
    <row r="58" spans="1:30" ht="12.75" x14ac:dyDescent="0.2">
      <c r="A58" s="1">
        <v>30</v>
      </c>
      <c r="B58" s="28">
        <f t="shared" ref="B58:U58" si="35">B$12</f>
        <v>1.90733E-3</v>
      </c>
      <c r="C58" s="28">
        <f t="shared" si="35"/>
        <v>2.3089500000000002E-3</v>
      </c>
      <c r="D58" s="28">
        <f t="shared" si="35"/>
        <v>1.4644549999999999E-3</v>
      </c>
      <c r="E58" s="28">
        <f t="shared" si="35"/>
        <v>1.9507140000000001E-3</v>
      </c>
      <c r="F58" s="28">
        <f t="shared" si="35"/>
        <v>2.3390400000000001E-3</v>
      </c>
      <c r="G58" s="28">
        <f t="shared" si="35"/>
        <v>1.5239909999999999E-3</v>
      </c>
      <c r="H58" s="28">
        <f t="shared" si="35"/>
        <v>2.4952289999999998E-3</v>
      </c>
      <c r="I58" s="28">
        <f t="shared" si="35"/>
        <v>2.898294E-3</v>
      </c>
      <c r="J58" s="28">
        <f t="shared" si="35"/>
        <v>2.0573330000000002E-3</v>
      </c>
      <c r="K58" s="28">
        <f t="shared" si="35"/>
        <v>2.8868650000000002E-3</v>
      </c>
      <c r="L58" s="28">
        <f t="shared" si="35"/>
        <v>3.4033230000000002E-3</v>
      </c>
      <c r="M58" s="28">
        <f t="shared" si="35"/>
        <v>2.3278370000000001E-3</v>
      </c>
      <c r="N58" s="28">
        <f t="shared" si="35"/>
        <v>3.230321E-3</v>
      </c>
      <c r="O58" s="28">
        <f t="shared" si="35"/>
        <v>3.5477529999999998E-3</v>
      </c>
      <c r="P58" s="28">
        <f t="shared" si="35"/>
        <v>2.885028E-3</v>
      </c>
      <c r="Q58" s="28">
        <f t="shared" si="35"/>
        <v>0.01</v>
      </c>
      <c r="R58" s="28">
        <f t="shared" si="35"/>
        <v>1.7000000000000001E-2</v>
      </c>
      <c r="S58" s="28">
        <f t="shared" si="35"/>
        <v>1.2E-2</v>
      </c>
      <c r="T58" s="28">
        <f t="shared" si="35"/>
        <v>1.7999999999999999E-2</v>
      </c>
      <c r="U58" s="28">
        <f t="shared" si="35"/>
        <v>1.4E-2</v>
      </c>
      <c r="V58" s="24">
        <f t="shared" si="1"/>
        <v>2.1081400000000001E-3</v>
      </c>
      <c r="W58" s="24">
        <f t="shared" si="2"/>
        <v>1.7075845E-3</v>
      </c>
      <c r="X58" s="24">
        <f t="shared" si="3"/>
        <v>1.9315155000000001E-3</v>
      </c>
      <c r="Y58" s="24">
        <f t="shared" si="4"/>
        <v>2.6967614999999999E-3</v>
      </c>
      <c r="Z58" s="24">
        <f t="shared" si="5"/>
        <v>2.4720990000000002E-3</v>
      </c>
      <c r="AB58" s="3">
        <f ca="1">IFERROR(__xludf.DUMMYFUNCTION("AVERAGE.WEIGHTED(C58:D58,$AB$25:$AC$25)"),0.0019542621)</f>
        <v>1.9542621E-3</v>
      </c>
      <c r="AC58" s="3">
        <f ca="1">IFERROR(__xludf.DUMMYFUNCTION("AVERAGE.WEIGHTED(F58:G58,$AB$25:$AC$25)"),0.00199671942)</f>
        <v>1.9967194200000002E-3</v>
      </c>
      <c r="AD58" s="3">
        <f ca="1">IFERROR(__xludf.DUMMYFUNCTION("AVERAGE.WEIGHTED(I58:J58,$AB$25:$AC$25)"),0.00254509038)</f>
        <v>2.5450903800000001E-3</v>
      </c>
    </row>
    <row r="59" spans="1:30" ht="12.75" x14ac:dyDescent="0.2">
      <c r="A59" s="1">
        <v>31</v>
      </c>
      <c r="B59" s="28">
        <f t="shared" ref="B59:U59" si="36">B$12</f>
        <v>1.90733E-3</v>
      </c>
      <c r="C59" s="28">
        <f t="shared" si="36"/>
        <v>2.3089500000000002E-3</v>
      </c>
      <c r="D59" s="28">
        <f t="shared" si="36"/>
        <v>1.4644549999999999E-3</v>
      </c>
      <c r="E59" s="28">
        <f t="shared" si="36"/>
        <v>1.9507140000000001E-3</v>
      </c>
      <c r="F59" s="28">
        <f t="shared" si="36"/>
        <v>2.3390400000000001E-3</v>
      </c>
      <c r="G59" s="28">
        <f t="shared" si="36"/>
        <v>1.5239909999999999E-3</v>
      </c>
      <c r="H59" s="28">
        <f t="shared" si="36"/>
        <v>2.4952289999999998E-3</v>
      </c>
      <c r="I59" s="28">
        <f t="shared" si="36"/>
        <v>2.898294E-3</v>
      </c>
      <c r="J59" s="28">
        <f t="shared" si="36"/>
        <v>2.0573330000000002E-3</v>
      </c>
      <c r="K59" s="28">
        <f t="shared" si="36"/>
        <v>2.8868650000000002E-3</v>
      </c>
      <c r="L59" s="28">
        <f t="shared" si="36"/>
        <v>3.4033230000000002E-3</v>
      </c>
      <c r="M59" s="28">
        <f t="shared" si="36"/>
        <v>2.3278370000000001E-3</v>
      </c>
      <c r="N59" s="28">
        <f t="shared" si="36"/>
        <v>3.230321E-3</v>
      </c>
      <c r="O59" s="28">
        <f t="shared" si="36"/>
        <v>3.5477529999999998E-3</v>
      </c>
      <c r="P59" s="28">
        <f t="shared" si="36"/>
        <v>2.885028E-3</v>
      </c>
      <c r="Q59" s="28">
        <f t="shared" si="36"/>
        <v>0.01</v>
      </c>
      <c r="R59" s="28">
        <f t="shared" si="36"/>
        <v>1.7000000000000001E-2</v>
      </c>
      <c r="S59" s="28">
        <f t="shared" si="36"/>
        <v>1.2E-2</v>
      </c>
      <c r="T59" s="28">
        <f t="shared" si="36"/>
        <v>1.7999999999999999E-2</v>
      </c>
      <c r="U59" s="28">
        <f t="shared" si="36"/>
        <v>1.4E-2</v>
      </c>
      <c r="V59" s="24">
        <f t="shared" si="1"/>
        <v>2.1081400000000001E-3</v>
      </c>
      <c r="W59" s="24">
        <f t="shared" si="2"/>
        <v>1.7075845E-3</v>
      </c>
      <c r="X59" s="24">
        <f t="shared" si="3"/>
        <v>1.9315155000000001E-3</v>
      </c>
      <c r="Y59" s="24">
        <f t="shared" si="4"/>
        <v>2.6967614999999999E-3</v>
      </c>
      <c r="Z59" s="24">
        <f t="shared" si="5"/>
        <v>2.4720990000000002E-3</v>
      </c>
      <c r="AB59" s="3">
        <f ca="1">IFERROR(__xludf.DUMMYFUNCTION("AVERAGE.WEIGHTED(C59:D59,$AB$25:$AC$25)"),0.0019542621)</f>
        <v>1.9542621E-3</v>
      </c>
      <c r="AC59" s="3">
        <f ca="1">IFERROR(__xludf.DUMMYFUNCTION("AVERAGE.WEIGHTED(F59:G59,$AB$25:$AC$25)"),0.00199671942)</f>
        <v>1.9967194200000002E-3</v>
      </c>
      <c r="AD59" s="3">
        <f ca="1">IFERROR(__xludf.DUMMYFUNCTION("AVERAGE.WEIGHTED(I59:J59,$AB$25:$AC$25)"),0.00254509038)</f>
        <v>2.5450903800000001E-3</v>
      </c>
    </row>
    <row r="60" spans="1:30" ht="12.75" x14ac:dyDescent="0.2">
      <c r="A60" s="1">
        <v>32</v>
      </c>
      <c r="B60" s="28">
        <f t="shared" ref="B60:U60" si="37">B$12</f>
        <v>1.90733E-3</v>
      </c>
      <c r="C60" s="28">
        <f t="shared" si="37"/>
        <v>2.3089500000000002E-3</v>
      </c>
      <c r="D60" s="28">
        <f t="shared" si="37"/>
        <v>1.4644549999999999E-3</v>
      </c>
      <c r="E60" s="28">
        <f t="shared" si="37"/>
        <v>1.9507140000000001E-3</v>
      </c>
      <c r="F60" s="28">
        <f t="shared" si="37"/>
        <v>2.3390400000000001E-3</v>
      </c>
      <c r="G60" s="28">
        <f t="shared" si="37"/>
        <v>1.5239909999999999E-3</v>
      </c>
      <c r="H60" s="28">
        <f t="shared" si="37"/>
        <v>2.4952289999999998E-3</v>
      </c>
      <c r="I60" s="28">
        <f t="shared" si="37"/>
        <v>2.898294E-3</v>
      </c>
      <c r="J60" s="28">
        <f t="shared" si="37"/>
        <v>2.0573330000000002E-3</v>
      </c>
      <c r="K60" s="28">
        <f t="shared" si="37"/>
        <v>2.8868650000000002E-3</v>
      </c>
      <c r="L60" s="28">
        <f t="shared" si="37"/>
        <v>3.4033230000000002E-3</v>
      </c>
      <c r="M60" s="28">
        <f t="shared" si="37"/>
        <v>2.3278370000000001E-3</v>
      </c>
      <c r="N60" s="28">
        <f t="shared" si="37"/>
        <v>3.230321E-3</v>
      </c>
      <c r="O60" s="28">
        <f t="shared" si="37"/>
        <v>3.5477529999999998E-3</v>
      </c>
      <c r="P60" s="28">
        <f t="shared" si="37"/>
        <v>2.885028E-3</v>
      </c>
      <c r="Q60" s="28">
        <f t="shared" si="37"/>
        <v>0.01</v>
      </c>
      <c r="R60" s="28">
        <f t="shared" si="37"/>
        <v>1.7000000000000001E-2</v>
      </c>
      <c r="S60" s="28">
        <f t="shared" si="37"/>
        <v>1.2E-2</v>
      </c>
      <c r="T60" s="28">
        <f t="shared" si="37"/>
        <v>1.7999999999999999E-2</v>
      </c>
      <c r="U60" s="28">
        <f t="shared" si="37"/>
        <v>1.4E-2</v>
      </c>
      <c r="V60" s="24">
        <f t="shared" si="1"/>
        <v>2.1081400000000001E-3</v>
      </c>
      <c r="W60" s="24">
        <f t="shared" si="2"/>
        <v>1.7075845E-3</v>
      </c>
      <c r="X60" s="24">
        <f t="shared" si="3"/>
        <v>1.9315155000000001E-3</v>
      </c>
      <c r="Y60" s="24">
        <f t="shared" si="4"/>
        <v>2.6967614999999999E-3</v>
      </c>
      <c r="Z60" s="24">
        <f t="shared" si="5"/>
        <v>2.4720990000000002E-3</v>
      </c>
      <c r="AB60" s="3">
        <f ca="1">IFERROR(__xludf.DUMMYFUNCTION("AVERAGE.WEIGHTED(C60:D60,$AB$25:$AC$25)"),0.0019542621)</f>
        <v>1.9542621E-3</v>
      </c>
      <c r="AC60" s="3">
        <f ca="1">IFERROR(__xludf.DUMMYFUNCTION("AVERAGE.WEIGHTED(F60:G60,$AB$25:$AC$25)"),0.00199671942)</f>
        <v>1.9967194200000002E-3</v>
      </c>
      <c r="AD60" s="3">
        <f ca="1">IFERROR(__xludf.DUMMYFUNCTION("AVERAGE.WEIGHTED(I60:J60,$AB$25:$AC$25)"),0.00254509038)</f>
        <v>2.5450903800000001E-3</v>
      </c>
    </row>
    <row r="61" spans="1:30" ht="12.75" x14ac:dyDescent="0.2">
      <c r="A61" s="1">
        <v>33</v>
      </c>
      <c r="B61" s="28">
        <f t="shared" ref="B61:U61" si="38">B$12</f>
        <v>1.90733E-3</v>
      </c>
      <c r="C61" s="28">
        <f t="shared" si="38"/>
        <v>2.3089500000000002E-3</v>
      </c>
      <c r="D61" s="28">
        <f t="shared" si="38"/>
        <v>1.4644549999999999E-3</v>
      </c>
      <c r="E61" s="28">
        <f t="shared" si="38"/>
        <v>1.9507140000000001E-3</v>
      </c>
      <c r="F61" s="28">
        <f t="shared" si="38"/>
        <v>2.3390400000000001E-3</v>
      </c>
      <c r="G61" s="28">
        <f t="shared" si="38"/>
        <v>1.5239909999999999E-3</v>
      </c>
      <c r="H61" s="28">
        <f t="shared" si="38"/>
        <v>2.4952289999999998E-3</v>
      </c>
      <c r="I61" s="28">
        <f t="shared" si="38"/>
        <v>2.898294E-3</v>
      </c>
      <c r="J61" s="28">
        <f t="shared" si="38"/>
        <v>2.0573330000000002E-3</v>
      </c>
      <c r="K61" s="28">
        <f t="shared" si="38"/>
        <v>2.8868650000000002E-3</v>
      </c>
      <c r="L61" s="28">
        <f t="shared" si="38"/>
        <v>3.4033230000000002E-3</v>
      </c>
      <c r="M61" s="28">
        <f t="shared" si="38"/>
        <v>2.3278370000000001E-3</v>
      </c>
      <c r="N61" s="28">
        <f t="shared" si="38"/>
        <v>3.230321E-3</v>
      </c>
      <c r="O61" s="28">
        <f t="shared" si="38"/>
        <v>3.5477529999999998E-3</v>
      </c>
      <c r="P61" s="28">
        <f t="shared" si="38"/>
        <v>2.885028E-3</v>
      </c>
      <c r="Q61" s="28">
        <f t="shared" si="38"/>
        <v>0.01</v>
      </c>
      <c r="R61" s="28">
        <f t="shared" si="38"/>
        <v>1.7000000000000001E-2</v>
      </c>
      <c r="S61" s="28">
        <f t="shared" si="38"/>
        <v>1.2E-2</v>
      </c>
      <c r="T61" s="28">
        <f t="shared" si="38"/>
        <v>1.7999999999999999E-2</v>
      </c>
      <c r="U61" s="28">
        <f t="shared" si="38"/>
        <v>1.4E-2</v>
      </c>
      <c r="V61" s="24">
        <f t="shared" si="1"/>
        <v>2.1081400000000001E-3</v>
      </c>
      <c r="W61" s="24">
        <f t="shared" si="2"/>
        <v>1.7075845E-3</v>
      </c>
      <c r="X61" s="24">
        <f t="shared" si="3"/>
        <v>1.9315155000000001E-3</v>
      </c>
      <c r="Y61" s="24">
        <f t="shared" si="4"/>
        <v>2.6967614999999999E-3</v>
      </c>
      <c r="Z61" s="24">
        <f t="shared" si="5"/>
        <v>2.4720990000000002E-3</v>
      </c>
      <c r="AB61" s="3">
        <f ca="1">IFERROR(__xludf.DUMMYFUNCTION("AVERAGE.WEIGHTED(C61:D61,$AB$25:$AC$25)"),0.0019542621)</f>
        <v>1.9542621E-3</v>
      </c>
      <c r="AC61" s="3">
        <f ca="1">IFERROR(__xludf.DUMMYFUNCTION("AVERAGE.WEIGHTED(F61:G61,$AB$25:$AC$25)"),0.00199671942)</f>
        <v>1.9967194200000002E-3</v>
      </c>
      <c r="AD61" s="3">
        <f ca="1">IFERROR(__xludf.DUMMYFUNCTION("AVERAGE.WEIGHTED(I61:J61,$AB$25:$AC$25)"),0.00254509038)</f>
        <v>2.5450903800000001E-3</v>
      </c>
    </row>
    <row r="62" spans="1:30" ht="12.75" x14ac:dyDescent="0.2">
      <c r="A62" s="1">
        <v>34</v>
      </c>
      <c r="B62" s="28">
        <f t="shared" ref="B62:U62" si="39">B$12</f>
        <v>1.90733E-3</v>
      </c>
      <c r="C62" s="28">
        <f t="shared" si="39"/>
        <v>2.3089500000000002E-3</v>
      </c>
      <c r="D62" s="28">
        <f t="shared" si="39"/>
        <v>1.4644549999999999E-3</v>
      </c>
      <c r="E62" s="28">
        <f t="shared" si="39"/>
        <v>1.9507140000000001E-3</v>
      </c>
      <c r="F62" s="28">
        <f t="shared" si="39"/>
        <v>2.3390400000000001E-3</v>
      </c>
      <c r="G62" s="28">
        <f t="shared" si="39"/>
        <v>1.5239909999999999E-3</v>
      </c>
      <c r="H62" s="28">
        <f t="shared" si="39"/>
        <v>2.4952289999999998E-3</v>
      </c>
      <c r="I62" s="28">
        <f t="shared" si="39"/>
        <v>2.898294E-3</v>
      </c>
      <c r="J62" s="28">
        <f t="shared" si="39"/>
        <v>2.0573330000000002E-3</v>
      </c>
      <c r="K62" s="28">
        <f t="shared" si="39"/>
        <v>2.8868650000000002E-3</v>
      </c>
      <c r="L62" s="28">
        <f t="shared" si="39"/>
        <v>3.4033230000000002E-3</v>
      </c>
      <c r="M62" s="28">
        <f t="shared" si="39"/>
        <v>2.3278370000000001E-3</v>
      </c>
      <c r="N62" s="28">
        <f t="shared" si="39"/>
        <v>3.230321E-3</v>
      </c>
      <c r="O62" s="28">
        <f t="shared" si="39"/>
        <v>3.5477529999999998E-3</v>
      </c>
      <c r="P62" s="28">
        <f t="shared" si="39"/>
        <v>2.885028E-3</v>
      </c>
      <c r="Q62" s="28">
        <f t="shared" si="39"/>
        <v>0.01</v>
      </c>
      <c r="R62" s="28">
        <f t="shared" si="39"/>
        <v>1.7000000000000001E-2</v>
      </c>
      <c r="S62" s="28">
        <f t="shared" si="39"/>
        <v>1.2E-2</v>
      </c>
      <c r="T62" s="28">
        <f t="shared" si="39"/>
        <v>1.7999999999999999E-2</v>
      </c>
      <c r="U62" s="28">
        <f t="shared" si="39"/>
        <v>1.4E-2</v>
      </c>
      <c r="V62" s="24">
        <f t="shared" si="1"/>
        <v>2.1081400000000001E-3</v>
      </c>
      <c r="W62" s="24">
        <f t="shared" si="2"/>
        <v>1.7075845E-3</v>
      </c>
      <c r="X62" s="24">
        <f t="shared" si="3"/>
        <v>1.9315155000000001E-3</v>
      </c>
      <c r="Y62" s="24">
        <f t="shared" si="4"/>
        <v>2.6967614999999999E-3</v>
      </c>
      <c r="Z62" s="24">
        <f t="shared" si="5"/>
        <v>2.4720990000000002E-3</v>
      </c>
      <c r="AB62" s="3">
        <f ca="1">IFERROR(__xludf.DUMMYFUNCTION("AVERAGE.WEIGHTED(C62:D62,$AB$25:$AC$25)"),0.0019542621)</f>
        <v>1.9542621E-3</v>
      </c>
      <c r="AC62" s="3">
        <f ca="1">IFERROR(__xludf.DUMMYFUNCTION("AVERAGE.WEIGHTED(F62:G62,$AB$25:$AC$25)"),0.00199671942)</f>
        <v>1.9967194200000002E-3</v>
      </c>
      <c r="AD62" s="3">
        <f ca="1">IFERROR(__xludf.DUMMYFUNCTION("AVERAGE.WEIGHTED(I62:J62,$AB$25:$AC$25)"),0.00254509038)</f>
        <v>2.5450903800000001E-3</v>
      </c>
    </row>
    <row r="63" spans="1:30" ht="12.75" x14ac:dyDescent="0.2">
      <c r="A63" s="1">
        <v>35</v>
      </c>
      <c r="B63" s="28">
        <f t="shared" ref="B63:U63" si="40">B$13</f>
        <v>2.5478020000000001E-3</v>
      </c>
      <c r="C63" s="28">
        <f t="shared" si="40"/>
        <v>3.1896009999999998E-3</v>
      </c>
      <c r="D63" s="28">
        <f t="shared" si="40"/>
        <v>1.8485839999999999E-3</v>
      </c>
      <c r="E63" s="28">
        <f t="shared" si="40"/>
        <v>2.6807530000000001E-3</v>
      </c>
      <c r="F63" s="28">
        <f t="shared" si="40"/>
        <v>3.338424E-3</v>
      </c>
      <c r="G63" s="28">
        <f t="shared" si="40"/>
        <v>1.9712089999999998E-3</v>
      </c>
      <c r="H63" s="28">
        <f t="shared" si="40"/>
        <v>3.3552740000000001E-3</v>
      </c>
      <c r="I63" s="28">
        <f t="shared" si="40"/>
        <v>4.2707639999999998E-3</v>
      </c>
      <c r="J63" s="28">
        <f t="shared" si="40"/>
        <v>2.3708890000000002E-3</v>
      </c>
      <c r="K63" s="28">
        <f t="shared" si="40"/>
        <v>3.4768249999999998E-3</v>
      </c>
      <c r="L63" s="28">
        <f t="shared" si="40"/>
        <v>4.2896280000000002E-3</v>
      </c>
      <c r="M63" s="28">
        <f t="shared" si="40"/>
        <v>2.5980880000000001E-3</v>
      </c>
      <c r="N63" s="28">
        <f t="shared" si="40"/>
        <v>3.85929E-3</v>
      </c>
      <c r="O63" s="28">
        <f t="shared" si="40"/>
        <v>4.616162E-3</v>
      </c>
      <c r="P63" s="28">
        <f t="shared" si="40"/>
        <v>3.0332079999999999E-3</v>
      </c>
      <c r="Q63" s="28">
        <f t="shared" si="40"/>
        <v>1.2E-2</v>
      </c>
      <c r="R63" s="28">
        <f t="shared" si="40"/>
        <v>2.1000000000000001E-2</v>
      </c>
      <c r="S63" s="28">
        <f t="shared" si="40"/>
        <v>1.2999999999999999E-2</v>
      </c>
      <c r="T63" s="28">
        <f t="shared" si="40"/>
        <v>2.3E-2</v>
      </c>
      <c r="U63" s="28">
        <f t="shared" si="40"/>
        <v>1.4999999999999999E-2</v>
      </c>
      <c r="V63" s="24">
        <f t="shared" si="1"/>
        <v>2.8687015000000001E-3</v>
      </c>
      <c r="W63" s="24">
        <f t="shared" si="2"/>
        <v>2.2646684999999998E-3</v>
      </c>
      <c r="X63" s="24">
        <f t="shared" si="3"/>
        <v>2.6548164999999997E-3</v>
      </c>
      <c r="Y63" s="24">
        <f t="shared" si="4"/>
        <v>3.813019E-3</v>
      </c>
      <c r="Z63" s="24">
        <f t="shared" si="5"/>
        <v>2.9238570000000002E-3</v>
      </c>
      <c r="AB63" s="3">
        <f ca="1">IFERROR(__xludf.DUMMYFUNCTION("AVERAGE.WEIGHTED(C63:D63,$AB$25:$AC$25)"),0.00262637385999999)</f>
        <v>2.62637385999999E-3</v>
      </c>
      <c r="AC63" s="3">
        <f ca="1">IFERROR(__xludf.DUMMYFUNCTION("AVERAGE.WEIGHTED(F63:G63,$AB$25:$AC$25)"),0.0027641937)</f>
        <v>2.7641937000000001E-3</v>
      </c>
      <c r="AD63" s="3">
        <f ca="1">IFERROR(__xludf.DUMMYFUNCTION("AVERAGE.WEIGHTED(I63:J63,$AB$25:$AC$25)"),0.0034728165)</f>
        <v>3.4728164999999998E-3</v>
      </c>
    </row>
    <row r="64" spans="1:30" ht="12.75" x14ac:dyDescent="0.2">
      <c r="A64" s="1">
        <v>36</v>
      </c>
      <c r="B64" s="28">
        <f t="shared" ref="B64:U64" si="41">B$13</f>
        <v>2.5478020000000001E-3</v>
      </c>
      <c r="C64" s="28">
        <f t="shared" si="41"/>
        <v>3.1896009999999998E-3</v>
      </c>
      <c r="D64" s="28">
        <f t="shared" si="41"/>
        <v>1.8485839999999999E-3</v>
      </c>
      <c r="E64" s="28">
        <f t="shared" si="41"/>
        <v>2.6807530000000001E-3</v>
      </c>
      <c r="F64" s="28">
        <f t="shared" si="41"/>
        <v>3.338424E-3</v>
      </c>
      <c r="G64" s="28">
        <f t="shared" si="41"/>
        <v>1.9712089999999998E-3</v>
      </c>
      <c r="H64" s="28">
        <f t="shared" si="41"/>
        <v>3.3552740000000001E-3</v>
      </c>
      <c r="I64" s="28">
        <f t="shared" si="41"/>
        <v>4.2707639999999998E-3</v>
      </c>
      <c r="J64" s="28">
        <f t="shared" si="41"/>
        <v>2.3708890000000002E-3</v>
      </c>
      <c r="K64" s="28">
        <f t="shared" si="41"/>
        <v>3.4768249999999998E-3</v>
      </c>
      <c r="L64" s="28">
        <f t="shared" si="41"/>
        <v>4.2896280000000002E-3</v>
      </c>
      <c r="M64" s="28">
        <f t="shared" si="41"/>
        <v>2.5980880000000001E-3</v>
      </c>
      <c r="N64" s="28">
        <f t="shared" si="41"/>
        <v>3.85929E-3</v>
      </c>
      <c r="O64" s="28">
        <f t="shared" si="41"/>
        <v>4.616162E-3</v>
      </c>
      <c r="P64" s="28">
        <f t="shared" si="41"/>
        <v>3.0332079999999999E-3</v>
      </c>
      <c r="Q64" s="28">
        <f t="shared" si="41"/>
        <v>1.2E-2</v>
      </c>
      <c r="R64" s="28">
        <f t="shared" si="41"/>
        <v>2.1000000000000001E-2</v>
      </c>
      <c r="S64" s="28">
        <f t="shared" si="41"/>
        <v>1.2999999999999999E-2</v>
      </c>
      <c r="T64" s="28">
        <f t="shared" si="41"/>
        <v>2.3E-2</v>
      </c>
      <c r="U64" s="28">
        <f t="shared" si="41"/>
        <v>1.4999999999999999E-2</v>
      </c>
      <c r="V64" s="24">
        <f t="shared" si="1"/>
        <v>2.8687015000000001E-3</v>
      </c>
      <c r="W64" s="24">
        <f t="shared" si="2"/>
        <v>2.2646684999999998E-3</v>
      </c>
      <c r="X64" s="24">
        <f t="shared" si="3"/>
        <v>2.6548164999999997E-3</v>
      </c>
      <c r="Y64" s="24">
        <f t="shared" si="4"/>
        <v>3.813019E-3</v>
      </c>
      <c r="Z64" s="24">
        <f t="shared" si="5"/>
        <v>2.9238570000000002E-3</v>
      </c>
      <c r="AB64" s="3">
        <f ca="1">IFERROR(__xludf.DUMMYFUNCTION("AVERAGE.WEIGHTED(C64:D64,$AB$25:$AC$25)"),0.00262637385999999)</f>
        <v>2.62637385999999E-3</v>
      </c>
      <c r="AC64" s="3">
        <f ca="1">IFERROR(__xludf.DUMMYFUNCTION("AVERAGE.WEIGHTED(F64:G64,$AB$25:$AC$25)"),0.0027641937)</f>
        <v>2.7641937000000001E-3</v>
      </c>
      <c r="AD64" s="3">
        <f ca="1">IFERROR(__xludf.DUMMYFUNCTION("AVERAGE.WEIGHTED(I64:J64,$AB$25:$AC$25)"),0.0034728165)</f>
        <v>3.4728164999999998E-3</v>
      </c>
    </row>
    <row r="65" spans="1:30" ht="12.75" x14ac:dyDescent="0.2">
      <c r="A65" s="1">
        <v>37</v>
      </c>
      <c r="B65" s="28">
        <f t="shared" ref="B65:U65" si="42">B$13</f>
        <v>2.5478020000000001E-3</v>
      </c>
      <c r="C65" s="28">
        <f t="shared" si="42"/>
        <v>3.1896009999999998E-3</v>
      </c>
      <c r="D65" s="28">
        <f t="shared" si="42"/>
        <v>1.8485839999999999E-3</v>
      </c>
      <c r="E65" s="28">
        <f t="shared" si="42"/>
        <v>2.6807530000000001E-3</v>
      </c>
      <c r="F65" s="28">
        <f t="shared" si="42"/>
        <v>3.338424E-3</v>
      </c>
      <c r="G65" s="28">
        <f t="shared" si="42"/>
        <v>1.9712089999999998E-3</v>
      </c>
      <c r="H65" s="28">
        <f t="shared" si="42"/>
        <v>3.3552740000000001E-3</v>
      </c>
      <c r="I65" s="28">
        <f t="shared" si="42"/>
        <v>4.2707639999999998E-3</v>
      </c>
      <c r="J65" s="28">
        <f t="shared" si="42"/>
        <v>2.3708890000000002E-3</v>
      </c>
      <c r="K65" s="28">
        <f t="shared" si="42"/>
        <v>3.4768249999999998E-3</v>
      </c>
      <c r="L65" s="28">
        <f t="shared" si="42"/>
        <v>4.2896280000000002E-3</v>
      </c>
      <c r="M65" s="28">
        <f t="shared" si="42"/>
        <v>2.5980880000000001E-3</v>
      </c>
      <c r="N65" s="28">
        <f t="shared" si="42"/>
        <v>3.85929E-3</v>
      </c>
      <c r="O65" s="28">
        <f t="shared" si="42"/>
        <v>4.616162E-3</v>
      </c>
      <c r="P65" s="28">
        <f t="shared" si="42"/>
        <v>3.0332079999999999E-3</v>
      </c>
      <c r="Q65" s="28">
        <f t="shared" si="42"/>
        <v>1.2E-2</v>
      </c>
      <c r="R65" s="28">
        <f t="shared" si="42"/>
        <v>2.1000000000000001E-2</v>
      </c>
      <c r="S65" s="28">
        <f t="shared" si="42"/>
        <v>1.2999999999999999E-2</v>
      </c>
      <c r="T65" s="28">
        <f t="shared" si="42"/>
        <v>2.3E-2</v>
      </c>
      <c r="U65" s="28">
        <f t="shared" si="42"/>
        <v>1.4999999999999999E-2</v>
      </c>
      <c r="V65" s="24">
        <f t="shared" si="1"/>
        <v>2.8687015000000001E-3</v>
      </c>
      <c r="W65" s="24">
        <f t="shared" si="2"/>
        <v>2.2646684999999998E-3</v>
      </c>
      <c r="X65" s="24">
        <f t="shared" si="3"/>
        <v>2.6548164999999997E-3</v>
      </c>
      <c r="Y65" s="24">
        <f t="shared" si="4"/>
        <v>3.813019E-3</v>
      </c>
      <c r="Z65" s="24">
        <f t="shared" si="5"/>
        <v>2.9238570000000002E-3</v>
      </c>
      <c r="AB65" s="3">
        <f ca="1">IFERROR(__xludf.DUMMYFUNCTION("AVERAGE.WEIGHTED(C65:D65,$AB$25:$AC$25)"),0.00262637385999999)</f>
        <v>2.62637385999999E-3</v>
      </c>
      <c r="AC65" s="3">
        <f ca="1">IFERROR(__xludf.DUMMYFUNCTION("AVERAGE.WEIGHTED(F65:G65,$AB$25:$AC$25)"),0.0027641937)</f>
        <v>2.7641937000000001E-3</v>
      </c>
      <c r="AD65" s="3">
        <f ca="1">IFERROR(__xludf.DUMMYFUNCTION("AVERAGE.WEIGHTED(I65:J65,$AB$25:$AC$25)"),0.0034728165)</f>
        <v>3.4728164999999998E-3</v>
      </c>
    </row>
    <row r="66" spans="1:30" ht="12.75" x14ac:dyDescent="0.2">
      <c r="A66" s="1">
        <v>38</v>
      </c>
      <c r="B66" s="28">
        <f t="shared" ref="B66:U66" si="43">B$13</f>
        <v>2.5478020000000001E-3</v>
      </c>
      <c r="C66" s="28">
        <f t="shared" si="43"/>
        <v>3.1896009999999998E-3</v>
      </c>
      <c r="D66" s="28">
        <f t="shared" si="43"/>
        <v>1.8485839999999999E-3</v>
      </c>
      <c r="E66" s="28">
        <f t="shared" si="43"/>
        <v>2.6807530000000001E-3</v>
      </c>
      <c r="F66" s="28">
        <f t="shared" si="43"/>
        <v>3.338424E-3</v>
      </c>
      <c r="G66" s="28">
        <f t="shared" si="43"/>
        <v>1.9712089999999998E-3</v>
      </c>
      <c r="H66" s="28">
        <f t="shared" si="43"/>
        <v>3.3552740000000001E-3</v>
      </c>
      <c r="I66" s="28">
        <f t="shared" si="43"/>
        <v>4.2707639999999998E-3</v>
      </c>
      <c r="J66" s="28">
        <f t="shared" si="43"/>
        <v>2.3708890000000002E-3</v>
      </c>
      <c r="K66" s="28">
        <f t="shared" si="43"/>
        <v>3.4768249999999998E-3</v>
      </c>
      <c r="L66" s="28">
        <f t="shared" si="43"/>
        <v>4.2896280000000002E-3</v>
      </c>
      <c r="M66" s="28">
        <f t="shared" si="43"/>
        <v>2.5980880000000001E-3</v>
      </c>
      <c r="N66" s="28">
        <f t="shared" si="43"/>
        <v>3.85929E-3</v>
      </c>
      <c r="O66" s="28">
        <f t="shared" si="43"/>
        <v>4.616162E-3</v>
      </c>
      <c r="P66" s="28">
        <f t="shared" si="43"/>
        <v>3.0332079999999999E-3</v>
      </c>
      <c r="Q66" s="28">
        <f t="shared" si="43"/>
        <v>1.2E-2</v>
      </c>
      <c r="R66" s="28">
        <f t="shared" si="43"/>
        <v>2.1000000000000001E-2</v>
      </c>
      <c r="S66" s="28">
        <f t="shared" si="43"/>
        <v>1.2999999999999999E-2</v>
      </c>
      <c r="T66" s="28">
        <f t="shared" si="43"/>
        <v>2.3E-2</v>
      </c>
      <c r="U66" s="28">
        <f t="shared" si="43"/>
        <v>1.4999999999999999E-2</v>
      </c>
      <c r="V66" s="24">
        <f t="shared" si="1"/>
        <v>2.8687015000000001E-3</v>
      </c>
      <c r="W66" s="24">
        <f t="shared" si="2"/>
        <v>2.2646684999999998E-3</v>
      </c>
      <c r="X66" s="24">
        <f t="shared" si="3"/>
        <v>2.6548164999999997E-3</v>
      </c>
      <c r="Y66" s="24">
        <f t="shared" si="4"/>
        <v>3.813019E-3</v>
      </c>
      <c r="Z66" s="24">
        <f t="shared" si="5"/>
        <v>2.9238570000000002E-3</v>
      </c>
      <c r="AB66" s="3">
        <f ca="1">IFERROR(__xludf.DUMMYFUNCTION("AVERAGE.WEIGHTED(C66:D66,$AB$25:$AC$25)"),0.00262637385999999)</f>
        <v>2.62637385999999E-3</v>
      </c>
      <c r="AC66" s="3">
        <f ca="1">IFERROR(__xludf.DUMMYFUNCTION("AVERAGE.WEIGHTED(F66:G66,$AB$25:$AC$25)"),0.0027641937)</f>
        <v>2.7641937000000001E-3</v>
      </c>
      <c r="AD66" s="3">
        <f ca="1">IFERROR(__xludf.DUMMYFUNCTION("AVERAGE.WEIGHTED(I66:J66,$AB$25:$AC$25)"),0.0034728165)</f>
        <v>3.4728164999999998E-3</v>
      </c>
    </row>
    <row r="67" spans="1:30" ht="12.75" x14ac:dyDescent="0.2">
      <c r="A67" s="1">
        <v>39</v>
      </c>
      <c r="B67" s="28">
        <f t="shared" ref="B67:U67" si="44">B$13</f>
        <v>2.5478020000000001E-3</v>
      </c>
      <c r="C67" s="28">
        <f t="shared" si="44"/>
        <v>3.1896009999999998E-3</v>
      </c>
      <c r="D67" s="28">
        <f t="shared" si="44"/>
        <v>1.8485839999999999E-3</v>
      </c>
      <c r="E67" s="28">
        <f t="shared" si="44"/>
        <v>2.6807530000000001E-3</v>
      </c>
      <c r="F67" s="28">
        <f t="shared" si="44"/>
        <v>3.338424E-3</v>
      </c>
      <c r="G67" s="28">
        <f t="shared" si="44"/>
        <v>1.9712089999999998E-3</v>
      </c>
      <c r="H67" s="28">
        <f t="shared" si="44"/>
        <v>3.3552740000000001E-3</v>
      </c>
      <c r="I67" s="28">
        <f t="shared" si="44"/>
        <v>4.2707639999999998E-3</v>
      </c>
      <c r="J67" s="28">
        <f t="shared" si="44"/>
        <v>2.3708890000000002E-3</v>
      </c>
      <c r="K67" s="28">
        <f t="shared" si="44"/>
        <v>3.4768249999999998E-3</v>
      </c>
      <c r="L67" s="28">
        <f t="shared" si="44"/>
        <v>4.2896280000000002E-3</v>
      </c>
      <c r="M67" s="28">
        <f t="shared" si="44"/>
        <v>2.5980880000000001E-3</v>
      </c>
      <c r="N67" s="28">
        <f t="shared" si="44"/>
        <v>3.85929E-3</v>
      </c>
      <c r="O67" s="28">
        <f t="shared" si="44"/>
        <v>4.616162E-3</v>
      </c>
      <c r="P67" s="28">
        <f t="shared" si="44"/>
        <v>3.0332079999999999E-3</v>
      </c>
      <c r="Q67" s="28">
        <f t="shared" si="44"/>
        <v>1.2E-2</v>
      </c>
      <c r="R67" s="28">
        <f t="shared" si="44"/>
        <v>2.1000000000000001E-2</v>
      </c>
      <c r="S67" s="28">
        <f t="shared" si="44"/>
        <v>1.2999999999999999E-2</v>
      </c>
      <c r="T67" s="28">
        <f t="shared" si="44"/>
        <v>2.3E-2</v>
      </c>
      <c r="U67" s="28">
        <f t="shared" si="44"/>
        <v>1.4999999999999999E-2</v>
      </c>
      <c r="V67" s="24">
        <f t="shared" si="1"/>
        <v>2.8687015000000001E-3</v>
      </c>
      <c r="W67" s="24">
        <f t="shared" si="2"/>
        <v>2.2646684999999998E-3</v>
      </c>
      <c r="X67" s="24">
        <f t="shared" si="3"/>
        <v>2.6548164999999997E-3</v>
      </c>
      <c r="Y67" s="24">
        <f t="shared" si="4"/>
        <v>3.813019E-3</v>
      </c>
      <c r="Z67" s="24">
        <f t="shared" si="5"/>
        <v>2.9238570000000002E-3</v>
      </c>
      <c r="AB67" s="3">
        <f ca="1">IFERROR(__xludf.DUMMYFUNCTION("AVERAGE.WEIGHTED(C67:D67,$AB$25:$AC$25)"),0.00262637385999999)</f>
        <v>2.62637385999999E-3</v>
      </c>
      <c r="AC67" s="3">
        <f ca="1">IFERROR(__xludf.DUMMYFUNCTION("AVERAGE.WEIGHTED(F67:G67,$AB$25:$AC$25)"),0.0027641937)</f>
        <v>2.7641937000000001E-3</v>
      </c>
      <c r="AD67" s="3">
        <f ca="1">IFERROR(__xludf.DUMMYFUNCTION("AVERAGE.WEIGHTED(I67:J67,$AB$25:$AC$25)"),0.0034728165)</f>
        <v>3.4728164999999998E-3</v>
      </c>
    </row>
    <row r="68" spans="1:30" ht="12.75" x14ac:dyDescent="0.2">
      <c r="A68" s="1">
        <v>40</v>
      </c>
      <c r="B68" s="28">
        <f t="shared" ref="B68:U68" si="45">B$14</f>
        <v>3.3589570000000001E-3</v>
      </c>
      <c r="C68" s="28">
        <f t="shared" si="45"/>
        <v>4.0587970000000003E-3</v>
      </c>
      <c r="D68" s="28">
        <f t="shared" si="45"/>
        <v>2.611712E-3</v>
      </c>
      <c r="E68" s="28">
        <f t="shared" si="45"/>
        <v>3.5372350000000001E-3</v>
      </c>
      <c r="F68" s="28">
        <f t="shared" si="45"/>
        <v>4.1506679999999997E-3</v>
      </c>
      <c r="G68" s="28">
        <f t="shared" si="45"/>
        <v>2.8836249999999999E-3</v>
      </c>
      <c r="H68" s="28">
        <f t="shared" si="45"/>
        <v>4.0449520000000001E-3</v>
      </c>
      <c r="I68" s="28">
        <f t="shared" si="45"/>
        <v>5.1582199999999998E-3</v>
      </c>
      <c r="J68" s="28">
        <f t="shared" si="45"/>
        <v>2.8524660000000001E-3</v>
      </c>
      <c r="K68" s="28">
        <f t="shared" si="45"/>
        <v>4.3467189999999998E-3</v>
      </c>
      <c r="L68" s="28">
        <f t="shared" si="45"/>
        <v>5.444806E-3</v>
      </c>
      <c r="M68" s="28">
        <f t="shared" si="45"/>
        <v>3.1590770000000002E-3</v>
      </c>
      <c r="N68" s="28">
        <f t="shared" si="45"/>
        <v>4.5882010000000001E-3</v>
      </c>
      <c r="O68" s="28">
        <f t="shared" si="45"/>
        <v>5.5293039999999996E-3</v>
      </c>
      <c r="P68" s="28">
        <f t="shared" si="45"/>
        <v>3.5589979999999998E-3</v>
      </c>
      <c r="Q68" s="28">
        <f t="shared" si="45"/>
        <v>1.4E-2</v>
      </c>
      <c r="R68" s="28">
        <f t="shared" si="45"/>
        <v>2.7E-2</v>
      </c>
      <c r="S68" s="28">
        <f t="shared" si="45"/>
        <v>1.6E-2</v>
      </c>
      <c r="T68" s="28">
        <f t="shared" si="45"/>
        <v>2.7E-2</v>
      </c>
      <c r="U68" s="28">
        <f t="shared" si="45"/>
        <v>1.7999999999999999E-2</v>
      </c>
      <c r="V68" s="24">
        <f t="shared" si="1"/>
        <v>3.7088770000000002E-3</v>
      </c>
      <c r="W68" s="24">
        <f t="shared" si="2"/>
        <v>3.0744735E-3</v>
      </c>
      <c r="X68" s="24">
        <f t="shared" si="3"/>
        <v>3.5171464999999998E-3</v>
      </c>
      <c r="Y68" s="24">
        <f t="shared" si="4"/>
        <v>4.6015859999999995E-3</v>
      </c>
      <c r="Z68" s="24">
        <f t="shared" si="5"/>
        <v>3.5995925000000002E-3</v>
      </c>
      <c r="AB68" s="3">
        <f ca="1">IFERROR(__xludf.DUMMYFUNCTION("AVERAGE.WEIGHTED(C68:D68,$AB$25:$AC$25)"),0.0034510213)</f>
        <v>3.4510213E-3</v>
      </c>
      <c r="AC68" s="3">
        <f ca="1">IFERROR(__xludf.DUMMYFUNCTION("AVERAGE.WEIGHTED(F68:G68,$AB$25:$AC$25)"),0.00361850994)</f>
        <v>3.6185099399999999E-3</v>
      </c>
      <c r="AD68" s="3">
        <f ca="1">IFERROR(__xludf.DUMMYFUNCTION("AVERAGE.WEIGHTED(I68:J68,$AB$25:$AC$25)"),0.00418980332)</f>
        <v>4.1898033200000002E-3</v>
      </c>
    </row>
    <row r="69" spans="1:30" ht="12.75" x14ac:dyDescent="0.2">
      <c r="A69" s="1">
        <v>41</v>
      </c>
      <c r="B69" s="28">
        <f t="shared" ref="B69:U69" si="46">B$14</f>
        <v>3.3589570000000001E-3</v>
      </c>
      <c r="C69" s="28">
        <f t="shared" si="46"/>
        <v>4.0587970000000003E-3</v>
      </c>
      <c r="D69" s="28">
        <f t="shared" si="46"/>
        <v>2.611712E-3</v>
      </c>
      <c r="E69" s="28">
        <f t="shared" si="46"/>
        <v>3.5372350000000001E-3</v>
      </c>
      <c r="F69" s="28">
        <f t="shared" si="46"/>
        <v>4.1506679999999997E-3</v>
      </c>
      <c r="G69" s="28">
        <f t="shared" si="46"/>
        <v>2.8836249999999999E-3</v>
      </c>
      <c r="H69" s="28">
        <f t="shared" si="46"/>
        <v>4.0449520000000001E-3</v>
      </c>
      <c r="I69" s="28">
        <f t="shared" si="46"/>
        <v>5.1582199999999998E-3</v>
      </c>
      <c r="J69" s="28">
        <f t="shared" si="46"/>
        <v>2.8524660000000001E-3</v>
      </c>
      <c r="K69" s="28">
        <f t="shared" si="46"/>
        <v>4.3467189999999998E-3</v>
      </c>
      <c r="L69" s="28">
        <f t="shared" si="46"/>
        <v>5.444806E-3</v>
      </c>
      <c r="M69" s="28">
        <f t="shared" si="46"/>
        <v>3.1590770000000002E-3</v>
      </c>
      <c r="N69" s="28">
        <f t="shared" si="46"/>
        <v>4.5882010000000001E-3</v>
      </c>
      <c r="O69" s="28">
        <f t="shared" si="46"/>
        <v>5.5293039999999996E-3</v>
      </c>
      <c r="P69" s="28">
        <f t="shared" si="46"/>
        <v>3.5589979999999998E-3</v>
      </c>
      <c r="Q69" s="28">
        <f t="shared" si="46"/>
        <v>1.4E-2</v>
      </c>
      <c r="R69" s="28">
        <f t="shared" si="46"/>
        <v>2.7E-2</v>
      </c>
      <c r="S69" s="28">
        <f t="shared" si="46"/>
        <v>1.6E-2</v>
      </c>
      <c r="T69" s="28">
        <f t="shared" si="46"/>
        <v>2.7E-2</v>
      </c>
      <c r="U69" s="28">
        <f t="shared" si="46"/>
        <v>1.7999999999999999E-2</v>
      </c>
      <c r="V69" s="24">
        <f t="shared" si="1"/>
        <v>3.7088770000000002E-3</v>
      </c>
      <c r="W69" s="24">
        <f t="shared" si="2"/>
        <v>3.0744735E-3</v>
      </c>
      <c r="X69" s="24">
        <f t="shared" si="3"/>
        <v>3.5171464999999998E-3</v>
      </c>
      <c r="Y69" s="24">
        <f t="shared" si="4"/>
        <v>4.6015859999999995E-3</v>
      </c>
      <c r="Z69" s="24">
        <f t="shared" si="5"/>
        <v>3.5995925000000002E-3</v>
      </c>
      <c r="AB69" s="3">
        <f ca="1">IFERROR(__xludf.DUMMYFUNCTION("AVERAGE.WEIGHTED(C69:D69,$AB$25:$AC$25)"),0.0034510213)</f>
        <v>3.4510213E-3</v>
      </c>
      <c r="AC69" s="3">
        <f ca="1">IFERROR(__xludf.DUMMYFUNCTION("AVERAGE.WEIGHTED(F69:G69,$AB$25:$AC$25)"),0.00361850994)</f>
        <v>3.6185099399999999E-3</v>
      </c>
      <c r="AD69" s="3">
        <f ca="1">IFERROR(__xludf.DUMMYFUNCTION("AVERAGE.WEIGHTED(I69:J69,$AB$25:$AC$25)"),0.00418980332)</f>
        <v>4.1898033200000002E-3</v>
      </c>
    </row>
    <row r="70" spans="1:30" ht="12.75" x14ac:dyDescent="0.2">
      <c r="A70" s="1">
        <v>42</v>
      </c>
      <c r="B70" s="28">
        <f t="shared" ref="B70:U70" si="47">B$14</f>
        <v>3.3589570000000001E-3</v>
      </c>
      <c r="C70" s="28">
        <f t="shared" si="47"/>
        <v>4.0587970000000003E-3</v>
      </c>
      <c r="D70" s="28">
        <f t="shared" si="47"/>
        <v>2.611712E-3</v>
      </c>
      <c r="E70" s="28">
        <f t="shared" si="47"/>
        <v>3.5372350000000001E-3</v>
      </c>
      <c r="F70" s="28">
        <f t="shared" si="47"/>
        <v>4.1506679999999997E-3</v>
      </c>
      <c r="G70" s="28">
        <f t="shared" si="47"/>
        <v>2.8836249999999999E-3</v>
      </c>
      <c r="H70" s="28">
        <f t="shared" si="47"/>
        <v>4.0449520000000001E-3</v>
      </c>
      <c r="I70" s="28">
        <f t="shared" si="47"/>
        <v>5.1582199999999998E-3</v>
      </c>
      <c r="J70" s="28">
        <f t="shared" si="47"/>
        <v>2.8524660000000001E-3</v>
      </c>
      <c r="K70" s="28">
        <f t="shared" si="47"/>
        <v>4.3467189999999998E-3</v>
      </c>
      <c r="L70" s="28">
        <f t="shared" si="47"/>
        <v>5.444806E-3</v>
      </c>
      <c r="M70" s="28">
        <f t="shared" si="47"/>
        <v>3.1590770000000002E-3</v>
      </c>
      <c r="N70" s="28">
        <f t="shared" si="47"/>
        <v>4.5882010000000001E-3</v>
      </c>
      <c r="O70" s="28">
        <f t="shared" si="47"/>
        <v>5.5293039999999996E-3</v>
      </c>
      <c r="P70" s="28">
        <f t="shared" si="47"/>
        <v>3.5589979999999998E-3</v>
      </c>
      <c r="Q70" s="28">
        <f t="shared" si="47"/>
        <v>1.4E-2</v>
      </c>
      <c r="R70" s="28">
        <f t="shared" si="47"/>
        <v>2.7E-2</v>
      </c>
      <c r="S70" s="28">
        <f t="shared" si="47"/>
        <v>1.6E-2</v>
      </c>
      <c r="T70" s="28">
        <f t="shared" si="47"/>
        <v>2.7E-2</v>
      </c>
      <c r="U70" s="28">
        <f t="shared" si="47"/>
        <v>1.7999999999999999E-2</v>
      </c>
      <c r="V70" s="24">
        <f t="shared" si="1"/>
        <v>3.7088770000000002E-3</v>
      </c>
      <c r="W70" s="24">
        <f t="shared" si="2"/>
        <v>3.0744735E-3</v>
      </c>
      <c r="X70" s="24">
        <f t="shared" si="3"/>
        <v>3.5171464999999998E-3</v>
      </c>
      <c r="Y70" s="24">
        <f t="shared" si="4"/>
        <v>4.6015859999999995E-3</v>
      </c>
      <c r="Z70" s="24">
        <f t="shared" si="5"/>
        <v>3.5995925000000002E-3</v>
      </c>
      <c r="AB70" s="3">
        <f ca="1">IFERROR(__xludf.DUMMYFUNCTION("AVERAGE.WEIGHTED(C70:D70,$AB$25:$AC$25)"),0.0034510213)</f>
        <v>3.4510213E-3</v>
      </c>
      <c r="AC70" s="3">
        <f ca="1">IFERROR(__xludf.DUMMYFUNCTION("AVERAGE.WEIGHTED(F70:G70,$AB$25:$AC$25)"),0.00361850994)</f>
        <v>3.6185099399999999E-3</v>
      </c>
      <c r="AD70" s="3">
        <f ca="1">IFERROR(__xludf.DUMMYFUNCTION("AVERAGE.WEIGHTED(I70:J70,$AB$25:$AC$25)"),0.00418980332)</f>
        <v>4.1898033200000002E-3</v>
      </c>
    </row>
    <row r="71" spans="1:30" ht="12.75" x14ac:dyDescent="0.2">
      <c r="A71" s="1">
        <v>43</v>
      </c>
      <c r="B71" s="28">
        <f t="shared" ref="B71:U71" si="48">B$14</f>
        <v>3.3589570000000001E-3</v>
      </c>
      <c r="C71" s="28">
        <f t="shared" si="48"/>
        <v>4.0587970000000003E-3</v>
      </c>
      <c r="D71" s="28">
        <f t="shared" si="48"/>
        <v>2.611712E-3</v>
      </c>
      <c r="E71" s="28">
        <f t="shared" si="48"/>
        <v>3.5372350000000001E-3</v>
      </c>
      <c r="F71" s="28">
        <f t="shared" si="48"/>
        <v>4.1506679999999997E-3</v>
      </c>
      <c r="G71" s="28">
        <f t="shared" si="48"/>
        <v>2.8836249999999999E-3</v>
      </c>
      <c r="H71" s="28">
        <f t="shared" si="48"/>
        <v>4.0449520000000001E-3</v>
      </c>
      <c r="I71" s="28">
        <f t="shared" si="48"/>
        <v>5.1582199999999998E-3</v>
      </c>
      <c r="J71" s="28">
        <f t="shared" si="48"/>
        <v>2.8524660000000001E-3</v>
      </c>
      <c r="K71" s="28">
        <f t="shared" si="48"/>
        <v>4.3467189999999998E-3</v>
      </c>
      <c r="L71" s="28">
        <f t="shared" si="48"/>
        <v>5.444806E-3</v>
      </c>
      <c r="M71" s="28">
        <f t="shared" si="48"/>
        <v>3.1590770000000002E-3</v>
      </c>
      <c r="N71" s="28">
        <f t="shared" si="48"/>
        <v>4.5882010000000001E-3</v>
      </c>
      <c r="O71" s="28">
        <f t="shared" si="48"/>
        <v>5.5293039999999996E-3</v>
      </c>
      <c r="P71" s="28">
        <f t="shared" si="48"/>
        <v>3.5589979999999998E-3</v>
      </c>
      <c r="Q71" s="28">
        <f t="shared" si="48"/>
        <v>1.4E-2</v>
      </c>
      <c r="R71" s="28">
        <f t="shared" si="48"/>
        <v>2.7E-2</v>
      </c>
      <c r="S71" s="28">
        <f t="shared" si="48"/>
        <v>1.6E-2</v>
      </c>
      <c r="T71" s="28">
        <f t="shared" si="48"/>
        <v>2.7E-2</v>
      </c>
      <c r="U71" s="28">
        <f t="shared" si="48"/>
        <v>1.7999999999999999E-2</v>
      </c>
      <c r="V71" s="24">
        <f t="shared" si="1"/>
        <v>3.7088770000000002E-3</v>
      </c>
      <c r="W71" s="24">
        <f t="shared" si="2"/>
        <v>3.0744735E-3</v>
      </c>
      <c r="X71" s="24">
        <f t="shared" si="3"/>
        <v>3.5171464999999998E-3</v>
      </c>
      <c r="Y71" s="24">
        <f t="shared" si="4"/>
        <v>4.6015859999999995E-3</v>
      </c>
      <c r="Z71" s="24">
        <f t="shared" si="5"/>
        <v>3.5995925000000002E-3</v>
      </c>
      <c r="AB71" s="3">
        <f ca="1">IFERROR(__xludf.DUMMYFUNCTION("AVERAGE.WEIGHTED(C71:D71,$AB$25:$AC$25)"),0.0034510213)</f>
        <v>3.4510213E-3</v>
      </c>
      <c r="AC71" s="3">
        <f ca="1">IFERROR(__xludf.DUMMYFUNCTION("AVERAGE.WEIGHTED(F71:G71,$AB$25:$AC$25)"),0.00361850994)</f>
        <v>3.6185099399999999E-3</v>
      </c>
      <c r="AD71" s="3">
        <f ca="1">IFERROR(__xludf.DUMMYFUNCTION("AVERAGE.WEIGHTED(I71:J71,$AB$25:$AC$25)"),0.00418980332)</f>
        <v>4.1898033200000002E-3</v>
      </c>
    </row>
    <row r="72" spans="1:30" ht="12.75" x14ac:dyDescent="0.2">
      <c r="A72" s="1">
        <v>44</v>
      </c>
      <c r="B72" s="28">
        <f t="shared" ref="B72:U72" si="49">B$14</f>
        <v>3.3589570000000001E-3</v>
      </c>
      <c r="C72" s="28">
        <f t="shared" si="49"/>
        <v>4.0587970000000003E-3</v>
      </c>
      <c r="D72" s="28">
        <f t="shared" si="49"/>
        <v>2.611712E-3</v>
      </c>
      <c r="E72" s="28">
        <f t="shared" si="49"/>
        <v>3.5372350000000001E-3</v>
      </c>
      <c r="F72" s="28">
        <f t="shared" si="49"/>
        <v>4.1506679999999997E-3</v>
      </c>
      <c r="G72" s="28">
        <f t="shared" si="49"/>
        <v>2.8836249999999999E-3</v>
      </c>
      <c r="H72" s="28">
        <f t="shared" si="49"/>
        <v>4.0449520000000001E-3</v>
      </c>
      <c r="I72" s="28">
        <f t="shared" si="49"/>
        <v>5.1582199999999998E-3</v>
      </c>
      <c r="J72" s="28">
        <f t="shared" si="49"/>
        <v>2.8524660000000001E-3</v>
      </c>
      <c r="K72" s="28">
        <f t="shared" si="49"/>
        <v>4.3467189999999998E-3</v>
      </c>
      <c r="L72" s="28">
        <f t="shared" si="49"/>
        <v>5.444806E-3</v>
      </c>
      <c r="M72" s="28">
        <f t="shared" si="49"/>
        <v>3.1590770000000002E-3</v>
      </c>
      <c r="N72" s="28">
        <f t="shared" si="49"/>
        <v>4.5882010000000001E-3</v>
      </c>
      <c r="O72" s="28">
        <f t="shared" si="49"/>
        <v>5.5293039999999996E-3</v>
      </c>
      <c r="P72" s="28">
        <f t="shared" si="49"/>
        <v>3.5589979999999998E-3</v>
      </c>
      <c r="Q72" s="28">
        <f t="shared" si="49"/>
        <v>1.4E-2</v>
      </c>
      <c r="R72" s="28">
        <f t="shared" si="49"/>
        <v>2.7E-2</v>
      </c>
      <c r="S72" s="28">
        <f t="shared" si="49"/>
        <v>1.6E-2</v>
      </c>
      <c r="T72" s="28">
        <f t="shared" si="49"/>
        <v>2.7E-2</v>
      </c>
      <c r="U72" s="28">
        <f t="shared" si="49"/>
        <v>1.7999999999999999E-2</v>
      </c>
      <c r="V72" s="24">
        <f t="shared" si="1"/>
        <v>3.7088770000000002E-3</v>
      </c>
      <c r="W72" s="24">
        <f t="shared" si="2"/>
        <v>3.0744735E-3</v>
      </c>
      <c r="X72" s="24">
        <f t="shared" si="3"/>
        <v>3.5171464999999998E-3</v>
      </c>
      <c r="Y72" s="24">
        <f t="shared" si="4"/>
        <v>4.6015859999999995E-3</v>
      </c>
      <c r="Z72" s="24">
        <f t="shared" si="5"/>
        <v>3.5995925000000002E-3</v>
      </c>
      <c r="AB72" s="3">
        <f ca="1">IFERROR(__xludf.DUMMYFUNCTION("AVERAGE.WEIGHTED(C72:D72,$AB$25:$AC$25)"),0.0034510213)</f>
        <v>3.4510213E-3</v>
      </c>
      <c r="AC72" s="3">
        <f ca="1">IFERROR(__xludf.DUMMYFUNCTION("AVERAGE.WEIGHTED(F72:G72,$AB$25:$AC$25)"),0.00361850994)</f>
        <v>3.6185099399999999E-3</v>
      </c>
      <c r="AD72" s="3">
        <f ca="1">IFERROR(__xludf.DUMMYFUNCTION("AVERAGE.WEIGHTED(I72:J72,$AB$25:$AC$25)"),0.00418980332)</f>
        <v>4.1898033200000002E-3</v>
      </c>
    </row>
    <row r="73" spans="1:30" ht="12.75" x14ac:dyDescent="0.2">
      <c r="A73" s="1">
        <v>45</v>
      </c>
      <c r="B73" s="28">
        <f t="shared" ref="B73:U73" si="50">B$15</f>
        <v>4.7905020000000003E-3</v>
      </c>
      <c r="C73" s="28">
        <f t="shared" si="50"/>
        <v>5.9774629999999997E-3</v>
      </c>
      <c r="D73" s="28">
        <f t="shared" si="50"/>
        <v>3.5395130000000002E-3</v>
      </c>
      <c r="E73" s="28">
        <f t="shared" si="50"/>
        <v>5.1281770000000003E-3</v>
      </c>
      <c r="F73" s="28">
        <f t="shared" si="50"/>
        <v>6.379577E-3</v>
      </c>
      <c r="G73" s="28">
        <f t="shared" si="50"/>
        <v>3.803683E-3</v>
      </c>
      <c r="H73" s="28">
        <f t="shared" si="50"/>
        <v>5.9166399999999999E-3</v>
      </c>
      <c r="I73" s="28">
        <f t="shared" si="50"/>
        <v>7.3087940000000004E-3</v>
      </c>
      <c r="J73" s="28">
        <f t="shared" si="50"/>
        <v>4.4291310000000002E-3</v>
      </c>
      <c r="K73" s="28">
        <f t="shared" si="50"/>
        <v>5.9533099999999999E-3</v>
      </c>
      <c r="L73" s="28">
        <f t="shared" si="50"/>
        <v>7.3052990000000003E-3</v>
      </c>
      <c r="M73" s="28">
        <f t="shared" si="50"/>
        <v>4.4931930000000004E-3</v>
      </c>
      <c r="N73" s="28">
        <f t="shared" si="50"/>
        <v>6.6729210000000001E-3</v>
      </c>
      <c r="O73" s="28">
        <f t="shared" si="50"/>
        <v>8.0825480000000002E-3</v>
      </c>
      <c r="P73" s="28">
        <f t="shared" si="50"/>
        <v>5.1366579999999997E-3</v>
      </c>
      <c r="Q73" s="28">
        <f t="shared" si="50"/>
        <v>2.1999999999999999E-2</v>
      </c>
      <c r="R73" s="28">
        <f t="shared" si="50"/>
        <v>3.5999999999999997E-2</v>
      </c>
      <c r="S73" s="28">
        <f t="shared" si="50"/>
        <v>2.1999999999999999E-2</v>
      </c>
      <c r="T73" s="28">
        <f t="shared" si="50"/>
        <v>0.04</v>
      </c>
      <c r="U73" s="28">
        <f t="shared" si="50"/>
        <v>2.5000000000000001E-2</v>
      </c>
      <c r="V73" s="24">
        <f t="shared" si="1"/>
        <v>5.3839825000000004E-3</v>
      </c>
      <c r="W73" s="24">
        <f t="shared" si="2"/>
        <v>4.3338450000000002E-3</v>
      </c>
      <c r="X73" s="24">
        <f t="shared" si="3"/>
        <v>5.0916299999999998E-3</v>
      </c>
      <c r="Y73" s="24">
        <f t="shared" si="4"/>
        <v>6.6127170000000006E-3</v>
      </c>
      <c r="Z73" s="24">
        <f t="shared" si="5"/>
        <v>5.1912204999999996E-3</v>
      </c>
      <c r="AB73" s="3">
        <f ca="1">IFERROR(__xludf.DUMMYFUNCTION("AVERAGE.WEIGHTED(C73:D73,$AB$25:$AC$25)"),0.004953524)</f>
        <v>4.9535239999999999E-3</v>
      </c>
      <c r="AC73" s="3">
        <f ca="1">IFERROR(__xludf.DUMMYFUNCTION("AVERAGE.WEIGHTED(F73:G73,$AB$25:$AC$25)"),0.00529770152)</f>
        <v>5.2977015199999998E-3</v>
      </c>
      <c r="AD73" s="3">
        <f ca="1">IFERROR(__xludf.DUMMYFUNCTION("AVERAGE.WEIGHTED(I73:J73,$AB$25:$AC$25)"),0.00609933554)</f>
        <v>6.0993355399999996E-3</v>
      </c>
    </row>
    <row r="74" spans="1:30" ht="12.75" x14ac:dyDescent="0.2">
      <c r="A74" s="1">
        <v>46</v>
      </c>
      <c r="B74" s="28">
        <f t="shared" ref="B74:U74" si="51">B$15</f>
        <v>4.7905020000000003E-3</v>
      </c>
      <c r="C74" s="28">
        <f t="shared" si="51"/>
        <v>5.9774629999999997E-3</v>
      </c>
      <c r="D74" s="28">
        <f t="shared" si="51"/>
        <v>3.5395130000000002E-3</v>
      </c>
      <c r="E74" s="28">
        <f t="shared" si="51"/>
        <v>5.1281770000000003E-3</v>
      </c>
      <c r="F74" s="28">
        <f t="shared" si="51"/>
        <v>6.379577E-3</v>
      </c>
      <c r="G74" s="28">
        <f t="shared" si="51"/>
        <v>3.803683E-3</v>
      </c>
      <c r="H74" s="28">
        <f t="shared" si="51"/>
        <v>5.9166399999999999E-3</v>
      </c>
      <c r="I74" s="28">
        <f t="shared" si="51"/>
        <v>7.3087940000000004E-3</v>
      </c>
      <c r="J74" s="28">
        <f t="shared" si="51"/>
        <v>4.4291310000000002E-3</v>
      </c>
      <c r="K74" s="28">
        <f t="shared" si="51"/>
        <v>5.9533099999999999E-3</v>
      </c>
      <c r="L74" s="28">
        <f t="shared" si="51"/>
        <v>7.3052990000000003E-3</v>
      </c>
      <c r="M74" s="28">
        <f t="shared" si="51"/>
        <v>4.4931930000000004E-3</v>
      </c>
      <c r="N74" s="28">
        <f t="shared" si="51"/>
        <v>6.6729210000000001E-3</v>
      </c>
      <c r="O74" s="28">
        <f t="shared" si="51"/>
        <v>8.0825480000000002E-3</v>
      </c>
      <c r="P74" s="28">
        <f t="shared" si="51"/>
        <v>5.1366579999999997E-3</v>
      </c>
      <c r="Q74" s="28">
        <f t="shared" si="51"/>
        <v>2.1999999999999999E-2</v>
      </c>
      <c r="R74" s="28">
        <f t="shared" si="51"/>
        <v>3.5999999999999997E-2</v>
      </c>
      <c r="S74" s="28">
        <f t="shared" si="51"/>
        <v>2.1999999999999999E-2</v>
      </c>
      <c r="T74" s="28">
        <f t="shared" si="51"/>
        <v>0.04</v>
      </c>
      <c r="U74" s="28">
        <f t="shared" si="51"/>
        <v>2.5000000000000001E-2</v>
      </c>
      <c r="V74" s="24">
        <f t="shared" si="1"/>
        <v>5.3839825000000004E-3</v>
      </c>
      <c r="W74" s="24">
        <f t="shared" si="2"/>
        <v>4.3338450000000002E-3</v>
      </c>
      <c r="X74" s="24">
        <f t="shared" si="3"/>
        <v>5.0916299999999998E-3</v>
      </c>
      <c r="Y74" s="24">
        <f t="shared" si="4"/>
        <v>6.6127170000000006E-3</v>
      </c>
      <c r="Z74" s="24">
        <f t="shared" si="5"/>
        <v>5.1912204999999996E-3</v>
      </c>
      <c r="AB74" s="3">
        <f ca="1">IFERROR(__xludf.DUMMYFUNCTION("AVERAGE.WEIGHTED(C74:D74,$AB$25:$AC$25)"),0.004953524)</f>
        <v>4.9535239999999999E-3</v>
      </c>
      <c r="AC74" s="3">
        <f ca="1">IFERROR(__xludf.DUMMYFUNCTION("AVERAGE.WEIGHTED(F74:G74,$AB$25:$AC$25)"),0.00529770152)</f>
        <v>5.2977015199999998E-3</v>
      </c>
      <c r="AD74" s="3">
        <f ca="1">IFERROR(__xludf.DUMMYFUNCTION("AVERAGE.WEIGHTED(I74:J74,$AB$25:$AC$25)"),0.00609933554)</f>
        <v>6.0993355399999996E-3</v>
      </c>
    </row>
    <row r="75" spans="1:30" ht="12.75" x14ac:dyDescent="0.2">
      <c r="A75" s="1">
        <v>47</v>
      </c>
      <c r="B75" s="28">
        <f t="shared" ref="B75:U75" si="52">B$15</f>
        <v>4.7905020000000003E-3</v>
      </c>
      <c r="C75" s="28">
        <f t="shared" si="52"/>
        <v>5.9774629999999997E-3</v>
      </c>
      <c r="D75" s="28">
        <f t="shared" si="52"/>
        <v>3.5395130000000002E-3</v>
      </c>
      <c r="E75" s="28">
        <f t="shared" si="52"/>
        <v>5.1281770000000003E-3</v>
      </c>
      <c r="F75" s="28">
        <f t="shared" si="52"/>
        <v>6.379577E-3</v>
      </c>
      <c r="G75" s="28">
        <f t="shared" si="52"/>
        <v>3.803683E-3</v>
      </c>
      <c r="H75" s="28">
        <f t="shared" si="52"/>
        <v>5.9166399999999999E-3</v>
      </c>
      <c r="I75" s="28">
        <f t="shared" si="52"/>
        <v>7.3087940000000004E-3</v>
      </c>
      <c r="J75" s="28">
        <f t="shared" si="52"/>
        <v>4.4291310000000002E-3</v>
      </c>
      <c r="K75" s="28">
        <f t="shared" si="52"/>
        <v>5.9533099999999999E-3</v>
      </c>
      <c r="L75" s="28">
        <f t="shared" si="52"/>
        <v>7.3052990000000003E-3</v>
      </c>
      <c r="M75" s="28">
        <f t="shared" si="52"/>
        <v>4.4931930000000004E-3</v>
      </c>
      <c r="N75" s="28">
        <f t="shared" si="52"/>
        <v>6.6729210000000001E-3</v>
      </c>
      <c r="O75" s="28">
        <f t="shared" si="52"/>
        <v>8.0825480000000002E-3</v>
      </c>
      <c r="P75" s="28">
        <f t="shared" si="52"/>
        <v>5.1366579999999997E-3</v>
      </c>
      <c r="Q75" s="28">
        <f t="shared" si="52"/>
        <v>2.1999999999999999E-2</v>
      </c>
      <c r="R75" s="28">
        <f t="shared" si="52"/>
        <v>3.5999999999999997E-2</v>
      </c>
      <c r="S75" s="28">
        <f t="shared" si="52"/>
        <v>2.1999999999999999E-2</v>
      </c>
      <c r="T75" s="28">
        <f t="shared" si="52"/>
        <v>0.04</v>
      </c>
      <c r="U75" s="28">
        <f t="shared" si="52"/>
        <v>2.5000000000000001E-2</v>
      </c>
      <c r="V75" s="24">
        <f t="shared" si="1"/>
        <v>5.3839825000000004E-3</v>
      </c>
      <c r="W75" s="24">
        <f t="shared" si="2"/>
        <v>4.3338450000000002E-3</v>
      </c>
      <c r="X75" s="24">
        <f t="shared" si="3"/>
        <v>5.0916299999999998E-3</v>
      </c>
      <c r="Y75" s="24">
        <f t="shared" si="4"/>
        <v>6.6127170000000006E-3</v>
      </c>
      <c r="Z75" s="24">
        <f t="shared" si="5"/>
        <v>5.1912204999999996E-3</v>
      </c>
      <c r="AB75" s="3">
        <f ca="1">IFERROR(__xludf.DUMMYFUNCTION("AVERAGE.WEIGHTED(C75:D75,$AB$25:$AC$25)"),0.004953524)</f>
        <v>4.9535239999999999E-3</v>
      </c>
      <c r="AC75" s="3">
        <f ca="1">IFERROR(__xludf.DUMMYFUNCTION("AVERAGE.WEIGHTED(F75:G75,$AB$25:$AC$25)"),0.00529770152)</f>
        <v>5.2977015199999998E-3</v>
      </c>
      <c r="AD75" s="3">
        <f ca="1">IFERROR(__xludf.DUMMYFUNCTION("AVERAGE.WEIGHTED(I75:J75,$AB$25:$AC$25)"),0.00609933554)</f>
        <v>6.0993355399999996E-3</v>
      </c>
    </row>
    <row r="76" spans="1:30" ht="12.75" x14ac:dyDescent="0.2">
      <c r="A76" s="1">
        <v>48</v>
      </c>
      <c r="B76" s="28">
        <f t="shared" ref="B76:U76" si="53">B$15</f>
        <v>4.7905020000000003E-3</v>
      </c>
      <c r="C76" s="28">
        <f t="shared" si="53"/>
        <v>5.9774629999999997E-3</v>
      </c>
      <c r="D76" s="28">
        <f t="shared" si="53"/>
        <v>3.5395130000000002E-3</v>
      </c>
      <c r="E76" s="28">
        <f t="shared" si="53"/>
        <v>5.1281770000000003E-3</v>
      </c>
      <c r="F76" s="28">
        <f t="shared" si="53"/>
        <v>6.379577E-3</v>
      </c>
      <c r="G76" s="28">
        <f t="shared" si="53"/>
        <v>3.803683E-3</v>
      </c>
      <c r="H76" s="28">
        <f t="shared" si="53"/>
        <v>5.9166399999999999E-3</v>
      </c>
      <c r="I76" s="28">
        <f t="shared" si="53"/>
        <v>7.3087940000000004E-3</v>
      </c>
      <c r="J76" s="28">
        <f t="shared" si="53"/>
        <v>4.4291310000000002E-3</v>
      </c>
      <c r="K76" s="28">
        <f t="shared" si="53"/>
        <v>5.9533099999999999E-3</v>
      </c>
      <c r="L76" s="28">
        <f t="shared" si="53"/>
        <v>7.3052990000000003E-3</v>
      </c>
      <c r="M76" s="28">
        <f t="shared" si="53"/>
        <v>4.4931930000000004E-3</v>
      </c>
      <c r="N76" s="28">
        <f t="shared" si="53"/>
        <v>6.6729210000000001E-3</v>
      </c>
      <c r="O76" s="28">
        <f t="shared" si="53"/>
        <v>8.0825480000000002E-3</v>
      </c>
      <c r="P76" s="28">
        <f t="shared" si="53"/>
        <v>5.1366579999999997E-3</v>
      </c>
      <c r="Q76" s="28">
        <f t="shared" si="53"/>
        <v>2.1999999999999999E-2</v>
      </c>
      <c r="R76" s="28">
        <f t="shared" si="53"/>
        <v>3.5999999999999997E-2</v>
      </c>
      <c r="S76" s="28">
        <f t="shared" si="53"/>
        <v>2.1999999999999999E-2</v>
      </c>
      <c r="T76" s="28">
        <f t="shared" si="53"/>
        <v>0.04</v>
      </c>
      <c r="U76" s="28">
        <f t="shared" si="53"/>
        <v>2.5000000000000001E-2</v>
      </c>
      <c r="V76" s="24">
        <f t="shared" si="1"/>
        <v>5.3839825000000004E-3</v>
      </c>
      <c r="W76" s="24">
        <f t="shared" si="2"/>
        <v>4.3338450000000002E-3</v>
      </c>
      <c r="X76" s="24">
        <f t="shared" si="3"/>
        <v>5.0916299999999998E-3</v>
      </c>
      <c r="Y76" s="24">
        <f t="shared" si="4"/>
        <v>6.6127170000000006E-3</v>
      </c>
      <c r="Z76" s="24">
        <f t="shared" si="5"/>
        <v>5.1912204999999996E-3</v>
      </c>
      <c r="AB76" s="3">
        <f ca="1">IFERROR(__xludf.DUMMYFUNCTION("AVERAGE.WEIGHTED(C76:D76,$AB$25:$AC$25)"),0.004953524)</f>
        <v>4.9535239999999999E-3</v>
      </c>
      <c r="AC76" s="3">
        <f ca="1">IFERROR(__xludf.DUMMYFUNCTION("AVERAGE.WEIGHTED(F76:G76,$AB$25:$AC$25)"),0.00529770152)</f>
        <v>5.2977015199999998E-3</v>
      </c>
      <c r="AD76" s="3">
        <f ca="1">IFERROR(__xludf.DUMMYFUNCTION("AVERAGE.WEIGHTED(I76:J76,$AB$25:$AC$25)"),0.00609933554)</f>
        <v>6.0993355399999996E-3</v>
      </c>
    </row>
    <row r="77" spans="1:30" ht="12.75" x14ac:dyDescent="0.2">
      <c r="A77" s="1">
        <v>49</v>
      </c>
      <c r="B77" s="28">
        <f t="shared" ref="B77:U77" si="54">B$15</f>
        <v>4.7905020000000003E-3</v>
      </c>
      <c r="C77" s="28">
        <f t="shared" si="54"/>
        <v>5.9774629999999997E-3</v>
      </c>
      <c r="D77" s="28">
        <f t="shared" si="54"/>
        <v>3.5395130000000002E-3</v>
      </c>
      <c r="E77" s="28">
        <f t="shared" si="54"/>
        <v>5.1281770000000003E-3</v>
      </c>
      <c r="F77" s="28">
        <f t="shared" si="54"/>
        <v>6.379577E-3</v>
      </c>
      <c r="G77" s="28">
        <f t="shared" si="54"/>
        <v>3.803683E-3</v>
      </c>
      <c r="H77" s="28">
        <f t="shared" si="54"/>
        <v>5.9166399999999999E-3</v>
      </c>
      <c r="I77" s="28">
        <f t="shared" si="54"/>
        <v>7.3087940000000004E-3</v>
      </c>
      <c r="J77" s="28">
        <f t="shared" si="54"/>
        <v>4.4291310000000002E-3</v>
      </c>
      <c r="K77" s="28">
        <f t="shared" si="54"/>
        <v>5.9533099999999999E-3</v>
      </c>
      <c r="L77" s="28">
        <f t="shared" si="54"/>
        <v>7.3052990000000003E-3</v>
      </c>
      <c r="M77" s="28">
        <f t="shared" si="54"/>
        <v>4.4931930000000004E-3</v>
      </c>
      <c r="N77" s="28">
        <f t="shared" si="54"/>
        <v>6.6729210000000001E-3</v>
      </c>
      <c r="O77" s="28">
        <f t="shared" si="54"/>
        <v>8.0825480000000002E-3</v>
      </c>
      <c r="P77" s="28">
        <f t="shared" si="54"/>
        <v>5.1366579999999997E-3</v>
      </c>
      <c r="Q77" s="28">
        <f t="shared" si="54"/>
        <v>2.1999999999999999E-2</v>
      </c>
      <c r="R77" s="28">
        <f t="shared" si="54"/>
        <v>3.5999999999999997E-2</v>
      </c>
      <c r="S77" s="28">
        <f t="shared" si="54"/>
        <v>2.1999999999999999E-2</v>
      </c>
      <c r="T77" s="28">
        <f t="shared" si="54"/>
        <v>0.04</v>
      </c>
      <c r="U77" s="28">
        <f t="shared" si="54"/>
        <v>2.5000000000000001E-2</v>
      </c>
      <c r="V77" s="24">
        <f t="shared" si="1"/>
        <v>5.3839825000000004E-3</v>
      </c>
      <c r="W77" s="24">
        <f t="shared" si="2"/>
        <v>4.3338450000000002E-3</v>
      </c>
      <c r="X77" s="24">
        <f t="shared" si="3"/>
        <v>5.0916299999999998E-3</v>
      </c>
      <c r="Y77" s="24">
        <f t="shared" si="4"/>
        <v>6.6127170000000006E-3</v>
      </c>
      <c r="Z77" s="24">
        <f t="shared" si="5"/>
        <v>5.1912204999999996E-3</v>
      </c>
      <c r="AB77" s="3">
        <f ca="1">IFERROR(__xludf.DUMMYFUNCTION("AVERAGE.WEIGHTED(C77:D77,$AB$25:$AC$25)"),0.004953524)</f>
        <v>4.9535239999999999E-3</v>
      </c>
      <c r="AC77" s="3">
        <f ca="1">IFERROR(__xludf.DUMMYFUNCTION("AVERAGE.WEIGHTED(F77:G77,$AB$25:$AC$25)"),0.00529770152)</f>
        <v>5.2977015199999998E-3</v>
      </c>
      <c r="AD77" s="3">
        <f ca="1">IFERROR(__xludf.DUMMYFUNCTION("AVERAGE.WEIGHTED(I77:J77,$AB$25:$AC$25)"),0.00609933554)</f>
        <v>6.0993355399999996E-3</v>
      </c>
    </row>
    <row r="78" spans="1:30" ht="12.75" x14ac:dyDescent="0.2">
      <c r="A78" s="1">
        <v>50</v>
      </c>
      <c r="B78" s="28">
        <f t="shared" ref="B78:U78" si="55">B$16</f>
        <v>7.797099E-3</v>
      </c>
      <c r="C78" s="28">
        <f t="shared" si="55"/>
        <v>8.6974249999999999E-3</v>
      </c>
      <c r="D78" s="28">
        <f t="shared" si="55"/>
        <v>6.8547770000000003E-3</v>
      </c>
      <c r="E78" s="28">
        <f t="shared" si="55"/>
        <v>8.8748479999999994E-3</v>
      </c>
      <c r="F78" s="28">
        <f t="shared" si="55"/>
        <v>9.6824019999999997E-3</v>
      </c>
      <c r="G78" s="28">
        <f t="shared" si="55"/>
        <v>8.0243729999999996E-3</v>
      </c>
      <c r="H78" s="28">
        <f t="shared" si="55"/>
        <v>8.1714879999999993E-3</v>
      </c>
      <c r="I78" s="28">
        <f t="shared" si="55"/>
        <v>9.957881E-3</v>
      </c>
      <c r="J78" s="28">
        <f t="shared" si="55"/>
        <v>6.2730640000000001E-3</v>
      </c>
      <c r="K78" s="28">
        <f t="shared" si="55"/>
        <v>8.3287529999999995E-3</v>
      </c>
      <c r="L78" s="28">
        <f t="shared" si="55"/>
        <v>1.0401957E-2</v>
      </c>
      <c r="M78" s="28">
        <f t="shared" si="55"/>
        <v>6.1089020000000003E-3</v>
      </c>
      <c r="N78" s="28">
        <f t="shared" si="55"/>
        <v>9.7824609999999992E-3</v>
      </c>
      <c r="O78" s="28">
        <f t="shared" si="55"/>
        <v>1.1804972E-2</v>
      </c>
      <c r="P78" s="28">
        <f t="shared" si="55"/>
        <v>7.6913299999999997E-3</v>
      </c>
      <c r="Q78" s="28">
        <f t="shared" si="55"/>
        <v>3.1E-2</v>
      </c>
      <c r="R78" s="28">
        <f t="shared" si="55"/>
        <v>5.0999999999999997E-2</v>
      </c>
      <c r="S78" s="28">
        <f t="shared" si="55"/>
        <v>0.03</v>
      </c>
      <c r="T78" s="28">
        <f t="shared" si="55"/>
        <v>5.7000000000000002E-2</v>
      </c>
      <c r="U78" s="28">
        <f t="shared" si="55"/>
        <v>3.7999999999999999E-2</v>
      </c>
      <c r="V78" s="24">
        <f t="shared" si="1"/>
        <v>8.247262E-3</v>
      </c>
      <c r="W78" s="24">
        <f t="shared" si="2"/>
        <v>7.8648125000000003E-3</v>
      </c>
      <c r="X78" s="24">
        <f t="shared" si="3"/>
        <v>8.8533875000000005E-3</v>
      </c>
      <c r="Y78" s="24">
        <f t="shared" si="4"/>
        <v>9.0646844999999997E-3</v>
      </c>
      <c r="Z78" s="24">
        <f t="shared" si="5"/>
        <v>7.3009084999999998E-3</v>
      </c>
      <c r="AB78" s="3">
        <f ca="1">IFERROR(__xludf.DUMMYFUNCTION("AVERAGE.WEIGHTED(C78:D78,$AB$25:$AC$25)"),0.00792351284)</f>
        <v>7.9235128400000007E-3</v>
      </c>
      <c r="AC78" s="3">
        <f ca="1">IFERROR(__xludf.DUMMYFUNCTION("AVERAGE.WEIGHTED(F78:G78,$AB$25:$AC$25)"),0.00898602982)</f>
        <v>8.9860298199999997E-3</v>
      </c>
      <c r="AD78" s="3">
        <f ca="1">IFERROR(__xludf.DUMMYFUNCTION("AVERAGE.WEIGHTED(I78:J78,$AB$25:$AC$25)"),0.00841025786)</f>
        <v>8.4102578599999991E-3</v>
      </c>
    </row>
    <row r="79" spans="1:30" ht="12.75" x14ac:dyDescent="0.2">
      <c r="A79" s="1">
        <v>51</v>
      </c>
      <c r="B79" s="28">
        <f t="shared" ref="B79:U79" si="56">B$16</f>
        <v>7.797099E-3</v>
      </c>
      <c r="C79" s="28">
        <f t="shared" si="56"/>
        <v>8.6974249999999999E-3</v>
      </c>
      <c r="D79" s="28">
        <f t="shared" si="56"/>
        <v>6.8547770000000003E-3</v>
      </c>
      <c r="E79" s="28">
        <f t="shared" si="56"/>
        <v>8.8748479999999994E-3</v>
      </c>
      <c r="F79" s="28">
        <f t="shared" si="56"/>
        <v>9.6824019999999997E-3</v>
      </c>
      <c r="G79" s="28">
        <f t="shared" si="56"/>
        <v>8.0243729999999996E-3</v>
      </c>
      <c r="H79" s="28">
        <f t="shared" si="56"/>
        <v>8.1714879999999993E-3</v>
      </c>
      <c r="I79" s="28">
        <f t="shared" si="56"/>
        <v>9.957881E-3</v>
      </c>
      <c r="J79" s="28">
        <f t="shared" si="56"/>
        <v>6.2730640000000001E-3</v>
      </c>
      <c r="K79" s="28">
        <f t="shared" si="56"/>
        <v>8.3287529999999995E-3</v>
      </c>
      <c r="L79" s="28">
        <f t="shared" si="56"/>
        <v>1.0401957E-2</v>
      </c>
      <c r="M79" s="28">
        <f t="shared" si="56"/>
        <v>6.1089020000000003E-3</v>
      </c>
      <c r="N79" s="28">
        <f t="shared" si="56"/>
        <v>9.7824609999999992E-3</v>
      </c>
      <c r="O79" s="28">
        <f t="shared" si="56"/>
        <v>1.1804972E-2</v>
      </c>
      <c r="P79" s="28">
        <f t="shared" si="56"/>
        <v>7.6913299999999997E-3</v>
      </c>
      <c r="Q79" s="28">
        <f t="shared" si="56"/>
        <v>3.1E-2</v>
      </c>
      <c r="R79" s="28">
        <f t="shared" si="56"/>
        <v>5.0999999999999997E-2</v>
      </c>
      <c r="S79" s="28">
        <f t="shared" si="56"/>
        <v>0.03</v>
      </c>
      <c r="T79" s="28">
        <f t="shared" si="56"/>
        <v>5.7000000000000002E-2</v>
      </c>
      <c r="U79" s="28">
        <f t="shared" si="56"/>
        <v>3.7999999999999999E-2</v>
      </c>
      <c r="V79" s="24">
        <f t="shared" si="1"/>
        <v>8.247262E-3</v>
      </c>
      <c r="W79" s="24">
        <f t="shared" si="2"/>
        <v>7.8648125000000003E-3</v>
      </c>
      <c r="X79" s="24">
        <f t="shared" si="3"/>
        <v>8.8533875000000005E-3</v>
      </c>
      <c r="Y79" s="24">
        <f t="shared" si="4"/>
        <v>9.0646844999999997E-3</v>
      </c>
      <c r="Z79" s="24">
        <f t="shared" si="5"/>
        <v>7.3009084999999998E-3</v>
      </c>
      <c r="AB79" s="3">
        <f ca="1">IFERROR(__xludf.DUMMYFUNCTION("AVERAGE.WEIGHTED(C79:D79,$AB$25:$AC$25)"),0.00792351284)</f>
        <v>7.9235128400000007E-3</v>
      </c>
      <c r="AC79" s="3">
        <f ca="1">IFERROR(__xludf.DUMMYFUNCTION("AVERAGE.WEIGHTED(F79:G79,$AB$25:$AC$25)"),0.00898602982)</f>
        <v>8.9860298199999997E-3</v>
      </c>
      <c r="AD79" s="3">
        <f ca="1">IFERROR(__xludf.DUMMYFUNCTION("AVERAGE.WEIGHTED(I79:J79,$AB$25:$AC$25)"),0.00841025786)</f>
        <v>8.4102578599999991E-3</v>
      </c>
    </row>
    <row r="80" spans="1:30" ht="12.75" x14ac:dyDescent="0.2">
      <c r="A80" s="1">
        <v>52</v>
      </c>
      <c r="B80" s="28">
        <f t="shared" ref="B80:U80" si="57">B$16</f>
        <v>7.797099E-3</v>
      </c>
      <c r="C80" s="28">
        <f t="shared" si="57"/>
        <v>8.6974249999999999E-3</v>
      </c>
      <c r="D80" s="28">
        <f t="shared" si="57"/>
        <v>6.8547770000000003E-3</v>
      </c>
      <c r="E80" s="28">
        <f t="shared" si="57"/>
        <v>8.8748479999999994E-3</v>
      </c>
      <c r="F80" s="28">
        <f t="shared" si="57"/>
        <v>9.6824019999999997E-3</v>
      </c>
      <c r="G80" s="28">
        <f t="shared" si="57"/>
        <v>8.0243729999999996E-3</v>
      </c>
      <c r="H80" s="28">
        <f t="shared" si="57"/>
        <v>8.1714879999999993E-3</v>
      </c>
      <c r="I80" s="28">
        <f t="shared" si="57"/>
        <v>9.957881E-3</v>
      </c>
      <c r="J80" s="28">
        <f t="shared" si="57"/>
        <v>6.2730640000000001E-3</v>
      </c>
      <c r="K80" s="28">
        <f t="shared" si="57"/>
        <v>8.3287529999999995E-3</v>
      </c>
      <c r="L80" s="28">
        <f t="shared" si="57"/>
        <v>1.0401957E-2</v>
      </c>
      <c r="M80" s="28">
        <f t="shared" si="57"/>
        <v>6.1089020000000003E-3</v>
      </c>
      <c r="N80" s="28">
        <f t="shared" si="57"/>
        <v>9.7824609999999992E-3</v>
      </c>
      <c r="O80" s="28">
        <f t="shared" si="57"/>
        <v>1.1804972E-2</v>
      </c>
      <c r="P80" s="28">
        <f t="shared" si="57"/>
        <v>7.6913299999999997E-3</v>
      </c>
      <c r="Q80" s="28">
        <f t="shared" si="57"/>
        <v>3.1E-2</v>
      </c>
      <c r="R80" s="28">
        <f t="shared" si="57"/>
        <v>5.0999999999999997E-2</v>
      </c>
      <c r="S80" s="28">
        <f t="shared" si="57"/>
        <v>0.03</v>
      </c>
      <c r="T80" s="28">
        <f t="shared" si="57"/>
        <v>5.7000000000000002E-2</v>
      </c>
      <c r="U80" s="28">
        <f t="shared" si="57"/>
        <v>3.7999999999999999E-2</v>
      </c>
      <c r="V80" s="24">
        <f t="shared" si="1"/>
        <v>8.247262E-3</v>
      </c>
      <c r="W80" s="24">
        <f t="shared" si="2"/>
        <v>7.8648125000000003E-3</v>
      </c>
      <c r="X80" s="24">
        <f t="shared" si="3"/>
        <v>8.8533875000000005E-3</v>
      </c>
      <c r="Y80" s="24">
        <f t="shared" si="4"/>
        <v>9.0646844999999997E-3</v>
      </c>
      <c r="Z80" s="24">
        <f t="shared" si="5"/>
        <v>7.3009084999999998E-3</v>
      </c>
      <c r="AB80" s="3">
        <f ca="1">IFERROR(__xludf.DUMMYFUNCTION("AVERAGE.WEIGHTED(C80:D80,$AB$25:$AC$25)"),0.00792351284)</f>
        <v>7.9235128400000007E-3</v>
      </c>
      <c r="AC80" s="3">
        <f ca="1">IFERROR(__xludf.DUMMYFUNCTION("AVERAGE.WEIGHTED(F80:G80,$AB$25:$AC$25)"),0.00898602982)</f>
        <v>8.9860298199999997E-3</v>
      </c>
      <c r="AD80" s="3">
        <f ca="1">IFERROR(__xludf.DUMMYFUNCTION("AVERAGE.WEIGHTED(I80:J80,$AB$25:$AC$25)"),0.00841025786)</f>
        <v>8.4102578599999991E-3</v>
      </c>
    </row>
    <row r="81" spans="1:30" ht="12.75" x14ac:dyDescent="0.2">
      <c r="A81" s="1">
        <v>53</v>
      </c>
      <c r="B81" s="28">
        <f t="shared" ref="B81:U81" si="58">B$16</f>
        <v>7.797099E-3</v>
      </c>
      <c r="C81" s="28">
        <f t="shared" si="58"/>
        <v>8.6974249999999999E-3</v>
      </c>
      <c r="D81" s="28">
        <f t="shared" si="58"/>
        <v>6.8547770000000003E-3</v>
      </c>
      <c r="E81" s="28">
        <f t="shared" si="58"/>
        <v>8.8748479999999994E-3</v>
      </c>
      <c r="F81" s="28">
        <f t="shared" si="58"/>
        <v>9.6824019999999997E-3</v>
      </c>
      <c r="G81" s="28">
        <f t="shared" si="58"/>
        <v>8.0243729999999996E-3</v>
      </c>
      <c r="H81" s="28">
        <f t="shared" si="58"/>
        <v>8.1714879999999993E-3</v>
      </c>
      <c r="I81" s="28">
        <f t="shared" si="58"/>
        <v>9.957881E-3</v>
      </c>
      <c r="J81" s="28">
        <f t="shared" si="58"/>
        <v>6.2730640000000001E-3</v>
      </c>
      <c r="K81" s="28">
        <f t="shared" si="58"/>
        <v>8.3287529999999995E-3</v>
      </c>
      <c r="L81" s="28">
        <f t="shared" si="58"/>
        <v>1.0401957E-2</v>
      </c>
      <c r="M81" s="28">
        <f t="shared" si="58"/>
        <v>6.1089020000000003E-3</v>
      </c>
      <c r="N81" s="28">
        <f t="shared" si="58"/>
        <v>9.7824609999999992E-3</v>
      </c>
      <c r="O81" s="28">
        <f t="shared" si="58"/>
        <v>1.1804972E-2</v>
      </c>
      <c r="P81" s="28">
        <f t="shared" si="58"/>
        <v>7.6913299999999997E-3</v>
      </c>
      <c r="Q81" s="28">
        <f t="shared" si="58"/>
        <v>3.1E-2</v>
      </c>
      <c r="R81" s="28">
        <f t="shared" si="58"/>
        <v>5.0999999999999997E-2</v>
      </c>
      <c r="S81" s="28">
        <f t="shared" si="58"/>
        <v>0.03</v>
      </c>
      <c r="T81" s="28">
        <f t="shared" si="58"/>
        <v>5.7000000000000002E-2</v>
      </c>
      <c r="U81" s="28">
        <f t="shared" si="58"/>
        <v>3.7999999999999999E-2</v>
      </c>
      <c r="V81" s="24">
        <f t="shared" si="1"/>
        <v>8.247262E-3</v>
      </c>
      <c r="W81" s="24">
        <f t="shared" si="2"/>
        <v>7.8648125000000003E-3</v>
      </c>
      <c r="X81" s="24">
        <f t="shared" si="3"/>
        <v>8.8533875000000005E-3</v>
      </c>
      <c r="Y81" s="24">
        <f t="shared" si="4"/>
        <v>9.0646844999999997E-3</v>
      </c>
      <c r="Z81" s="24">
        <f t="shared" si="5"/>
        <v>7.3009084999999998E-3</v>
      </c>
      <c r="AB81" s="3">
        <f ca="1">IFERROR(__xludf.DUMMYFUNCTION("AVERAGE.WEIGHTED(C81:D81,$AB$25:$AC$25)"),0.00792351284)</f>
        <v>7.9235128400000007E-3</v>
      </c>
      <c r="AC81" s="3">
        <f ca="1">IFERROR(__xludf.DUMMYFUNCTION("AVERAGE.WEIGHTED(F81:G81,$AB$25:$AC$25)"),0.00898602982)</f>
        <v>8.9860298199999997E-3</v>
      </c>
      <c r="AD81" s="3">
        <f ca="1">IFERROR(__xludf.DUMMYFUNCTION("AVERAGE.WEIGHTED(I81:J81,$AB$25:$AC$25)"),0.00841025786)</f>
        <v>8.4102578599999991E-3</v>
      </c>
    </row>
    <row r="82" spans="1:30" ht="12.75" x14ac:dyDescent="0.2">
      <c r="A82" s="1">
        <v>54</v>
      </c>
      <c r="B82" s="28">
        <f t="shared" ref="B82:U82" si="59">B$16</f>
        <v>7.797099E-3</v>
      </c>
      <c r="C82" s="28">
        <f t="shared" si="59"/>
        <v>8.6974249999999999E-3</v>
      </c>
      <c r="D82" s="28">
        <f t="shared" si="59"/>
        <v>6.8547770000000003E-3</v>
      </c>
      <c r="E82" s="28">
        <f t="shared" si="59"/>
        <v>8.8748479999999994E-3</v>
      </c>
      <c r="F82" s="28">
        <f t="shared" si="59"/>
        <v>9.6824019999999997E-3</v>
      </c>
      <c r="G82" s="28">
        <f t="shared" si="59"/>
        <v>8.0243729999999996E-3</v>
      </c>
      <c r="H82" s="28">
        <f t="shared" si="59"/>
        <v>8.1714879999999993E-3</v>
      </c>
      <c r="I82" s="28">
        <f t="shared" si="59"/>
        <v>9.957881E-3</v>
      </c>
      <c r="J82" s="28">
        <f t="shared" si="59"/>
        <v>6.2730640000000001E-3</v>
      </c>
      <c r="K82" s="28">
        <f t="shared" si="59"/>
        <v>8.3287529999999995E-3</v>
      </c>
      <c r="L82" s="28">
        <f t="shared" si="59"/>
        <v>1.0401957E-2</v>
      </c>
      <c r="M82" s="28">
        <f t="shared" si="59"/>
        <v>6.1089020000000003E-3</v>
      </c>
      <c r="N82" s="28">
        <f t="shared" si="59"/>
        <v>9.7824609999999992E-3</v>
      </c>
      <c r="O82" s="28">
        <f t="shared" si="59"/>
        <v>1.1804972E-2</v>
      </c>
      <c r="P82" s="28">
        <f t="shared" si="59"/>
        <v>7.6913299999999997E-3</v>
      </c>
      <c r="Q82" s="28">
        <f t="shared" si="59"/>
        <v>3.1E-2</v>
      </c>
      <c r="R82" s="28">
        <f t="shared" si="59"/>
        <v>5.0999999999999997E-2</v>
      </c>
      <c r="S82" s="28">
        <f t="shared" si="59"/>
        <v>0.03</v>
      </c>
      <c r="T82" s="28">
        <f t="shared" si="59"/>
        <v>5.7000000000000002E-2</v>
      </c>
      <c r="U82" s="28">
        <f t="shared" si="59"/>
        <v>3.7999999999999999E-2</v>
      </c>
      <c r="V82" s="24">
        <f t="shared" si="1"/>
        <v>8.247262E-3</v>
      </c>
      <c r="W82" s="24">
        <f t="shared" si="2"/>
        <v>7.8648125000000003E-3</v>
      </c>
      <c r="X82" s="24">
        <f t="shared" si="3"/>
        <v>8.8533875000000005E-3</v>
      </c>
      <c r="Y82" s="24">
        <f t="shared" si="4"/>
        <v>9.0646844999999997E-3</v>
      </c>
      <c r="Z82" s="24">
        <f t="shared" si="5"/>
        <v>7.3009084999999998E-3</v>
      </c>
      <c r="AB82" s="3">
        <f ca="1">IFERROR(__xludf.DUMMYFUNCTION("AVERAGE.WEIGHTED(C82:D82,$AB$25:$AC$25)"),0.00792351284)</f>
        <v>7.9235128400000007E-3</v>
      </c>
      <c r="AC82" s="3">
        <f ca="1">IFERROR(__xludf.DUMMYFUNCTION("AVERAGE.WEIGHTED(F82:G82,$AB$25:$AC$25)"),0.00898602982)</f>
        <v>8.9860298199999997E-3</v>
      </c>
      <c r="AD82" s="3">
        <f ca="1">IFERROR(__xludf.DUMMYFUNCTION("AVERAGE.WEIGHTED(I82:J82,$AB$25:$AC$25)"),0.00841025786)</f>
        <v>8.4102578599999991E-3</v>
      </c>
    </row>
    <row r="83" spans="1:30" ht="12.75" x14ac:dyDescent="0.2">
      <c r="A83" s="1">
        <v>55</v>
      </c>
      <c r="B83" s="28">
        <f t="shared" ref="B83:U83" si="60">B$17</f>
        <v>1.1786385E-2</v>
      </c>
      <c r="C83" s="28">
        <f t="shared" si="60"/>
        <v>1.4084853E-2</v>
      </c>
      <c r="D83" s="28">
        <f t="shared" si="60"/>
        <v>9.4026089999999993E-3</v>
      </c>
      <c r="E83" s="28">
        <f t="shared" si="60"/>
        <v>1.3001675000000001E-2</v>
      </c>
      <c r="F83" s="28">
        <f t="shared" si="60"/>
        <v>1.5440512999999999E-2</v>
      </c>
      <c r="G83" s="28">
        <f t="shared" si="60"/>
        <v>1.0458008E-2</v>
      </c>
      <c r="H83" s="28">
        <f t="shared" si="60"/>
        <v>1.254567E-2</v>
      </c>
      <c r="I83" s="28">
        <f t="shared" si="60"/>
        <v>1.5746511000000001E-2</v>
      </c>
      <c r="J83" s="28">
        <f t="shared" si="60"/>
        <v>9.1868560000000002E-3</v>
      </c>
      <c r="K83" s="28">
        <f t="shared" si="60"/>
        <v>1.2579059E-2</v>
      </c>
      <c r="L83" s="28">
        <f t="shared" si="60"/>
        <v>1.4739909000000001E-2</v>
      </c>
      <c r="M83" s="28">
        <f t="shared" si="60"/>
        <v>1.0395601000000001E-2</v>
      </c>
      <c r="N83" s="28">
        <f t="shared" si="60"/>
        <v>1.5685791000000001E-2</v>
      </c>
      <c r="O83" s="28">
        <f t="shared" si="60"/>
        <v>1.8456964999999999E-2</v>
      </c>
      <c r="P83" s="28">
        <f t="shared" si="60"/>
        <v>1.2896210999999999E-2</v>
      </c>
      <c r="Q83" s="28">
        <f t="shared" si="60"/>
        <v>4.4999999999999998E-2</v>
      </c>
      <c r="R83" s="28">
        <f t="shared" si="60"/>
        <v>7.0999999999999994E-2</v>
      </c>
      <c r="S83" s="28">
        <f t="shared" si="60"/>
        <v>5.0999999999999997E-2</v>
      </c>
      <c r="T83" s="28">
        <f t="shared" si="60"/>
        <v>8.7999999999999995E-2</v>
      </c>
      <c r="U83" s="28">
        <f t="shared" si="60"/>
        <v>6.2E-2</v>
      </c>
      <c r="V83" s="24">
        <f t="shared" si="1"/>
        <v>1.2935618999999999E-2</v>
      </c>
      <c r="W83" s="24">
        <f t="shared" si="2"/>
        <v>1.1202142E-2</v>
      </c>
      <c r="X83" s="24">
        <f t="shared" si="3"/>
        <v>1.29492605E-2</v>
      </c>
      <c r="Y83" s="24">
        <f t="shared" si="4"/>
        <v>1.41460905E-2</v>
      </c>
      <c r="Z83" s="24">
        <f t="shared" si="5"/>
        <v>1.08829575E-2</v>
      </c>
      <c r="AB83" s="3">
        <f ca="1">IFERROR(__xludf.DUMMYFUNCTION("AVERAGE.WEIGHTED(C83:D83,$AB$25:$AC$25)"),0.01211831052)</f>
        <v>1.211831052E-2</v>
      </c>
      <c r="AC83" s="3">
        <f ca="1">IFERROR(__xludf.DUMMYFUNCTION("AVERAGE.WEIGHTED(F83:G83,$AB$25:$AC$25)"),0.0133478609)</f>
        <v>1.3347860899999999E-2</v>
      </c>
      <c r="AD83" s="3">
        <f ca="1">IFERROR(__xludf.DUMMYFUNCTION("AVERAGE.WEIGHTED(I83:J83,$AB$25:$AC$25)"),0.0129914559)</f>
        <v>1.2991455900000001E-2</v>
      </c>
    </row>
    <row r="84" spans="1:30" ht="12.75" x14ac:dyDescent="0.2">
      <c r="A84" s="1">
        <v>56</v>
      </c>
      <c r="B84" s="28">
        <f t="shared" ref="B84:U84" si="61">B$17</f>
        <v>1.1786385E-2</v>
      </c>
      <c r="C84" s="28">
        <f t="shared" si="61"/>
        <v>1.4084853E-2</v>
      </c>
      <c r="D84" s="28">
        <f t="shared" si="61"/>
        <v>9.4026089999999993E-3</v>
      </c>
      <c r="E84" s="28">
        <f t="shared" si="61"/>
        <v>1.3001675000000001E-2</v>
      </c>
      <c r="F84" s="28">
        <f t="shared" si="61"/>
        <v>1.5440512999999999E-2</v>
      </c>
      <c r="G84" s="28">
        <f t="shared" si="61"/>
        <v>1.0458008E-2</v>
      </c>
      <c r="H84" s="28">
        <f t="shared" si="61"/>
        <v>1.254567E-2</v>
      </c>
      <c r="I84" s="28">
        <f t="shared" si="61"/>
        <v>1.5746511000000001E-2</v>
      </c>
      <c r="J84" s="28">
        <f t="shared" si="61"/>
        <v>9.1868560000000002E-3</v>
      </c>
      <c r="K84" s="28">
        <f t="shared" si="61"/>
        <v>1.2579059E-2</v>
      </c>
      <c r="L84" s="28">
        <f t="shared" si="61"/>
        <v>1.4739909000000001E-2</v>
      </c>
      <c r="M84" s="28">
        <f t="shared" si="61"/>
        <v>1.0395601000000001E-2</v>
      </c>
      <c r="N84" s="28">
        <f t="shared" si="61"/>
        <v>1.5685791000000001E-2</v>
      </c>
      <c r="O84" s="28">
        <f t="shared" si="61"/>
        <v>1.8456964999999999E-2</v>
      </c>
      <c r="P84" s="28">
        <f t="shared" si="61"/>
        <v>1.2896210999999999E-2</v>
      </c>
      <c r="Q84" s="28">
        <f t="shared" si="61"/>
        <v>4.4999999999999998E-2</v>
      </c>
      <c r="R84" s="28">
        <f t="shared" si="61"/>
        <v>7.0999999999999994E-2</v>
      </c>
      <c r="S84" s="28">
        <f t="shared" si="61"/>
        <v>5.0999999999999997E-2</v>
      </c>
      <c r="T84" s="28">
        <f t="shared" si="61"/>
        <v>8.7999999999999995E-2</v>
      </c>
      <c r="U84" s="28">
        <f t="shared" si="61"/>
        <v>6.2E-2</v>
      </c>
      <c r="V84" s="24">
        <f t="shared" si="1"/>
        <v>1.2935618999999999E-2</v>
      </c>
      <c r="W84" s="24">
        <f t="shared" si="2"/>
        <v>1.1202142E-2</v>
      </c>
      <c r="X84" s="24">
        <f t="shared" si="3"/>
        <v>1.29492605E-2</v>
      </c>
      <c r="Y84" s="24">
        <f t="shared" si="4"/>
        <v>1.41460905E-2</v>
      </c>
      <c r="Z84" s="24">
        <f t="shared" si="5"/>
        <v>1.08829575E-2</v>
      </c>
      <c r="AB84" s="3">
        <f ca="1">IFERROR(__xludf.DUMMYFUNCTION("AVERAGE.WEIGHTED(C84:D84,$AB$25:$AC$25)"),0.01211831052)</f>
        <v>1.211831052E-2</v>
      </c>
      <c r="AC84" s="3">
        <f ca="1">IFERROR(__xludf.DUMMYFUNCTION("AVERAGE.WEIGHTED(F84:G84,$AB$25:$AC$25)"),0.0133478609)</f>
        <v>1.3347860899999999E-2</v>
      </c>
      <c r="AD84" s="3">
        <f ca="1">IFERROR(__xludf.DUMMYFUNCTION("AVERAGE.WEIGHTED(I84:J84,$AB$25:$AC$25)"),0.0129914559)</f>
        <v>1.2991455900000001E-2</v>
      </c>
    </row>
    <row r="85" spans="1:30" ht="12.75" x14ac:dyDescent="0.2">
      <c r="A85" s="1">
        <v>57</v>
      </c>
      <c r="B85" s="28">
        <f t="shared" ref="B85:U85" si="62">B$17</f>
        <v>1.1786385E-2</v>
      </c>
      <c r="C85" s="28">
        <f t="shared" si="62"/>
        <v>1.4084853E-2</v>
      </c>
      <c r="D85" s="28">
        <f t="shared" si="62"/>
        <v>9.4026089999999993E-3</v>
      </c>
      <c r="E85" s="28">
        <f t="shared" si="62"/>
        <v>1.3001675000000001E-2</v>
      </c>
      <c r="F85" s="28">
        <f t="shared" si="62"/>
        <v>1.5440512999999999E-2</v>
      </c>
      <c r="G85" s="28">
        <f t="shared" si="62"/>
        <v>1.0458008E-2</v>
      </c>
      <c r="H85" s="28">
        <f t="shared" si="62"/>
        <v>1.254567E-2</v>
      </c>
      <c r="I85" s="28">
        <f t="shared" si="62"/>
        <v>1.5746511000000001E-2</v>
      </c>
      <c r="J85" s="28">
        <f t="shared" si="62"/>
        <v>9.1868560000000002E-3</v>
      </c>
      <c r="K85" s="28">
        <f t="shared" si="62"/>
        <v>1.2579059E-2</v>
      </c>
      <c r="L85" s="28">
        <f t="shared" si="62"/>
        <v>1.4739909000000001E-2</v>
      </c>
      <c r="M85" s="28">
        <f t="shared" si="62"/>
        <v>1.0395601000000001E-2</v>
      </c>
      <c r="N85" s="28">
        <f t="shared" si="62"/>
        <v>1.5685791000000001E-2</v>
      </c>
      <c r="O85" s="28">
        <f t="shared" si="62"/>
        <v>1.8456964999999999E-2</v>
      </c>
      <c r="P85" s="28">
        <f t="shared" si="62"/>
        <v>1.2896210999999999E-2</v>
      </c>
      <c r="Q85" s="28">
        <f t="shared" si="62"/>
        <v>4.4999999999999998E-2</v>
      </c>
      <c r="R85" s="28">
        <f t="shared" si="62"/>
        <v>7.0999999999999994E-2</v>
      </c>
      <c r="S85" s="28">
        <f t="shared" si="62"/>
        <v>5.0999999999999997E-2</v>
      </c>
      <c r="T85" s="28">
        <f t="shared" si="62"/>
        <v>8.7999999999999995E-2</v>
      </c>
      <c r="U85" s="28">
        <f t="shared" si="62"/>
        <v>6.2E-2</v>
      </c>
      <c r="V85" s="24">
        <f t="shared" si="1"/>
        <v>1.2935618999999999E-2</v>
      </c>
      <c r="W85" s="24">
        <f t="shared" si="2"/>
        <v>1.1202142E-2</v>
      </c>
      <c r="X85" s="24">
        <f t="shared" si="3"/>
        <v>1.29492605E-2</v>
      </c>
      <c r="Y85" s="24">
        <f t="shared" si="4"/>
        <v>1.41460905E-2</v>
      </c>
      <c r="Z85" s="24">
        <f t="shared" si="5"/>
        <v>1.08829575E-2</v>
      </c>
      <c r="AB85" s="3">
        <f ca="1">IFERROR(__xludf.DUMMYFUNCTION("AVERAGE.WEIGHTED(C85:D85,$AB$25:$AC$25)"),0.01211831052)</f>
        <v>1.211831052E-2</v>
      </c>
      <c r="AC85" s="3">
        <f ca="1">IFERROR(__xludf.DUMMYFUNCTION("AVERAGE.WEIGHTED(F85:G85,$AB$25:$AC$25)"),0.0133478609)</f>
        <v>1.3347860899999999E-2</v>
      </c>
      <c r="AD85" s="3">
        <f ca="1">IFERROR(__xludf.DUMMYFUNCTION("AVERAGE.WEIGHTED(I85:J85,$AB$25:$AC$25)"),0.0129914559)</f>
        <v>1.2991455900000001E-2</v>
      </c>
    </row>
    <row r="86" spans="1:30" ht="12.75" x14ac:dyDescent="0.2">
      <c r="A86" s="1">
        <v>58</v>
      </c>
      <c r="B86" s="28">
        <f t="shared" ref="B86:U86" si="63">B$17</f>
        <v>1.1786385E-2</v>
      </c>
      <c r="C86" s="28">
        <f t="shared" si="63"/>
        <v>1.4084853E-2</v>
      </c>
      <c r="D86" s="28">
        <f t="shared" si="63"/>
        <v>9.4026089999999993E-3</v>
      </c>
      <c r="E86" s="28">
        <f t="shared" si="63"/>
        <v>1.3001675000000001E-2</v>
      </c>
      <c r="F86" s="28">
        <f t="shared" si="63"/>
        <v>1.5440512999999999E-2</v>
      </c>
      <c r="G86" s="28">
        <f t="shared" si="63"/>
        <v>1.0458008E-2</v>
      </c>
      <c r="H86" s="28">
        <f t="shared" si="63"/>
        <v>1.254567E-2</v>
      </c>
      <c r="I86" s="28">
        <f t="shared" si="63"/>
        <v>1.5746511000000001E-2</v>
      </c>
      <c r="J86" s="28">
        <f t="shared" si="63"/>
        <v>9.1868560000000002E-3</v>
      </c>
      <c r="K86" s="28">
        <f t="shared" si="63"/>
        <v>1.2579059E-2</v>
      </c>
      <c r="L86" s="28">
        <f t="shared" si="63"/>
        <v>1.4739909000000001E-2</v>
      </c>
      <c r="M86" s="28">
        <f t="shared" si="63"/>
        <v>1.0395601000000001E-2</v>
      </c>
      <c r="N86" s="28">
        <f t="shared" si="63"/>
        <v>1.5685791000000001E-2</v>
      </c>
      <c r="O86" s="28">
        <f t="shared" si="63"/>
        <v>1.8456964999999999E-2</v>
      </c>
      <c r="P86" s="28">
        <f t="shared" si="63"/>
        <v>1.2896210999999999E-2</v>
      </c>
      <c r="Q86" s="28">
        <f t="shared" si="63"/>
        <v>4.4999999999999998E-2</v>
      </c>
      <c r="R86" s="28">
        <f t="shared" si="63"/>
        <v>7.0999999999999994E-2</v>
      </c>
      <c r="S86" s="28">
        <f t="shared" si="63"/>
        <v>5.0999999999999997E-2</v>
      </c>
      <c r="T86" s="28">
        <f t="shared" si="63"/>
        <v>8.7999999999999995E-2</v>
      </c>
      <c r="U86" s="28">
        <f t="shared" si="63"/>
        <v>6.2E-2</v>
      </c>
      <c r="V86" s="24">
        <f t="shared" si="1"/>
        <v>1.2935618999999999E-2</v>
      </c>
      <c r="W86" s="24">
        <f t="shared" si="2"/>
        <v>1.1202142E-2</v>
      </c>
      <c r="X86" s="24">
        <f t="shared" si="3"/>
        <v>1.29492605E-2</v>
      </c>
      <c r="Y86" s="24">
        <f t="shared" si="4"/>
        <v>1.41460905E-2</v>
      </c>
      <c r="Z86" s="24">
        <f t="shared" si="5"/>
        <v>1.08829575E-2</v>
      </c>
      <c r="AB86" s="3">
        <f ca="1">IFERROR(__xludf.DUMMYFUNCTION("AVERAGE.WEIGHTED(C86:D86,$AB$25:$AC$25)"),0.01211831052)</f>
        <v>1.211831052E-2</v>
      </c>
      <c r="AC86" s="3">
        <f ca="1">IFERROR(__xludf.DUMMYFUNCTION("AVERAGE.WEIGHTED(F86:G86,$AB$25:$AC$25)"),0.0133478609)</f>
        <v>1.3347860899999999E-2</v>
      </c>
      <c r="AD86" s="3">
        <f ca="1">IFERROR(__xludf.DUMMYFUNCTION("AVERAGE.WEIGHTED(I86:J86,$AB$25:$AC$25)"),0.0129914559)</f>
        <v>1.2991455900000001E-2</v>
      </c>
    </row>
    <row r="87" spans="1:30" ht="12.75" x14ac:dyDescent="0.2">
      <c r="A87" s="1">
        <v>59</v>
      </c>
      <c r="B87" s="28">
        <f t="shared" ref="B87:U87" si="64">B$17</f>
        <v>1.1786385E-2</v>
      </c>
      <c r="C87" s="28">
        <f t="shared" si="64"/>
        <v>1.4084853E-2</v>
      </c>
      <c r="D87" s="28">
        <f t="shared" si="64"/>
        <v>9.4026089999999993E-3</v>
      </c>
      <c r="E87" s="28">
        <f t="shared" si="64"/>
        <v>1.3001675000000001E-2</v>
      </c>
      <c r="F87" s="28">
        <f t="shared" si="64"/>
        <v>1.5440512999999999E-2</v>
      </c>
      <c r="G87" s="28">
        <f t="shared" si="64"/>
        <v>1.0458008E-2</v>
      </c>
      <c r="H87" s="28">
        <f t="shared" si="64"/>
        <v>1.254567E-2</v>
      </c>
      <c r="I87" s="28">
        <f t="shared" si="64"/>
        <v>1.5746511000000001E-2</v>
      </c>
      <c r="J87" s="28">
        <f t="shared" si="64"/>
        <v>9.1868560000000002E-3</v>
      </c>
      <c r="K87" s="28">
        <f t="shared" si="64"/>
        <v>1.2579059E-2</v>
      </c>
      <c r="L87" s="28">
        <f t="shared" si="64"/>
        <v>1.4739909000000001E-2</v>
      </c>
      <c r="M87" s="28">
        <f t="shared" si="64"/>
        <v>1.0395601000000001E-2</v>
      </c>
      <c r="N87" s="28">
        <f t="shared" si="64"/>
        <v>1.5685791000000001E-2</v>
      </c>
      <c r="O87" s="28">
        <f t="shared" si="64"/>
        <v>1.8456964999999999E-2</v>
      </c>
      <c r="P87" s="28">
        <f t="shared" si="64"/>
        <v>1.2896210999999999E-2</v>
      </c>
      <c r="Q87" s="28">
        <f t="shared" si="64"/>
        <v>4.4999999999999998E-2</v>
      </c>
      <c r="R87" s="28">
        <f t="shared" si="64"/>
        <v>7.0999999999999994E-2</v>
      </c>
      <c r="S87" s="28">
        <f t="shared" si="64"/>
        <v>5.0999999999999997E-2</v>
      </c>
      <c r="T87" s="28">
        <f t="shared" si="64"/>
        <v>8.7999999999999995E-2</v>
      </c>
      <c r="U87" s="28">
        <f t="shared" si="64"/>
        <v>6.2E-2</v>
      </c>
      <c r="V87" s="24">
        <f t="shared" si="1"/>
        <v>1.2935618999999999E-2</v>
      </c>
      <c r="W87" s="24">
        <f t="shared" si="2"/>
        <v>1.1202142E-2</v>
      </c>
      <c r="X87" s="24">
        <f t="shared" si="3"/>
        <v>1.29492605E-2</v>
      </c>
      <c r="Y87" s="24">
        <f t="shared" si="4"/>
        <v>1.41460905E-2</v>
      </c>
      <c r="Z87" s="24">
        <f t="shared" si="5"/>
        <v>1.08829575E-2</v>
      </c>
      <c r="AB87" s="3">
        <f ca="1">IFERROR(__xludf.DUMMYFUNCTION("AVERAGE.WEIGHTED(C87:D87,$AB$25:$AC$25)"),0.01211831052)</f>
        <v>1.211831052E-2</v>
      </c>
      <c r="AC87" s="3">
        <f ca="1">IFERROR(__xludf.DUMMYFUNCTION("AVERAGE.WEIGHTED(F87:G87,$AB$25:$AC$25)"),0.0133478609)</f>
        <v>1.3347860899999999E-2</v>
      </c>
      <c r="AD87" s="3">
        <f ca="1">IFERROR(__xludf.DUMMYFUNCTION("AVERAGE.WEIGHTED(I87:J87,$AB$25:$AC$25)"),0.0129914559)</f>
        <v>1.2991455900000001E-2</v>
      </c>
    </row>
    <row r="88" spans="1:30" ht="12.75" x14ac:dyDescent="0.2">
      <c r="A88" s="1">
        <v>60</v>
      </c>
      <c r="B88" s="28">
        <f t="shared" ref="B88:U88" si="65">B$18</f>
        <v>1.7562732000000001E-2</v>
      </c>
      <c r="C88" s="28">
        <f t="shared" si="65"/>
        <v>1.9809436E-2</v>
      </c>
      <c r="D88" s="28">
        <f t="shared" si="65"/>
        <v>1.5264842000000001E-2</v>
      </c>
      <c r="E88" s="28">
        <f t="shared" si="65"/>
        <v>1.8868955E-2</v>
      </c>
      <c r="F88" s="28">
        <f t="shared" si="65"/>
        <v>2.1191738000000002E-2</v>
      </c>
      <c r="G88" s="28">
        <f t="shared" si="65"/>
        <v>1.6487110999999999E-2</v>
      </c>
      <c r="H88" s="28">
        <f t="shared" si="65"/>
        <v>1.9518093E-2</v>
      </c>
      <c r="I88" s="28">
        <f t="shared" si="65"/>
        <v>2.3465913000000001E-2</v>
      </c>
      <c r="J88" s="28">
        <f t="shared" si="65"/>
        <v>1.5621166000000001E-2</v>
      </c>
      <c r="K88" s="28">
        <f t="shared" si="65"/>
        <v>2.0425235999999999E-2</v>
      </c>
      <c r="L88" s="28">
        <f t="shared" si="65"/>
        <v>2.3642129000000001E-2</v>
      </c>
      <c r="M88" s="28">
        <f t="shared" si="65"/>
        <v>1.7276593999999999E-2</v>
      </c>
      <c r="N88" s="28">
        <f t="shared" si="65"/>
        <v>2.2366761999999998E-2</v>
      </c>
      <c r="O88" s="28">
        <f t="shared" si="65"/>
        <v>2.5955753000000002E-2</v>
      </c>
      <c r="P88" s="28">
        <f t="shared" si="65"/>
        <v>1.8911279E-2</v>
      </c>
      <c r="Q88" s="28">
        <f t="shared" si="65"/>
        <v>7.4999999999999997E-2</v>
      </c>
      <c r="R88" s="28">
        <f t="shared" si="65"/>
        <v>0.11</v>
      </c>
      <c r="S88" s="28">
        <f t="shared" si="65"/>
        <v>8.3000000000000004E-2</v>
      </c>
      <c r="T88" s="28">
        <f t="shared" si="65"/>
        <v>0.12</v>
      </c>
      <c r="U88" s="28">
        <f t="shared" si="65"/>
        <v>0.09</v>
      </c>
      <c r="V88" s="24">
        <f t="shared" si="1"/>
        <v>1.8686083999999999E-2</v>
      </c>
      <c r="W88" s="24">
        <f t="shared" si="2"/>
        <v>1.70668985E-2</v>
      </c>
      <c r="X88" s="24">
        <f t="shared" si="3"/>
        <v>1.88394245E-2</v>
      </c>
      <c r="Y88" s="24">
        <f t="shared" si="4"/>
        <v>2.1492003000000003E-2</v>
      </c>
      <c r="Z88" s="24">
        <f t="shared" si="5"/>
        <v>1.8023200999999999E-2</v>
      </c>
      <c r="AB88" s="3">
        <f ca="1">IFERROR(__xludf.DUMMYFUNCTION("AVERAGE.WEIGHTED(C88:D88,$AB$25:$AC$25)"),0.01790070652)</f>
        <v>1.790070652E-2</v>
      </c>
      <c r="AC88" s="3">
        <f ca="1">IFERROR(__xludf.DUMMYFUNCTION("AVERAGE.WEIGHTED(F88:G88,$AB$25:$AC$25)"),0.01921579466)</f>
        <v>1.921579466E-2</v>
      </c>
      <c r="AD88" s="3">
        <f ca="1">IFERROR(__xludf.DUMMYFUNCTION("AVERAGE.WEIGHTED(I88:J88,$AB$25:$AC$25)"),0.02017111926)</f>
        <v>2.0171119259999998E-2</v>
      </c>
    </row>
    <row r="89" spans="1:30" ht="12.75" x14ac:dyDescent="0.2">
      <c r="A89" s="1">
        <v>61</v>
      </c>
      <c r="B89" s="28">
        <f t="shared" ref="B89:U89" si="66">B$18</f>
        <v>1.7562732000000001E-2</v>
      </c>
      <c r="C89" s="28">
        <f t="shared" si="66"/>
        <v>1.9809436E-2</v>
      </c>
      <c r="D89" s="28">
        <f t="shared" si="66"/>
        <v>1.5264842000000001E-2</v>
      </c>
      <c r="E89" s="28">
        <f t="shared" si="66"/>
        <v>1.8868955E-2</v>
      </c>
      <c r="F89" s="28">
        <f t="shared" si="66"/>
        <v>2.1191738000000002E-2</v>
      </c>
      <c r="G89" s="28">
        <f t="shared" si="66"/>
        <v>1.6487110999999999E-2</v>
      </c>
      <c r="H89" s="28">
        <f t="shared" si="66"/>
        <v>1.9518093E-2</v>
      </c>
      <c r="I89" s="28">
        <f t="shared" si="66"/>
        <v>2.3465913000000001E-2</v>
      </c>
      <c r="J89" s="28">
        <f t="shared" si="66"/>
        <v>1.5621166000000001E-2</v>
      </c>
      <c r="K89" s="28">
        <f t="shared" si="66"/>
        <v>2.0425235999999999E-2</v>
      </c>
      <c r="L89" s="28">
        <f t="shared" si="66"/>
        <v>2.3642129000000001E-2</v>
      </c>
      <c r="M89" s="28">
        <f t="shared" si="66"/>
        <v>1.7276593999999999E-2</v>
      </c>
      <c r="N89" s="28">
        <f t="shared" si="66"/>
        <v>2.2366761999999998E-2</v>
      </c>
      <c r="O89" s="28">
        <f t="shared" si="66"/>
        <v>2.5955753000000002E-2</v>
      </c>
      <c r="P89" s="28">
        <f t="shared" si="66"/>
        <v>1.8911279E-2</v>
      </c>
      <c r="Q89" s="28">
        <f t="shared" si="66"/>
        <v>7.4999999999999997E-2</v>
      </c>
      <c r="R89" s="28">
        <f t="shared" si="66"/>
        <v>0.11</v>
      </c>
      <c r="S89" s="28">
        <f t="shared" si="66"/>
        <v>8.3000000000000004E-2</v>
      </c>
      <c r="T89" s="28">
        <f t="shared" si="66"/>
        <v>0.12</v>
      </c>
      <c r="U89" s="28">
        <f t="shared" si="66"/>
        <v>0.09</v>
      </c>
      <c r="V89" s="24">
        <f t="shared" si="1"/>
        <v>1.8686083999999999E-2</v>
      </c>
      <c r="W89" s="24">
        <f t="shared" si="2"/>
        <v>1.70668985E-2</v>
      </c>
      <c r="X89" s="24">
        <f t="shared" si="3"/>
        <v>1.88394245E-2</v>
      </c>
      <c r="Y89" s="24">
        <f t="shared" si="4"/>
        <v>2.1492003000000003E-2</v>
      </c>
      <c r="Z89" s="24">
        <f t="shared" si="5"/>
        <v>1.8023200999999999E-2</v>
      </c>
      <c r="AB89" s="3">
        <f ca="1">IFERROR(__xludf.DUMMYFUNCTION("AVERAGE.WEIGHTED(C89:D89,$AB$25:$AC$25)"),0.01790070652)</f>
        <v>1.790070652E-2</v>
      </c>
      <c r="AC89" s="3">
        <f ca="1">IFERROR(__xludf.DUMMYFUNCTION("AVERAGE.WEIGHTED(F89:G89,$AB$25:$AC$25)"),0.01921579466)</f>
        <v>1.921579466E-2</v>
      </c>
      <c r="AD89" s="3">
        <f ca="1">IFERROR(__xludf.DUMMYFUNCTION("AVERAGE.WEIGHTED(I89:J89,$AB$25:$AC$25)"),0.02017111926)</f>
        <v>2.0171119259999998E-2</v>
      </c>
    </row>
    <row r="90" spans="1:30" ht="12.75" x14ac:dyDescent="0.2">
      <c r="A90" s="1">
        <v>62</v>
      </c>
      <c r="B90" s="28">
        <f t="shared" ref="B90:U90" si="67">B$18</f>
        <v>1.7562732000000001E-2</v>
      </c>
      <c r="C90" s="28">
        <f t="shared" si="67"/>
        <v>1.9809436E-2</v>
      </c>
      <c r="D90" s="28">
        <f t="shared" si="67"/>
        <v>1.5264842000000001E-2</v>
      </c>
      <c r="E90" s="28">
        <f t="shared" si="67"/>
        <v>1.8868955E-2</v>
      </c>
      <c r="F90" s="28">
        <f t="shared" si="67"/>
        <v>2.1191738000000002E-2</v>
      </c>
      <c r="G90" s="28">
        <f t="shared" si="67"/>
        <v>1.6487110999999999E-2</v>
      </c>
      <c r="H90" s="28">
        <f t="shared" si="67"/>
        <v>1.9518093E-2</v>
      </c>
      <c r="I90" s="28">
        <f t="shared" si="67"/>
        <v>2.3465913000000001E-2</v>
      </c>
      <c r="J90" s="28">
        <f t="shared" si="67"/>
        <v>1.5621166000000001E-2</v>
      </c>
      <c r="K90" s="28">
        <f t="shared" si="67"/>
        <v>2.0425235999999999E-2</v>
      </c>
      <c r="L90" s="28">
        <f t="shared" si="67"/>
        <v>2.3642129000000001E-2</v>
      </c>
      <c r="M90" s="28">
        <f t="shared" si="67"/>
        <v>1.7276593999999999E-2</v>
      </c>
      <c r="N90" s="28">
        <f t="shared" si="67"/>
        <v>2.2366761999999998E-2</v>
      </c>
      <c r="O90" s="28">
        <f t="shared" si="67"/>
        <v>2.5955753000000002E-2</v>
      </c>
      <c r="P90" s="28">
        <f t="shared" si="67"/>
        <v>1.8911279E-2</v>
      </c>
      <c r="Q90" s="28">
        <f t="shared" si="67"/>
        <v>7.4999999999999997E-2</v>
      </c>
      <c r="R90" s="28">
        <f t="shared" si="67"/>
        <v>0.11</v>
      </c>
      <c r="S90" s="28">
        <f t="shared" si="67"/>
        <v>8.3000000000000004E-2</v>
      </c>
      <c r="T90" s="28">
        <f t="shared" si="67"/>
        <v>0.12</v>
      </c>
      <c r="U90" s="28">
        <f t="shared" si="67"/>
        <v>0.09</v>
      </c>
      <c r="V90" s="24">
        <f t="shared" si="1"/>
        <v>1.8686083999999999E-2</v>
      </c>
      <c r="W90" s="24">
        <f t="shared" si="2"/>
        <v>1.70668985E-2</v>
      </c>
      <c r="X90" s="24">
        <f t="shared" si="3"/>
        <v>1.88394245E-2</v>
      </c>
      <c r="Y90" s="24">
        <f t="shared" si="4"/>
        <v>2.1492003000000003E-2</v>
      </c>
      <c r="Z90" s="24">
        <f t="shared" si="5"/>
        <v>1.8023200999999999E-2</v>
      </c>
      <c r="AB90" s="3">
        <f ca="1">IFERROR(__xludf.DUMMYFUNCTION("AVERAGE.WEIGHTED(C90:D90,$AB$25:$AC$25)"),0.01790070652)</f>
        <v>1.790070652E-2</v>
      </c>
      <c r="AC90" s="3">
        <f ca="1">IFERROR(__xludf.DUMMYFUNCTION("AVERAGE.WEIGHTED(F90:G90,$AB$25:$AC$25)"),0.01921579466)</f>
        <v>1.921579466E-2</v>
      </c>
      <c r="AD90" s="3">
        <f ca="1">IFERROR(__xludf.DUMMYFUNCTION("AVERAGE.WEIGHTED(I90:J90,$AB$25:$AC$25)"),0.02017111926)</f>
        <v>2.0171119259999998E-2</v>
      </c>
    </row>
    <row r="91" spans="1:30" ht="12.75" x14ac:dyDescent="0.2">
      <c r="A91" s="1">
        <v>63</v>
      </c>
      <c r="B91" s="28">
        <f t="shared" ref="B91:U91" si="68">B$18</f>
        <v>1.7562732000000001E-2</v>
      </c>
      <c r="C91" s="28">
        <f t="shared" si="68"/>
        <v>1.9809436E-2</v>
      </c>
      <c r="D91" s="28">
        <f t="shared" si="68"/>
        <v>1.5264842000000001E-2</v>
      </c>
      <c r="E91" s="28">
        <f t="shared" si="68"/>
        <v>1.8868955E-2</v>
      </c>
      <c r="F91" s="28">
        <f t="shared" si="68"/>
        <v>2.1191738000000002E-2</v>
      </c>
      <c r="G91" s="28">
        <f t="shared" si="68"/>
        <v>1.6487110999999999E-2</v>
      </c>
      <c r="H91" s="28">
        <f t="shared" si="68"/>
        <v>1.9518093E-2</v>
      </c>
      <c r="I91" s="28">
        <f t="shared" si="68"/>
        <v>2.3465913000000001E-2</v>
      </c>
      <c r="J91" s="28">
        <f t="shared" si="68"/>
        <v>1.5621166000000001E-2</v>
      </c>
      <c r="K91" s="28">
        <f t="shared" si="68"/>
        <v>2.0425235999999999E-2</v>
      </c>
      <c r="L91" s="28">
        <f t="shared" si="68"/>
        <v>2.3642129000000001E-2</v>
      </c>
      <c r="M91" s="28">
        <f t="shared" si="68"/>
        <v>1.7276593999999999E-2</v>
      </c>
      <c r="N91" s="28">
        <f t="shared" si="68"/>
        <v>2.2366761999999998E-2</v>
      </c>
      <c r="O91" s="28">
        <f t="shared" si="68"/>
        <v>2.5955753000000002E-2</v>
      </c>
      <c r="P91" s="28">
        <f t="shared" si="68"/>
        <v>1.8911279E-2</v>
      </c>
      <c r="Q91" s="28">
        <f t="shared" si="68"/>
        <v>7.4999999999999997E-2</v>
      </c>
      <c r="R91" s="28">
        <f t="shared" si="68"/>
        <v>0.11</v>
      </c>
      <c r="S91" s="28">
        <f t="shared" si="68"/>
        <v>8.3000000000000004E-2</v>
      </c>
      <c r="T91" s="28">
        <f t="shared" si="68"/>
        <v>0.12</v>
      </c>
      <c r="U91" s="28">
        <f t="shared" si="68"/>
        <v>0.09</v>
      </c>
      <c r="V91" s="24">
        <f t="shared" si="1"/>
        <v>1.8686083999999999E-2</v>
      </c>
      <c r="W91" s="24">
        <f t="shared" si="2"/>
        <v>1.70668985E-2</v>
      </c>
      <c r="X91" s="24">
        <f t="shared" si="3"/>
        <v>1.88394245E-2</v>
      </c>
      <c r="Y91" s="24">
        <f t="shared" si="4"/>
        <v>2.1492003000000003E-2</v>
      </c>
      <c r="Z91" s="24">
        <f t="shared" si="5"/>
        <v>1.8023200999999999E-2</v>
      </c>
      <c r="AB91" s="3">
        <f ca="1">IFERROR(__xludf.DUMMYFUNCTION("AVERAGE.WEIGHTED(C91:D91,$AB$25:$AC$25)"),0.01790070652)</f>
        <v>1.790070652E-2</v>
      </c>
      <c r="AC91" s="3">
        <f ca="1">IFERROR(__xludf.DUMMYFUNCTION("AVERAGE.WEIGHTED(F91:G91,$AB$25:$AC$25)"),0.01921579466)</f>
        <v>1.921579466E-2</v>
      </c>
      <c r="AD91" s="3">
        <f ca="1">IFERROR(__xludf.DUMMYFUNCTION("AVERAGE.WEIGHTED(I91:J91,$AB$25:$AC$25)"),0.02017111926)</f>
        <v>2.0171119259999998E-2</v>
      </c>
    </row>
    <row r="92" spans="1:30" ht="12.75" x14ac:dyDescent="0.2">
      <c r="A92" s="1">
        <v>64</v>
      </c>
      <c r="B92" s="28">
        <f t="shared" ref="B92:U92" si="69">B$18</f>
        <v>1.7562732000000001E-2</v>
      </c>
      <c r="C92" s="28">
        <f t="shared" si="69"/>
        <v>1.9809436E-2</v>
      </c>
      <c r="D92" s="28">
        <f t="shared" si="69"/>
        <v>1.5264842000000001E-2</v>
      </c>
      <c r="E92" s="28">
        <f t="shared" si="69"/>
        <v>1.8868955E-2</v>
      </c>
      <c r="F92" s="28">
        <f t="shared" si="69"/>
        <v>2.1191738000000002E-2</v>
      </c>
      <c r="G92" s="28">
        <f t="shared" si="69"/>
        <v>1.6487110999999999E-2</v>
      </c>
      <c r="H92" s="28">
        <f t="shared" si="69"/>
        <v>1.9518093E-2</v>
      </c>
      <c r="I92" s="28">
        <f t="shared" si="69"/>
        <v>2.3465913000000001E-2</v>
      </c>
      <c r="J92" s="28">
        <f t="shared" si="69"/>
        <v>1.5621166000000001E-2</v>
      </c>
      <c r="K92" s="28">
        <f t="shared" si="69"/>
        <v>2.0425235999999999E-2</v>
      </c>
      <c r="L92" s="28">
        <f t="shared" si="69"/>
        <v>2.3642129000000001E-2</v>
      </c>
      <c r="M92" s="28">
        <f t="shared" si="69"/>
        <v>1.7276593999999999E-2</v>
      </c>
      <c r="N92" s="28">
        <f t="shared" si="69"/>
        <v>2.2366761999999998E-2</v>
      </c>
      <c r="O92" s="28">
        <f t="shared" si="69"/>
        <v>2.5955753000000002E-2</v>
      </c>
      <c r="P92" s="28">
        <f t="shared" si="69"/>
        <v>1.8911279E-2</v>
      </c>
      <c r="Q92" s="28">
        <f t="shared" si="69"/>
        <v>7.4999999999999997E-2</v>
      </c>
      <c r="R92" s="28">
        <f t="shared" si="69"/>
        <v>0.11</v>
      </c>
      <c r="S92" s="28">
        <f t="shared" si="69"/>
        <v>8.3000000000000004E-2</v>
      </c>
      <c r="T92" s="28">
        <f t="shared" si="69"/>
        <v>0.12</v>
      </c>
      <c r="U92" s="28">
        <f t="shared" si="69"/>
        <v>0.09</v>
      </c>
      <c r="V92" s="24">
        <f t="shared" si="1"/>
        <v>1.8686083999999999E-2</v>
      </c>
      <c r="W92" s="24">
        <f t="shared" si="2"/>
        <v>1.70668985E-2</v>
      </c>
      <c r="X92" s="24">
        <f t="shared" si="3"/>
        <v>1.88394245E-2</v>
      </c>
      <c r="Y92" s="24">
        <f t="shared" si="4"/>
        <v>2.1492003000000003E-2</v>
      </c>
      <c r="Z92" s="24">
        <f t="shared" si="5"/>
        <v>1.8023200999999999E-2</v>
      </c>
      <c r="AB92" s="3">
        <f ca="1">IFERROR(__xludf.DUMMYFUNCTION("AVERAGE.WEIGHTED(C92:D92,$AB$25:$AC$25)"),0.01790070652)</f>
        <v>1.790070652E-2</v>
      </c>
      <c r="AC92" s="3">
        <f ca="1">IFERROR(__xludf.DUMMYFUNCTION("AVERAGE.WEIGHTED(F92:G92,$AB$25:$AC$25)"),0.01921579466)</f>
        <v>1.921579466E-2</v>
      </c>
      <c r="AD92" s="3">
        <f ca="1">IFERROR(__xludf.DUMMYFUNCTION("AVERAGE.WEIGHTED(I92:J92,$AB$25:$AC$25)"),0.02017111926)</f>
        <v>2.0171119259999998E-2</v>
      </c>
    </row>
    <row r="93" spans="1:30" ht="12.75" x14ac:dyDescent="0.2">
      <c r="A93" s="1">
        <v>65</v>
      </c>
      <c r="B93" s="28">
        <f t="shared" ref="B93:U93" si="70">B$19</f>
        <v>2.6607314999999999E-2</v>
      </c>
      <c r="C93" s="28">
        <f t="shared" si="70"/>
        <v>2.9694389000000002E-2</v>
      </c>
      <c r="D93" s="28">
        <f t="shared" si="70"/>
        <v>2.3520396999999998E-2</v>
      </c>
      <c r="E93" s="28">
        <f t="shared" si="70"/>
        <v>2.7298052E-2</v>
      </c>
      <c r="F93" s="28">
        <f t="shared" si="70"/>
        <v>3.0541023E-2</v>
      </c>
      <c r="G93" s="28">
        <f t="shared" si="70"/>
        <v>2.4177309000000001E-2</v>
      </c>
      <c r="H93" s="28">
        <f t="shared" si="70"/>
        <v>3.2876414E-2</v>
      </c>
      <c r="I93" s="28">
        <f t="shared" si="70"/>
        <v>3.8514484000000002E-2</v>
      </c>
      <c r="J93" s="28">
        <f t="shared" si="70"/>
        <v>2.7512561000000001E-2</v>
      </c>
      <c r="K93" s="28">
        <f t="shared" si="70"/>
        <v>3.1651179000000002E-2</v>
      </c>
      <c r="L93" s="28">
        <f t="shared" si="70"/>
        <v>3.6754666999999998E-2</v>
      </c>
      <c r="M93" s="28">
        <f t="shared" si="70"/>
        <v>2.6918319999999999E-2</v>
      </c>
      <c r="N93" s="28">
        <f t="shared" si="70"/>
        <v>3.7296243999999999E-2</v>
      </c>
      <c r="O93" s="28">
        <f t="shared" si="70"/>
        <v>4.2613248999999999E-2</v>
      </c>
      <c r="P93" s="28">
        <f t="shared" si="70"/>
        <v>3.2280955E-2</v>
      </c>
      <c r="Q93" s="28">
        <f t="shared" si="70"/>
        <v>0.13</v>
      </c>
      <c r="R93" s="28">
        <f t="shared" si="70"/>
        <v>0.17</v>
      </c>
      <c r="S93" s="28">
        <f t="shared" si="70"/>
        <v>0.13</v>
      </c>
      <c r="T93" s="28">
        <f t="shared" si="70"/>
        <v>0.19</v>
      </c>
      <c r="U93" s="28">
        <f t="shared" si="70"/>
        <v>0.15</v>
      </c>
      <c r="V93" s="24">
        <f t="shared" si="1"/>
        <v>2.8150852000000001E-2</v>
      </c>
      <c r="W93" s="24">
        <f t="shared" si="2"/>
        <v>2.5409224500000001E-2</v>
      </c>
      <c r="X93" s="24">
        <f t="shared" si="3"/>
        <v>2.7359166000000001E-2</v>
      </c>
      <c r="Y93" s="24">
        <f t="shared" si="4"/>
        <v>3.5695449000000004E-2</v>
      </c>
      <c r="Z93" s="24">
        <f t="shared" si="5"/>
        <v>2.9581870000000003E-2</v>
      </c>
      <c r="AB93" s="3">
        <f ca="1">IFERROR(__xludf.DUMMYFUNCTION("AVERAGE.WEIGHTED(C93:D93,$AB$25:$AC$25)"),0.02710131236)</f>
        <v>2.7101312360000001E-2</v>
      </c>
      <c r="AC93" s="3">
        <f ca="1">IFERROR(__xludf.DUMMYFUNCTION("AVERAGE.WEIGHTED(F93:G93,$AB$25:$AC$25)"),0.02786826312)</f>
        <v>2.786826312E-2</v>
      </c>
      <c r="AD93" s="3">
        <f ca="1">IFERROR(__xludf.DUMMYFUNCTION("AVERAGE.WEIGHTED(I93:J93,$AB$25:$AC$25)"),0.03389367634)</f>
        <v>3.3893676339999998E-2</v>
      </c>
    </row>
    <row r="94" spans="1:30" ht="12.75" x14ac:dyDescent="0.2">
      <c r="A94" s="1">
        <v>66</v>
      </c>
      <c r="B94" s="28">
        <f t="shared" ref="B94:U94" si="71">B$19</f>
        <v>2.6607314999999999E-2</v>
      </c>
      <c r="C94" s="28">
        <f t="shared" si="71"/>
        <v>2.9694389000000002E-2</v>
      </c>
      <c r="D94" s="28">
        <f t="shared" si="71"/>
        <v>2.3520396999999998E-2</v>
      </c>
      <c r="E94" s="28">
        <f t="shared" si="71"/>
        <v>2.7298052E-2</v>
      </c>
      <c r="F94" s="28">
        <f t="shared" si="71"/>
        <v>3.0541023E-2</v>
      </c>
      <c r="G94" s="28">
        <f t="shared" si="71"/>
        <v>2.4177309000000001E-2</v>
      </c>
      <c r="H94" s="28">
        <f t="shared" si="71"/>
        <v>3.2876414E-2</v>
      </c>
      <c r="I94" s="28">
        <f t="shared" si="71"/>
        <v>3.8514484000000002E-2</v>
      </c>
      <c r="J94" s="28">
        <f t="shared" si="71"/>
        <v>2.7512561000000001E-2</v>
      </c>
      <c r="K94" s="28">
        <f t="shared" si="71"/>
        <v>3.1651179000000002E-2</v>
      </c>
      <c r="L94" s="28">
        <f t="shared" si="71"/>
        <v>3.6754666999999998E-2</v>
      </c>
      <c r="M94" s="28">
        <f t="shared" si="71"/>
        <v>2.6918319999999999E-2</v>
      </c>
      <c r="N94" s="28">
        <f t="shared" si="71"/>
        <v>3.7296243999999999E-2</v>
      </c>
      <c r="O94" s="28">
        <f t="shared" si="71"/>
        <v>4.2613248999999999E-2</v>
      </c>
      <c r="P94" s="28">
        <f t="shared" si="71"/>
        <v>3.2280955E-2</v>
      </c>
      <c r="Q94" s="28">
        <f t="shared" si="71"/>
        <v>0.13</v>
      </c>
      <c r="R94" s="28">
        <f t="shared" si="71"/>
        <v>0.17</v>
      </c>
      <c r="S94" s="28">
        <f t="shared" si="71"/>
        <v>0.13</v>
      </c>
      <c r="T94" s="28">
        <f t="shared" si="71"/>
        <v>0.19</v>
      </c>
      <c r="U94" s="28">
        <f t="shared" si="71"/>
        <v>0.15</v>
      </c>
      <c r="V94" s="24">
        <f t="shared" si="1"/>
        <v>2.8150852000000001E-2</v>
      </c>
      <c r="W94" s="24">
        <f t="shared" si="2"/>
        <v>2.5409224500000001E-2</v>
      </c>
      <c r="X94" s="24">
        <f t="shared" si="3"/>
        <v>2.7359166000000001E-2</v>
      </c>
      <c r="Y94" s="24">
        <f t="shared" si="4"/>
        <v>3.5695449000000004E-2</v>
      </c>
      <c r="Z94" s="24">
        <f t="shared" si="5"/>
        <v>2.9581870000000003E-2</v>
      </c>
      <c r="AB94" s="3">
        <f ca="1">IFERROR(__xludf.DUMMYFUNCTION("AVERAGE.WEIGHTED(C94:D94,$AB$25:$AC$25)"),0.02710131236)</f>
        <v>2.7101312360000001E-2</v>
      </c>
      <c r="AC94" s="3">
        <f ca="1">IFERROR(__xludf.DUMMYFUNCTION("AVERAGE.WEIGHTED(F94:G94,$AB$25:$AC$25)"),0.02786826312)</f>
        <v>2.786826312E-2</v>
      </c>
      <c r="AD94" s="3">
        <f ca="1">IFERROR(__xludf.DUMMYFUNCTION("AVERAGE.WEIGHTED(I94:J94,$AB$25:$AC$25)"),0.03389367634)</f>
        <v>3.3893676339999998E-2</v>
      </c>
    </row>
    <row r="95" spans="1:30" ht="12.75" x14ac:dyDescent="0.2">
      <c r="A95" s="1">
        <v>67</v>
      </c>
      <c r="B95" s="28">
        <f t="shared" ref="B95:U95" si="72">B$19</f>
        <v>2.6607314999999999E-2</v>
      </c>
      <c r="C95" s="28">
        <f t="shared" si="72"/>
        <v>2.9694389000000002E-2</v>
      </c>
      <c r="D95" s="28">
        <f t="shared" si="72"/>
        <v>2.3520396999999998E-2</v>
      </c>
      <c r="E95" s="28">
        <f t="shared" si="72"/>
        <v>2.7298052E-2</v>
      </c>
      <c r="F95" s="28">
        <f t="shared" si="72"/>
        <v>3.0541023E-2</v>
      </c>
      <c r="G95" s="28">
        <f t="shared" si="72"/>
        <v>2.4177309000000001E-2</v>
      </c>
      <c r="H95" s="28">
        <f t="shared" si="72"/>
        <v>3.2876414E-2</v>
      </c>
      <c r="I95" s="28">
        <f t="shared" si="72"/>
        <v>3.8514484000000002E-2</v>
      </c>
      <c r="J95" s="28">
        <f t="shared" si="72"/>
        <v>2.7512561000000001E-2</v>
      </c>
      <c r="K95" s="28">
        <f t="shared" si="72"/>
        <v>3.1651179000000002E-2</v>
      </c>
      <c r="L95" s="28">
        <f t="shared" si="72"/>
        <v>3.6754666999999998E-2</v>
      </c>
      <c r="M95" s="28">
        <f t="shared" si="72"/>
        <v>2.6918319999999999E-2</v>
      </c>
      <c r="N95" s="28">
        <f t="shared" si="72"/>
        <v>3.7296243999999999E-2</v>
      </c>
      <c r="O95" s="28">
        <f t="shared" si="72"/>
        <v>4.2613248999999999E-2</v>
      </c>
      <c r="P95" s="28">
        <f t="shared" si="72"/>
        <v>3.2280955E-2</v>
      </c>
      <c r="Q95" s="28">
        <f t="shared" si="72"/>
        <v>0.13</v>
      </c>
      <c r="R95" s="28">
        <f t="shared" si="72"/>
        <v>0.17</v>
      </c>
      <c r="S95" s="28">
        <f t="shared" si="72"/>
        <v>0.13</v>
      </c>
      <c r="T95" s="28">
        <f t="shared" si="72"/>
        <v>0.19</v>
      </c>
      <c r="U95" s="28">
        <f t="shared" si="72"/>
        <v>0.15</v>
      </c>
      <c r="V95" s="24">
        <f t="shared" si="1"/>
        <v>2.8150852000000001E-2</v>
      </c>
      <c r="W95" s="24">
        <f t="shared" si="2"/>
        <v>2.5409224500000001E-2</v>
      </c>
      <c r="X95" s="24">
        <f t="shared" si="3"/>
        <v>2.7359166000000001E-2</v>
      </c>
      <c r="Y95" s="24">
        <f t="shared" si="4"/>
        <v>3.5695449000000004E-2</v>
      </c>
      <c r="Z95" s="24">
        <f t="shared" si="5"/>
        <v>2.9581870000000003E-2</v>
      </c>
      <c r="AB95" s="3">
        <f ca="1">IFERROR(__xludf.DUMMYFUNCTION("AVERAGE.WEIGHTED(C95:D95,$AB$25:$AC$25)"),0.02710131236)</f>
        <v>2.7101312360000001E-2</v>
      </c>
      <c r="AC95" s="3">
        <f ca="1">IFERROR(__xludf.DUMMYFUNCTION("AVERAGE.WEIGHTED(F95:G95,$AB$25:$AC$25)"),0.02786826312)</f>
        <v>2.786826312E-2</v>
      </c>
      <c r="AD95" s="3">
        <f ca="1">IFERROR(__xludf.DUMMYFUNCTION("AVERAGE.WEIGHTED(I95:J95,$AB$25:$AC$25)"),0.03389367634)</f>
        <v>3.3893676339999998E-2</v>
      </c>
    </row>
    <row r="96" spans="1:30" ht="12.75" x14ac:dyDescent="0.2">
      <c r="A96" s="1">
        <v>68</v>
      </c>
      <c r="B96" s="28">
        <f t="shared" ref="B96:U96" si="73">B$19</f>
        <v>2.6607314999999999E-2</v>
      </c>
      <c r="C96" s="28">
        <f t="shared" si="73"/>
        <v>2.9694389000000002E-2</v>
      </c>
      <c r="D96" s="28">
        <f t="shared" si="73"/>
        <v>2.3520396999999998E-2</v>
      </c>
      <c r="E96" s="28">
        <f t="shared" si="73"/>
        <v>2.7298052E-2</v>
      </c>
      <c r="F96" s="28">
        <f t="shared" si="73"/>
        <v>3.0541023E-2</v>
      </c>
      <c r="G96" s="28">
        <f t="shared" si="73"/>
        <v>2.4177309000000001E-2</v>
      </c>
      <c r="H96" s="28">
        <f t="shared" si="73"/>
        <v>3.2876414E-2</v>
      </c>
      <c r="I96" s="28">
        <f t="shared" si="73"/>
        <v>3.8514484000000002E-2</v>
      </c>
      <c r="J96" s="28">
        <f t="shared" si="73"/>
        <v>2.7512561000000001E-2</v>
      </c>
      <c r="K96" s="28">
        <f t="shared" si="73"/>
        <v>3.1651179000000002E-2</v>
      </c>
      <c r="L96" s="28">
        <f t="shared" si="73"/>
        <v>3.6754666999999998E-2</v>
      </c>
      <c r="M96" s="28">
        <f t="shared" si="73"/>
        <v>2.6918319999999999E-2</v>
      </c>
      <c r="N96" s="28">
        <f t="shared" si="73"/>
        <v>3.7296243999999999E-2</v>
      </c>
      <c r="O96" s="28">
        <f t="shared" si="73"/>
        <v>4.2613248999999999E-2</v>
      </c>
      <c r="P96" s="28">
        <f t="shared" si="73"/>
        <v>3.2280955E-2</v>
      </c>
      <c r="Q96" s="28">
        <f t="shared" si="73"/>
        <v>0.13</v>
      </c>
      <c r="R96" s="28">
        <f t="shared" si="73"/>
        <v>0.17</v>
      </c>
      <c r="S96" s="28">
        <f t="shared" si="73"/>
        <v>0.13</v>
      </c>
      <c r="T96" s="28">
        <f t="shared" si="73"/>
        <v>0.19</v>
      </c>
      <c r="U96" s="28">
        <f t="shared" si="73"/>
        <v>0.15</v>
      </c>
      <c r="V96" s="24">
        <f t="shared" si="1"/>
        <v>2.8150852000000001E-2</v>
      </c>
      <c r="W96" s="24">
        <f t="shared" si="2"/>
        <v>2.5409224500000001E-2</v>
      </c>
      <c r="X96" s="24">
        <f t="shared" si="3"/>
        <v>2.7359166000000001E-2</v>
      </c>
      <c r="Y96" s="24">
        <f t="shared" si="4"/>
        <v>3.5695449000000004E-2</v>
      </c>
      <c r="Z96" s="24">
        <f t="shared" si="5"/>
        <v>2.9581870000000003E-2</v>
      </c>
      <c r="AB96" s="3">
        <f ca="1">IFERROR(__xludf.DUMMYFUNCTION("AVERAGE.WEIGHTED(C96:D96,$AB$25:$AC$25)"),0.02710131236)</f>
        <v>2.7101312360000001E-2</v>
      </c>
      <c r="AC96" s="3">
        <f ca="1">IFERROR(__xludf.DUMMYFUNCTION("AVERAGE.WEIGHTED(F96:G96,$AB$25:$AC$25)"),0.02786826312)</f>
        <v>2.786826312E-2</v>
      </c>
      <c r="AD96" s="3">
        <f ca="1">IFERROR(__xludf.DUMMYFUNCTION("AVERAGE.WEIGHTED(I96:J96,$AB$25:$AC$25)"),0.03389367634)</f>
        <v>3.3893676339999998E-2</v>
      </c>
    </row>
    <row r="97" spans="1:30" ht="12.75" x14ac:dyDescent="0.2">
      <c r="A97" s="1">
        <v>69</v>
      </c>
      <c r="B97" s="28">
        <f t="shared" ref="B97:U97" si="74">B$19</f>
        <v>2.6607314999999999E-2</v>
      </c>
      <c r="C97" s="28">
        <f t="shared" si="74"/>
        <v>2.9694389000000002E-2</v>
      </c>
      <c r="D97" s="28">
        <f t="shared" si="74"/>
        <v>2.3520396999999998E-2</v>
      </c>
      <c r="E97" s="28">
        <f t="shared" si="74"/>
        <v>2.7298052E-2</v>
      </c>
      <c r="F97" s="28">
        <f t="shared" si="74"/>
        <v>3.0541023E-2</v>
      </c>
      <c r="G97" s="28">
        <f t="shared" si="74"/>
        <v>2.4177309000000001E-2</v>
      </c>
      <c r="H97" s="28">
        <f t="shared" si="74"/>
        <v>3.2876414E-2</v>
      </c>
      <c r="I97" s="28">
        <f t="shared" si="74"/>
        <v>3.8514484000000002E-2</v>
      </c>
      <c r="J97" s="28">
        <f t="shared" si="74"/>
        <v>2.7512561000000001E-2</v>
      </c>
      <c r="K97" s="28">
        <f t="shared" si="74"/>
        <v>3.1651179000000002E-2</v>
      </c>
      <c r="L97" s="28">
        <f t="shared" si="74"/>
        <v>3.6754666999999998E-2</v>
      </c>
      <c r="M97" s="28">
        <f t="shared" si="74"/>
        <v>2.6918319999999999E-2</v>
      </c>
      <c r="N97" s="28">
        <f t="shared" si="74"/>
        <v>3.7296243999999999E-2</v>
      </c>
      <c r="O97" s="28">
        <f t="shared" si="74"/>
        <v>4.2613248999999999E-2</v>
      </c>
      <c r="P97" s="28">
        <f t="shared" si="74"/>
        <v>3.2280955E-2</v>
      </c>
      <c r="Q97" s="28">
        <f t="shared" si="74"/>
        <v>0.13</v>
      </c>
      <c r="R97" s="28">
        <f t="shared" si="74"/>
        <v>0.17</v>
      </c>
      <c r="S97" s="28">
        <f t="shared" si="74"/>
        <v>0.13</v>
      </c>
      <c r="T97" s="28">
        <f t="shared" si="74"/>
        <v>0.19</v>
      </c>
      <c r="U97" s="28">
        <f t="shared" si="74"/>
        <v>0.15</v>
      </c>
      <c r="V97" s="24">
        <f t="shared" si="1"/>
        <v>2.8150852000000001E-2</v>
      </c>
      <c r="W97" s="24">
        <f t="shared" si="2"/>
        <v>2.5409224500000001E-2</v>
      </c>
      <c r="X97" s="24">
        <f t="shared" si="3"/>
        <v>2.7359166000000001E-2</v>
      </c>
      <c r="Y97" s="24">
        <f t="shared" si="4"/>
        <v>3.5695449000000004E-2</v>
      </c>
      <c r="Z97" s="24">
        <f t="shared" si="5"/>
        <v>2.9581870000000003E-2</v>
      </c>
      <c r="AB97" s="3">
        <f ca="1">IFERROR(__xludf.DUMMYFUNCTION("AVERAGE.WEIGHTED(C97:D97,$AB$25:$AC$25)"),0.02710131236)</f>
        <v>2.7101312360000001E-2</v>
      </c>
      <c r="AC97" s="3">
        <f ca="1">IFERROR(__xludf.DUMMYFUNCTION("AVERAGE.WEIGHTED(F97:G97,$AB$25:$AC$25)"),0.02786826312)</f>
        <v>2.786826312E-2</v>
      </c>
      <c r="AD97" s="3">
        <f ca="1">IFERROR(__xludf.DUMMYFUNCTION("AVERAGE.WEIGHTED(I97:J97,$AB$25:$AC$25)"),0.03389367634)</f>
        <v>3.3893676339999998E-2</v>
      </c>
    </row>
    <row r="98" spans="1:30" ht="12.75" x14ac:dyDescent="0.2">
      <c r="A98" s="1">
        <v>70</v>
      </c>
      <c r="B98" s="28">
        <f t="shared" ref="B98:U98" si="75">B$20</f>
        <v>4.1230302000000003E-2</v>
      </c>
      <c r="C98" s="28">
        <f t="shared" si="75"/>
        <v>4.4928562999999998E-2</v>
      </c>
      <c r="D98" s="28">
        <f t="shared" si="75"/>
        <v>3.7806164000000003E-2</v>
      </c>
      <c r="E98" s="28">
        <f t="shared" si="75"/>
        <v>4.1640266000000002E-2</v>
      </c>
      <c r="F98" s="28">
        <f t="shared" si="75"/>
        <v>4.5475193999999997E-2</v>
      </c>
      <c r="G98" s="28">
        <f t="shared" si="75"/>
        <v>3.8108741000000002E-2</v>
      </c>
      <c r="H98" s="28">
        <f t="shared" si="75"/>
        <v>4.7205685999999997E-2</v>
      </c>
      <c r="I98" s="28">
        <f t="shared" si="75"/>
        <v>5.2907488000000003E-2</v>
      </c>
      <c r="J98" s="28">
        <f t="shared" si="75"/>
        <v>4.2079181E-2</v>
      </c>
      <c r="K98" s="28">
        <f t="shared" si="75"/>
        <v>5.0567484000000003E-2</v>
      </c>
      <c r="L98" s="28">
        <f t="shared" si="75"/>
        <v>5.6639963000000002E-2</v>
      </c>
      <c r="M98" s="28">
        <f t="shared" si="75"/>
        <v>4.5068189000000002E-2</v>
      </c>
      <c r="N98" s="28">
        <f t="shared" si="75"/>
        <v>5.9325991000000002E-2</v>
      </c>
      <c r="O98" s="28">
        <f t="shared" si="75"/>
        <v>6.5072852E-2</v>
      </c>
      <c r="P98" s="28">
        <f t="shared" si="75"/>
        <v>5.3858731E-2</v>
      </c>
      <c r="Q98" s="28">
        <f t="shared" si="75"/>
        <v>0.19</v>
      </c>
      <c r="R98" s="28">
        <f t="shared" si="75"/>
        <v>0.25</v>
      </c>
      <c r="S98" s="28">
        <f t="shared" si="75"/>
        <v>0.2</v>
      </c>
      <c r="T98" s="28">
        <f t="shared" si="75"/>
        <v>0.28000000000000003</v>
      </c>
      <c r="U98" s="28">
        <f t="shared" si="75"/>
        <v>0.24</v>
      </c>
      <c r="V98" s="24">
        <f t="shared" si="1"/>
        <v>4.3079432500000001E-2</v>
      </c>
      <c r="W98" s="24">
        <f t="shared" si="2"/>
        <v>3.9723215000000006E-2</v>
      </c>
      <c r="X98" s="24">
        <f t="shared" si="3"/>
        <v>4.1791967499999999E-2</v>
      </c>
      <c r="Y98" s="24">
        <f t="shared" si="4"/>
        <v>5.0056587E-2</v>
      </c>
      <c r="Z98" s="24">
        <f t="shared" si="5"/>
        <v>4.6323332500000002E-2</v>
      </c>
      <c r="AB98" s="3">
        <f ca="1">IFERROR(__xludf.DUMMYFUNCTION("AVERAGE.WEIGHTED(C98:D98,$AB$25:$AC$25)"),0.04193715542)</f>
        <v>4.1937155419999997E-2</v>
      </c>
      <c r="AC98" s="3">
        <f ca="1">IFERROR(__xludf.DUMMYFUNCTION("AVERAGE.WEIGHTED(F98:G98,$AB$25:$AC$25)"),0.04238128374)</f>
        <v>4.2381283739999998E-2</v>
      </c>
      <c r="AD98" s="3">
        <f ca="1">IFERROR(__xludf.DUMMYFUNCTION("AVERAGE.WEIGHTED(I98:J98,$AB$25:$AC$25)"),0.04835959906)</f>
        <v>4.8359599060000001E-2</v>
      </c>
    </row>
    <row r="99" spans="1:30" ht="12.75" x14ac:dyDescent="0.2">
      <c r="A99" s="1">
        <v>71</v>
      </c>
      <c r="B99" s="28">
        <f t="shared" ref="B99:U99" si="76">B$20</f>
        <v>4.1230302000000003E-2</v>
      </c>
      <c r="C99" s="28">
        <f t="shared" si="76"/>
        <v>4.4928562999999998E-2</v>
      </c>
      <c r="D99" s="28">
        <f t="shared" si="76"/>
        <v>3.7806164000000003E-2</v>
      </c>
      <c r="E99" s="28">
        <f t="shared" si="76"/>
        <v>4.1640266000000002E-2</v>
      </c>
      <c r="F99" s="28">
        <f t="shared" si="76"/>
        <v>4.5475193999999997E-2</v>
      </c>
      <c r="G99" s="28">
        <f t="shared" si="76"/>
        <v>3.8108741000000002E-2</v>
      </c>
      <c r="H99" s="28">
        <f t="shared" si="76"/>
        <v>4.7205685999999997E-2</v>
      </c>
      <c r="I99" s="28">
        <f t="shared" si="76"/>
        <v>5.2907488000000003E-2</v>
      </c>
      <c r="J99" s="28">
        <f t="shared" si="76"/>
        <v>4.2079181E-2</v>
      </c>
      <c r="K99" s="28">
        <f t="shared" si="76"/>
        <v>5.0567484000000003E-2</v>
      </c>
      <c r="L99" s="28">
        <f t="shared" si="76"/>
        <v>5.6639963000000002E-2</v>
      </c>
      <c r="M99" s="28">
        <f t="shared" si="76"/>
        <v>4.5068189000000002E-2</v>
      </c>
      <c r="N99" s="28">
        <f t="shared" si="76"/>
        <v>5.9325991000000002E-2</v>
      </c>
      <c r="O99" s="28">
        <f t="shared" si="76"/>
        <v>6.5072852E-2</v>
      </c>
      <c r="P99" s="28">
        <f t="shared" si="76"/>
        <v>5.3858731E-2</v>
      </c>
      <c r="Q99" s="28">
        <f t="shared" si="76"/>
        <v>0.19</v>
      </c>
      <c r="R99" s="28">
        <f t="shared" si="76"/>
        <v>0.25</v>
      </c>
      <c r="S99" s="28">
        <f t="shared" si="76"/>
        <v>0.2</v>
      </c>
      <c r="T99" s="28">
        <f t="shared" si="76"/>
        <v>0.28000000000000003</v>
      </c>
      <c r="U99" s="28">
        <f t="shared" si="76"/>
        <v>0.24</v>
      </c>
      <c r="V99" s="24">
        <f t="shared" si="1"/>
        <v>4.3079432500000001E-2</v>
      </c>
      <c r="W99" s="24">
        <f t="shared" si="2"/>
        <v>3.9723215000000006E-2</v>
      </c>
      <c r="X99" s="24">
        <f t="shared" si="3"/>
        <v>4.1791967499999999E-2</v>
      </c>
      <c r="Y99" s="24">
        <f t="shared" si="4"/>
        <v>5.0056587E-2</v>
      </c>
      <c r="Z99" s="24">
        <f t="shared" si="5"/>
        <v>4.6323332500000002E-2</v>
      </c>
      <c r="AB99" s="3">
        <f ca="1">IFERROR(__xludf.DUMMYFUNCTION("AVERAGE.WEIGHTED(C99:D99,$AB$25:$AC$25)"),0.04193715542)</f>
        <v>4.1937155419999997E-2</v>
      </c>
      <c r="AC99" s="3">
        <f ca="1">IFERROR(__xludf.DUMMYFUNCTION("AVERAGE.WEIGHTED(F99:G99,$AB$25:$AC$25)"),0.04238128374)</f>
        <v>4.2381283739999998E-2</v>
      </c>
      <c r="AD99" s="3">
        <f ca="1">IFERROR(__xludf.DUMMYFUNCTION("AVERAGE.WEIGHTED(I99:J99,$AB$25:$AC$25)"),0.04835959906)</f>
        <v>4.8359599060000001E-2</v>
      </c>
    </row>
    <row r="100" spans="1:30" ht="12.75" x14ac:dyDescent="0.2">
      <c r="A100" s="1">
        <v>72</v>
      </c>
      <c r="B100" s="28">
        <f t="shared" ref="B100:U100" si="77">B$20</f>
        <v>4.1230302000000003E-2</v>
      </c>
      <c r="C100" s="28">
        <f t="shared" si="77"/>
        <v>4.4928562999999998E-2</v>
      </c>
      <c r="D100" s="28">
        <f t="shared" si="77"/>
        <v>3.7806164000000003E-2</v>
      </c>
      <c r="E100" s="28">
        <f t="shared" si="77"/>
        <v>4.1640266000000002E-2</v>
      </c>
      <c r="F100" s="28">
        <f t="shared" si="77"/>
        <v>4.5475193999999997E-2</v>
      </c>
      <c r="G100" s="28">
        <f t="shared" si="77"/>
        <v>3.8108741000000002E-2</v>
      </c>
      <c r="H100" s="28">
        <f t="shared" si="77"/>
        <v>4.7205685999999997E-2</v>
      </c>
      <c r="I100" s="28">
        <f t="shared" si="77"/>
        <v>5.2907488000000003E-2</v>
      </c>
      <c r="J100" s="28">
        <f t="shared" si="77"/>
        <v>4.2079181E-2</v>
      </c>
      <c r="K100" s="28">
        <f t="shared" si="77"/>
        <v>5.0567484000000003E-2</v>
      </c>
      <c r="L100" s="28">
        <f t="shared" si="77"/>
        <v>5.6639963000000002E-2</v>
      </c>
      <c r="M100" s="28">
        <f t="shared" si="77"/>
        <v>4.5068189000000002E-2</v>
      </c>
      <c r="N100" s="28">
        <f t="shared" si="77"/>
        <v>5.9325991000000002E-2</v>
      </c>
      <c r="O100" s="28">
        <f t="shared" si="77"/>
        <v>6.5072852E-2</v>
      </c>
      <c r="P100" s="28">
        <f t="shared" si="77"/>
        <v>5.3858731E-2</v>
      </c>
      <c r="Q100" s="28">
        <f t="shared" si="77"/>
        <v>0.19</v>
      </c>
      <c r="R100" s="28">
        <f t="shared" si="77"/>
        <v>0.25</v>
      </c>
      <c r="S100" s="28">
        <f t="shared" si="77"/>
        <v>0.2</v>
      </c>
      <c r="T100" s="28">
        <f t="shared" si="77"/>
        <v>0.28000000000000003</v>
      </c>
      <c r="U100" s="28">
        <f t="shared" si="77"/>
        <v>0.24</v>
      </c>
      <c r="V100" s="24">
        <f t="shared" si="1"/>
        <v>4.3079432500000001E-2</v>
      </c>
      <c r="W100" s="24">
        <f t="shared" si="2"/>
        <v>3.9723215000000006E-2</v>
      </c>
      <c r="X100" s="24">
        <f t="shared" si="3"/>
        <v>4.1791967499999999E-2</v>
      </c>
      <c r="Y100" s="24">
        <f t="shared" si="4"/>
        <v>5.0056587E-2</v>
      </c>
      <c r="Z100" s="24">
        <f t="shared" si="5"/>
        <v>4.6323332500000002E-2</v>
      </c>
      <c r="AB100" s="3">
        <f ca="1">IFERROR(__xludf.DUMMYFUNCTION("AVERAGE.WEIGHTED(C100:D100,$AB$25:$AC$25)"),0.04193715542)</f>
        <v>4.1937155419999997E-2</v>
      </c>
      <c r="AC100" s="3">
        <f ca="1">IFERROR(__xludf.DUMMYFUNCTION("AVERAGE.WEIGHTED(F100:G100,$AB$25:$AC$25)"),0.04238128374)</f>
        <v>4.2381283739999998E-2</v>
      </c>
      <c r="AD100" s="3">
        <f ca="1">IFERROR(__xludf.DUMMYFUNCTION("AVERAGE.WEIGHTED(I100:J100,$AB$25:$AC$25)"),0.04835959906)</f>
        <v>4.8359599060000001E-2</v>
      </c>
    </row>
    <row r="101" spans="1:30" ht="12.75" x14ac:dyDescent="0.2">
      <c r="A101" s="1">
        <v>73</v>
      </c>
      <c r="B101" s="28">
        <f t="shared" ref="B101:U101" si="78">B$20</f>
        <v>4.1230302000000003E-2</v>
      </c>
      <c r="C101" s="28">
        <f t="shared" si="78"/>
        <v>4.4928562999999998E-2</v>
      </c>
      <c r="D101" s="28">
        <f t="shared" si="78"/>
        <v>3.7806164000000003E-2</v>
      </c>
      <c r="E101" s="28">
        <f t="shared" si="78"/>
        <v>4.1640266000000002E-2</v>
      </c>
      <c r="F101" s="28">
        <f t="shared" si="78"/>
        <v>4.5475193999999997E-2</v>
      </c>
      <c r="G101" s="28">
        <f t="shared" si="78"/>
        <v>3.8108741000000002E-2</v>
      </c>
      <c r="H101" s="28">
        <f t="shared" si="78"/>
        <v>4.7205685999999997E-2</v>
      </c>
      <c r="I101" s="28">
        <f t="shared" si="78"/>
        <v>5.2907488000000003E-2</v>
      </c>
      <c r="J101" s="28">
        <f t="shared" si="78"/>
        <v>4.2079181E-2</v>
      </c>
      <c r="K101" s="28">
        <f t="shared" si="78"/>
        <v>5.0567484000000003E-2</v>
      </c>
      <c r="L101" s="28">
        <f t="shared" si="78"/>
        <v>5.6639963000000002E-2</v>
      </c>
      <c r="M101" s="28">
        <f t="shared" si="78"/>
        <v>4.5068189000000002E-2</v>
      </c>
      <c r="N101" s="28">
        <f t="shared" si="78"/>
        <v>5.9325991000000002E-2</v>
      </c>
      <c r="O101" s="28">
        <f t="shared" si="78"/>
        <v>6.5072852E-2</v>
      </c>
      <c r="P101" s="28">
        <f t="shared" si="78"/>
        <v>5.3858731E-2</v>
      </c>
      <c r="Q101" s="28">
        <f t="shared" si="78"/>
        <v>0.19</v>
      </c>
      <c r="R101" s="28">
        <f t="shared" si="78"/>
        <v>0.25</v>
      </c>
      <c r="S101" s="28">
        <f t="shared" si="78"/>
        <v>0.2</v>
      </c>
      <c r="T101" s="28">
        <f t="shared" si="78"/>
        <v>0.28000000000000003</v>
      </c>
      <c r="U101" s="28">
        <f t="shared" si="78"/>
        <v>0.24</v>
      </c>
      <c r="V101" s="24">
        <f t="shared" si="1"/>
        <v>4.3079432500000001E-2</v>
      </c>
      <c r="W101" s="24">
        <f t="shared" si="2"/>
        <v>3.9723215000000006E-2</v>
      </c>
      <c r="X101" s="24">
        <f t="shared" si="3"/>
        <v>4.1791967499999999E-2</v>
      </c>
      <c r="Y101" s="24">
        <f t="shared" si="4"/>
        <v>5.0056587E-2</v>
      </c>
      <c r="Z101" s="24">
        <f t="shared" si="5"/>
        <v>4.6323332500000002E-2</v>
      </c>
      <c r="AB101" s="3">
        <f ca="1">IFERROR(__xludf.DUMMYFUNCTION("AVERAGE.WEIGHTED(C101:D101,$AB$25:$AC$25)"),0.04193715542)</f>
        <v>4.1937155419999997E-2</v>
      </c>
      <c r="AC101" s="3">
        <f ca="1">IFERROR(__xludf.DUMMYFUNCTION("AVERAGE.WEIGHTED(F101:G101,$AB$25:$AC$25)"),0.04238128374)</f>
        <v>4.2381283739999998E-2</v>
      </c>
      <c r="AD101" s="3">
        <f ca="1">IFERROR(__xludf.DUMMYFUNCTION("AVERAGE.WEIGHTED(I101:J101,$AB$25:$AC$25)"),0.04835959906)</f>
        <v>4.8359599060000001E-2</v>
      </c>
    </row>
    <row r="102" spans="1:30" ht="12.75" x14ac:dyDescent="0.2">
      <c r="A102" s="1">
        <v>74</v>
      </c>
      <c r="B102" s="28">
        <f t="shared" ref="B102:U102" si="79">B$20</f>
        <v>4.1230302000000003E-2</v>
      </c>
      <c r="C102" s="28">
        <f t="shared" si="79"/>
        <v>4.4928562999999998E-2</v>
      </c>
      <c r="D102" s="28">
        <f t="shared" si="79"/>
        <v>3.7806164000000003E-2</v>
      </c>
      <c r="E102" s="28">
        <f t="shared" si="79"/>
        <v>4.1640266000000002E-2</v>
      </c>
      <c r="F102" s="28">
        <f t="shared" si="79"/>
        <v>4.5475193999999997E-2</v>
      </c>
      <c r="G102" s="28">
        <f t="shared" si="79"/>
        <v>3.8108741000000002E-2</v>
      </c>
      <c r="H102" s="28">
        <f t="shared" si="79"/>
        <v>4.7205685999999997E-2</v>
      </c>
      <c r="I102" s="28">
        <f t="shared" si="79"/>
        <v>5.2907488000000003E-2</v>
      </c>
      <c r="J102" s="28">
        <f t="shared" si="79"/>
        <v>4.2079181E-2</v>
      </c>
      <c r="K102" s="28">
        <f t="shared" si="79"/>
        <v>5.0567484000000003E-2</v>
      </c>
      <c r="L102" s="28">
        <f t="shared" si="79"/>
        <v>5.6639963000000002E-2</v>
      </c>
      <c r="M102" s="28">
        <f t="shared" si="79"/>
        <v>4.5068189000000002E-2</v>
      </c>
      <c r="N102" s="28">
        <f t="shared" si="79"/>
        <v>5.9325991000000002E-2</v>
      </c>
      <c r="O102" s="28">
        <f t="shared" si="79"/>
        <v>6.5072852E-2</v>
      </c>
      <c r="P102" s="28">
        <f t="shared" si="79"/>
        <v>5.3858731E-2</v>
      </c>
      <c r="Q102" s="28">
        <f t="shared" si="79"/>
        <v>0.19</v>
      </c>
      <c r="R102" s="28">
        <f t="shared" si="79"/>
        <v>0.25</v>
      </c>
      <c r="S102" s="28">
        <f t="shared" si="79"/>
        <v>0.2</v>
      </c>
      <c r="T102" s="28">
        <f t="shared" si="79"/>
        <v>0.28000000000000003</v>
      </c>
      <c r="U102" s="28">
        <f t="shared" si="79"/>
        <v>0.24</v>
      </c>
      <c r="V102" s="24">
        <f t="shared" si="1"/>
        <v>4.3079432500000001E-2</v>
      </c>
      <c r="W102" s="24">
        <f t="shared" si="2"/>
        <v>3.9723215000000006E-2</v>
      </c>
      <c r="X102" s="24">
        <f t="shared" si="3"/>
        <v>4.1791967499999999E-2</v>
      </c>
      <c r="Y102" s="24">
        <f t="shared" si="4"/>
        <v>5.0056587E-2</v>
      </c>
      <c r="Z102" s="24">
        <f t="shared" si="5"/>
        <v>4.6323332500000002E-2</v>
      </c>
      <c r="AB102" s="3">
        <f ca="1">IFERROR(__xludf.DUMMYFUNCTION("AVERAGE.WEIGHTED(C102:D102,$AB$25:$AC$25)"),0.04193715542)</f>
        <v>4.1937155419999997E-2</v>
      </c>
      <c r="AC102" s="3">
        <f ca="1">IFERROR(__xludf.DUMMYFUNCTION("AVERAGE.WEIGHTED(F102:G102,$AB$25:$AC$25)"),0.04238128374)</f>
        <v>4.2381283739999998E-2</v>
      </c>
      <c r="AD102" s="3">
        <f ca="1">IFERROR(__xludf.DUMMYFUNCTION("AVERAGE.WEIGHTED(I102:J102,$AB$25:$AC$25)"),0.04835959906)</f>
        <v>4.8359599060000001E-2</v>
      </c>
    </row>
    <row r="103" spans="1:30" ht="12.75" x14ac:dyDescent="0.2">
      <c r="A103" s="1">
        <v>75</v>
      </c>
      <c r="B103" s="28">
        <f t="shared" ref="B103:U103" si="80">B$21</f>
        <v>6.2868255999999997E-2</v>
      </c>
      <c r="C103" s="28">
        <f t="shared" si="80"/>
        <v>6.8316935999999995E-2</v>
      </c>
      <c r="D103" s="28">
        <f t="shared" si="80"/>
        <v>5.8071479000000002E-2</v>
      </c>
      <c r="E103" s="28">
        <f t="shared" si="80"/>
        <v>6.4788433000000006E-2</v>
      </c>
      <c r="F103" s="28">
        <f t="shared" si="80"/>
        <v>7.0637001000000005E-2</v>
      </c>
      <c r="G103" s="28">
        <f t="shared" si="80"/>
        <v>5.9747314000000003E-2</v>
      </c>
      <c r="H103" s="28">
        <f t="shared" si="80"/>
        <v>6.9944739000000006E-2</v>
      </c>
      <c r="I103" s="28">
        <f t="shared" si="80"/>
        <v>7.7824775999999998E-2</v>
      </c>
      <c r="J103" s="28">
        <f t="shared" si="80"/>
        <v>6.3033595999999997E-2</v>
      </c>
      <c r="K103" s="28">
        <f t="shared" si="80"/>
        <v>8.1968427999999996E-2</v>
      </c>
      <c r="L103" s="28">
        <f t="shared" si="80"/>
        <v>8.7874479000000005E-2</v>
      </c>
      <c r="M103" s="28">
        <f t="shared" si="80"/>
        <v>7.6579786999999996E-2</v>
      </c>
      <c r="N103" s="28">
        <f t="shared" si="80"/>
        <v>9.4792345E-2</v>
      </c>
      <c r="O103" s="28">
        <f t="shared" si="80"/>
        <v>9.9799936000000006E-2</v>
      </c>
      <c r="P103" s="28">
        <f t="shared" si="80"/>
        <v>9.0112378000000007E-2</v>
      </c>
      <c r="Q103" s="28">
        <f t="shared" si="80"/>
        <v>0.27</v>
      </c>
      <c r="R103" s="28">
        <f t="shared" si="80"/>
        <v>0.36</v>
      </c>
      <c r="S103" s="28">
        <f t="shared" si="80"/>
        <v>0.32</v>
      </c>
      <c r="T103" s="28">
        <f t="shared" si="80"/>
        <v>0.4</v>
      </c>
      <c r="U103" s="28">
        <f t="shared" si="80"/>
        <v>0.37</v>
      </c>
      <c r="V103" s="24">
        <f t="shared" si="1"/>
        <v>6.5592596000000003E-2</v>
      </c>
      <c r="W103" s="24">
        <f t="shared" si="2"/>
        <v>6.1429956000000008E-2</v>
      </c>
      <c r="X103" s="24">
        <f t="shared" si="3"/>
        <v>6.51921575E-2</v>
      </c>
      <c r="Y103" s="24">
        <f t="shared" si="4"/>
        <v>7.3884757500000009E-2</v>
      </c>
      <c r="Z103" s="24">
        <f t="shared" si="5"/>
        <v>7.2501012000000004E-2</v>
      </c>
      <c r="AB103" s="3">
        <f ca="1">IFERROR(__xludf.DUMMYFUNCTION("AVERAGE.WEIGHTED(C103:D103,$AB$25:$AC$25)"),0.0640138440599999)</f>
        <v>6.4013844059999894E-2</v>
      </c>
      <c r="AC103" s="3">
        <f ca="1">IFERROR(__xludf.DUMMYFUNCTION("AVERAGE.WEIGHTED(F103:G103,$AB$25:$AC$25)"),0.06606333246)</f>
        <v>6.6063332459999999E-2</v>
      </c>
      <c r="AD103" s="3">
        <f ca="1">IFERROR(__xludf.DUMMYFUNCTION("AVERAGE.WEIGHTED(I103:J103,$AB$25:$AC$25)"),0.0716124804)</f>
        <v>7.1612480399999998E-2</v>
      </c>
    </row>
    <row r="104" spans="1:30" ht="12.75" x14ac:dyDescent="0.2">
      <c r="A104" s="1">
        <v>76</v>
      </c>
      <c r="B104" s="28">
        <f t="shared" ref="B104:U104" si="81">B$21</f>
        <v>6.2868255999999997E-2</v>
      </c>
      <c r="C104" s="28">
        <f t="shared" si="81"/>
        <v>6.8316935999999995E-2</v>
      </c>
      <c r="D104" s="28">
        <f t="shared" si="81"/>
        <v>5.8071479000000002E-2</v>
      </c>
      <c r="E104" s="28">
        <f t="shared" si="81"/>
        <v>6.4788433000000006E-2</v>
      </c>
      <c r="F104" s="28">
        <f t="shared" si="81"/>
        <v>7.0637001000000005E-2</v>
      </c>
      <c r="G104" s="28">
        <f t="shared" si="81"/>
        <v>5.9747314000000003E-2</v>
      </c>
      <c r="H104" s="28">
        <f t="shared" si="81"/>
        <v>6.9944739000000006E-2</v>
      </c>
      <c r="I104" s="28">
        <f t="shared" si="81"/>
        <v>7.7824775999999998E-2</v>
      </c>
      <c r="J104" s="28">
        <f t="shared" si="81"/>
        <v>6.3033595999999997E-2</v>
      </c>
      <c r="K104" s="28">
        <f t="shared" si="81"/>
        <v>8.1968427999999996E-2</v>
      </c>
      <c r="L104" s="28">
        <f t="shared" si="81"/>
        <v>8.7874479000000005E-2</v>
      </c>
      <c r="M104" s="28">
        <f t="shared" si="81"/>
        <v>7.6579786999999996E-2</v>
      </c>
      <c r="N104" s="28">
        <f t="shared" si="81"/>
        <v>9.4792345E-2</v>
      </c>
      <c r="O104" s="28">
        <f t="shared" si="81"/>
        <v>9.9799936000000006E-2</v>
      </c>
      <c r="P104" s="28">
        <f t="shared" si="81"/>
        <v>9.0112378000000007E-2</v>
      </c>
      <c r="Q104" s="28">
        <f t="shared" si="81"/>
        <v>0.27</v>
      </c>
      <c r="R104" s="28">
        <f t="shared" si="81"/>
        <v>0.36</v>
      </c>
      <c r="S104" s="28">
        <f t="shared" si="81"/>
        <v>0.32</v>
      </c>
      <c r="T104" s="28">
        <f t="shared" si="81"/>
        <v>0.4</v>
      </c>
      <c r="U104" s="28">
        <f t="shared" si="81"/>
        <v>0.37</v>
      </c>
      <c r="V104" s="24">
        <f t="shared" si="1"/>
        <v>6.5592596000000003E-2</v>
      </c>
      <c r="W104" s="24">
        <f t="shared" si="2"/>
        <v>6.1429956000000008E-2</v>
      </c>
      <c r="X104" s="24">
        <f t="shared" si="3"/>
        <v>6.51921575E-2</v>
      </c>
      <c r="Y104" s="24">
        <f t="shared" si="4"/>
        <v>7.3884757500000009E-2</v>
      </c>
      <c r="Z104" s="24">
        <f t="shared" si="5"/>
        <v>7.2501012000000004E-2</v>
      </c>
      <c r="AB104" s="3">
        <f ca="1">IFERROR(__xludf.DUMMYFUNCTION("AVERAGE.WEIGHTED(C104:D104,$AB$25:$AC$25)"),0.0640138440599999)</f>
        <v>6.4013844059999894E-2</v>
      </c>
      <c r="AC104" s="3">
        <f ca="1">IFERROR(__xludf.DUMMYFUNCTION("AVERAGE.WEIGHTED(F104:G104,$AB$25:$AC$25)"),0.06606333246)</f>
        <v>6.6063332459999999E-2</v>
      </c>
      <c r="AD104" s="3">
        <f ca="1">IFERROR(__xludf.DUMMYFUNCTION("AVERAGE.WEIGHTED(I104:J104,$AB$25:$AC$25)"),0.0716124804)</f>
        <v>7.1612480399999998E-2</v>
      </c>
    </row>
    <row r="105" spans="1:30" ht="12.75" x14ac:dyDescent="0.2">
      <c r="A105" s="1">
        <v>77</v>
      </c>
      <c r="B105" s="28">
        <f t="shared" ref="B105:U105" si="82">B$21</f>
        <v>6.2868255999999997E-2</v>
      </c>
      <c r="C105" s="28">
        <f t="shared" si="82"/>
        <v>6.8316935999999995E-2</v>
      </c>
      <c r="D105" s="28">
        <f t="shared" si="82"/>
        <v>5.8071479000000002E-2</v>
      </c>
      <c r="E105" s="28">
        <f t="shared" si="82"/>
        <v>6.4788433000000006E-2</v>
      </c>
      <c r="F105" s="28">
        <f t="shared" si="82"/>
        <v>7.0637001000000005E-2</v>
      </c>
      <c r="G105" s="28">
        <f t="shared" si="82"/>
        <v>5.9747314000000003E-2</v>
      </c>
      <c r="H105" s="28">
        <f t="shared" si="82"/>
        <v>6.9944739000000006E-2</v>
      </c>
      <c r="I105" s="28">
        <f t="shared" si="82"/>
        <v>7.7824775999999998E-2</v>
      </c>
      <c r="J105" s="28">
        <f t="shared" si="82"/>
        <v>6.3033595999999997E-2</v>
      </c>
      <c r="K105" s="28">
        <f t="shared" si="82"/>
        <v>8.1968427999999996E-2</v>
      </c>
      <c r="L105" s="28">
        <f t="shared" si="82"/>
        <v>8.7874479000000005E-2</v>
      </c>
      <c r="M105" s="28">
        <f t="shared" si="82"/>
        <v>7.6579786999999996E-2</v>
      </c>
      <c r="N105" s="28">
        <f t="shared" si="82"/>
        <v>9.4792345E-2</v>
      </c>
      <c r="O105" s="28">
        <f t="shared" si="82"/>
        <v>9.9799936000000006E-2</v>
      </c>
      <c r="P105" s="28">
        <f t="shared" si="82"/>
        <v>9.0112378000000007E-2</v>
      </c>
      <c r="Q105" s="28">
        <f t="shared" si="82"/>
        <v>0.27</v>
      </c>
      <c r="R105" s="28">
        <f t="shared" si="82"/>
        <v>0.36</v>
      </c>
      <c r="S105" s="28">
        <f t="shared" si="82"/>
        <v>0.32</v>
      </c>
      <c r="T105" s="28">
        <f t="shared" si="82"/>
        <v>0.4</v>
      </c>
      <c r="U105" s="28">
        <f t="shared" si="82"/>
        <v>0.37</v>
      </c>
      <c r="V105" s="24">
        <f t="shared" si="1"/>
        <v>6.5592596000000003E-2</v>
      </c>
      <c r="W105" s="24">
        <f t="shared" si="2"/>
        <v>6.1429956000000008E-2</v>
      </c>
      <c r="X105" s="24">
        <f t="shared" si="3"/>
        <v>6.51921575E-2</v>
      </c>
      <c r="Y105" s="24">
        <f t="shared" si="4"/>
        <v>7.3884757500000009E-2</v>
      </c>
      <c r="Z105" s="24">
        <f t="shared" si="5"/>
        <v>7.2501012000000004E-2</v>
      </c>
      <c r="AB105" s="3">
        <f ca="1">IFERROR(__xludf.DUMMYFUNCTION("AVERAGE.WEIGHTED(C105:D105,$AB$25:$AC$25)"),0.0640138440599999)</f>
        <v>6.4013844059999894E-2</v>
      </c>
      <c r="AC105" s="3">
        <f ca="1">IFERROR(__xludf.DUMMYFUNCTION("AVERAGE.WEIGHTED(F105:G105,$AB$25:$AC$25)"),0.06606333246)</f>
        <v>6.6063332459999999E-2</v>
      </c>
      <c r="AD105" s="3">
        <f ca="1">IFERROR(__xludf.DUMMYFUNCTION("AVERAGE.WEIGHTED(I105:J105,$AB$25:$AC$25)"),0.0716124804)</f>
        <v>7.1612480399999998E-2</v>
      </c>
    </row>
    <row r="106" spans="1:30" ht="12.75" x14ac:dyDescent="0.2">
      <c r="A106" s="1">
        <v>78</v>
      </c>
      <c r="B106" s="28">
        <f t="shared" ref="B106:U106" si="83">B$21</f>
        <v>6.2868255999999997E-2</v>
      </c>
      <c r="C106" s="28">
        <f t="shared" si="83"/>
        <v>6.8316935999999995E-2</v>
      </c>
      <c r="D106" s="28">
        <f t="shared" si="83"/>
        <v>5.8071479000000002E-2</v>
      </c>
      <c r="E106" s="28">
        <f t="shared" si="83"/>
        <v>6.4788433000000006E-2</v>
      </c>
      <c r="F106" s="28">
        <f t="shared" si="83"/>
        <v>7.0637001000000005E-2</v>
      </c>
      <c r="G106" s="28">
        <f t="shared" si="83"/>
        <v>5.9747314000000003E-2</v>
      </c>
      <c r="H106" s="28">
        <f t="shared" si="83"/>
        <v>6.9944739000000006E-2</v>
      </c>
      <c r="I106" s="28">
        <f t="shared" si="83"/>
        <v>7.7824775999999998E-2</v>
      </c>
      <c r="J106" s="28">
        <f t="shared" si="83"/>
        <v>6.3033595999999997E-2</v>
      </c>
      <c r="K106" s="28">
        <f t="shared" si="83"/>
        <v>8.1968427999999996E-2</v>
      </c>
      <c r="L106" s="28">
        <f t="shared" si="83"/>
        <v>8.7874479000000005E-2</v>
      </c>
      <c r="M106" s="28">
        <f t="shared" si="83"/>
        <v>7.6579786999999996E-2</v>
      </c>
      <c r="N106" s="28">
        <f t="shared" si="83"/>
        <v>9.4792345E-2</v>
      </c>
      <c r="O106" s="28">
        <f t="shared" si="83"/>
        <v>9.9799936000000006E-2</v>
      </c>
      <c r="P106" s="28">
        <f t="shared" si="83"/>
        <v>9.0112378000000007E-2</v>
      </c>
      <c r="Q106" s="28">
        <f t="shared" si="83"/>
        <v>0.27</v>
      </c>
      <c r="R106" s="28">
        <f t="shared" si="83"/>
        <v>0.36</v>
      </c>
      <c r="S106" s="28">
        <f t="shared" si="83"/>
        <v>0.32</v>
      </c>
      <c r="T106" s="28">
        <f t="shared" si="83"/>
        <v>0.4</v>
      </c>
      <c r="U106" s="28">
        <f t="shared" si="83"/>
        <v>0.37</v>
      </c>
      <c r="V106" s="24">
        <f t="shared" si="1"/>
        <v>6.5592596000000003E-2</v>
      </c>
      <c r="W106" s="24">
        <f t="shared" si="2"/>
        <v>6.1429956000000008E-2</v>
      </c>
      <c r="X106" s="24">
        <f t="shared" si="3"/>
        <v>6.51921575E-2</v>
      </c>
      <c r="Y106" s="24">
        <f t="shared" si="4"/>
        <v>7.3884757500000009E-2</v>
      </c>
      <c r="Z106" s="24">
        <f t="shared" si="5"/>
        <v>7.2501012000000004E-2</v>
      </c>
      <c r="AB106" s="3">
        <f ca="1">IFERROR(__xludf.DUMMYFUNCTION("AVERAGE.WEIGHTED(C106:D106,$AB$25:$AC$25)"),0.0640138440599999)</f>
        <v>6.4013844059999894E-2</v>
      </c>
      <c r="AC106" s="3">
        <f ca="1">IFERROR(__xludf.DUMMYFUNCTION("AVERAGE.WEIGHTED(F106:G106,$AB$25:$AC$25)"),0.06606333246)</f>
        <v>6.6063332459999999E-2</v>
      </c>
      <c r="AD106" s="3">
        <f ca="1">IFERROR(__xludf.DUMMYFUNCTION("AVERAGE.WEIGHTED(I106:J106,$AB$25:$AC$25)"),0.0716124804)</f>
        <v>7.1612480399999998E-2</v>
      </c>
    </row>
    <row r="107" spans="1:30" ht="12.75" x14ac:dyDescent="0.2">
      <c r="A107" s="1">
        <v>79</v>
      </c>
      <c r="B107" s="28">
        <f t="shared" ref="B107:U107" si="84">B$21</f>
        <v>6.2868255999999997E-2</v>
      </c>
      <c r="C107" s="28">
        <f t="shared" si="84"/>
        <v>6.8316935999999995E-2</v>
      </c>
      <c r="D107" s="28">
        <f t="shared" si="84"/>
        <v>5.8071479000000002E-2</v>
      </c>
      <c r="E107" s="28">
        <f t="shared" si="84"/>
        <v>6.4788433000000006E-2</v>
      </c>
      <c r="F107" s="28">
        <f t="shared" si="84"/>
        <v>7.0637001000000005E-2</v>
      </c>
      <c r="G107" s="28">
        <f t="shared" si="84"/>
        <v>5.9747314000000003E-2</v>
      </c>
      <c r="H107" s="28">
        <f t="shared" si="84"/>
        <v>6.9944739000000006E-2</v>
      </c>
      <c r="I107" s="28">
        <f t="shared" si="84"/>
        <v>7.7824775999999998E-2</v>
      </c>
      <c r="J107" s="28">
        <f t="shared" si="84"/>
        <v>6.3033595999999997E-2</v>
      </c>
      <c r="K107" s="28">
        <f t="shared" si="84"/>
        <v>8.1968427999999996E-2</v>
      </c>
      <c r="L107" s="28">
        <f t="shared" si="84"/>
        <v>8.7874479000000005E-2</v>
      </c>
      <c r="M107" s="28">
        <f t="shared" si="84"/>
        <v>7.6579786999999996E-2</v>
      </c>
      <c r="N107" s="28">
        <f t="shared" si="84"/>
        <v>9.4792345E-2</v>
      </c>
      <c r="O107" s="28">
        <f t="shared" si="84"/>
        <v>9.9799936000000006E-2</v>
      </c>
      <c r="P107" s="28">
        <f t="shared" si="84"/>
        <v>9.0112378000000007E-2</v>
      </c>
      <c r="Q107" s="28">
        <f t="shared" si="84"/>
        <v>0.27</v>
      </c>
      <c r="R107" s="28">
        <f t="shared" si="84"/>
        <v>0.36</v>
      </c>
      <c r="S107" s="28">
        <f t="shared" si="84"/>
        <v>0.32</v>
      </c>
      <c r="T107" s="28">
        <f t="shared" si="84"/>
        <v>0.4</v>
      </c>
      <c r="U107" s="28">
        <f t="shared" si="84"/>
        <v>0.37</v>
      </c>
      <c r="V107" s="24">
        <f t="shared" si="1"/>
        <v>6.5592596000000003E-2</v>
      </c>
      <c r="W107" s="24">
        <f t="shared" si="2"/>
        <v>6.1429956000000008E-2</v>
      </c>
      <c r="X107" s="24">
        <f t="shared" si="3"/>
        <v>6.51921575E-2</v>
      </c>
      <c r="Y107" s="24">
        <f t="shared" si="4"/>
        <v>7.3884757500000009E-2</v>
      </c>
      <c r="Z107" s="24">
        <f t="shared" si="5"/>
        <v>7.2501012000000004E-2</v>
      </c>
      <c r="AB107" s="3">
        <f ca="1">IFERROR(__xludf.DUMMYFUNCTION("AVERAGE.WEIGHTED(C107:D107,$AB$25:$AC$25)"),0.0640138440599999)</f>
        <v>6.4013844059999894E-2</v>
      </c>
      <c r="AC107" s="3">
        <f ca="1">IFERROR(__xludf.DUMMYFUNCTION("AVERAGE.WEIGHTED(F107:G107,$AB$25:$AC$25)"),0.06606333246)</f>
        <v>6.6063332459999999E-2</v>
      </c>
      <c r="AD107" s="3">
        <f ca="1">IFERROR(__xludf.DUMMYFUNCTION("AVERAGE.WEIGHTED(I107:J107,$AB$25:$AC$25)"),0.0716124804)</f>
        <v>7.1612480399999998E-2</v>
      </c>
    </row>
    <row r="108" spans="1:30" ht="12.75" x14ac:dyDescent="0.2">
      <c r="A108" s="1">
        <v>80</v>
      </c>
      <c r="B108" s="28">
        <f t="shared" ref="B108:U108" si="85">B$22</f>
        <v>0.10828625</v>
      </c>
      <c r="C108" s="28">
        <f t="shared" si="85"/>
        <v>0.113038526</v>
      </c>
      <c r="D108" s="28">
        <f t="shared" si="85"/>
        <v>0.10436274099999999</v>
      </c>
      <c r="E108" s="28">
        <f t="shared" si="85"/>
        <v>0.116634785</v>
      </c>
      <c r="F108" s="28">
        <f t="shared" si="85"/>
        <v>0.12370346</v>
      </c>
      <c r="G108" s="28">
        <f t="shared" si="85"/>
        <v>0.11069469</v>
      </c>
      <c r="H108" s="28">
        <f t="shared" si="85"/>
        <v>9.8521797999999994E-2</v>
      </c>
      <c r="I108" s="28">
        <f t="shared" si="85"/>
        <v>0.10510869</v>
      </c>
      <c r="J108" s="28">
        <f t="shared" si="85"/>
        <v>9.2786682999999995E-2</v>
      </c>
      <c r="K108" s="28">
        <f t="shared" si="85"/>
        <v>0.13138867900000001</v>
      </c>
      <c r="L108" s="28">
        <f t="shared" si="85"/>
        <v>0.135546322</v>
      </c>
      <c r="M108" s="28">
        <f t="shared" si="85"/>
        <v>0.12773235099999999</v>
      </c>
      <c r="N108" s="28">
        <f t="shared" si="85"/>
        <v>0.14900369399999999</v>
      </c>
      <c r="O108" s="28">
        <f t="shared" si="85"/>
        <v>0.15142082800000001</v>
      </c>
      <c r="P108" s="28">
        <f t="shared" si="85"/>
        <v>0.146863295</v>
      </c>
      <c r="Q108" s="28">
        <f t="shared" si="85"/>
        <v>0.38</v>
      </c>
      <c r="R108" s="28">
        <f t="shared" si="85"/>
        <v>0.51</v>
      </c>
      <c r="S108" s="28">
        <f t="shared" si="85"/>
        <v>0.48</v>
      </c>
      <c r="T108" s="28">
        <f t="shared" si="85"/>
        <v>0.55000000000000004</v>
      </c>
      <c r="U108" s="28">
        <f t="shared" si="85"/>
        <v>0.54</v>
      </c>
      <c r="V108" s="24">
        <f t="shared" si="1"/>
        <v>0.110662388</v>
      </c>
      <c r="W108" s="24">
        <f t="shared" si="2"/>
        <v>0.110498763</v>
      </c>
      <c r="X108" s="24">
        <f t="shared" si="3"/>
        <v>0.117199075</v>
      </c>
      <c r="Y108" s="24">
        <f t="shared" si="4"/>
        <v>0.101815244</v>
      </c>
      <c r="Z108" s="24">
        <f t="shared" si="5"/>
        <v>0.11208768099999999</v>
      </c>
      <c r="AB108" s="3">
        <f ca="1">IFERROR(__xludf.DUMMYFUNCTION("AVERAGE.WEIGHTED(C108:D108,$AB$25:$AC$25)"),0.1093946963)</f>
        <v>0.1093946963</v>
      </c>
      <c r="AC108" s="3">
        <f ca="1">IFERROR(__xludf.DUMMYFUNCTION("AVERAGE.WEIGHTED(F108:G108,$AB$25:$AC$25)"),0.1182397766)</f>
        <v>0.1182397766</v>
      </c>
      <c r="AD108" s="3">
        <f ca="1">IFERROR(__xludf.DUMMYFUNCTION("AVERAGE.WEIGHTED(I108:J108,$AB$25:$AC$25)"),0.09993344706)</f>
        <v>9.993344706E-2</v>
      </c>
    </row>
    <row r="109" spans="1:30" ht="12.75" x14ac:dyDescent="0.2">
      <c r="A109" s="1">
        <v>81</v>
      </c>
      <c r="B109" s="28">
        <f t="shared" ref="B109:U109" si="86">B$22</f>
        <v>0.10828625</v>
      </c>
      <c r="C109" s="28">
        <f t="shared" si="86"/>
        <v>0.113038526</v>
      </c>
      <c r="D109" s="28">
        <f t="shared" si="86"/>
        <v>0.10436274099999999</v>
      </c>
      <c r="E109" s="28">
        <f t="shared" si="86"/>
        <v>0.116634785</v>
      </c>
      <c r="F109" s="28">
        <f t="shared" si="86"/>
        <v>0.12370346</v>
      </c>
      <c r="G109" s="28">
        <f t="shared" si="86"/>
        <v>0.11069469</v>
      </c>
      <c r="H109" s="28">
        <f t="shared" si="86"/>
        <v>9.8521797999999994E-2</v>
      </c>
      <c r="I109" s="28">
        <f t="shared" si="86"/>
        <v>0.10510869</v>
      </c>
      <c r="J109" s="28">
        <f t="shared" si="86"/>
        <v>9.2786682999999995E-2</v>
      </c>
      <c r="K109" s="28">
        <f t="shared" si="86"/>
        <v>0.13138867900000001</v>
      </c>
      <c r="L109" s="28">
        <f t="shared" si="86"/>
        <v>0.135546322</v>
      </c>
      <c r="M109" s="28">
        <f t="shared" si="86"/>
        <v>0.12773235099999999</v>
      </c>
      <c r="N109" s="28">
        <f t="shared" si="86"/>
        <v>0.14900369399999999</v>
      </c>
      <c r="O109" s="28">
        <f t="shared" si="86"/>
        <v>0.15142082800000001</v>
      </c>
      <c r="P109" s="28">
        <f t="shared" si="86"/>
        <v>0.146863295</v>
      </c>
      <c r="Q109" s="28">
        <f t="shared" si="86"/>
        <v>0.38</v>
      </c>
      <c r="R109" s="28">
        <f t="shared" si="86"/>
        <v>0.51</v>
      </c>
      <c r="S109" s="28">
        <f t="shared" si="86"/>
        <v>0.48</v>
      </c>
      <c r="T109" s="28">
        <f t="shared" si="86"/>
        <v>0.55000000000000004</v>
      </c>
      <c r="U109" s="28">
        <f t="shared" si="86"/>
        <v>0.54</v>
      </c>
      <c r="V109" s="24">
        <f t="shared" si="1"/>
        <v>0.110662388</v>
      </c>
      <c r="W109" s="24">
        <f t="shared" si="2"/>
        <v>0.110498763</v>
      </c>
      <c r="X109" s="24">
        <f t="shared" si="3"/>
        <v>0.117199075</v>
      </c>
      <c r="Y109" s="24">
        <f t="shared" si="4"/>
        <v>0.101815244</v>
      </c>
      <c r="Z109" s="24">
        <f t="shared" si="5"/>
        <v>0.11208768099999999</v>
      </c>
      <c r="AB109" s="3">
        <f ca="1">IFERROR(__xludf.DUMMYFUNCTION("AVERAGE.WEIGHTED(C109:D109,$AB$25:$AC$25)"),0.1093946963)</f>
        <v>0.1093946963</v>
      </c>
      <c r="AC109" s="3">
        <f ca="1">IFERROR(__xludf.DUMMYFUNCTION("AVERAGE.WEIGHTED(F109:G109,$AB$25:$AC$25)"),0.1182397766)</f>
        <v>0.1182397766</v>
      </c>
      <c r="AD109" s="3">
        <f ca="1">IFERROR(__xludf.DUMMYFUNCTION("AVERAGE.WEIGHTED(I109:J109,$AB$25:$AC$25)"),0.09993344706)</f>
        <v>9.993344706E-2</v>
      </c>
    </row>
    <row r="110" spans="1:30" ht="12.75" x14ac:dyDescent="0.2">
      <c r="A110" s="1">
        <v>82</v>
      </c>
      <c r="B110" s="28">
        <f t="shared" ref="B110:U110" si="87">B$22</f>
        <v>0.10828625</v>
      </c>
      <c r="C110" s="28">
        <f t="shared" si="87"/>
        <v>0.113038526</v>
      </c>
      <c r="D110" s="28">
        <f t="shared" si="87"/>
        <v>0.10436274099999999</v>
      </c>
      <c r="E110" s="28">
        <f t="shared" si="87"/>
        <v>0.116634785</v>
      </c>
      <c r="F110" s="28">
        <f t="shared" si="87"/>
        <v>0.12370346</v>
      </c>
      <c r="G110" s="28">
        <f t="shared" si="87"/>
        <v>0.11069469</v>
      </c>
      <c r="H110" s="28">
        <f t="shared" si="87"/>
        <v>9.8521797999999994E-2</v>
      </c>
      <c r="I110" s="28">
        <f t="shared" si="87"/>
        <v>0.10510869</v>
      </c>
      <c r="J110" s="28">
        <f t="shared" si="87"/>
        <v>9.2786682999999995E-2</v>
      </c>
      <c r="K110" s="28">
        <f t="shared" si="87"/>
        <v>0.13138867900000001</v>
      </c>
      <c r="L110" s="28">
        <f t="shared" si="87"/>
        <v>0.135546322</v>
      </c>
      <c r="M110" s="28">
        <f t="shared" si="87"/>
        <v>0.12773235099999999</v>
      </c>
      <c r="N110" s="28">
        <f t="shared" si="87"/>
        <v>0.14900369399999999</v>
      </c>
      <c r="O110" s="28">
        <f t="shared" si="87"/>
        <v>0.15142082800000001</v>
      </c>
      <c r="P110" s="28">
        <f t="shared" si="87"/>
        <v>0.146863295</v>
      </c>
      <c r="Q110" s="28">
        <f t="shared" si="87"/>
        <v>0.38</v>
      </c>
      <c r="R110" s="28">
        <f t="shared" si="87"/>
        <v>0.51</v>
      </c>
      <c r="S110" s="28">
        <f t="shared" si="87"/>
        <v>0.48</v>
      </c>
      <c r="T110" s="28">
        <f t="shared" si="87"/>
        <v>0.55000000000000004</v>
      </c>
      <c r="U110" s="28">
        <f t="shared" si="87"/>
        <v>0.54</v>
      </c>
      <c r="V110" s="24">
        <f t="shared" si="1"/>
        <v>0.110662388</v>
      </c>
      <c r="W110" s="24">
        <f t="shared" si="2"/>
        <v>0.110498763</v>
      </c>
      <c r="X110" s="24">
        <f t="shared" si="3"/>
        <v>0.117199075</v>
      </c>
      <c r="Y110" s="24">
        <f t="shared" si="4"/>
        <v>0.101815244</v>
      </c>
      <c r="Z110" s="24">
        <f t="shared" si="5"/>
        <v>0.11208768099999999</v>
      </c>
      <c r="AB110" s="3">
        <f ca="1">IFERROR(__xludf.DUMMYFUNCTION("AVERAGE.WEIGHTED(C110:D110,$AB$25:$AC$25)"),0.1093946963)</f>
        <v>0.1093946963</v>
      </c>
      <c r="AC110" s="3">
        <f ca="1">IFERROR(__xludf.DUMMYFUNCTION("AVERAGE.WEIGHTED(F110:G110,$AB$25:$AC$25)"),0.1182397766)</f>
        <v>0.1182397766</v>
      </c>
      <c r="AD110" s="3">
        <f ca="1">IFERROR(__xludf.DUMMYFUNCTION("AVERAGE.WEIGHTED(I110:J110,$AB$25:$AC$25)"),0.09993344706)</f>
        <v>9.993344706E-2</v>
      </c>
    </row>
    <row r="111" spans="1:30" ht="12.75" x14ac:dyDescent="0.2">
      <c r="A111" s="1">
        <v>83</v>
      </c>
      <c r="B111" s="28">
        <f t="shared" ref="B111:U111" si="88">B$22</f>
        <v>0.10828625</v>
      </c>
      <c r="C111" s="28">
        <f t="shared" si="88"/>
        <v>0.113038526</v>
      </c>
      <c r="D111" s="28">
        <f t="shared" si="88"/>
        <v>0.10436274099999999</v>
      </c>
      <c r="E111" s="28">
        <f t="shared" si="88"/>
        <v>0.116634785</v>
      </c>
      <c r="F111" s="28">
        <f t="shared" si="88"/>
        <v>0.12370346</v>
      </c>
      <c r="G111" s="28">
        <f t="shared" si="88"/>
        <v>0.11069469</v>
      </c>
      <c r="H111" s="28">
        <f t="shared" si="88"/>
        <v>9.8521797999999994E-2</v>
      </c>
      <c r="I111" s="28">
        <f t="shared" si="88"/>
        <v>0.10510869</v>
      </c>
      <c r="J111" s="28">
        <f t="shared" si="88"/>
        <v>9.2786682999999995E-2</v>
      </c>
      <c r="K111" s="28">
        <f t="shared" si="88"/>
        <v>0.13138867900000001</v>
      </c>
      <c r="L111" s="28">
        <f t="shared" si="88"/>
        <v>0.135546322</v>
      </c>
      <c r="M111" s="28">
        <f t="shared" si="88"/>
        <v>0.12773235099999999</v>
      </c>
      <c r="N111" s="28">
        <f t="shared" si="88"/>
        <v>0.14900369399999999</v>
      </c>
      <c r="O111" s="28">
        <f t="shared" si="88"/>
        <v>0.15142082800000001</v>
      </c>
      <c r="P111" s="28">
        <f t="shared" si="88"/>
        <v>0.146863295</v>
      </c>
      <c r="Q111" s="28">
        <f t="shared" si="88"/>
        <v>0.38</v>
      </c>
      <c r="R111" s="28">
        <f t="shared" si="88"/>
        <v>0.51</v>
      </c>
      <c r="S111" s="28">
        <f t="shared" si="88"/>
        <v>0.48</v>
      </c>
      <c r="T111" s="28">
        <f t="shared" si="88"/>
        <v>0.55000000000000004</v>
      </c>
      <c r="U111" s="28">
        <f t="shared" si="88"/>
        <v>0.54</v>
      </c>
      <c r="V111" s="24">
        <f t="shared" si="1"/>
        <v>0.110662388</v>
      </c>
      <c r="W111" s="24">
        <f t="shared" si="2"/>
        <v>0.110498763</v>
      </c>
      <c r="X111" s="24">
        <f t="shared" si="3"/>
        <v>0.117199075</v>
      </c>
      <c r="Y111" s="24">
        <f t="shared" si="4"/>
        <v>0.101815244</v>
      </c>
      <c r="Z111" s="24">
        <f t="shared" si="5"/>
        <v>0.11208768099999999</v>
      </c>
      <c r="AB111" s="3">
        <f ca="1">IFERROR(__xludf.DUMMYFUNCTION("AVERAGE.WEIGHTED(C111:D111,$AB$25:$AC$25)"),0.1093946963)</f>
        <v>0.1093946963</v>
      </c>
      <c r="AC111" s="3">
        <f ca="1">IFERROR(__xludf.DUMMYFUNCTION("AVERAGE.WEIGHTED(F111:G111,$AB$25:$AC$25)"),0.1182397766)</f>
        <v>0.1182397766</v>
      </c>
      <c r="AD111" s="3">
        <f ca="1">IFERROR(__xludf.DUMMYFUNCTION("AVERAGE.WEIGHTED(I111:J111,$AB$25:$AC$25)"),0.09993344706)</f>
        <v>9.993344706E-2</v>
      </c>
    </row>
    <row r="112" spans="1:30" ht="12.75" x14ac:dyDescent="0.2">
      <c r="A112" s="1">
        <v>84</v>
      </c>
      <c r="B112" s="28">
        <f t="shared" ref="B112:U112" si="89">B$22</f>
        <v>0.10828625</v>
      </c>
      <c r="C112" s="28">
        <f t="shared" si="89"/>
        <v>0.113038526</v>
      </c>
      <c r="D112" s="28">
        <f t="shared" si="89"/>
        <v>0.10436274099999999</v>
      </c>
      <c r="E112" s="28">
        <f t="shared" si="89"/>
        <v>0.116634785</v>
      </c>
      <c r="F112" s="28">
        <f t="shared" si="89"/>
        <v>0.12370346</v>
      </c>
      <c r="G112" s="28">
        <f t="shared" si="89"/>
        <v>0.11069469</v>
      </c>
      <c r="H112" s="28">
        <f t="shared" si="89"/>
        <v>9.8521797999999994E-2</v>
      </c>
      <c r="I112" s="28">
        <f t="shared" si="89"/>
        <v>0.10510869</v>
      </c>
      <c r="J112" s="28">
        <f t="shared" si="89"/>
        <v>9.2786682999999995E-2</v>
      </c>
      <c r="K112" s="28">
        <f t="shared" si="89"/>
        <v>0.13138867900000001</v>
      </c>
      <c r="L112" s="28">
        <f t="shared" si="89"/>
        <v>0.135546322</v>
      </c>
      <c r="M112" s="28">
        <f t="shared" si="89"/>
        <v>0.12773235099999999</v>
      </c>
      <c r="N112" s="28">
        <f t="shared" si="89"/>
        <v>0.14900369399999999</v>
      </c>
      <c r="O112" s="28">
        <f t="shared" si="89"/>
        <v>0.15142082800000001</v>
      </c>
      <c r="P112" s="28">
        <f t="shared" si="89"/>
        <v>0.146863295</v>
      </c>
      <c r="Q112" s="28">
        <f t="shared" si="89"/>
        <v>0.38</v>
      </c>
      <c r="R112" s="28">
        <f t="shared" si="89"/>
        <v>0.51</v>
      </c>
      <c r="S112" s="28">
        <f t="shared" si="89"/>
        <v>0.48</v>
      </c>
      <c r="T112" s="28">
        <f t="shared" si="89"/>
        <v>0.55000000000000004</v>
      </c>
      <c r="U112" s="28">
        <f t="shared" si="89"/>
        <v>0.54</v>
      </c>
      <c r="V112" s="24">
        <f t="shared" si="1"/>
        <v>0.110662388</v>
      </c>
      <c r="W112" s="24">
        <f t="shared" si="2"/>
        <v>0.110498763</v>
      </c>
      <c r="X112" s="24">
        <f t="shared" si="3"/>
        <v>0.117199075</v>
      </c>
      <c r="Y112" s="24">
        <f t="shared" si="4"/>
        <v>0.101815244</v>
      </c>
      <c r="Z112" s="24">
        <f t="shared" si="5"/>
        <v>0.11208768099999999</v>
      </c>
      <c r="AB112" s="3">
        <f ca="1">IFERROR(__xludf.DUMMYFUNCTION("AVERAGE.WEIGHTED(C112:D112,$AB$25:$AC$25)"),0.1093946963)</f>
        <v>0.1093946963</v>
      </c>
      <c r="AC112" s="3">
        <f ca="1">IFERROR(__xludf.DUMMYFUNCTION("AVERAGE.WEIGHTED(F112:G112,$AB$25:$AC$25)"),0.1182397766)</f>
        <v>0.1182397766</v>
      </c>
      <c r="AD112" s="3">
        <f ca="1">IFERROR(__xludf.DUMMYFUNCTION("AVERAGE.WEIGHTED(I112:J112,$AB$25:$AC$25)"),0.09993344706)</f>
        <v>9.993344706E-2</v>
      </c>
    </row>
    <row r="113" spans="1:30" ht="12.75" x14ac:dyDescent="0.2">
      <c r="A113" s="1">
        <v>85</v>
      </c>
      <c r="B113" s="28">
        <f t="shared" ref="B113:K113" si="90">B$23</f>
        <v>0.17864340400000001</v>
      </c>
      <c r="C113" s="28">
        <f t="shared" si="90"/>
        <v>0.18579240999999999</v>
      </c>
      <c r="D113" s="28">
        <f t="shared" si="90"/>
        <v>0.172897945</v>
      </c>
      <c r="E113" s="28">
        <f t="shared" si="90"/>
        <v>0.18393411800000001</v>
      </c>
      <c r="F113" s="28">
        <f t="shared" si="90"/>
        <v>0.19511571</v>
      </c>
      <c r="G113" s="28">
        <f t="shared" si="90"/>
        <v>0.174944289</v>
      </c>
      <c r="H113" s="28">
        <f t="shared" si="90"/>
        <v>0.193028859</v>
      </c>
      <c r="I113" s="28">
        <f t="shared" si="90"/>
        <v>0.20209803700000001</v>
      </c>
      <c r="J113" s="28">
        <f t="shared" si="90"/>
        <v>0.18607059200000001</v>
      </c>
      <c r="K113" s="28">
        <f t="shared" si="90"/>
        <v>0.231252923</v>
      </c>
      <c r="L113" s="28">
        <f t="shared" ref="L113:U113" si="91">L$22</f>
        <v>0.135546322</v>
      </c>
      <c r="M113" s="28">
        <f t="shared" si="91"/>
        <v>0.12773235099999999</v>
      </c>
      <c r="N113" s="28">
        <f t="shared" si="91"/>
        <v>0.14900369399999999</v>
      </c>
      <c r="O113" s="28">
        <f t="shared" si="91"/>
        <v>0.15142082800000001</v>
      </c>
      <c r="P113" s="28">
        <f t="shared" si="91"/>
        <v>0.146863295</v>
      </c>
      <c r="Q113" s="28">
        <f t="shared" si="91"/>
        <v>0.38</v>
      </c>
      <c r="R113" s="28">
        <f t="shared" si="91"/>
        <v>0.51</v>
      </c>
      <c r="S113" s="28">
        <f t="shared" si="91"/>
        <v>0.48</v>
      </c>
      <c r="T113" s="28">
        <f t="shared" si="91"/>
        <v>0.55000000000000004</v>
      </c>
      <c r="U113" s="28">
        <f t="shared" si="91"/>
        <v>0.54</v>
      </c>
      <c r="V113" s="24">
        <f t="shared" si="1"/>
        <v>0.18221790700000001</v>
      </c>
      <c r="W113" s="24">
        <f t="shared" si="2"/>
        <v>0.17841603150000002</v>
      </c>
      <c r="X113" s="24">
        <f t="shared" si="3"/>
        <v>0.18502999949999999</v>
      </c>
      <c r="Y113" s="24">
        <f t="shared" si="4"/>
        <v>0.197563448</v>
      </c>
      <c r="Z113" s="24">
        <f t="shared" si="5"/>
        <v>0.20866175749999999</v>
      </c>
      <c r="AB113" s="3">
        <f ca="1">IFERROR(__xludf.DUMMYFUNCTION("AVERAGE.WEIGHTED(C113:D113,$AB$25:$AC$25)"),0.180376734699999)</f>
        <v>0.18037673469999899</v>
      </c>
      <c r="AC113" s="3">
        <f ca="1">IFERROR(__xludf.DUMMYFUNCTION("AVERAGE.WEIGHTED(F113:G113,$AB$25:$AC$25)"),0.18664371318)</f>
        <v>0.18664371318</v>
      </c>
      <c r="AD113" s="3">
        <f ca="1">IFERROR(__xludf.DUMMYFUNCTION("AVERAGE.WEIGHTED(I113:J113,$AB$25:$AC$25)"),0.1953665101)</f>
        <v>0.1953665101</v>
      </c>
    </row>
    <row r="114" spans="1:30" ht="12.75" x14ac:dyDescent="0.2">
      <c r="A114" s="1">
        <v>86</v>
      </c>
      <c r="B114" s="28">
        <f t="shared" ref="B114:K114" si="92">B$23</f>
        <v>0.17864340400000001</v>
      </c>
      <c r="C114" s="28">
        <f t="shared" si="92"/>
        <v>0.18579240999999999</v>
      </c>
      <c r="D114" s="28">
        <f t="shared" si="92"/>
        <v>0.172897945</v>
      </c>
      <c r="E114" s="28">
        <f t="shared" si="92"/>
        <v>0.18393411800000001</v>
      </c>
      <c r="F114" s="28">
        <f t="shared" si="92"/>
        <v>0.19511571</v>
      </c>
      <c r="G114" s="28">
        <f t="shared" si="92"/>
        <v>0.174944289</v>
      </c>
      <c r="H114" s="28">
        <f t="shared" si="92"/>
        <v>0.193028859</v>
      </c>
      <c r="I114" s="28">
        <f t="shared" si="92"/>
        <v>0.20209803700000001</v>
      </c>
      <c r="J114" s="28">
        <f t="shared" si="92"/>
        <v>0.18607059200000001</v>
      </c>
      <c r="K114" s="28">
        <f t="shared" si="92"/>
        <v>0.231252923</v>
      </c>
      <c r="L114" s="28">
        <f t="shared" ref="L114:U114" si="93">L$22</f>
        <v>0.135546322</v>
      </c>
      <c r="M114" s="28">
        <f t="shared" si="93"/>
        <v>0.12773235099999999</v>
      </c>
      <c r="N114" s="28">
        <f t="shared" si="93"/>
        <v>0.14900369399999999</v>
      </c>
      <c r="O114" s="28">
        <f t="shared" si="93"/>
        <v>0.15142082800000001</v>
      </c>
      <c r="P114" s="28">
        <f t="shared" si="93"/>
        <v>0.146863295</v>
      </c>
      <c r="Q114" s="28">
        <f t="shared" si="93"/>
        <v>0.38</v>
      </c>
      <c r="R114" s="28">
        <f t="shared" si="93"/>
        <v>0.51</v>
      </c>
      <c r="S114" s="28">
        <f t="shared" si="93"/>
        <v>0.48</v>
      </c>
      <c r="T114" s="28">
        <f t="shared" si="93"/>
        <v>0.55000000000000004</v>
      </c>
      <c r="U114" s="28">
        <f t="shared" si="93"/>
        <v>0.54</v>
      </c>
      <c r="V114" s="24">
        <f t="shared" si="1"/>
        <v>0.18221790700000001</v>
      </c>
      <c r="W114" s="24">
        <f t="shared" si="2"/>
        <v>0.17841603150000002</v>
      </c>
      <c r="X114" s="24">
        <f t="shared" si="3"/>
        <v>0.18502999949999999</v>
      </c>
      <c r="Y114" s="24">
        <f t="shared" si="4"/>
        <v>0.197563448</v>
      </c>
      <c r="Z114" s="24">
        <f t="shared" si="5"/>
        <v>0.20866175749999999</v>
      </c>
      <c r="AB114" s="3">
        <f ca="1">IFERROR(__xludf.DUMMYFUNCTION("AVERAGE.WEIGHTED(C114:D114,$AB$25:$AC$25)"),0.180376734699999)</f>
        <v>0.18037673469999899</v>
      </c>
      <c r="AC114" s="3">
        <f ca="1">IFERROR(__xludf.DUMMYFUNCTION("AVERAGE.WEIGHTED(F114:G114,$AB$25:$AC$25)"),0.18664371318)</f>
        <v>0.18664371318</v>
      </c>
      <c r="AD114" s="3">
        <f ca="1">IFERROR(__xludf.DUMMYFUNCTION("AVERAGE.WEIGHTED(I114:J114,$AB$25:$AC$25)"),0.1953665101)</f>
        <v>0.1953665101</v>
      </c>
    </row>
    <row r="115" spans="1:30" ht="12.75" x14ac:dyDescent="0.2">
      <c r="A115" s="1">
        <v>87</v>
      </c>
      <c r="B115" s="28">
        <f t="shared" ref="B115:K115" si="94">B$23</f>
        <v>0.17864340400000001</v>
      </c>
      <c r="C115" s="28">
        <f t="shared" si="94"/>
        <v>0.18579240999999999</v>
      </c>
      <c r="D115" s="28">
        <f t="shared" si="94"/>
        <v>0.172897945</v>
      </c>
      <c r="E115" s="28">
        <f t="shared" si="94"/>
        <v>0.18393411800000001</v>
      </c>
      <c r="F115" s="28">
        <f t="shared" si="94"/>
        <v>0.19511571</v>
      </c>
      <c r="G115" s="28">
        <f t="shared" si="94"/>
        <v>0.174944289</v>
      </c>
      <c r="H115" s="28">
        <f t="shared" si="94"/>
        <v>0.193028859</v>
      </c>
      <c r="I115" s="28">
        <f t="shared" si="94"/>
        <v>0.20209803700000001</v>
      </c>
      <c r="J115" s="28">
        <f t="shared" si="94"/>
        <v>0.18607059200000001</v>
      </c>
      <c r="K115" s="28">
        <f t="shared" si="94"/>
        <v>0.231252923</v>
      </c>
      <c r="L115" s="28">
        <f t="shared" ref="L115:U115" si="95">L$22</f>
        <v>0.135546322</v>
      </c>
      <c r="M115" s="28">
        <f t="shared" si="95"/>
        <v>0.12773235099999999</v>
      </c>
      <c r="N115" s="28">
        <f t="shared" si="95"/>
        <v>0.14900369399999999</v>
      </c>
      <c r="O115" s="28">
        <f t="shared" si="95"/>
        <v>0.15142082800000001</v>
      </c>
      <c r="P115" s="28">
        <f t="shared" si="95"/>
        <v>0.146863295</v>
      </c>
      <c r="Q115" s="28">
        <f t="shared" si="95"/>
        <v>0.38</v>
      </c>
      <c r="R115" s="28">
        <f t="shared" si="95"/>
        <v>0.51</v>
      </c>
      <c r="S115" s="28">
        <f t="shared" si="95"/>
        <v>0.48</v>
      </c>
      <c r="T115" s="28">
        <f t="shared" si="95"/>
        <v>0.55000000000000004</v>
      </c>
      <c r="U115" s="28">
        <f t="shared" si="95"/>
        <v>0.54</v>
      </c>
      <c r="V115" s="24">
        <f t="shared" si="1"/>
        <v>0.18221790700000001</v>
      </c>
      <c r="W115" s="24">
        <f t="shared" si="2"/>
        <v>0.17841603150000002</v>
      </c>
      <c r="X115" s="24">
        <f t="shared" si="3"/>
        <v>0.18502999949999999</v>
      </c>
      <c r="Y115" s="24">
        <f t="shared" si="4"/>
        <v>0.197563448</v>
      </c>
      <c r="Z115" s="24">
        <f t="shared" si="5"/>
        <v>0.20866175749999999</v>
      </c>
      <c r="AB115" s="3">
        <f ca="1">IFERROR(__xludf.DUMMYFUNCTION("AVERAGE.WEIGHTED(C115:D115,$AB$25:$AC$25)"),0.180376734699999)</f>
        <v>0.18037673469999899</v>
      </c>
      <c r="AC115" s="3">
        <f ca="1">IFERROR(__xludf.DUMMYFUNCTION("AVERAGE.WEIGHTED(F115:G115,$AB$25:$AC$25)"),0.18664371318)</f>
        <v>0.18664371318</v>
      </c>
      <c r="AD115" s="3">
        <f ca="1">IFERROR(__xludf.DUMMYFUNCTION("AVERAGE.WEIGHTED(I115:J115,$AB$25:$AC$25)"),0.1953665101)</f>
        <v>0.1953665101</v>
      </c>
    </row>
    <row r="116" spans="1:30" ht="12.75" x14ac:dyDescent="0.2">
      <c r="A116" s="1">
        <v>88</v>
      </c>
      <c r="B116" s="28">
        <f t="shared" ref="B116:K116" si="96">B$23</f>
        <v>0.17864340400000001</v>
      </c>
      <c r="C116" s="28">
        <f t="shared" si="96"/>
        <v>0.18579240999999999</v>
      </c>
      <c r="D116" s="28">
        <f t="shared" si="96"/>
        <v>0.172897945</v>
      </c>
      <c r="E116" s="28">
        <f t="shared" si="96"/>
        <v>0.18393411800000001</v>
      </c>
      <c r="F116" s="28">
        <f t="shared" si="96"/>
        <v>0.19511571</v>
      </c>
      <c r="G116" s="28">
        <f t="shared" si="96"/>
        <v>0.174944289</v>
      </c>
      <c r="H116" s="28">
        <f t="shared" si="96"/>
        <v>0.193028859</v>
      </c>
      <c r="I116" s="28">
        <f t="shared" si="96"/>
        <v>0.20209803700000001</v>
      </c>
      <c r="J116" s="28">
        <f t="shared" si="96"/>
        <v>0.18607059200000001</v>
      </c>
      <c r="K116" s="28">
        <f t="shared" si="96"/>
        <v>0.231252923</v>
      </c>
      <c r="L116" s="28">
        <f t="shared" ref="L116:U116" si="97">L$22</f>
        <v>0.135546322</v>
      </c>
      <c r="M116" s="28">
        <f t="shared" si="97"/>
        <v>0.12773235099999999</v>
      </c>
      <c r="N116" s="28">
        <f t="shared" si="97"/>
        <v>0.14900369399999999</v>
      </c>
      <c r="O116" s="28">
        <f t="shared" si="97"/>
        <v>0.15142082800000001</v>
      </c>
      <c r="P116" s="28">
        <f t="shared" si="97"/>
        <v>0.146863295</v>
      </c>
      <c r="Q116" s="28">
        <f t="shared" si="97"/>
        <v>0.38</v>
      </c>
      <c r="R116" s="28">
        <f t="shared" si="97"/>
        <v>0.51</v>
      </c>
      <c r="S116" s="28">
        <f t="shared" si="97"/>
        <v>0.48</v>
      </c>
      <c r="T116" s="28">
        <f t="shared" si="97"/>
        <v>0.55000000000000004</v>
      </c>
      <c r="U116" s="28">
        <f t="shared" si="97"/>
        <v>0.54</v>
      </c>
      <c r="V116" s="24">
        <f t="shared" si="1"/>
        <v>0.18221790700000001</v>
      </c>
      <c r="W116" s="24">
        <f t="shared" si="2"/>
        <v>0.17841603150000002</v>
      </c>
      <c r="X116" s="24">
        <f t="shared" si="3"/>
        <v>0.18502999949999999</v>
      </c>
      <c r="Y116" s="24">
        <f t="shared" si="4"/>
        <v>0.197563448</v>
      </c>
      <c r="Z116" s="24">
        <f t="shared" si="5"/>
        <v>0.20866175749999999</v>
      </c>
      <c r="AB116" s="3">
        <f ca="1">IFERROR(__xludf.DUMMYFUNCTION("AVERAGE.WEIGHTED(C116:D116,$AB$25:$AC$25)"),0.180376734699999)</f>
        <v>0.18037673469999899</v>
      </c>
      <c r="AC116" s="3">
        <f ca="1">IFERROR(__xludf.DUMMYFUNCTION("AVERAGE.WEIGHTED(F116:G116,$AB$25:$AC$25)"),0.18664371318)</f>
        <v>0.18664371318</v>
      </c>
      <c r="AD116" s="3">
        <f ca="1">IFERROR(__xludf.DUMMYFUNCTION("AVERAGE.WEIGHTED(I116:J116,$AB$25:$AC$25)"),0.1953665101)</f>
        <v>0.1953665101</v>
      </c>
    </row>
    <row r="117" spans="1:30" ht="12.75" x14ac:dyDescent="0.2">
      <c r="A117" s="1">
        <v>89</v>
      </c>
      <c r="B117" s="28">
        <f t="shared" ref="B117:K117" si="98">B$23</f>
        <v>0.17864340400000001</v>
      </c>
      <c r="C117" s="28">
        <f t="shared" si="98"/>
        <v>0.18579240999999999</v>
      </c>
      <c r="D117" s="28">
        <f t="shared" si="98"/>
        <v>0.172897945</v>
      </c>
      <c r="E117" s="28">
        <f t="shared" si="98"/>
        <v>0.18393411800000001</v>
      </c>
      <c r="F117" s="28">
        <f t="shared" si="98"/>
        <v>0.19511571</v>
      </c>
      <c r="G117" s="28">
        <f t="shared" si="98"/>
        <v>0.174944289</v>
      </c>
      <c r="H117" s="28">
        <f t="shared" si="98"/>
        <v>0.193028859</v>
      </c>
      <c r="I117" s="28">
        <f t="shared" si="98"/>
        <v>0.20209803700000001</v>
      </c>
      <c r="J117" s="28">
        <f t="shared" si="98"/>
        <v>0.18607059200000001</v>
      </c>
      <c r="K117" s="28">
        <f t="shared" si="98"/>
        <v>0.231252923</v>
      </c>
      <c r="L117" s="28">
        <f t="shared" ref="L117:U117" si="99">L$22</f>
        <v>0.135546322</v>
      </c>
      <c r="M117" s="28">
        <f t="shared" si="99"/>
        <v>0.12773235099999999</v>
      </c>
      <c r="N117" s="28">
        <f t="shared" si="99"/>
        <v>0.14900369399999999</v>
      </c>
      <c r="O117" s="28">
        <f t="shared" si="99"/>
        <v>0.15142082800000001</v>
      </c>
      <c r="P117" s="28">
        <f t="shared" si="99"/>
        <v>0.146863295</v>
      </c>
      <c r="Q117" s="28">
        <f t="shared" si="99"/>
        <v>0.38</v>
      </c>
      <c r="R117" s="28">
        <f t="shared" si="99"/>
        <v>0.51</v>
      </c>
      <c r="S117" s="28">
        <f t="shared" si="99"/>
        <v>0.48</v>
      </c>
      <c r="T117" s="28">
        <f t="shared" si="99"/>
        <v>0.55000000000000004</v>
      </c>
      <c r="U117" s="28">
        <f t="shared" si="99"/>
        <v>0.54</v>
      </c>
      <c r="V117" s="24">
        <f t="shared" si="1"/>
        <v>0.18221790700000001</v>
      </c>
      <c r="W117" s="24">
        <f t="shared" si="2"/>
        <v>0.17841603150000002</v>
      </c>
      <c r="X117" s="24">
        <f t="shared" si="3"/>
        <v>0.18502999949999999</v>
      </c>
      <c r="Y117" s="24">
        <f t="shared" si="4"/>
        <v>0.197563448</v>
      </c>
      <c r="Z117" s="24">
        <f t="shared" si="5"/>
        <v>0.20866175749999999</v>
      </c>
      <c r="AB117" s="3">
        <f ca="1">IFERROR(__xludf.DUMMYFUNCTION("AVERAGE.WEIGHTED(C117:D117,$AB$25:$AC$25)"),0.180376734699999)</f>
        <v>0.18037673469999899</v>
      </c>
      <c r="AC117" s="3">
        <f ca="1">IFERROR(__xludf.DUMMYFUNCTION("AVERAGE.WEIGHTED(F117:G117,$AB$25:$AC$25)"),0.18664371318)</f>
        <v>0.18664371318</v>
      </c>
      <c r="AD117" s="3">
        <f ca="1">IFERROR(__xludf.DUMMYFUNCTION("AVERAGE.WEIGHTED(I117:J117,$AB$25:$AC$25)"),0.1953665101)</f>
        <v>0.1953665101</v>
      </c>
    </row>
    <row r="118" spans="1:30" ht="12.75" x14ac:dyDescent="0.2">
      <c r="A118" s="1">
        <v>90</v>
      </c>
      <c r="B118" s="28">
        <f t="shared" ref="B118:K118" si="100">B$23</f>
        <v>0.17864340400000001</v>
      </c>
      <c r="C118" s="28">
        <f t="shared" si="100"/>
        <v>0.18579240999999999</v>
      </c>
      <c r="D118" s="28">
        <f t="shared" si="100"/>
        <v>0.172897945</v>
      </c>
      <c r="E118" s="28">
        <f t="shared" si="100"/>
        <v>0.18393411800000001</v>
      </c>
      <c r="F118" s="28">
        <f t="shared" si="100"/>
        <v>0.19511571</v>
      </c>
      <c r="G118" s="28">
        <f t="shared" si="100"/>
        <v>0.174944289</v>
      </c>
      <c r="H118" s="28">
        <f t="shared" si="100"/>
        <v>0.193028859</v>
      </c>
      <c r="I118" s="28">
        <f t="shared" si="100"/>
        <v>0.20209803700000001</v>
      </c>
      <c r="J118" s="28">
        <f t="shared" si="100"/>
        <v>0.18607059200000001</v>
      </c>
      <c r="K118" s="28">
        <f t="shared" si="100"/>
        <v>0.231252923</v>
      </c>
      <c r="L118" s="28">
        <f t="shared" ref="L118:U118" si="101">L$22</f>
        <v>0.135546322</v>
      </c>
      <c r="M118" s="28">
        <f t="shared" si="101"/>
        <v>0.12773235099999999</v>
      </c>
      <c r="N118" s="28">
        <f t="shared" si="101"/>
        <v>0.14900369399999999</v>
      </c>
      <c r="O118" s="28">
        <f t="shared" si="101"/>
        <v>0.15142082800000001</v>
      </c>
      <c r="P118" s="28">
        <f t="shared" si="101"/>
        <v>0.146863295</v>
      </c>
      <c r="Q118" s="28">
        <f t="shared" si="101"/>
        <v>0.38</v>
      </c>
      <c r="R118" s="28">
        <f t="shared" si="101"/>
        <v>0.51</v>
      </c>
      <c r="S118" s="28">
        <f t="shared" si="101"/>
        <v>0.48</v>
      </c>
      <c r="T118" s="28">
        <f t="shared" si="101"/>
        <v>0.55000000000000004</v>
      </c>
      <c r="U118" s="28">
        <f t="shared" si="101"/>
        <v>0.54</v>
      </c>
      <c r="V118" s="24">
        <f t="shared" si="1"/>
        <v>0.18221790700000001</v>
      </c>
      <c r="W118" s="24">
        <f t="shared" si="2"/>
        <v>0.17841603150000002</v>
      </c>
      <c r="X118" s="24">
        <f t="shared" si="3"/>
        <v>0.18502999949999999</v>
      </c>
      <c r="Y118" s="24">
        <f t="shared" si="4"/>
        <v>0.197563448</v>
      </c>
      <c r="Z118" s="24">
        <f t="shared" si="5"/>
        <v>0.20866175749999999</v>
      </c>
      <c r="AB118" s="3">
        <f ca="1">IFERROR(__xludf.DUMMYFUNCTION("AVERAGE.WEIGHTED(C118:D118,$AB$25:$AC$25)"),0.180376734699999)</f>
        <v>0.18037673469999899</v>
      </c>
      <c r="AC118" s="3">
        <f ca="1">IFERROR(__xludf.DUMMYFUNCTION("AVERAGE.WEIGHTED(F118:G118,$AB$25:$AC$25)"),0.18664371318)</f>
        <v>0.18664371318</v>
      </c>
      <c r="AD118" s="3">
        <f ca="1">IFERROR(__xludf.DUMMYFUNCTION("AVERAGE.WEIGHTED(I118:J118,$AB$25:$AC$25)"),0.1953665101)</f>
        <v>0.1953665101</v>
      </c>
    </row>
    <row r="119" spans="1:30" ht="12.75" x14ac:dyDescent="0.2">
      <c r="A119" s="1">
        <v>91</v>
      </c>
      <c r="B119" s="28">
        <f t="shared" ref="B119:K119" si="102">B$23</f>
        <v>0.17864340400000001</v>
      </c>
      <c r="C119" s="28">
        <f t="shared" si="102"/>
        <v>0.18579240999999999</v>
      </c>
      <c r="D119" s="28">
        <f t="shared" si="102"/>
        <v>0.172897945</v>
      </c>
      <c r="E119" s="28">
        <f t="shared" si="102"/>
        <v>0.18393411800000001</v>
      </c>
      <c r="F119" s="28">
        <f t="shared" si="102"/>
        <v>0.19511571</v>
      </c>
      <c r="G119" s="28">
        <f t="shared" si="102"/>
        <v>0.174944289</v>
      </c>
      <c r="H119" s="28">
        <f t="shared" si="102"/>
        <v>0.193028859</v>
      </c>
      <c r="I119" s="28">
        <f t="shared" si="102"/>
        <v>0.20209803700000001</v>
      </c>
      <c r="J119" s="28">
        <f t="shared" si="102"/>
        <v>0.18607059200000001</v>
      </c>
      <c r="K119" s="28">
        <f t="shared" si="102"/>
        <v>0.231252923</v>
      </c>
      <c r="L119" s="28">
        <f t="shared" ref="L119:U119" si="103">L$22</f>
        <v>0.135546322</v>
      </c>
      <c r="M119" s="28">
        <f t="shared" si="103"/>
        <v>0.12773235099999999</v>
      </c>
      <c r="N119" s="28">
        <f t="shared" si="103"/>
        <v>0.14900369399999999</v>
      </c>
      <c r="O119" s="28">
        <f t="shared" si="103"/>
        <v>0.15142082800000001</v>
      </c>
      <c r="P119" s="28">
        <f t="shared" si="103"/>
        <v>0.146863295</v>
      </c>
      <c r="Q119" s="28">
        <f t="shared" si="103"/>
        <v>0.38</v>
      </c>
      <c r="R119" s="28">
        <f t="shared" si="103"/>
        <v>0.51</v>
      </c>
      <c r="S119" s="28">
        <f t="shared" si="103"/>
        <v>0.48</v>
      </c>
      <c r="T119" s="28">
        <f t="shared" si="103"/>
        <v>0.55000000000000004</v>
      </c>
      <c r="U119" s="28">
        <f t="shared" si="103"/>
        <v>0.54</v>
      </c>
      <c r="V119" s="24">
        <f t="shared" si="1"/>
        <v>0.18221790700000001</v>
      </c>
      <c r="W119" s="24">
        <f t="shared" si="2"/>
        <v>0.17841603150000002</v>
      </c>
      <c r="X119" s="24">
        <f t="shared" si="3"/>
        <v>0.18502999949999999</v>
      </c>
      <c r="Y119" s="24">
        <f t="shared" si="4"/>
        <v>0.197563448</v>
      </c>
      <c r="Z119" s="24">
        <f t="shared" si="5"/>
        <v>0.20866175749999999</v>
      </c>
      <c r="AB119" s="3">
        <f ca="1">IFERROR(__xludf.DUMMYFUNCTION("AVERAGE.WEIGHTED(C119:D119,$AB$25:$AC$25)"),0.180376734699999)</f>
        <v>0.18037673469999899</v>
      </c>
      <c r="AC119" s="3">
        <f ca="1">IFERROR(__xludf.DUMMYFUNCTION("AVERAGE.WEIGHTED(F119:G119,$AB$25:$AC$25)"),0.18664371318)</f>
        <v>0.18664371318</v>
      </c>
      <c r="AD119" s="3">
        <f ca="1">IFERROR(__xludf.DUMMYFUNCTION("AVERAGE.WEIGHTED(I119:J119,$AB$25:$AC$25)"),0.1953665101)</f>
        <v>0.1953665101</v>
      </c>
    </row>
    <row r="120" spans="1:30" ht="12.75" x14ac:dyDescent="0.2">
      <c r="A120" s="1">
        <v>92</v>
      </c>
      <c r="B120" s="28">
        <f t="shared" ref="B120:K120" si="104">B$23</f>
        <v>0.17864340400000001</v>
      </c>
      <c r="C120" s="28">
        <f t="shared" si="104"/>
        <v>0.18579240999999999</v>
      </c>
      <c r="D120" s="28">
        <f t="shared" si="104"/>
        <v>0.172897945</v>
      </c>
      <c r="E120" s="28">
        <f t="shared" si="104"/>
        <v>0.18393411800000001</v>
      </c>
      <c r="F120" s="28">
        <f t="shared" si="104"/>
        <v>0.19511571</v>
      </c>
      <c r="G120" s="28">
        <f t="shared" si="104"/>
        <v>0.174944289</v>
      </c>
      <c r="H120" s="28">
        <f t="shared" si="104"/>
        <v>0.193028859</v>
      </c>
      <c r="I120" s="28">
        <f t="shared" si="104"/>
        <v>0.20209803700000001</v>
      </c>
      <c r="J120" s="28">
        <f t="shared" si="104"/>
        <v>0.18607059200000001</v>
      </c>
      <c r="K120" s="28">
        <f t="shared" si="104"/>
        <v>0.231252923</v>
      </c>
      <c r="L120" s="28">
        <f t="shared" ref="L120:U120" si="105">L$22</f>
        <v>0.135546322</v>
      </c>
      <c r="M120" s="28">
        <f t="shared" si="105"/>
        <v>0.12773235099999999</v>
      </c>
      <c r="N120" s="28">
        <f t="shared" si="105"/>
        <v>0.14900369399999999</v>
      </c>
      <c r="O120" s="28">
        <f t="shared" si="105"/>
        <v>0.15142082800000001</v>
      </c>
      <c r="P120" s="28">
        <f t="shared" si="105"/>
        <v>0.146863295</v>
      </c>
      <c r="Q120" s="28">
        <f t="shared" si="105"/>
        <v>0.38</v>
      </c>
      <c r="R120" s="28">
        <f t="shared" si="105"/>
        <v>0.51</v>
      </c>
      <c r="S120" s="28">
        <f t="shared" si="105"/>
        <v>0.48</v>
      </c>
      <c r="T120" s="28">
        <f t="shared" si="105"/>
        <v>0.55000000000000004</v>
      </c>
      <c r="U120" s="28">
        <f t="shared" si="105"/>
        <v>0.54</v>
      </c>
      <c r="V120" s="24">
        <f t="shared" si="1"/>
        <v>0.18221790700000001</v>
      </c>
      <c r="W120" s="24">
        <f t="shared" si="2"/>
        <v>0.17841603150000002</v>
      </c>
      <c r="X120" s="24">
        <f t="shared" si="3"/>
        <v>0.18502999949999999</v>
      </c>
      <c r="Y120" s="24">
        <f t="shared" si="4"/>
        <v>0.197563448</v>
      </c>
      <c r="Z120" s="24">
        <f t="shared" si="5"/>
        <v>0.20866175749999999</v>
      </c>
      <c r="AB120" s="3">
        <f ca="1">IFERROR(__xludf.DUMMYFUNCTION("AVERAGE.WEIGHTED(C120:D120,$AB$25:$AC$25)"),0.180376734699999)</f>
        <v>0.18037673469999899</v>
      </c>
      <c r="AC120" s="3">
        <f ca="1">IFERROR(__xludf.DUMMYFUNCTION("AVERAGE.WEIGHTED(F120:G120,$AB$25:$AC$25)"),0.18664371318)</f>
        <v>0.18664371318</v>
      </c>
      <c r="AD120" s="3">
        <f ca="1">IFERROR(__xludf.DUMMYFUNCTION("AVERAGE.WEIGHTED(I120:J120,$AB$25:$AC$25)"),0.1953665101)</f>
        <v>0.1953665101</v>
      </c>
    </row>
    <row r="121" spans="1:30" ht="12.75" x14ac:dyDescent="0.2">
      <c r="A121" s="1">
        <v>93</v>
      </c>
      <c r="B121" s="28">
        <f t="shared" ref="B121:K121" si="106">B$23</f>
        <v>0.17864340400000001</v>
      </c>
      <c r="C121" s="28">
        <f t="shared" si="106"/>
        <v>0.18579240999999999</v>
      </c>
      <c r="D121" s="28">
        <f t="shared" si="106"/>
        <v>0.172897945</v>
      </c>
      <c r="E121" s="28">
        <f t="shared" si="106"/>
        <v>0.18393411800000001</v>
      </c>
      <c r="F121" s="28">
        <f t="shared" si="106"/>
        <v>0.19511571</v>
      </c>
      <c r="G121" s="28">
        <f t="shared" si="106"/>
        <v>0.174944289</v>
      </c>
      <c r="H121" s="28">
        <f t="shared" si="106"/>
        <v>0.193028859</v>
      </c>
      <c r="I121" s="28">
        <f t="shared" si="106"/>
        <v>0.20209803700000001</v>
      </c>
      <c r="J121" s="28">
        <f t="shared" si="106"/>
        <v>0.18607059200000001</v>
      </c>
      <c r="K121" s="28">
        <f t="shared" si="106"/>
        <v>0.231252923</v>
      </c>
      <c r="L121" s="28">
        <f t="shared" ref="L121:U121" si="107">L$22</f>
        <v>0.135546322</v>
      </c>
      <c r="M121" s="28">
        <f t="shared" si="107"/>
        <v>0.12773235099999999</v>
      </c>
      <c r="N121" s="28">
        <f t="shared" si="107"/>
        <v>0.14900369399999999</v>
      </c>
      <c r="O121" s="28">
        <f t="shared" si="107"/>
        <v>0.15142082800000001</v>
      </c>
      <c r="P121" s="28">
        <f t="shared" si="107"/>
        <v>0.146863295</v>
      </c>
      <c r="Q121" s="28">
        <f t="shared" si="107"/>
        <v>0.38</v>
      </c>
      <c r="R121" s="28">
        <f t="shared" si="107"/>
        <v>0.51</v>
      </c>
      <c r="S121" s="28">
        <f t="shared" si="107"/>
        <v>0.48</v>
      </c>
      <c r="T121" s="28">
        <f t="shared" si="107"/>
        <v>0.55000000000000004</v>
      </c>
      <c r="U121" s="28">
        <f t="shared" si="107"/>
        <v>0.54</v>
      </c>
      <c r="V121" s="24">
        <f t="shared" si="1"/>
        <v>0.18221790700000001</v>
      </c>
      <c r="W121" s="24">
        <f t="shared" si="2"/>
        <v>0.17841603150000002</v>
      </c>
      <c r="X121" s="24">
        <f t="shared" si="3"/>
        <v>0.18502999949999999</v>
      </c>
      <c r="Y121" s="24">
        <f t="shared" si="4"/>
        <v>0.197563448</v>
      </c>
      <c r="Z121" s="24">
        <f t="shared" si="5"/>
        <v>0.20866175749999999</v>
      </c>
      <c r="AB121" s="3">
        <f ca="1">IFERROR(__xludf.DUMMYFUNCTION("AVERAGE.WEIGHTED(C121:D121,$AB$25:$AC$25)"),0.180376734699999)</f>
        <v>0.18037673469999899</v>
      </c>
      <c r="AC121" s="3">
        <f ca="1">IFERROR(__xludf.DUMMYFUNCTION("AVERAGE.WEIGHTED(F121:G121,$AB$25:$AC$25)"),0.18664371318)</f>
        <v>0.18664371318</v>
      </c>
      <c r="AD121" s="3">
        <f ca="1">IFERROR(__xludf.DUMMYFUNCTION("AVERAGE.WEIGHTED(I121:J121,$AB$25:$AC$25)"),0.1953665101)</f>
        <v>0.1953665101</v>
      </c>
    </row>
    <row r="122" spans="1:30" ht="12.75" x14ac:dyDescent="0.2">
      <c r="A122" s="1">
        <v>94</v>
      </c>
      <c r="B122" s="28">
        <f t="shared" ref="B122:K122" si="108">B$23</f>
        <v>0.17864340400000001</v>
      </c>
      <c r="C122" s="28">
        <f t="shared" si="108"/>
        <v>0.18579240999999999</v>
      </c>
      <c r="D122" s="28">
        <f t="shared" si="108"/>
        <v>0.172897945</v>
      </c>
      <c r="E122" s="28">
        <f t="shared" si="108"/>
        <v>0.18393411800000001</v>
      </c>
      <c r="F122" s="28">
        <f t="shared" si="108"/>
        <v>0.19511571</v>
      </c>
      <c r="G122" s="28">
        <f t="shared" si="108"/>
        <v>0.174944289</v>
      </c>
      <c r="H122" s="28">
        <f t="shared" si="108"/>
        <v>0.193028859</v>
      </c>
      <c r="I122" s="28">
        <f t="shared" si="108"/>
        <v>0.20209803700000001</v>
      </c>
      <c r="J122" s="28">
        <f t="shared" si="108"/>
        <v>0.18607059200000001</v>
      </c>
      <c r="K122" s="28">
        <f t="shared" si="108"/>
        <v>0.231252923</v>
      </c>
      <c r="L122" s="28">
        <f t="shared" ref="L122:U122" si="109">L$22</f>
        <v>0.135546322</v>
      </c>
      <c r="M122" s="28">
        <f t="shared" si="109"/>
        <v>0.12773235099999999</v>
      </c>
      <c r="N122" s="28">
        <f t="shared" si="109"/>
        <v>0.14900369399999999</v>
      </c>
      <c r="O122" s="28">
        <f t="shared" si="109"/>
        <v>0.15142082800000001</v>
      </c>
      <c r="P122" s="28">
        <f t="shared" si="109"/>
        <v>0.146863295</v>
      </c>
      <c r="Q122" s="28">
        <f t="shared" si="109"/>
        <v>0.38</v>
      </c>
      <c r="R122" s="28">
        <f t="shared" si="109"/>
        <v>0.51</v>
      </c>
      <c r="S122" s="28">
        <f t="shared" si="109"/>
        <v>0.48</v>
      </c>
      <c r="T122" s="28">
        <f t="shared" si="109"/>
        <v>0.55000000000000004</v>
      </c>
      <c r="U122" s="28">
        <f t="shared" si="109"/>
        <v>0.54</v>
      </c>
      <c r="V122" s="24">
        <f t="shared" si="1"/>
        <v>0.18221790700000001</v>
      </c>
      <c r="W122" s="24">
        <f t="shared" si="2"/>
        <v>0.17841603150000002</v>
      </c>
      <c r="X122" s="24">
        <f t="shared" si="3"/>
        <v>0.18502999949999999</v>
      </c>
      <c r="Y122" s="24">
        <f t="shared" si="4"/>
        <v>0.197563448</v>
      </c>
      <c r="Z122" s="24">
        <f t="shared" si="5"/>
        <v>0.20866175749999999</v>
      </c>
      <c r="AB122" s="3">
        <f ca="1">IFERROR(__xludf.DUMMYFUNCTION("AVERAGE.WEIGHTED(C122:D122,$AB$25:$AC$25)"),0.180376734699999)</f>
        <v>0.18037673469999899</v>
      </c>
      <c r="AC122" s="3">
        <f ca="1">IFERROR(__xludf.DUMMYFUNCTION("AVERAGE.WEIGHTED(F122:G122,$AB$25:$AC$25)"),0.18664371318)</f>
        <v>0.18664371318</v>
      </c>
      <c r="AD122" s="3">
        <f ca="1">IFERROR(__xludf.DUMMYFUNCTION("AVERAGE.WEIGHTED(I122:J122,$AB$25:$AC$25)"),0.1953665101)</f>
        <v>0.1953665101</v>
      </c>
    </row>
    <row r="123" spans="1:30" ht="12.75" x14ac:dyDescent="0.2">
      <c r="A123" s="1">
        <v>95</v>
      </c>
      <c r="B123" s="28">
        <f t="shared" ref="B123:K123" si="110">B$23</f>
        <v>0.17864340400000001</v>
      </c>
      <c r="C123" s="28">
        <f t="shared" si="110"/>
        <v>0.18579240999999999</v>
      </c>
      <c r="D123" s="28">
        <f t="shared" si="110"/>
        <v>0.172897945</v>
      </c>
      <c r="E123" s="28">
        <f t="shared" si="110"/>
        <v>0.18393411800000001</v>
      </c>
      <c r="F123" s="28">
        <f t="shared" si="110"/>
        <v>0.19511571</v>
      </c>
      <c r="G123" s="28">
        <f t="shared" si="110"/>
        <v>0.174944289</v>
      </c>
      <c r="H123" s="28">
        <f t="shared" si="110"/>
        <v>0.193028859</v>
      </c>
      <c r="I123" s="28">
        <f t="shared" si="110"/>
        <v>0.20209803700000001</v>
      </c>
      <c r="J123" s="28">
        <f t="shared" si="110"/>
        <v>0.18607059200000001</v>
      </c>
      <c r="K123" s="28">
        <f t="shared" si="110"/>
        <v>0.231252923</v>
      </c>
      <c r="L123" s="28">
        <f t="shared" ref="L123:U123" si="111">L$22</f>
        <v>0.135546322</v>
      </c>
      <c r="M123" s="28">
        <f t="shared" si="111"/>
        <v>0.12773235099999999</v>
      </c>
      <c r="N123" s="28">
        <f t="shared" si="111"/>
        <v>0.14900369399999999</v>
      </c>
      <c r="O123" s="28">
        <f t="shared" si="111"/>
        <v>0.15142082800000001</v>
      </c>
      <c r="P123" s="28">
        <f t="shared" si="111"/>
        <v>0.146863295</v>
      </c>
      <c r="Q123" s="28">
        <f t="shared" si="111"/>
        <v>0.38</v>
      </c>
      <c r="R123" s="28">
        <f t="shared" si="111"/>
        <v>0.51</v>
      </c>
      <c r="S123" s="28">
        <f t="shared" si="111"/>
        <v>0.48</v>
      </c>
      <c r="T123" s="28">
        <f t="shared" si="111"/>
        <v>0.55000000000000004</v>
      </c>
      <c r="U123" s="28">
        <f t="shared" si="111"/>
        <v>0.54</v>
      </c>
      <c r="V123" s="24">
        <f t="shared" si="1"/>
        <v>0.18221790700000001</v>
      </c>
      <c r="W123" s="24">
        <f t="shared" si="2"/>
        <v>0.17841603150000002</v>
      </c>
      <c r="X123" s="24">
        <f t="shared" si="3"/>
        <v>0.18502999949999999</v>
      </c>
      <c r="Y123" s="24">
        <f t="shared" si="4"/>
        <v>0.197563448</v>
      </c>
      <c r="Z123" s="24">
        <f t="shared" si="5"/>
        <v>0.20866175749999999</v>
      </c>
      <c r="AB123" s="3">
        <f ca="1">IFERROR(__xludf.DUMMYFUNCTION("AVERAGE.WEIGHTED(C123:D123,$AB$25:$AC$25)"),0.180376734699999)</f>
        <v>0.18037673469999899</v>
      </c>
      <c r="AC123" s="3">
        <f ca="1">IFERROR(__xludf.DUMMYFUNCTION("AVERAGE.WEIGHTED(F123:G123,$AB$25:$AC$25)"),0.18664371318)</f>
        <v>0.18664371318</v>
      </c>
      <c r="AD123" s="3">
        <f ca="1">IFERROR(__xludf.DUMMYFUNCTION("AVERAGE.WEIGHTED(I123:J123,$AB$25:$AC$25)"),0.1953665101)</f>
        <v>0.1953665101</v>
      </c>
    </row>
    <row r="124" spans="1:30" ht="12.75" x14ac:dyDescent="0.2">
      <c r="A124" s="1">
        <v>96</v>
      </c>
      <c r="B124" s="28">
        <f t="shared" ref="B124:K124" si="112">B$23</f>
        <v>0.17864340400000001</v>
      </c>
      <c r="C124" s="28">
        <f t="shared" si="112"/>
        <v>0.18579240999999999</v>
      </c>
      <c r="D124" s="28">
        <f t="shared" si="112"/>
        <v>0.172897945</v>
      </c>
      <c r="E124" s="28">
        <f t="shared" si="112"/>
        <v>0.18393411800000001</v>
      </c>
      <c r="F124" s="28">
        <f t="shared" si="112"/>
        <v>0.19511571</v>
      </c>
      <c r="G124" s="28">
        <f t="shared" si="112"/>
        <v>0.174944289</v>
      </c>
      <c r="H124" s="28">
        <f t="shared" si="112"/>
        <v>0.193028859</v>
      </c>
      <c r="I124" s="28">
        <f t="shared" si="112"/>
        <v>0.20209803700000001</v>
      </c>
      <c r="J124" s="28">
        <f t="shared" si="112"/>
        <v>0.18607059200000001</v>
      </c>
      <c r="K124" s="28">
        <f t="shared" si="112"/>
        <v>0.231252923</v>
      </c>
      <c r="L124" s="28">
        <f t="shared" ref="L124:U124" si="113">L$22</f>
        <v>0.135546322</v>
      </c>
      <c r="M124" s="28">
        <f t="shared" si="113"/>
        <v>0.12773235099999999</v>
      </c>
      <c r="N124" s="28">
        <f t="shared" si="113"/>
        <v>0.14900369399999999</v>
      </c>
      <c r="O124" s="28">
        <f t="shared" si="113"/>
        <v>0.15142082800000001</v>
      </c>
      <c r="P124" s="28">
        <f t="shared" si="113"/>
        <v>0.146863295</v>
      </c>
      <c r="Q124" s="28">
        <f t="shared" si="113"/>
        <v>0.38</v>
      </c>
      <c r="R124" s="28">
        <f t="shared" si="113"/>
        <v>0.51</v>
      </c>
      <c r="S124" s="28">
        <f t="shared" si="113"/>
        <v>0.48</v>
      </c>
      <c r="T124" s="28">
        <f t="shared" si="113"/>
        <v>0.55000000000000004</v>
      </c>
      <c r="U124" s="28">
        <f t="shared" si="113"/>
        <v>0.54</v>
      </c>
      <c r="V124" s="24">
        <f t="shared" si="1"/>
        <v>0.18221790700000001</v>
      </c>
      <c r="W124" s="24">
        <f t="shared" si="2"/>
        <v>0.17841603150000002</v>
      </c>
      <c r="X124" s="24">
        <f t="shared" si="3"/>
        <v>0.18502999949999999</v>
      </c>
      <c r="Y124" s="24">
        <f t="shared" si="4"/>
        <v>0.197563448</v>
      </c>
      <c r="Z124" s="24">
        <f t="shared" si="5"/>
        <v>0.20866175749999999</v>
      </c>
      <c r="AB124" s="3">
        <f ca="1">IFERROR(__xludf.DUMMYFUNCTION("AVERAGE.WEIGHTED(C124:D124,$AB$25:$AC$25)"),0.180376734699999)</f>
        <v>0.18037673469999899</v>
      </c>
      <c r="AC124" s="3">
        <f ca="1">IFERROR(__xludf.DUMMYFUNCTION("AVERAGE.WEIGHTED(F124:G124,$AB$25:$AC$25)"),0.18664371318)</f>
        <v>0.18664371318</v>
      </c>
      <c r="AD124" s="3">
        <f ca="1">IFERROR(__xludf.DUMMYFUNCTION("AVERAGE.WEIGHTED(I124:J124,$AB$25:$AC$25)"),0.1953665101)</f>
        <v>0.1953665101</v>
      </c>
    </row>
    <row r="125" spans="1:30" ht="12.75" x14ac:dyDescent="0.2">
      <c r="A125" s="1">
        <v>97</v>
      </c>
      <c r="B125" s="28">
        <f t="shared" ref="B125:K125" si="114">B$23</f>
        <v>0.17864340400000001</v>
      </c>
      <c r="C125" s="28">
        <f t="shared" si="114"/>
        <v>0.18579240999999999</v>
      </c>
      <c r="D125" s="28">
        <f t="shared" si="114"/>
        <v>0.172897945</v>
      </c>
      <c r="E125" s="28">
        <f t="shared" si="114"/>
        <v>0.18393411800000001</v>
      </c>
      <c r="F125" s="28">
        <f t="shared" si="114"/>
        <v>0.19511571</v>
      </c>
      <c r="G125" s="28">
        <f t="shared" si="114"/>
        <v>0.174944289</v>
      </c>
      <c r="H125" s="28">
        <f t="shared" si="114"/>
        <v>0.193028859</v>
      </c>
      <c r="I125" s="28">
        <f t="shared" si="114"/>
        <v>0.20209803700000001</v>
      </c>
      <c r="J125" s="28">
        <f t="shared" si="114"/>
        <v>0.18607059200000001</v>
      </c>
      <c r="K125" s="28">
        <f t="shared" si="114"/>
        <v>0.231252923</v>
      </c>
      <c r="L125" s="28">
        <f t="shared" ref="L125:U125" si="115">L$22</f>
        <v>0.135546322</v>
      </c>
      <c r="M125" s="28">
        <f t="shared" si="115"/>
        <v>0.12773235099999999</v>
      </c>
      <c r="N125" s="28">
        <f t="shared" si="115"/>
        <v>0.14900369399999999</v>
      </c>
      <c r="O125" s="28">
        <f t="shared" si="115"/>
        <v>0.15142082800000001</v>
      </c>
      <c r="P125" s="28">
        <f t="shared" si="115"/>
        <v>0.146863295</v>
      </c>
      <c r="Q125" s="28">
        <f t="shared" si="115"/>
        <v>0.38</v>
      </c>
      <c r="R125" s="28">
        <f t="shared" si="115"/>
        <v>0.51</v>
      </c>
      <c r="S125" s="28">
        <f t="shared" si="115"/>
        <v>0.48</v>
      </c>
      <c r="T125" s="28">
        <f t="shared" si="115"/>
        <v>0.55000000000000004</v>
      </c>
      <c r="U125" s="28">
        <f t="shared" si="115"/>
        <v>0.54</v>
      </c>
      <c r="V125" s="24">
        <f t="shared" si="1"/>
        <v>0.18221790700000001</v>
      </c>
      <c r="W125" s="24">
        <f t="shared" si="2"/>
        <v>0.17841603150000002</v>
      </c>
      <c r="X125" s="24">
        <f t="shared" si="3"/>
        <v>0.18502999949999999</v>
      </c>
      <c r="Y125" s="24">
        <f t="shared" si="4"/>
        <v>0.197563448</v>
      </c>
      <c r="Z125" s="24">
        <f t="shared" si="5"/>
        <v>0.20866175749999999</v>
      </c>
      <c r="AB125" s="3">
        <f ca="1">IFERROR(__xludf.DUMMYFUNCTION("AVERAGE.WEIGHTED(C125:D125,$AB$25:$AC$25)"),0.180376734699999)</f>
        <v>0.18037673469999899</v>
      </c>
      <c r="AC125" s="3">
        <f ca="1">IFERROR(__xludf.DUMMYFUNCTION("AVERAGE.WEIGHTED(F125:G125,$AB$25:$AC$25)"),0.18664371318)</f>
        <v>0.18664371318</v>
      </c>
      <c r="AD125" s="3">
        <f ca="1">IFERROR(__xludf.DUMMYFUNCTION("AVERAGE.WEIGHTED(I125:J125,$AB$25:$AC$25)"),0.1953665101)</f>
        <v>0.1953665101</v>
      </c>
    </row>
    <row r="126" spans="1:30" ht="12.75" x14ac:dyDescent="0.2">
      <c r="A126" s="1">
        <v>98</v>
      </c>
      <c r="B126" s="28">
        <f t="shared" ref="B126:K126" si="116">B$23</f>
        <v>0.17864340400000001</v>
      </c>
      <c r="C126" s="28">
        <f t="shared" si="116"/>
        <v>0.18579240999999999</v>
      </c>
      <c r="D126" s="28">
        <f t="shared" si="116"/>
        <v>0.172897945</v>
      </c>
      <c r="E126" s="28">
        <f t="shared" si="116"/>
        <v>0.18393411800000001</v>
      </c>
      <c r="F126" s="28">
        <f t="shared" si="116"/>
        <v>0.19511571</v>
      </c>
      <c r="G126" s="28">
        <f t="shared" si="116"/>
        <v>0.174944289</v>
      </c>
      <c r="H126" s="28">
        <f t="shared" si="116"/>
        <v>0.193028859</v>
      </c>
      <c r="I126" s="28">
        <f t="shared" si="116"/>
        <v>0.20209803700000001</v>
      </c>
      <c r="J126" s="28">
        <f t="shared" si="116"/>
        <v>0.18607059200000001</v>
      </c>
      <c r="K126" s="28">
        <f t="shared" si="116"/>
        <v>0.231252923</v>
      </c>
      <c r="L126" s="28">
        <f t="shared" ref="L126:U126" si="117">L$22</f>
        <v>0.135546322</v>
      </c>
      <c r="M126" s="28">
        <f t="shared" si="117"/>
        <v>0.12773235099999999</v>
      </c>
      <c r="N126" s="28">
        <f t="shared" si="117"/>
        <v>0.14900369399999999</v>
      </c>
      <c r="O126" s="28">
        <f t="shared" si="117"/>
        <v>0.15142082800000001</v>
      </c>
      <c r="P126" s="28">
        <f t="shared" si="117"/>
        <v>0.146863295</v>
      </c>
      <c r="Q126" s="28">
        <f t="shared" si="117"/>
        <v>0.38</v>
      </c>
      <c r="R126" s="28">
        <f t="shared" si="117"/>
        <v>0.51</v>
      </c>
      <c r="S126" s="28">
        <f t="shared" si="117"/>
        <v>0.48</v>
      </c>
      <c r="T126" s="28">
        <f t="shared" si="117"/>
        <v>0.55000000000000004</v>
      </c>
      <c r="U126" s="28">
        <f t="shared" si="117"/>
        <v>0.54</v>
      </c>
      <c r="V126" s="24">
        <f t="shared" si="1"/>
        <v>0.18221790700000001</v>
      </c>
      <c r="W126" s="24">
        <f t="shared" si="2"/>
        <v>0.17841603150000002</v>
      </c>
      <c r="X126" s="24">
        <f t="shared" si="3"/>
        <v>0.18502999949999999</v>
      </c>
      <c r="Y126" s="24">
        <f t="shared" si="4"/>
        <v>0.197563448</v>
      </c>
      <c r="Z126" s="24">
        <f t="shared" si="5"/>
        <v>0.20866175749999999</v>
      </c>
      <c r="AB126" s="3">
        <f ca="1">IFERROR(__xludf.DUMMYFUNCTION("AVERAGE.WEIGHTED(C126:D126,$AB$25:$AC$25)"),0.180376734699999)</f>
        <v>0.18037673469999899</v>
      </c>
      <c r="AC126" s="3">
        <f ca="1">IFERROR(__xludf.DUMMYFUNCTION("AVERAGE.WEIGHTED(F126:G126,$AB$25:$AC$25)"),0.18664371318)</f>
        <v>0.18664371318</v>
      </c>
      <c r="AD126" s="3">
        <f ca="1">IFERROR(__xludf.DUMMYFUNCTION("AVERAGE.WEIGHTED(I126:J126,$AB$25:$AC$25)"),0.1953665101)</f>
        <v>0.1953665101</v>
      </c>
    </row>
    <row r="127" spans="1:30" ht="12.75" x14ac:dyDescent="0.2">
      <c r="A127" s="1">
        <v>99</v>
      </c>
      <c r="B127" s="28">
        <f t="shared" ref="B127:K127" si="118">B$23</f>
        <v>0.17864340400000001</v>
      </c>
      <c r="C127" s="28">
        <f t="shared" si="118"/>
        <v>0.18579240999999999</v>
      </c>
      <c r="D127" s="28">
        <f t="shared" si="118"/>
        <v>0.172897945</v>
      </c>
      <c r="E127" s="28">
        <f t="shared" si="118"/>
        <v>0.18393411800000001</v>
      </c>
      <c r="F127" s="28">
        <f t="shared" si="118"/>
        <v>0.19511571</v>
      </c>
      <c r="G127" s="28">
        <f t="shared" si="118"/>
        <v>0.174944289</v>
      </c>
      <c r="H127" s="28">
        <f t="shared" si="118"/>
        <v>0.193028859</v>
      </c>
      <c r="I127" s="28">
        <f t="shared" si="118"/>
        <v>0.20209803700000001</v>
      </c>
      <c r="J127" s="28">
        <f t="shared" si="118"/>
        <v>0.18607059200000001</v>
      </c>
      <c r="K127" s="28">
        <f t="shared" si="118"/>
        <v>0.231252923</v>
      </c>
      <c r="L127" s="28">
        <f t="shared" ref="L127:U127" si="119">L$22</f>
        <v>0.135546322</v>
      </c>
      <c r="M127" s="28">
        <f t="shared" si="119"/>
        <v>0.12773235099999999</v>
      </c>
      <c r="N127" s="28">
        <f t="shared" si="119"/>
        <v>0.14900369399999999</v>
      </c>
      <c r="O127" s="28">
        <f t="shared" si="119"/>
        <v>0.15142082800000001</v>
      </c>
      <c r="P127" s="28">
        <f t="shared" si="119"/>
        <v>0.146863295</v>
      </c>
      <c r="Q127" s="28">
        <f t="shared" si="119"/>
        <v>0.38</v>
      </c>
      <c r="R127" s="28">
        <f t="shared" si="119"/>
        <v>0.51</v>
      </c>
      <c r="S127" s="28">
        <f t="shared" si="119"/>
        <v>0.48</v>
      </c>
      <c r="T127" s="28">
        <f t="shared" si="119"/>
        <v>0.55000000000000004</v>
      </c>
      <c r="U127" s="28">
        <f t="shared" si="119"/>
        <v>0.54</v>
      </c>
      <c r="V127" s="24">
        <f t="shared" si="1"/>
        <v>0.18221790700000001</v>
      </c>
      <c r="W127" s="24">
        <f t="shared" si="2"/>
        <v>0.17841603150000002</v>
      </c>
      <c r="X127" s="24">
        <f t="shared" si="3"/>
        <v>0.18502999949999999</v>
      </c>
      <c r="Y127" s="24">
        <f t="shared" si="4"/>
        <v>0.197563448</v>
      </c>
      <c r="Z127" s="24">
        <f t="shared" si="5"/>
        <v>0.20866175749999999</v>
      </c>
      <c r="AB127" s="3">
        <f ca="1">IFERROR(__xludf.DUMMYFUNCTION("AVERAGE.WEIGHTED(C127:D127,$AB$25:$AC$25)"),0.180376734699999)</f>
        <v>0.18037673469999899</v>
      </c>
      <c r="AC127" s="3">
        <f ca="1">IFERROR(__xludf.DUMMYFUNCTION("AVERAGE.WEIGHTED(F127:G127,$AB$25:$AC$25)"),0.18664371318)</f>
        <v>0.18664371318</v>
      </c>
      <c r="AD127" s="3">
        <f ca="1">IFERROR(__xludf.DUMMYFUNCTION("AVERAGE.WEIGHTED(I127:J127,$AB$25:$AC$25)"),0.1953665101)</f>
        <v>0.1953665101</v>
      </c>
    </row>
    <row r="128" spans="1:30" ht="12.75" x14ac:dyDescent="0.2">
      <c r="A128" s="1">
        <v>100</v>
      </c>
      <c r="B128" s="28">
        <f t="shared" ref="B128:K128" si="120">B$23</f>
        <v>0.17864340400000001</v>
      </c>
      <c r="C128" s="28">
        <f t="shared" si="120"/>
        <v>0.18579240999999999</v>
      </c>
      <c r="D128" s="28">
        <f t="shared" si="120"/>
        <v>0.172897945</v>
      </c>
      <c r="E128" s="28">
        <f t="shared" si="120"/>
        <v>0.18393411800000001</v>
      </c>
      <c r="F128" s="28">
        <f t="shared" si="120"/>
        <v>0.19511571</v>
      </c>
      <c r="G128" s="28">
        <f t="shared" si="120"/>
        <v>0.174944289</v>
      </c>
      <c r="H128" s="28">
        <f t="shared" si="120"/>
        <v>0.193028859</v>
      </c>
      <c r="I128" s="28">
        <f t="shared" si="120"/>
        <v>0.20209803700000001</v>
      </c>
      <c r="J128" s="28">
        <f t="shared" si="120"/>
        <v>0.18607059200000001</v>
      </c>
      <c r="K128" s="28">
        <f t="shared" si="120"/>
        <v>0.231252923</v>
      </c>
      <c r="L128" s="28">
        <f t="shared" ref="L128:U128" si="121">L$22</f>
        <v>0.135546322</v>
      </c>
      <c r="M128" s="28">
        <f t="shared" si="121"/>
        <v>0.12773235099999999</v>
      </c>
      <c r="N128" s="28">
        <f t="shared" si="121"/>
        <v>0.14900369399999999</v>
      </c>
      <c r="O128" s="28">
        <f t="shared" si="121"/>
        <v>0.15142082800000001</v>
      </c>
      <c r="P128" s="28">
        <f t="shared" si="121"/>
        <v>0.146863295</v>
      </c>
      <c r="Q128" s="28">
        <f t="shared" si="121"/>
        <v>0.38</v>
      </c>
      <c r="R128" s="28">
        <f t="shared" si="121"/>
        <v>0.51</v>
      </c>
      <c r="S128" s="28">
        <f t="shared" si="121"/>
        <v>0.48</v>
      </c>
      <c r="T128" s="28">
        <f t="shared" si="121"/>
        <v>0.55000000000000004</v>
      </c>
      <c r="U128" s="28">
        <f t="shared" si="121"/>
        <v>0.54</v>
      </c>
      <c r="V128" s="24">
        <f t="shared" si="1"/>
        <v>0.18221790700000001</v>
      </c>
      <c r="W128" s="24">
        <f t="shared" si="2"/>
        <v>0.17841603150000002</v>
      </c>
      <c r="X128" s="24">
        <f t="shared" si="3"/>
        <v>0.18502999949999999</v>
      </c>
      <c r="Y128" s="24">
        <f t="shared" si="4"/>
        <v>0.197563448</v>
      </c>
      <c r="Z128" s="24">
        <f t="shared" si="5"/>
        <v>0.20866175749999999</v>
      </c>
      <c r="AB128" s="3">
        <f ca="1">IFERROR(__xludf.DUMMYFUNCTION("AVERAGE.WEIGHTED(C128:D128,$AB$25:$AC$25)"),0.180376734699999)</f>
        <v>0.18037673469999899</v>
      </c>
      <c r="AC128" s="3">
        <f ca="1">IFERROR(__xludf.DUMMYFUNCTION("AVERAGE.WEIGHTED(F128:G128,$AB$25:$AC$25)"),0.18664371318)</f>
        <v>0.18664371318</v>
      </c>
      <c r="AD128" s="3">
        <f ca="1">IFERROR(__xludf.DUMMYFUNCTION("AVERAGE.WEIGHTED(I128:J128,$AB$25:$AC$25)"),0.1953665101)</f>
        <v>0.1953665101</v>
      </c>
    </row>
  </sheetData>
  <mergeCells count="50">
    <mergeCell ref="A1:B1"/>
    <mergeCell ref="M1:V1"/>
    <mergeCell ref="W1:AF1"/>
    <mergeCell ref="AG1:AP1"/>
    <mergeCell ref="AQ1:AZ1"/>
    <mergeCell ref="BA1:BJ1"/>
    <mergeCell ref="BK1:BT1"/>
    <mergeCell ref="C1:L1"/>
    <mergeCell ref="E2:F2"/>
    <mergeCell ref="G2:H2"/>
    <mergeCell ref="I2:J2"/>
    <mergeCell ref="K2:L2"/>
    <mergeCell ref="M2:N2"/>
    <mergeCell ref="O2:P2"/>
    <mergeCell ref="AE2:AF2"/>
    <mergeCell ref="AG2:AH2"/>
    <mergeCell ref="AI2:AJ2"/>
    <mergeCell ref="AK2:AL2"/>
    <mergeCell ref="AM2:AN2"/>
    <mergeCell ref="AO2:AP2"/>
    <mergeCell ref="AQ2:AR2"/>
    <mergeCell ref="BQ2:BR2"/>
    <mergeCell ref="BS2:BT2"/>
    <mergeCell ref="AS2:AT2"/>
    <mergeCell ref="AU2:AV2"/>
    <mergeCell ref="AW2:AX2"/>
    <mergeCell ref="AY2:AZ2"/>
    <mergeCell ref="BA2:BB2"/>
    <mergeCell ref="BC2:BD2"/>
    <mergeCell ref="BE2:BF2"/>
    <mergeCell ref="BG2:BH2"/>
    <mergeCell ref="BI2:BJ2"/>
    <mergeCell ref="BK2:BL2"/>
    <mergeCell ref="BM2:BN2"/>
    <mergeCell ref="BO2:BP2"/>
    <mergeCell ref="R3:S3"/>
    <mergeCell ref="T3:U3"/>
    <mergeCell ref="A25:V25"/>
    <mergeCell ref="B26:D26"/>
    <mergeCell ref="E26:G26"/>
    <mergeCell ref="H26:J26"/>
    <mergeCell ref="K26:M26"/>
    <mergeCell ref="N26:P26"/>
    <mergeCell ref="AA2:AB2"/>
    <mergeCell ref="AC2:AD2"/>
    <mergeCell ref="Q2:R2"/>
    <mergeCell ref="S2:T2"/>
    <mergeCell ref="U2:V2"/>
    <mergeCell ref="W2:X2"/>
    <mergeCell ref="Y2:Z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AK49"/>
  <sheetViews>
    <sheetView topLeftCell="A12" workbookViewId="0">
      <selection activeCell="L47" sqref="L47"/>
    </sheetView>
  </sheetViews>
  <sheetFormatPr baseColWidth="10" defaultColWidth="12.5703125" defaultRowHeight="15.75" customHeight="1" x14ac:dyDescent="0.2"/>
  <cols>
    <col min="1" max="1" width="16.28515625" customWidth="1"/>
  </cols>
  <sheetData>
    <row r="1" spans="1:37" x14ac:dyDescent="0.2">
      <c r="A1" s="1" t="s">
        <v>19</v>
      </c>
      <c r="B1" s="1" t="s">
        <v>20</v>
      </c>
      <c r="C1" s="1" t="s">
        <v>21</v>
      </c>
      <c r="K1" s="1" t="s">
        <v>21</v>
      </c>
      <c r="O1" s="1" t="s">
        <v>22</v>
      </c>
      <c r="S1" s="1" t="s">
        <v>23</v>
      </c>
      <c r="W1" s="1" t="s">
        <v>24</v>
      </c>
      <c r="AA1" s="1" t="s">
        <v>25</v>
      </c>
      <c r="AE1" s="1" t="s">
        <v>26</v>
      </c>
      <c r="AI1" s="1" t="s">
        <v>27</v>
      </c>
    </row>
    <row r="2" spans="1:37" x14ac:dyDescent="0.2">
      <c r="A2" s="1">
        <v>30</v>
      </c>
      <c r="G2" s="1" t="s">
        <v>28</v>
      </c>
      <c r="I2" s="1" t="s">
        <v>22</v>
      </c>
      <c r="J2" s="1"/>
    </row>
    <row r="3" spans="1:37" x14ac:dyDescent="0.2">
      <c r="A3" s="1" t="s">
        <v>29</v>
      </c>
      <c r="B3" s="1">
        <v>5638</v>
      </c>
      <c r="C3" s="2">
        <v>5623.0297794900753</v>
      </c>
      <c r="D3" s="2">
        <f t="shared" ref="D3:D5" si="0">B3-C3</f>
        <v>14.970220509924729</v>
      </c>
      <c r="E3" s="3">
        <f t="shared" ref="E3:E5" si="1">D3/B3*100</f>
        <v>0.26552359896993133</v>
      </c>
      <c r="F3" s="1">
        <v>2100</v>
      </c>
      <c r="G3" s="4">
        <v>2134.0679228823246</v>
      </c>
      <c r="H3" s="5">
        <f t="shared" ref="H3:H11" si="2">1 -G3/F3</f>
        <v>-1.622282042015466E-2</v>
      </c>
      <c r="I3" s="6">
        <v>2148.9027389317175</v>
      </c>
      <c r="J3" s="5">
        <f t="shared" ref="J3:J11" si="3">1 -$F3/$I3</f>
        <v>2.2757074131716459E-2</v>
      </c>
      <c r="K3" s="2">
        <v>5626.3868009787602</v>
      </c>
      <c r="L3" s="2">
        <f t="shared" ref="L3:L5" si="4">B3-K3</f>
        <v>11.61319902123978</v>
      </c>
      <c r="M3" s="3">
        <f t="shared" ref="M3:M5" si="5">L3/B3*100</f>
        <v>0.20598082691095743</v>
      </c>
      <c r="O3" s="2">
        <v>5552.17138123326</v>
      </c>
      <c r="P3" s="2">
        <f t="shared" ref="P3:P5" si="6">B3-O3</f>
        <v>85.828618766739964</v>
      </c>
      <c r="Q3" s="3">
        <f t="shared" ref="Q3:Q5" si="7">P3/B3*100</f>
        <v>1.5223238518400135</v>
      </c>
      <c r="S3" s="2">
        <v>5579.0049807446585</v>
      </c>
      <c r="T3" s="2">
        <f t="shared" ref="T3:T5" si="8">B3-S3</f>
        <v>58.995019255341504</v>
      </c>
      <c r="U3" s="3">
        <f t="shared" ref="U3:U5" si="9">T3/B3*100</f>
        <v>1.046382037164624</v>
      </c>
      <c r="W3" s="2">
        <v>5437.7963024070323</v>
      </c>
      <c r="X3" s="2">
        <f t="shared" ref="X3:X5" si="10">$B3-W3</f>
        <v>200.20369759296773</v>
      </c>
      <c r="Y3" s="3">
        <f t="shared" ref="Y3:Y5" si="11">X3/B3*100</f>
        <v>3.5509701595063445</v>
      </c>
      <c r="AA3" s="2">
        <v>5485.6653399750749</v>
      </c>
      <c r="AB3" s="2">
        <f t="shared" ref="AB3:AB5" si="12">$B3-AA3</f>
        <v>152.33466002492514</v>
      </c>
      <c r="AC3" s="3">
        <f t="shared" ref="AC3:AC5" si="13">AB3/$B3*100</f>
        <v>2.7019272796191052</v>
      </c>
      <c r="AE3" s="2">
        <v>5656.1381301454339</v>
      </c>
      <c r="AF3" s="2">
        <f t="shared" ref="AF3:AF5" si="14">$B3-AE3</f>
        <v>-18.138130145433934</v>
      </c>
      <c r="AG3" s="3">
        <f t="shared" ref="AG3:AG5" si="15">AF3/$B3*100</f>
        <v>-0.32171213454121911</v>
      </c>
      <c r="AI3" s="2">
        <v>5652.9411359317282</v>
      </c>
      <c r="AJ3" s="2">
        <f t="shared" ref="AJ3:AJ5" si="16">$B3-AI3</f>
        <v>-14.94113593172824</v>
      </c>
      <c r="AK3" s="3">
        <f t="shared" ref="AK3:AK5" si="17">AJ3/$B3*100</f>
        <v>-0.26500773202781552</v>
      </c>
    </row>
    <row r="4" spans="1:37" x14ac:dyDescent="0.2">
      <c r="A4" s="1" t="s">
        <v>30</v>
      </c>
      <c r="B4" s="1">
        <v>4628</v>
      </c>
      <c r="C4" s="3">
        <v>4629.2708588203195</v>
      </c>
      <c r="D4" s="3">
        <f t="shared" si="0"/>
        <v>-1.2708588203195177</v>
      </c>
      <c r="E4" s="3">
        <f t="shared" si="1"/>
        <v>-2.7460216515114905E-2</v>
      </c>
      <c r="F4" s="1">
        <v>1976</v>
      </c>
      <c r="G4" s="4">
        <v>2003.2645777528442</v>
      </c>
      <c r="H4" s="5">
        <f t="shared" si="2"/>
        <v>-1.3797863235245122E-2</v>
      </c>
      <c r="I4" s="6">
        <v>2021.1399185919906</v>
      </c>
      <c r="J4" s="5">
        <f t="shared" si="3"/>
        <v>2.2333890977442539E-2</v>
      </c>
      <c r="K4" s="3">
        <v>4632.3870313505922</v>
      </c>
      <c r="L4" s="3">
        <f t="shared" si="4"/>
        <v>-4.387031350592224</v>
      </c>
      <c r="M4" s="3">
        <f t="shared" si="5"/>
        <v>-9.479324439481901E-2</v>
      </c>
      <c r="O4" s="3">
        <v>4580.6476364343662</v>
      </c>
      <c r="P4" s="3">
        <f t="shared" si="6"/>
        <v>47.352363565633823</v>
      </c>
      <c r="Q4" s="3">
        <f t="shared" si="7"/>
        <v>1.0231712092833583</v>
      </c>
      <c r="S4" s="3">
        <v>4599.3816068080168</v>
      </c>
      <c r="T4" s="3">
        <f t="shared" si="8"/>
        <v>28.618393191983159</v>
      </c>
      <c r="U4" s="3">
        <f t="shared" si="9"/>
        <v>0.61837496093308464</v>
      </c>
      <c r="W4" s="3">
        <v>4499.257535176469</v>
      </c>
      <c r="X4" s="3">
        <f t="shared" si="10"/>
        <v>128.74246482353101</v>
      </c>
      <c r="Y4" s="3">
        <f t="shared" si="11"/>
        <v>2.781816439575</v>
      </c>
      <c r="AA4" s="3">
        <v>4534.0197621825391</v>
      </c>
      <c r="AB4" s="3">
        <f t="shared" si="12"/>
        <v>93.980237817460875</v>
      </c>
      <c r="AC4" s="3">
        <f t="shared" si="13"/>
        <v>2.030687939011687</v>
      </c>
      <c r="AE4" s="3">
        <v>4654.2508205528748</v>
      </c>
      <c r="AF4" s="3">
        <f t="shared" si="14"/>
        <v>-26.250820552874757</v>
      </c>
      <c r="AG4" s="3">
        <f t="shared" si="15"/>
        <v>-0.56721738446142522</v>
      </c>
      <c r="AI4" s="3">
        <v>4650.9607501432865</v>
      </c>
      <c r="AJ4" s="3">
        <f t="shared" si="16"/>
        <v>-22.960750143286532</v>
      </c>
      <c r="AK4" s="3">
        <f t="shared" si="17"/>
        <v>-0.49612683974257843</v>
      </c>
    </row>
    <row r="5" spans="1:37" x14ac:dyDescent="0.2">
      <c r="A5" s="1" t="s">
        <v>31</v>
      </c>
      <c r="B5" s="1">
        <v>3027</v>
      </c>
      <c r="C5" s="3">
        <v>3097.5735539115849</v>
      </c>
      <c r="D5" s="3">
        <f t="shared" si="0"/>
        <v>-70.573553911584895</v>
      </c>
      <c r="E5" s="3">
        <f t="shared" si="1"/>
        <v>-2.3314685798343211</v>
      </c>
      <c r="F5" s="1">
        <v>1831</v>
      </c>
      <c r="G5" s="4">
        <v>1852.2356329523675</v>
      </c>
      <c r="H5" s="5">
        <f t="shared" si="2"/>
        <v>-1.1597833398343749E-2</v>
      </c>
      <c r="I5" s="6">
        <v>1870.9343610445767</v>
      </c>
      <c r="J5" s="5">
        <f t="shared" si="3"/>
        <v>2.1344608274916022E-2</v>
      </c>
      <c r="K5" s="3">
        <v>3099.5337216540074</v>
      </c>
      <c r="L5" s="3">
        <f t="shared" si="4"/>
        <v>-72.533721654007422</v>
      </c>
      <c r="M5" s="3">
        <f t="shared" si="5"/>
        <v>-2.396224699504705</v>
      </c>
      <c r="O5" s="3">
        <v>3061.6509992180372</v>
      </c>
      <c r="P5" s="3">
        <f t="shared" si="6"/>
        <v>-34.650999218037214</v>
      </c>
      <c r="Q5" s="3">
        <f t="shared" si="7"/>
        <v>-1.1447307306916821</v>
      </c>
      <c r="S5" s="3">
        <v>3075.3562884460648</v>
      </c>
      <c r="T5" s="3">
        <f t="shared" si="8"/>
        <v>-48.356288446064809</v>
      </c>
      <c r="U5" s="3">
        <f t="shared" si="9"/>
        <v>-1.5974987924038588</v>
      </c>
      <c r="W5" s="3">
        <v>3002.7698986214864</v>
      </c>
      <c r="X5" s="3">
        <f t="shared" si="10"/>
        <v>24.230101378513609</v>
      </c>
      <c r="Y5" s="3">
        <f t="shared" si="11"/>
        <v>0.80046585327101449</v>
      </c>
      <c r="AA5" s="3">
        <v>3027.6397954362928</v>
      </c>
      <c r="AB5" s="3">
        <f t="shared" si="12"/>
        <v>-0.63979543629284308</v>
      </c>
      <c r="AC5" s="3">
        <f t="shared" si="13"/>
        <v>-2.113628795153099E-2</v>
      </c>
      <c r="AE5" s="3">
        <v>3115.0840695862898</v>
      </c>
      <c r="AF5" s="3">
        <f t="shared" si="14"/>
        <v>-88.084069586289843</v>
      </c>
      <c r="AG5" s="3">
        <f t="shared" si="15"/>
        <v>-2.9099461376375899</v>
      </c>
      <c r="AI5" s="3">
        <v>3113.1070322494011</v>
      </c>
      <c r="AJ5" s="3">
        <f t="shared" si="16"/>
        <v>-86.107032249401072</v>
      </c>
      <c r="AK5" s="3">
        <f t="shared" si="17"/>
        <v>-2.844632713888374</v>
      </c>
    </row>
    <row r="6" spans="1:37" x14ac:dyDescent="0.2">
      <c r="A6" s="1"/>
      <c r="B6" s="1">
        <v>2100</v>
      </c>
      <c r="C6" s="6">
        <v>2134.0679228823246</v>
      </c>
      <c r="F6" s="1">
        <v>1660</v>
      </c>
      <c r="G6" s="4">
        <v>1677.9011040118687</v>
      </c>
      <c r="H6" s="5">
        <f t="shared" si="2"/>
        <v>-1.0783797597511358E-2</v>
      </c>
      <c r="I6" s="6">
        <v>1696.101475781111</v>
      </c>
      <c r="J6" s="5">
        <f t="shared" si="3"/>
        <v>2.1284973980984945E-2</v>
      </c>
    </row>
    <row r="7" spans="1:37" x14ac:dyDescent="0.2">
      <c r="A7" s="1">
        <v>35</v>
      </c>
      <c r="F7" s="1">
        <v>1463</v>
      </c>
      <c r="G7" s="4">
        <v>1486.0858156874874</v>
      </c>
      <c r="H7" s="5">
        <f t="shared" si="2"/>
        <v>-1.5779778323641525E-2</v>
      </c>
      <c r="I7" s="6">
        <v>1501.3854400225705</v>
      </c>
      <c r="J7" s="5">
        <f t="shared" si="3"/>
        <v>2.5566679281233351E-2</v>
      </c>
    </row>
    <row r="8" spans="1:37" x14ac:dyDescent="0.2">
      <c r="A8" s="1" t="s">
        <v>29</v>
      </c>
      <c r="B8" s="1">
        <v>4990</v>
      </c>
      <c r="C8" s="2">
        <v>4980.9173109786989</v>
      </c>
      <c r="D8" s="2">
        <f t="shared" ref="D8:D10" si="18">B8-C8</f>
        <v>9.0826890213011211</v>
      </c>
      <c r="E8" s="3">
        <f t="shared" ref="E8:E10" si="19">D8/B8*100</f>
        <v>0.18201781605813869</v>
      </c>
      <c r="F8" s="1">
        <v>1248</v>
      </c>
      <c r="G8" s="4">
        <v>1281.3269033652723</v>
      </c>
      <c r="H8" s="5">
        <f t="shared" si="2"/>
        <v>-2.6704249491404042E-2</v>
      </c>
      <c r="I8" s="6">
        <v>1298.7946559235797</v>
      </c>
      <c r="J8" s="5">
        <f t="shared" si="3"/>
        <v>3.910907370300154E-2</v>
      </c>
      <c r="K8" s="2">
        <v>4983.2413877358158</v>
      </c>
      <c r="L8" s="2">
        <f t="shared" ref="L8:L10" si="20">B8-K8</f>
        <v>6.7586122641841939</v>
      </c>
      <c r="M8" s="3">
        <f t="shared" ref="M8:M10" si="21">L8/B8*100</f>
        <v>0.13544313154677745</v>
      </c>
      <c r="O8" s="2">
        <v>4906.5880086223897</v>
      </c>
      <c r="P8" s="2">
        <f t="shared" ref="P8:P10" si="22">B8-O8</f>
        <v>83.41199137761032</v>
      </c>
      <c r="Q8" s="3">
        <f t="shared" ref="Q8:Q10" si="23">P8/B8*100</f>
        <v>1.6715829935392852</v>
      </c>
      <c r="S8" s="2">
        <v>4933.5510810202722</v>
      </c>
      <c r="T8" s="2">
        <f t="shared" ref="T8:T10" si="24">B8-S8</f>
        <v>56.44891897972775</v>
      </c>
      <c r="U8" s="3">
        <f t="shared" ref="U8:U10" si="25">T8/B8*100</f>
        <v>1.1312408613171894</v>
      </c>
      <c r="W8" s="2">
        <v>4802.0344901223643</v>
      </c>
      <c r="X8" s="2">
        <f t="shared" ref="X8:X10" si="26">$B8-W8</f>
        <v>187.96550987763567</v>
      </c>
      <c r="Y8" s="3">
        <f t="shared" ref="Y8:Y10" si="27">X8/B8*100</f>
        <v>3.7668438853233601</v>
      </c>
      <c r="AA8" s="2">
        <v>4837.5298548574656</v>
      </c>
      <c r="AB8" s="2">
        <f t="shared" ref="AB8:AB10" si="28">$B8-AA8</f>
        <v>152.47014514253442</v>
      </c>
      <c r="AC8" s="3">
        <f t="shared" ref="AC8:AC10" si="29">AB8/$B8*100</f>
        <v>3.0555139307121126</v>
      </c>
      <c r="AE8" s="2">
        <v>5001.7822453178715</v>
      </c>
      <c r="AF8" s="2">
        <f t="shared" ref="AF8:AF10" si="30">$B8-AE8</f>
        <v>-11.782245317871457</v>
      </c>
      <c r="AG8" s="3">
        <f t="shared" ref="AG8:AG10" si="31">AF8/$B8*100</f>
        <v>-0.23611714063870656</v>
      </c>
      <c r="AI8" s="2">
        <v>5009.809217644065</v>
      </c>
      <c r="AJ8" s="2">
        <f t="shared" ref="AJ8:AJ10" si="32">$B8-AI8</f>
        <v>-19.809217644065029</v>
      </c>
      <c r="AK8" s="3">
        <f t="shared" ref="AK8:AK10" si="33">AJ8/$B8*100</f>
        <v>-0.39697830950030116</v>
      </c>
    </row>
    <row r="9" spans="1:37" x14ac:dyDescent="0.2">
      <c r="A9" s="1" t="s">
        <v>30</v>
      </c>
      <c r="B9" s="1">
        <v>4185</v>
      </c>
      <c r="C9" s="3">
        <v>4191.8398056385786</v>
      </c>
      <c r="D9" s="3">
        <f t="shared" si="18"/>
        <v>-6.8398056385785821</v>
      </c>
      <c r="E9" s="3">
        <f t="shared" si="19"/>
        <v>-0.16343621597559335</v>
      </c>
      <c r="F9" s="1">
        <v>1032</v>
      </c>
      <c r="G9" s="4">
        <v>1072.3125179091305</v>
      </c>
      <c r="H9" s="5">
        <f t="shared" si="2"/>
        <v>-3.9062517353808612E-2</v>
      </c>
      <c r="I9" s="6">
        <v>1087.9206575677074</v>
      </c>
      <c r="J9" s="5">
        <f t="shared" si="3"/>
        <v>5.140141165508394E-2</v>
      </c>
      <c r="K9" s="3">
        <v>4194.4507047705192</v>
      </c>
      <c r="L9" s="3">
        <f t="shared" si="20"/>
        <v>-9.4507047705192235</v>
      </c>
      <c r="M9" s="3">
        <f t="shared" si="21"/>
        <v>-0.2258232920076278</v>
      </c>
      <c r="O9" s="3">
        <v>4139.2070612603247</v>
      </c>
      <c r="P9" s="3">
        <f t="shared" si="22"/>
        <v>45.792938739675265</v>
      </c>
      <c r="Q9" s="3">
        <f t="shared" si="23"/>
        <v>1.0942159794426587</v>
      </c>
      <c r="S9" s="3">
        <v>4158.5376176238724</v>
      </c>
      <c r="T9" s="3">
        <f t="shared" si="24"/>
        <v>26.462382376127607</v>
      </c>
      <c r="U9" s="3">
        <f t="shared" si="25"/>
        <v>0.63231499106637057</v>
      </c>
      <c r="W9" s="3">
        <v>4063.8045649834867</v>
      </c>
      <c r="X9" s="3">
        <f t="shared" si="26"/>
        <v>121.19543501651333</v>
      </c>
      <c r="Y9" s="3">
        <f t="shared" si="27"/>
        <v>2.8959482680170447</v>
      </c>
      <c r="AA9" s="3">
        <v>4088.9991904787807</v>
      </c>
      <c r="AB9" s="3">
        <f t="shared" si="28"/>
        <v>96.000809521219253</v>
      </c>
      <c r="AC9" s="3">
        <f t="shared" si="29"/>
        <v>2.293926153434152</v>
      </c>
      <c r="AE9" s="3">
        <v>4207.4829738631342</v>
      </c>
      <c r="AF9" s="3">
        <f t="shared" si="30"/>
        <v>-22.482973863134248</v>
      </c>
      <c r="AG9" s="3">
        <f t="shared" si="31"/>
        <v>-0.53722757140105726</v>
      </c>
      <c r="AI9" s="3">
        <v>4213.5366471883053</v>
      </c>
      <c r="AJ9" s="3">
        <f t="shared" si="32"/>
        <v>-28.536647188305324</v>
      </c>
      <c r="AK9" s="3">
        <f t="shared" si="33"/>
        <v>-0.68187926375878916</v>
      </c>
    </row>
    <row r="10" spans="1:37" x14ac:dyDescent="0.2">
      <c r="A10" s="1" t="s">
        <v>31</v>
      </c>
      <c r="B10" s="1">
        <v>2716</v>
      </c>
      <c r="C10" s="3">
        <v>2773.4372537817781</v>
      </c>
      <c r="D10" s="3">
        <f t="shared" si="18"/>
        <v>-57.437253781778054</v>
      </c>
      <c r="E10" s="3">
        <f t="shared" si="19"/>
        <v>-2.1147737033055249</v>
      </c>
      <c r="F10" s="1">
        <v>814</v>
      </c>
      <c r="G10" s="4">
        <v>858.54189171451037</v>
      </c>
      <c r="H10" s="5">
        <f t="shared" si="2"/>
        <v>-5.4719768691044779E-2</v>
      </c>
      <c r="I10" s="6">
        <v>871.6743746247364</v>
      </c>
      <c r="J10" s="5">
        <f t="shared" si="3"/>
        <v>6.6165045461575867E-2</v>
      </c>
      <c r="K10" s="3">
        <v>2774.9402736263391</v>
      </c>
      <c r="L10" s="3">
        <f t="shared" si="20"/>
        <v>-58.940273626339149</v>
      </c>
      <c r="M10" s="3">
        <f t="shared" si="21"/>
        <v>-2.1701131673909848</v>
      </c>
      <c r="O10" s="3">
        <v>2735.2304417630698</v>
      </c>
      <c r="P10" s="3">
        <f t="shared" si="22"/>
        <v>-19.230441763069848</v>
      </c>
      <c r="Q10" s="3">
        <f t="shared" si="23"/>
        <v>-0.70804277478165856</v>
      </c>
      <c r="S10" s="3">
        <v>2749.1657722668538</v>
      </c>
      <c r="T10" s="3">
        <f t="shared" si="24"/>
        <v>-33.165772266853764</v>
      </c>
      <c r="U10" s="3">
        <f t="shared" si="25"/>
        <v>-1.2211256357457203</v>
      </c>
      <c r="W10" s="3">
        <v>2681.0823848430396</v>
      </c>
      <c r="X10" s="3">
        <f t="shared" si="26"/>
        <v>34.917615156960437</v>
      </c>
      <c r="Y10" s="3">
        <f t="shared" si="27"/>
        <v>1.285626478533153</v>
      </c>
      <c r="AA10" s="3">
        <v>2699.3387839787297</v>
      </c>
      <c r="AB10" s="3">
        <f t="shared" si="28"/>
        <v>16.66121602127032</v>
      </c>
      <c r="AC10" s="3">
        <f t="shared" si="29"/>
        <v>0.61344683436194114</v>
      </c>
      <c r="AE10" s="3">
        <v>2784.4469797083202</v>
      </c>
      <c r="AF10" s="3">
        <f t="shared" si="30"/>
        <v>-68.446979708320214</v>
      </c>
      <c r="AG10" s="3">
        <f t="shared" si="31"/>
        <v>-2.5201391645184175</v>
      </c>
      <c r="AI10" s="3">
        <v>2788.6832072528705</v>
      </c>
      <c r="AJ10" s="3">
        <f t="shared" si="32"/>
        <v>-72.683207252870488</v>
      </c>
      <c r="AK10" s="3">
        <f t="shared" si="33"/>
        <v>-2.6761121963501653</v>
      </c>
    </row>
    <row r="11" spans="1:37" x14ac:dyDescent="0.2">
      <c r="A11" s="1"/>
      <c r="B11" s="1">
        <v>1976</v>
      </c>
      <c r="C11" s="6">
        <v>2003.2645777528442</v>
      </c>
      <c r="F11" s="1">
        <v>607</v>
      </c>
      <c r="G11" s="4">
        <v>649.26205554503588</v>
      </c>
      <c r="H11" s="5">
        <f t="shared" si="2"/>
        <v>-6.9624473715050872E-2</v>
      </c>
      <c r="I11" s="6">
        <v>655.09179941420734</v>
      </c>
      <c r="J11" s="5">
        <f t="shared" si="3"/>
        <v>7.3412305660384924E-2</v>
      </c>
    </row>
    <row r="12" spans="1:37" x14ac:dyDescent="0.2">
      <c r="A12" s="1">
        <v>40</v>
      </c>
    </row>
    <row r="13" spans="1:37" x14ac:dyDescent="0.2">
      <c r="A13" s="1" t="s">
        <v>29</v>
      </c>
      <c r="B13" s="1">
        <v>4316</v>
      </c>
      <c r="C13" s="2">
        <v>4306.3729794144701</v>
      </c>
      <c r="D13" s="2">
        <f t="shared" ref="D13:D15" si="34">B13-C13</f>
        <v>9.6270205855298627</v>
      </c>
      <c r="E13" s="3">
        <f t="shared" ref="E13:E15" si="35">D13/B13*100</f>
        <v>0.22305423043396344</v>
      </c>
      <c r="K13" s="2">
        <v>4307.3332445341284</v>
      </c>
      <c r="L13" s="2">
        <f t="shared" ref="L13:L15" si="36">B13-K13</f>
        <v>8.6667554658715744</v>
      </c>
      <c r="M13" s="3">
        <f t="shared" ref="M13:M15" si="37">L13/B13*100</f>
        <v>0.20080527029359532</v>
      </c>
      <c r="O13" s="2">
        <v>4232.46078084279</v>
      </c>
      <c r="P13" s="2">
        <f t="shared" ref="P13:P15" si="38">B13-O13</f>
        <v>83.539219157210027</v>
      </c>
      <c r="Q13" s="3">
        <f t="shared" ref="Q13:Q15" si="39">P13/B13*100</f>
        <v>1.9355704160614</v>
      </c>
      <c r="S13" s="2">
        <v>4258.2641335534563</v>
      </c>
      <c r="T13" s="2">
        <f t="shared" ref="T13:T15" si="40">B13-S13</f>
        <v>57.735866446543696</v>
      </c>
      <c r="U13" s="3">
        <f t="shared" ref="U13:U15" si="41">T13/B13*100</f>
        <v>1.3377170168337278</v>
      </c>
      <c r="W13" s="2">
        <v>4140.5297773833445</v>
      </c>
      <c r="X13" s="2">
        <f t="shared" ref="X13:X15" si="42">$B13-W13</f>
        <v>175.47022261665552</v>
      </c>
      <c r="Y13" s="3">
        <f t="shared" ref="Y13:Y15" si="43">X13/B13*100</f>
        <v>4.0655751301356702</v>
      </c>
      <c r="AA13" s="2">
        <v>4167.8787777182897</v>
      </c>
      <c r="AB13" s="2">
        <f t="shared" ref="AB13:AB15" si="44">$B13-AA13</f>
        <v>148.12122228171029</v>
      </c>
      <c r="AC13" s="3">
        <f t="shared" ref="AC13:AC15" si="45">AB13/$B13*100</f>
        <v>3.4319096914205351</v>
      </c>
      <c r="AE13" s="2">
        <v>4324.0543244905621</v>
      </c>
      <c r="AF13" s="2">
        <f t="shared" ref="AF13:AF15" si="46">$B13-AE13</f>
        <v>-8.0543244905620668</v>
      </c>
      <c r="AG13" s="3">
        <f t="shared" ref="AG13:AG15" si="47">AF13/$B13*100</f>
        <v>-0.18661548865991812</v>
      </c>
      <c r="AI13" s="2">
        <v>4332.7208026132612</v>
      </c>
      <c r="AJ13" s="2">
        <f t="shared" ref="AJ13:AJ15" si="48">$B13-AI13</f>
        <v>-16.720802613261185</v>
      </c>
      <c r="AK13" s="3">
        <f t="shared" ref="AK13:AK15" si="49">AJ13/$B13*100</f>
        <v>-0.3874143330227337</v>
      </c>
    </row>
    <row r="14" spans="1:37" x14ac:dyDescent="0.2">
      <c r="A14" s="1" t="s">
        <v>30</v>
      </c>
      <c r="B14" s="1">
        <v>3710</v>
      </c>
      <c r="C14" s="3">
        <v>3720.6082399755173</v>
      </c>
      <c r="D14" s="3">
        <f t="shared" si="34"/>
        <v>-10.608239975517336</v>
      </c>
      <c r="E14" s="3">
        <f t="shared" si="35"/>
        <v>-0.28593638748025163</v>
      </c>
      <c r="K14" s="3">
        <v>3722.4279368952161</v>
      </c>
      <c r="L14" s="3">
        <f t="shared" si="36"/>
        <v>-12.427936895216135</v>
      </c>
      <c r="M14" s="3">
        <f t="shared" si="37"/>
        <v>-0.33498482197348073</v>
      </c>
      <c r="O14" s="3">
        <v>3666.5533650080379</v>
      </c>
      <c r="P14" s="3">
        <f t="shared" si="38"/>
        <v>43.446634991962128</v>
      </c>
      <c r="Q14" s="3">
        <f t="shared" si="39"/>
        <v>1.171068328624316</v>
      </c>
      <c r="S14" s="3">
        <v>3685.5541935281749</v>
      </c>
      <c r="T14" s="3">
        <f t="shared" si="40"/>
        <v>24.445806471825108</v>
      </c>
      <c r="U14" s="3">
        <f t="shared" si="41"/>
        <v>0.65891661649124278</v>
      </c>
      <c r="W14" s="3">
        <v>3599.6900359969595</v>
      </c>
      <c r="X14" s="3">
        <f t="shared" si="42"/>
        <v>110.30996400304048</v>
      </c>
      <c r="Y14" s="3">
        <f t="shared" si="43"/>
        <v>2.9733143936129509</v>
      </c>
      <c r="AA14" s="3">
        <v>3618.1860886148006</v>
      </c>
      <c r="AB14" s="3">
        <f t="shared" si="44"/>
        <v>91.81391138519939</v>
      </c>
      <c r="AC14" s="3">
        <f t="shared" si="45"/>
        <v>2.4747685009487705</v>
      </c>
      <c r="AE14" s="3">
        <v>3734.1700017743656</v>
      </c>
      <c r="AF14" s="3">
        <f t="shared" si="46"/>
        <v>-24.170001774365574</v>
      </c>
      <c r="AG14" s="3">
        <f t="shared" si="47"/>
        <v>-0.65148252761093184</v>
      </c>
      <c r="AI14" s="3">
        <v>3741.1841951276024</v>
      </c>
      <c r="AJ14" s="3">
        <f t="shared" si="48"/>
        <v>-31.184195127602379</v>
      </c>
      <c r="AK14" s="3">
        <f t="shared" si="49"/>
        <v>-0.84054434306205883</v>
      </c>
    </row>
    <row r="15" spans="1:37" x14ac:dyDescent="0.2">
      <c r="A15" s="1" t="s">
        <v>31</v>
      </c>
      <c r="B15" s="1">
        <v>2376</v>
      </c>
      <c r="C15" s="3">
        <v>2429.1922993434332</v>
      </c>
      <c r="D15" s="3">
        <f t="shared" si="34"/>
        <v>-53.192299343433206</v>
      </c>
      <c r="E15" s="3">
        <f t="shared" si="35"/>
        <v>-2.2387331373498824</v>
      </c>
      <c r="K15" s="3">
        <v>2430.0522074472037</v>
      </c>
      <c r="L15" s="3">
        <f t="shared" si="36"/>
        <v>-54.052207447203727</v>
      </c>
      <c r="M15" s="3">
        <f t="shared" si="37"/>
        <v>-2.2749245558587425</v>
      </c>
      <c r="O15" s="3">
        <v>2390.6448953093145</v>
      </c>
      <c r="P15" s="3">
        <f t="shared" si="38"/>
        <v>-14.644895309314506</v>
      </c>
      <c r="Q15" s="3">
        <f t="shared" si="39"/>
        <v>-0.61636764769842201</v>
      </c>
      <c r="S15" s="3">
        <v>2404.143896690473</v>
      </c>
      <c r="T15" s="3">
        <f t="shared" si="40"/>
        <v>-28.143896690472957</v>
      </c>
      <c r="U15" s="3">
        <f t="shared" si="41"/>
        <v>-1.1845074364677171</v>
      </c>
      <c r="W15" s="3">
        <v>2342.8521203408304</v>
      </c>
      <c r="X15" s="3">
        <f t="shared" si="42"/>
        <v>33.147879659169575</v>
      </c>
      <c r="Y15" s="3">
        <f t="shared" si="43"/>
        <v>1.3951127802680798</v>
      </c>
      <c r="AA15" s="3">
        <v>2356.624850556841</v>
      </c>
      <c r="AB15" s="3">
        <f t="shared" si="44"/>
        <v>19.375149443158989</v>
      </c>
      <c r="AC15" s="3">
        <f t="shared" si="45"/>
        <v>0.81545241764137166</v>
      </c>
      <c r="AE15" s="3">
        <v>2438.6251430117809</v>
      </c>
      <c r="AF15" s="3">
        <f t="shared" si="46"/>
        <v>-62.625143011780892</v>
      </c>
      <c r="AG15" s="3">
        <f t="shared" si="47"/>
        <v>-2.6357383422466705</v>
      </c>
      <c r="AI15" s="3">
        <v>2443.3528772905465</v>
      </c>
      <c r="AJ15" s="3">
        <f t="shared" si="48"/>
        <v>-67.35287729054653</v>
      </c>
      <c r="AK15" s="3">
        <f t="shared" si="49"/>
        <v>-2.8347170576829348</v>
      </c>
    </row>
    <row r="16" spans="1:37" x14ac:dyDescent="0.2">
      <c r="A16" s="1"/>
      <c r="B16" s="1">
        <v>1831</v>
      </c>
      <c r="C16" s="6">
        <v>1852.2356329523675</v>
      </c>
    </row>
    <row r="17" spans="1:37" x14ac:dyDescent="0.2">
      <c r="A17" s="1">
        <v>45</v>
      </c>
    </row>
    <row r="18" spans="1:37" x14ac:dyDescent="0.2">
      <c r="A18" s="1" t="s">
        <v>29</v>
      </c>
      <c r="B18" s="1">
        <v>3614</v>
      </c>
      <c r="C18" s="2">
        <v>3613.6829869098283</v>
      </c>
      <c r="D18" s="2">
        <f t="shared" ref="D18:D20" si="50">B18-C18</f>
        <v>0.31701309017171297</v>
      </c>
      <c r="E18" s="3">
        <f t="shared" ref="E18:E20" si="51">D18/B18*100</f>
        <v>8.771806590252158E-3</v>
      </c>
      <c r="K18" s="2">
        <v>3613.0325723936808</v>
      </c>
      <c r="L18" s="2">
        <f t="shared" ref="L18:L20" si="52">B18-K18</f>
        <v>0.96742760631923375</v>
      </c>
      <c r="M18" s="3">
        <f t="shared" ref="M18:M20" si="53">L18/B18*100</f>
        <v>2.6768887833957769E-2</v>
      </c>
      <c r="O18" s="2">
        <v>3542.6482195077442</v>
      </c>
      <c r="P18" s="2">
        <f t="shared" ref="P18:P20" si="54">B18-O18</f>
        <v>71.351780492255784</v>
      </c>
      <c r="Q18" s="3">
        <f t="shared" ref="Q18:Q20" si="55">P18/B18*100</f>
        <v>1.974316006979961</v>
      </c>
      <c r="S18" s="2">
        <v>3566.9149240165648</v>
      </c>
      <c r="T18" s="2">
        <f t="shared" ref="T18:T20" si="56">B18-S18</f>
        <v>47.085075983435217</v>
      </c>
      <c r="U18" s="3">
        <f t="shared" ref="U18:U20" si="57">T18/B18*100</f>
        <v>1.3028521301448592</v>
      </c>
      <c r="W18" s="2">
        <v>3459.457359262407</v>
      </c>
      <c r="X18" s="2">
        <f t="shared" ref="X18:X20" si="58">$B18-W18</f>
        <v>154.54264073759305</v>
      </c>
      <c r="Y18" s="3">
        <f t="shared" ref="Y18:Y20" si="59">X18/B18*100</f>
        <v>4.2762213817817667</v>
      </c>
      <c r="AA18" s="2">
        <v>3486.0935331186438</v>
      </c>
      <c r="AB18" s="2">
        <f t="shared" ref="AB18:AB20" si="60">$B18-AA18</f>
        <v>127.90646688135621</v>
      </c>
      <c r="AC18" s="3">
        <f t="shared" ref="AC18:AC20" si="61">AB18/$B18*100</f>
        <v>3.5391938816091919</v>
      </c>
      <c r="AE18" s="2">
        <v>3631.3711634885904</v>
      </c>
      <c r="AF18" s="2">
        <f t="shared" ref="AF18:AF20" si="62">$B18-AE18</f>
        <v>-17.371163488590355</v>
      </c>
      <c r="AG18" s="3">
        <f t="shared" ref="AG18:AG20" si="63">AF18/$B18*100</f>
        <v>-0.48066307384035295</v>
      </c>
      <c r="AI18" s="2">
        <v>3636.5545322769844</v>
      </c>
      <c r="AJ18" s="2">
        <f t="shared" ref="AJ18:AJ20" si="64">$B18-AI18</f>
        <v>-22.554532276984446</v>
      </c>
      <c r="AK18" s="3">
        <f t="shared" ref="AK18:AK20" si="65">AJ18/$B18*100</f>
        <v>-0.62408777744837984</v>
      </c>
    </row>
    <row r="19" spans="1:37" x14ac:dyDescent="0.2">
      <c r="A19" s="1" t="s">
        <v>30</v>
      </c>
      <c r="B19" s="1">
        <v>3199</v>
      </c>
      <c r="C19" s="3">
        <v>3222.1527303895714</v>
      </c>
      <c r="D19" s="3">
        <f t="shared" si="50"/>
        <v>-23.152730389571389</v>
      </c>
      <c r="E19" s="3">
        <f t="shared" si="51"/>
        <v>-0.72374899623542954</v>
      </c>
      <c r="K19" s="3">
        <v>3222.901465385205</v>
      </c>
      <c r="L19" s="3">
        <f t="shared" si="52"/>
        <v>-23.901465385205029</v>
      </c>
      <c r="M19" s="3">
        <f t="shared" si="53"/>
        <v>-0.74715427899984466</v>
      </c>
      <c r="O19" s="3">
        <v>3168.0476070758245</v>
      </c>
      <c r="P19" s="3">
        <f t="shared" si="54"/>
        <v>30.952392924175456</v>
      </c>
      <c r="Q19" s="3">
        <f t="shared" si="55"/>
        <v>0.96756464283136778</v>
      </c>
      <c r="S19" s="3">
        <v>3186.5596345155936</v>
      </c>
      <c r="T19" s="3">
        <f t="shared" si="56"/>
        <v>12.440365484406357</v>
      </c>
      <c r="U19" s="3">
        <f t="shared" si="57"/>
        <v>0.38888294730873263</v>
      </c>
      <c r="W19" s="3">
        <v>3106.4941973408559</v>
      </c>
      <c r="X19" s="3">
        <f t="shared" si="58"/>
        <v>92.505802659144138</v>
      </c>
      <c r="Y19" s="3">
        <f t="shared" si="59"/>
        <v>2.8917099924709015</v>
      </c>
      <c r="AA19" s="3">
        <v>3124.3995936653832</v>
      </c>
      <c r="AB19" s="3">
        <f t="shared" si="60"/>
        <v>74.600406334616764</v>
      </c>
      <c r="AC19" s="3">
        <f t="shared" si="61"/>
        <v>2.3319914452834252</v>
      </c>
      <c r="AE19" s="3">
        <v>3236.4805954791759</v>
      </c>
      <c r="AF19" s="3">
        <f t="shared" si="62"/>
        <v>-37.480595479175918</v>
      </c>
      <c r="AG19" s="3">
        <f t="shared" si="63"/>
        <v>-1.1716347445819293</v>
      </c>
      <c r="AI19" s="3">
        <v>3240.8856097271728</v>
      </c>
      <c r="AJ19" s="3">
        <f t="shared" si="64"/>
        <v>-41.885609727172778</v>
      </c>
      <c r="AK19" s="3">
        <f t="shared" si="65"/>
        <v>-1.3093344709963357</v>
      </c>
    </row>
    <row r="20" spans="1:37" x14ac:dyDescent="0.2">
      <c r="A20" s="1" t="s">
        <v>31</v>
      </c>
      <c r="B20" s="1">
        <v>2034</v>
      </c>
      <c r="C20" s="3">
        <v>2071.0330278308338</v>
      </c>
      <c r="D20" s="3">
        <f t="shared" si="50"/>
        <v>-37.033027830833817</v>
      </c>
      <c r="E20" s="3">
        <f t="shared" si="51"/>
        <v>-1.820699500040994</v>
      </c>
      <c r="K20" s="3">
        <v>2071.0898267364223</v>
      </c>
      <c r="L20" s="3">
        <f t="shared" si="52"/>
        <v>-37.08982673642231</v>
      </c>
      <c r="M20" s="3">
        <f t="shared" si="53"/>
        <v>-1.8234919732754331</v>
      </c>
      <c r="O20" s="3">
        <v>2033.2888165849356</v>
      </c>
      <c r="P20" s="3">
        <f t="shared" si="54"/>
        <v>0.7111834150643972</v>
      </c>
      <c r="Q20" s="3">
        <f t="shared" si="55"/>
        <v>3.496476966884942E-2</v>
      </c>
      <c r="S20" s="3">
        <v>2046.1930674015541</v>
      </c>
      <c r="T20" s="3">
        <f t="shared" si="56"/>
        <v>-12.193067401554117</v>
      </c>
      <c r="U20" s="3">
        <f t="shared" si="57"/>
        <v>-0.59946250745103824</v>
      </c>
      <c r="W20" s="3">
        <v>1989.7019790004542</v>
      </c>
      <c r="X20" s="3">
        <f t="shared" si="58"/>
        <v>44.29802099954577</v>
      </c>
      <c r="Y20" s="3">
        <f t="shared" si="59"/>
        <v>2.1778771386207358</v>
      </c>
      <c r="AA20" s="3">
        <v>2003.0803838368631</v>
      </c>
      <c r="AB20" s="3">
        <f t="shared" si="60"/>
        <v>30.91961616313688</v>
      </c>
      <c r="AC20" s="3">
        <f t="shared" si="61"/>
        <v>1.5201384544315082</v>
      </c>
      <c r="AE20" s="3">
        <v>2080.7179667819078</v>
      </c>
      <c r="AF20" s="3">
        <f t="shared" si="62"/>
        <v>-46.717966781907762</v>
      </c>
      <c r="AG20" s="3">
        <f t="shared" si="63"/>
        <v>-2.2968518575175891</v>
      </c>
      <c r="AI20" s="3">
        <v>2083.610389338548</v>
      </c>
      <c r="AJ20" s="3">
        <f t="shared" si="64"/>
        <v>-49.610389338547975</v>
      </c>
      <c r="AK20" s="3">
        <f t="shared" si="65"/>
        <v>-2.4390555230357904</v>
      </c>
    </row>
    <row r="21" spans="1:37" x14ac:dyDescent="0.2">
      <c r="A21" s="1"/>
      <c r="B21" s="1">
        <v>1660</v>
      </c>
      <c r="C21" s="6">
        <v>1677.9011040118687</v>
      </c>
    </row>
    <row r="22" spans="1:37" x14ac:dyDescent="0.2">
      <c r="A22" s="1">
        <v>50</v>
      </c>
    </row>
    <row r="23" spans="1:37" x14ac:dyDescent="0.2">
      <c r="A23" s="1" t="s">
        <v>29</v>
      </c>
      <c r="B23" s="1">
        <v>2904</v>
      </c>
      <c r="C23" s="2">
        <v>2928.4670521659882</v>
      </c>
      <c r="D23" s="2">
        <f t="shared" ref="D23:D25" si="66">B23-C23</f>
        <v>-24.467052165988207</v>
      </c>
      <c r="E23" s="3">
        <f t="shared" ref="E23:E25" si="67">D23/B23*100</f>
        <v>-0.84252934455882267</v>
      </c>
      <c r="K23" s="2">
        <v>2926.1052717220555</v>
      </c>
      <c r="L23" s="2">
        <f t="shared" ref="L23:L25" si="68">B23-K23</f>
        <v>-22.105271722055477</v>
      </c>
      <c r="M23" s="3">
        <f t="shared" ref="M23:M25" si="69">L23/B23*100</f>
        <v>-0.76120081687518859</v>
      </c>
      <c r="O23" s="2">
        <v>2864.9927016816619</v>
      </c>
      <c r="P23" s="2">
        <f t="shared" ref="P23:P25" si="70">B23-O23</f>
        <v>39.007298318338144</v>
      </c>
      <c r="Q23" s="3">
        <f t="shared" ref="Q23:Q25" si="71">P23/B23*100</f>
        <v>1.3432265261135725</v>
      </c>
      <c r="S23" s="2">
        <v>2886.0219259417445</v>
      </c>
      <c r="T23" s="2">
        <f t="shared" ref="T23:T25" si="72">B23-S23</f>
        <v>17.978074058255515</v>
      </c>
      <c r="U23" s="3">
        <f t="shared" ref="U23:U25" si="73">T23/B23*100</f>
        <v>0.61907968520163625</v>
      </c>
      <c r="W23" s="7">
        <v>2792.6756891646501</v>
      </c>
      <c r="X23" s="2">
        <f t="shared" ref="X23:X25" si="74">$B23-W23</f>
        <v>111.32431083534993</v>
      </c>
      <c r="Y23" s="3">
        <f t="shared" ref="Y23:Y25" si="75">X23/B23*100</f>
        <v>3.8334817780767882</v>
      </c>
      <c r="AA23" s="2">
        <v>2820.7453316042361</v>
      </c>
      <c r="AB23" s="2">
        <f t="shared" ref="AB23:AB25" si="76">$B23-AA23</f>
        <v>83.254668395763929</v>
      </c>
      <c r="AC23" s="3">
        <f t="shared" ref="AC23:AC25" si="77">AB23/$B23*100</f>
        <v>2.8668962946199703</v>
      </c>
      <c r="AE23" s="2">
        <v>2944.984770098536</v>
      </c>
      <c r="AF23" s="2">
        <f t="shared" ref="AF23:AF25" si="78">$B23-AE23</f>
        <v>-40.984770098536046</v>
      </c>
      <c r="AG23" s="3">
        <f t="shared" ref="AG23:AG25" si="79">AF23/$B23*100</f>
        <v>-1.4113212843848502</v>
      </c>
      <c r="AI23" s="2">
        <v>2946.3548921004253</v>
      </c>
      <c r="AJ23" s="2">
        <f t="shared" ref="AJ23:AJ25" si="80">$B23-AI23</f>
        <v>-42.354892100425332</v>
      </c>
      <c r="AK23" s="3">
        <f t="shared" ref="AK23:AK25" si="81">AJ23/$B23*100</f>
        <v>-1.4585017940917815</v>
      </c>
    </row>
    <row r="24" spans="1:37" x14ac:dyDescent="0.2">
      <c r="A24" s="1" t="s">
        <v>30</v>
      </c>
      <c r="B24" s="1">
        <v>2662</v>
      </c>
      <c r="C24" s="3">
        <v>2712.7968486307714</v>
      </c>
      <c r="D24" s="3">
        <f t="shared" si="66"/>
        <v>-50.796848630771365</v>
      </c>
      <c r="E24" s="3">
        <f t="shared" si="67"/>
        <v>-1.9082212107727785</v>
      </c>
      <c r="K24" s="3">
        <v>2712.2549303443698</v>
      </c>
      <c r="L24" s="3">
        <f t="shared" si="68"/>
        <v>-50.254930344369768</v>
      </c>
      <c r="M24" s="3">
        <f t="shared" si="69"/>
        <v>-1.8878636493001415</v>
      </c>
      <c r="O24" s="3">
        <v>2662.1220307290741</v>
      </c>
      <c r="P24" s="3">
        <f t="shared" si="70"/>
        <v>-0.12203072907414025</v>
      </c>
      <c r="Q24" s="3">
        <f t="shared" si="71"/>
        <v>-4.5841746459106027E-3</v>
      </c>
      <c r="S24" s="3">
        <v>2678.7104478358497</v>
      </c>
      <c r="T24" s="3">
        <f t="shared" si="72"/>
        <v>-16.710447835849664</v>
      </c>
      <c r="U24" s="3">
        <f t="shared" si="73"/>
        <v>-0.62774033943837959</v>
      </c>
      <c r="W24" s="8">
        <v>2608.1479290577513</v>
      </c>
      <c r="X24" s="3">
        <f t="shared" si="74"/>
        <v>53.852070942248702</v>
      </c>
      <c r="Y24" s="3">
        <f t="shared" si="75"/>
        <v>2.0229928979056613</v>
      </c>
      <c r="AA24" s="3">
        <v>2627.3865800323324</v>
      </c>
      <c r="AB24" s="3">
        <f t="shared" si="76"/>
        <v>34.613419967667596</v>
      </c>
      <c r="AC24" s="3">
        <f t="shared" si="77"/>
        <v>1.3002787365765438</v>
      </c>
      <c r="AE24" s="3">
        <v>2727.0927902844587</v>
      </c>
      <c r="AF24" s="3">
        <f t="shared" si="78"/>
        <v>-65.092790284458715</v>
      </c>
      <c r="AG24" s="3">
        <f t="shared" si="79"/>
        <v>-2.4452588386348126</v>
      </c>
      <c r="AI24" s="3">
        <v>2728.2823241015012</v>
      </c>
      <c r="AJ24" s="3">
        <f t="shared" si="80"/>
        <v>-66.282324101501217</v>
      </c>
      <c r="AK24" s="3">
        <f t="shared" si="81"/>
        <v>-2.4899445567806615</v>
      </c>
    </row>
    <row r="25" spans="1:37" x14ac:dyDescent="0.2">
      <c r="A25" s="1" t="s">
        <v>31</v>
      </c>
      <c r="B25" s="1">
        <v>1659</v>
      </c>
      <c r="C25" s="3">
        <v>1711.5231414724919</v>
      </c>
      <c r="D25" s="3">
        <f t="shared" si="66"/>
        <v>-52.523141472491943</v>
      </c>
      <c r="E25" s="3">
        <f t="shared" si="67"/>
        <v>-3.1659518669374291</v>
      </c>
      <c r="K25" s="3">
        <v>1710.6778543062405</v>
      </c>
      <c r="L25" s="3">
        <f t="shared" si="68"/>
        <v>-51.677854306240533</v>
      </c>
      <c r="M25" s="3">
        <f t="shared" si="69"/>
        <v>-3.1150002595684469</v>
      </c>
      <c r="O25" s="3">
        <v>1677.0379002861901</v>
      </c>
      <c r="P25" s="3">
        <f t="shared" si="70"/>
        <v>-18.037900286190052</v>
      </c>
      <c r="Q25" s="3">
        <f t="shared" si="71"/>
        <v>-1.0872754843996415</v>
      </c>
      <c r="S25" s="3">
        <v>1688.3992428801675</v>
      </c>
      <c r="T25" s="3">
        <f t="shared" si="72"/>
        <v>-29.399242880167549</v>
      </c>
      <c r="U25" s="3">
        <f t="shared" si="73"/>
        <v>-1.7721062616134751</v>
      </c>
      <c r="W25" s="9">
        <v>1639.0039144084315</v>
      </c>
      <c r="X25" s="3">
        <f t="shared" si="74"/>
        <v>19.996085591568544</v>
      </c>
      <c r="Y25" s="3">
        <f t="shared" si="75"/>
        <v>1.2053095594676639</v>
      </c>
      <c r="AA25" s="3">
        <v>1653.2174053004039</v>
      </c>
      <c r="AB25" s="3">
        <f t="shared" si="76"/>
        <v>5.7825946995960749</v>
      </c>
      <c r="AC25" s="3">
        <f t="shared" si="77"/>
        <v>0.34855905362242767</v>
      </c>
      <c r="AE25" s="3">
        <v>1720.8675783742008</v>
      </c>
      <c r="AF25" s="3">
        <f t="shared" si="78"/>
        <v>-61.867578374200775</v>
      </c>
      <c r="AG25" s="3">
        <f t="shared" si="79"/>
        <v>-3.7292090641471232</v>
      </c>
      <c r="AI25" s="3">
        <v>1721.6347921113575</v>
      </c>
      <c r="AJ25" s="3">
        <f t="shared" si="80"/>
        <v>-62.634792111357456</v>
      </c>
      <c r="AK25" s="3">
        <f t="shared" si="81"/>
        <v>-3.7754546179238972</v>
      </c>
    </row>
    <row r="26" spans="1:37" x14ac:dyDescent="0.2">
      <c r="A26" s="1"/>
      <c r="B26" s="1">
        <v>1463</v>
      </c>
      <c r="C26" s="6">
        <v>1486.0858156874874</v>
      </c>
    </row>
    <row r="27" spans="1:37" x14ac:dyDescent="0.2">
      <c r="A27" s="1">
        <v>55</v>
      </c>
    </row>
    <row r="28" spans="1:37" x14ac:dyDescent="0.2">
      <c r="A28" s="1" t="s">
        <v>29</v>
      </c>
      <c r="B28" s="1">
        <v>2223</v>
      </c>
      <c r="C28" s="2">
        <v>2281.718821636744</v>
      </c>
      <c r="D28" s="2">
        <f t="shared" ref="D28:D30" si="82">B28-C28</f>
        <v>-58.718821636743996</v>
      </c>
      <c r="E28" s="3">
        <f t="shared" ref="E28:E30" si="83">D28/B28*100</f>
        <v>-2.6414224757869547</v>
      </c>
      <c r="K28" s="2">
        <v>2277.7205939307541</v>
      </c>
      <c r="L28" s="2">
        <f t="shared" ref="L28:L30" si="84">B28-K28</f>
        <v>-54.720593930754148</v>
      </c>
      <c r="M28" s="3">
        <f t="shared" ref="M28:M30" si="85">L28/B28*100</f>
        <v>-2.4615651790712616</v>
      </c>
      <c r="O28" s="2">
        <v>2234.5628146409545</v>
      </c>
      <c r="P28" s="2">
        <f t="shared" ref="P28:P30" si="86">B28-O28</f>
        <v>-11.562814640954457</v>
      </c>
      <c r="Q28" s="3">
        <f t="shared" ref="Q28:Q30" si="87">P28/B28*100</f>
        <v>-0.52014460823007003</v>
      </c>
      <c r="S28" s="2">
        <v>2253.1138967880397</v>
      </c>
      <c r="T28" s="2">
        <f t="shared" ref="T28:T30" si="88">B28-S28</f>
        <v>-30.11389678803971</v>
      </c>
      <c r="U28" s="3">
        <f t="shared" ref="U28:U30" si="89">T28/B28*100</f>
        <v>-1.3546512275321507</v>
      </c>
      <c r="W28" s="2">
        <v>2156.5453856788567</v>
      </c>
      <c r="X28" s="2">
        <f t="shared" ref="X28:X30" si="90">$B28-W28</f>
        <v>66.454614321143254</v>
      </c>
      <c r="Y28" s="3">
        <f t="shared" ref="Y28:Y30" si="91">X28/B28*100</f>
        <v>2.9894113504787789</v>
      </c>
      <c r="AA28" s="2">
        <v>2193.1211041756319</v>
      </c>
      <c r="AB28" s="2">
        <f t="shared" ref="AB28:AB30" si="92">$B28-AA28</f>
        <v>29.878895824368101</v>
      </c>
      <c r="AC28" s="3">
        <f t="shared" ref="AC28:AC30" si="93">AB28/$B28*100</f>
        <v>1.3440798841371167</v>
      </c>
      <c r="AE28" s="2">
        <v>2296.2232629177593</v>
      </c>
      <c r="AF28" s="2">
        <f t="shared" ref="AF28:AF30" si="94">$B28-AE28</f>
        <v>-73.223262917759257</v>
      </c>
      <c r="AG28" s="3">
        <f t="shared" ref="AG28:AG30" si="95">AF28/$B28*100</f>
        <v>-3.2938939684102229</v>
      </c>
      <c r="AI28" s="2">
        <v>2295.1742265525318</v>
      </c>
      <c r="AJ28" s="2">
        <f t="shared" ref="AJ28:AJ30" si="96">$B28-AI28</f>
        <v>-72.174226552531763</v>
      </c>
      <c r="AK28" s="3">
        <f t="shared" ref="AK28:AK30" si="97">AJ28/$B28*100</f>
        <v>-3.2467038485169484</v>
      </c>
    </row>
    <row r="29" spans="1:37" x14ac:dyDescent="0.2">
      <c r="A29" s="1" t="s">
        <v>30</v>
      </c>
      <c r="B29" s="1">
        <v>2149</v>
      </c>
      <c r="C29" s="3">
        <v>2215.589829514674</v>
      </c>
      <c r="D29" s="3">
        <f t="shared" si="82"/>
        <v>-66.589829514673966</v>
      </c>
      <c r="E29" s="3">
        <f t="shared" si="83"/>
        <v>-3.0986426018926929</v>
      </c>
      <c r="K29" s="3">
        <v>2213.6257884371321</v>
      </c>
      <c r="L29" s="3">
        <f t="shared" si="84"/>
        <v>-64.625788437132087</v>
      </c>
      <c r="M29" s="3">
        <f t="shared" si="85"/>
        <v>-3.0072493456087526</v>
      </c>
      <c r="O29" s="3">
        <v>2176.7060536161075</v>
      </c>
      <c r="P29" s="3">
        <f t="shared" si="86"/>
        <v>-27.706053616107511</v>
      </c>
      <c r="Q29" s="3">
        <f t="shared" si="87"/>
        <v>-1.2892533092651239</v>
      </c>
      <c r="S29" s="3">
        <v>2192.1843655850885</v>
      </c>
      <c r="T29" s="3">
        <f t="shared" si="88"/>
        <v>-43.184365585088472</v>
      </c>
      <c r="U29" s="3">
        <f t="shared" si="89"/>
        <v>-2.0095097992130513</v>
      </c>
      <c r="W29" s="3">
        <v>2113.5750129504504</v>
      </c>
      <c r="X29" s="3">
        <f t="shared" si="90"/>
        <v>35.4249870495496</v>
      </c>
      <c r="Y29" s="3">
        <f t="shared" si="91"/>
        <v>1.6484405327849978</v>
      </c>
      <c r="AA29" s="3">
        <v>2141.8131853725085</v>
      </c>
      <c r="AB29" s="3">
        <f t="shared" si="92"/>
        <v>7.1868146274914579</v>
      </c>
      <c r="AC29" s="3">
        <f t="shared" si="93"/>
        <v>0.33442599476460949</v>
      </c>
      <c r="AE29" s="3">
        <v>2229.3997101806876</v>
      </c>
      <c r="AF29" s="3">
        <f t="shared" si="94"/>
        <v>-80.399710180687634</v>
      </c>
      <c r="AG29" s="3">
        <f t="shared" si="95"/>
        <v>-3.7412615253926305</v>
      </c>
      <c r="AI29" s="3">
        <v>2228.2148433297989</v>
      </c>
      <c r="AJ29" s="3">
        <f t="shared" si="96"/>
        <v>-79.214843329798896</v>
      </c>
      <c r="AK29" s="3">
        <f t="shared" si="97"/>
        <v>-3.6861257947789152</v>
      </c>
    </row>
    <row r="30" spans="1:37" x14ac:dyDescent="0.2">
      <c r="A30" s="1" t="s">
        <v>31</v>
      </c>
      <c r="B30" s="1">
        <v>1318</v>
      </c>
      <c r="C30" s="3">
        <v>1366.9281032884692</v>
      </c>
      <c r="D30" s="3">
        <f t="shared" si="82"/>
        <v>-48.928103288469174</v>
      </c>
      <c r="E30" s="3">
        <f t="shared" si="83"/>
        <v>-3.7122991872890116</v>
      </c>
      <c r="K30" s="3">
        <v>1365.1601792906788</v>
      </c>
      <c r="L30" s="3">
        <f t="shared" si="84"/>
        <v>-47.160179290678798</v>
      </c>
      <c r="M30" s="3">
        <f t="shared" si="85"/>
        <v>-3.578162313405068</v>
      </c>
      <c r="O30" s="3">
        <v>1340.8975791298631</v>
      </c>
      <c r="P30" s="3">
        <f t="shared" si="86"/>
        <v>-22.897579129863061</v>
      </c>
      <c r="Q30" s="3">
        <f t="shared" si="87"/>
        <v>-1.7372973543143446</v>
      </c>
      <c r="S30" s="3">
        <v>1351.1960098942702</v>
      </c>
      <c r="T30" s="3">
        <f t="shared" si="88"/>
        <v>-33.196009894270219</v>
      </c>
      <c r="U30" s="3">
        <f t="shared" si="89"/>
        <v>-2.5186653941024444</v>
      </c>
      <c r="W30" s="3">
        <v>1298.2882599358845</v>
      </c>
      <c r="X30" s="3">
        <f t="shared" si="90"/>
        <v>19.711740064115475</v>
      </c>
      <c r="Y30" s="3">
        <f t="shared" si="91"/>
        <v>1.4955796710254532</v>
      </c>
      <c r="AA30" s="3">
        <v>1317.8260915362409</v>
      </c>
      <c r="AB30" s="3">
        <f t="shared" si="92"/>
        <v>0.17390846375906222</v>
      </c>
      <c r="AC30" s="3">
        <f t="shared" si="93"/>
        <v>1.3194875854253583E-2</v>
      </c>
      <c r="AE30" s="3">
        <v>1375.5486458234002</v>
      </c>
      <c r="AF30" s="3">
        <f t="shared" si="94"/>
        <v>-57.548645823400193</v>
      </c>
      <c r="AG30" s="3">
        <f t="shared" si="95"/>
        <v>-4.366361595098649</v>
      </c>
      <c r="AI30" s="3">
        <v>1374.8573916669577</v>
      </c>
      <c r="AJ30" s="3">
        <f t="shared" si="96"/>
        <v>-56.85739166695771</v>
      </c>
      <c r="AK30" s="3">
        <f t="shared" si="97"/>
        <v>-4.3139143905127249</v>
      </c>
    </row>
    <row r="31" spans="1:37" x14ac:dyDescent="0.2">
      <c r="A31" s="1"/>
      <c r="B31" s="1">
        <v>1248</v>
      </c>
      <c r="C31" s="6">
        <v>1281.3269033652723</v>
      </c>
    </row>
    <row r="32" spans="1:37" x14ac:dyDescent="0.2">
      <c r="A32" s="1">
        <v>60</v>
      </c>
    </row>
    <row r="33" spans="1:37" x14ac:dyDescent="0.2">
      <c r="A33" s="1" t="s">
        <v>29</v>
      </c>
      <c r="B33" s="1">
        <v>1640</v>
      </c>
      <c r="C33" s="2">
        <v>1690.2503414549533</v>
      </c>
      <c r="D33" s="2">
        <f t="shared" ref="D33:D35" si="98">B33-C33</f>
        <v>-50.250341454953286</v>
      </c>
      <c r="E33" s="3">
        <f t="shared" ref="E33:E35" si="99">D33/B33*100</f>
        <v>-3.0640452106678833</v>
      </c>
      <c r="K33" s="2">
        <v>1684.9115031624922</v>
      </c>
      <c r="L33" s="2">
        <f t="shared" ref="L33:L35" si="100">B33-K33</f>
        <v>-44.911503162492181</v>
      </c>
      <c r="M33" s="3">
        <f t="shared" ref="M33:M35" si="101">L33/B33*100</f>
        <v>-2.7385062903958648</v>
      </c>
      <c r="O33" s="2">
        <v>1657.4426556189653</v>
      </c>
      <c r="P33" s="2">
        <f t="shared" ref="P33:P35" si="102">B33-O33</f>
        <v>-17.442655618965318</v>
      </c>
      <c r="Q33" s="3">
        <f t="shared" ref="Q33:Q35" si="103">P33/B33*100</f>
        <v>-1.0635765621320317</v>
      </c>
      <c r="S33" s="2">
        <v>1671.2587892702963</v>
      </c>
      <c r="T33" s="2">
        <f t="shared" ref="T33:T35" si="104">B33-S33</f>
        <v>-31.258789270296347</v>
      </c>
      <c r="U33" s="3">
        <f t="shared" ref="U33:U35" si="105">T33/B33*100</f>
        <v>-1.9060237359936796</v>
      </c>
      <c r="W33" s="2">
        <v>1583.1226007318382</v>
      </c>
      <c r="X33" s="2">
        <f t="shared" ref="X33:X35" si="106">$B33-W33</f>
        <v>56.877399268161753</v>
      </c>
      <c r="Y33" s="3">
        <f t="shared" ref="Y33:Y35" si="107">X33/B33*100</f>
        <v>3.4681341017171805</v>
      </c>
      <c r="AA33" s="2">
        <v>1626.1757922368945</v>
      </c>
      <c r="AB33" s="2">
        <f t="shared" ref="AB33:AB35" si="108">$B33-AA33</f>
        <v>13.824207763105505</v>
      </c>
      <c r="AC33" s="3">
        <f t="shared" ref="AC33:AC35" si="109">AB33/$B33*100</f>
        <v>0.84293949775033572</v>
      </c>
      <c r="AE33" s="2">
        <v>1695.9904185983723</v>
      </c>
      <c r="AF33" s="2">
        <f t="shared" ref="AF33:AF35" si="110">$B33-AE33</f>
        <v>-55.990418598372344</v>
      </c>
      <c r="AG33" s="3">
        <f t="shared" ref="AG33:AG35" si="111">AF33/$B33*100</f>
        <v>-3.4140499145348988</v>
      </c>
      <c r="AI33" s="2">
        <v>1697.6875352462057</v>
      </c>
      <c r="AJ33" s="2">
        <f t="shared" ref="AJ33:AJ35" si="112">$B33-AI33</f>
        <v>-57.687535246205698</v>
      </c>
      <c r="AK33" s="3">
        <f t="shared" ref="AK33:AK35" si="113">AJ33/$B33*100</f>
        <v>-3.5175326369637618</v>
      </c>
    </row>
    <row r="34" spans="1:37" x14ac:dyDescent="0.2">
      <c r="A34" s="1" t="s">
        <v>30</v>
      </c>
      <c r="B34" s="1">
        <v>1640</v>
      </c>
      <c r="C34" s="3">
        <v>1742.5171605512098</v>
      </c>
      <c r="D34" s="3">
        <f t="shared" si="98"/>
        <v>-102.51716055120983</v>
      </c>
      <c r="E34" s="3">
        <f t="shared" si="99"/>
        <v>-6.2510463750737699</v>
      </c>
      <c r="K34" s="3">
        <v>1739.1172849613736</v>
      </c>
      <c r="L34" s="3">
        <f t="shared" si="100"/>
        <v>-99.117284961373571</v>
      </c>
      <c r="M34" s="3">
        <f t="shared" si="101"/>
        <v>-6.0437368878886319</v>
      </c>
      <c r="O34" s="3">
        <v>1714.5697389524275</v>
      </c>
      <c r="P34" s="3">
        <f t="shared" si="102"/>
        <v>-74.569738952427542</v>
      </c>
      <c r="Q34" s="3">
        <f t="shared" si="103"/>
        <v>-4.5469353019772889</v>
      </c>
      <c r="S34" s="3">
        <v>1726.696235458604</v>
      </c>
      <c r="T34" s="3">
        <f t="shared" si="104"/>
        <v>-86.696235458603951</v>
      </c>
      <c r="U34" s="3">
        <f t="shared" si="105"/>
        <v>-5.2863558206465822</v>
      </c>
      <c r="W34" s="3">
        <v>1648.352512906933</v>
      </c>
      <c r="X34" s="3">
        <f t="shared" si="106"/>
        <v>-8.3525129069330433</v>
      </c>
      <c r="Y34" s="3">
        <f t="shared" si="107"/>
        <v>-0.50929956749591732</v>
      </c>
      <c r="AA34" s="3">
        <v>1686.3585750672914</v>
      </c>
      <c r="AB34" s="3">
        <f t="shared" si="108"/>
        <v>-46.35857506729144</v>
      </c>
      <c r="AC34" s="3">
        <f t="shared" si="109"/>
        <v>-2.8267423821519171</v>
      </c>
      <c r="AE34" s="3">
        <v>1748.7427438414427</v>
      </c>
      <c r="AF34" s="3">
        <f t="shared" si="110"/>
        <v>-108.74274384144269</v>
      </c>
      <c r="AG34" s="3">
        <f t="shared" si="111"/>
        <v>-6.6306551122830903</v>
      </c>
      <c r="AI34" s="3">
        <v>1750.3513706875081</v>
      </c>
      <c r="AJ34" s="3">
        <f t="shared" si="112"/>
        <v>-110.35137068750805</v>
      </c>
      <c r="AK34" s="3">
        <f t="shared" si="113"/>
        <v>-6.7287421150919542</v>
      </c>
    </row>
    <row r="35" spans="1:37" x14ac:dyDescent="0.2">
      <c r="A35" s="1" t="s">
        <v>31</v>
      </c>
      <c r="B35" s="1">
        <v>995</v>
      </c>
      <c r="C35" s="3">
        <v>1045.8981623939771</v>
      </c>
      <c r="D35" s="3">
        <f t="shared" si="98"/>
        <v>-50.898162393977145</v>
      </c>
      <c r="E35" s="3">
        <f t="shared" si="99"/>
        <v>-5.115393205424839</v>
      </c>
      <c r="K35" s="3">
        <v>1043.2875211579824</v>
      </c>
      <c r="L35" s="3">
        <f t="shared" si="100"/>
        <v>-48.287521157982383</v>
      </c>
      <c r="M35" s="3">
        <f t="shared" si="101"/>
        <v>-4.8530172018072744</v>
      </c>
      <c r="O35" s="3">
        <v>1027.4861607123532</v>
      </c>
      <c r="P35" s="3">
        <f t="shared" si="102"/>
        <v>-32.486160712353239</v>
      </c>
      <c r="Q35" s="3">
        <f t="shared" si="103"/>
        <v>-3.2649407751108783</v>
      </c>
      <c r="S35" s="3">
        <v>1035.3540691928413</v>
      </c>
      <c r="T35" s="3">
        <f t="shared" si="104"/>
        <v>-40.35406919284128</v>
      </c>
      <c r="U35" s="3">
        <f t="shared" si="105"/>
        <v>-4.0556853460141991</v>
      </c>
      <c r="W35" s="3">
        <v>984.93420567111525</v>
      </c>
      <c r="X35" s="3">
        <f t="shared" si="106"/>
        <v>10.065794328884749</v>
      </c>
      <c r="Y35" s="3">
        <f t="shared" si="107"/>
        <v>1.0116376209934421</v>
      </c>
      <c r="AA35" s="3">
        <v>1009.4727345151676</v>
      </c>
      <c r="AB35" s="3">
        <f t="shared" si="108"/>
        <v>-14.472734515167645</v>
      </c>
      <c r="AC35" s="3">
        <f t="shared" si="109"/>
        <v>-1.454546182428909</v>
      </c>
      <c r="AE35" s="3">
        <v>1049.5763592173194</v>
      </c>
      <c r="AF35" s="3">
        <f t="shared" si="110"/>
        <v>-54.57635921731935</v>
      </c>
      <c r="AG35" s="3">
        <f t="shared" si="111"/>
        <v>-5.4850612278712916</v>
      </c>
      <c r="AI35" s="3">
        <v>1050.569285615913</v>
      </c>
      <c r="AJ35" s="3">
        <f t="shared" si="112"/>
        <v>-55.569285615913032</v>
      </c>
      <c r="AK35" s="3">
        <f t="shared" si="113"/>
        <v>-5.5848528257199028</v>
      </c>
    </row>
    <row r="36" spans="1:37" x14ac:dyDescent="0.2">
      <c r="A36" s="1"/>
      <c r="B36" s="1">
        <v>1032</v>
      </c>
      <c r="C36" s="6">
        <v>1072.3125179091305</v>
      </c>
    </row>
    <row r="37" spans="1:37" x14ac:dyDescent="0.2">
      <c r="A37" s="1">
        <v>65</v>
      </c>
    </row>
    <row r="38" spans="1:37" x14ac:dyDescent="0.2">
      <c r="A38" s="1" t="s">
        <v>29</v>
      </c>
      <c r="B38" s="1">
        <v>1114</v>
      </c>
      <c r="C38" s="2">
        <v>1167.0059389764072</v>
      </c>
      <c r="D38" s="2">
        <f t="shared" ref="D38:D40" si="114">B38-C38</f>
        <v>-53.005938976407151</v>
      </c>
      <c r="E38" s="3">
        <f t="shared" ref="E38:E40" si="115">D38/B38*100</f>
        <v>-4.7581632833399601</v>
      </c>
      <c r="K38" s="2">
        <v>1160.8903246037469</v>
      </c>
      <c r="L38" s="2">
        <f t="shared" ref="L38:L40" si="116">B38-K38</f>
        <v>-46.890324603746876</v>
      </c>
      <c r="M38" s="3">
        <f t="shared" ref="M38:M40" si="117">L38/B38*100</f>
        <v>-4.2091853324727895</v>
      </c>
      <c r="O38" s="2">
        <v>1145.0621035425354</v>
      </c>
      <c r="P38" s="2">
        <f t="shared" ref="P38:P40" si="118">B38-O38</f>
        <v>-31.062103542535397</v>
      </c>
      <c r="Q38" s="3">
        <f t="shared" ref="Q38:Q40" si="119">P38/B38*100</f>
        <v>-2.78833963577517</v>
      </c>
      <c r="R38" s="2"/>
      <c r="S38" s="2">
        <v>1154.9215861914749</v>
      </c>
      <c r="T38" s="2">
        <f t="shared" ref="T38:T40" si="120">B38-S38</f>
        <v>-40.921586191474944</v>
      </c>
      <c r="U38" s="3">
        <f t="shared" ref="U38:U40" si="121">T38/B38*100</f>
        <v>-3.6733919381934417</v>
      </c>
      <c r="W38" s="2">
        <v>1089.2959185184372</v>
      </c>
      <c r="X38" s="2">
        <f t="shared" ref="X38:X40" si="122">$B38-W38</f>
        <v>24.704081481562753</v>
      </c>
      <c r="Y38" s="3">
        <f t="shared" ref="Y38:Y40" si="123">X38/B38*100</f>
        <v>2.2176015692605704</v>
      </c>
      <c r="AA38" s="2">
        <v>1124.0819026878887</v>
      </c>
      <c r="AB38" s="2">
        <f t="shared" ref="AB38:AB40" si="124">$B38-AA38</f>
        <v>-10.081902687888714</v>
      </c>
      <c r="AC38" s="3">
        <f t="shared" ref="AC38:AC40" si="125">AB38/$B38*100</f>
        <v>-0.90501819460401378</v>
      </c>
      <c r="AE38" s="2">
        <v>1168.3270377280546</v>
      </c>
      <c r="AF38" s="2">
        <f t="shared" ref="AF38:AF40" si="126">$B38-AE38</f>
        <v>-54.32703772805462</v>
      </c>
      <c r="AG38" s="3">
        <f t="shared" ref="AG38:AG40" si="127">AF38/$B38*100</f>
        <v>-4.8767538355524795</v>
      </c>
      <c r="AI38" s="2">
        <v>1169.7973247816124</v>
      </c>
      <c r="AJ38" s="2">
        <f t="shared" ref="AJ38:AJ40" si="128">$B38-AI38</f>
        <v>-55.79732478161236</v>
      </c>
      <c r="AK38" s="3">
        <f t="shared" ref="AK38:AK40" si="129">AJ38/$B38*100</f>
        <v>-5.0087365154050589</v>
      </c>
    </row>
    <row r="39" spans="1:37" x14ac:dyDescent="0.2">
      <c r="A39" s="1" t="s">
        <v>30</v>
      </c>
      <c r="B39" s="1">
        <v>1216</v>
      </c>
      <c r="C39" s="3">
        <v>1302.6676239597211</v>
      </c>
      <c r="D39" s="3">
        <f t="shared" si="114"/>
        <v>-86.667623959721141</v>
      </c>
      <c r="E39" s="3">
        <f t="shared" si="115"/>
        <v>-7.12727170721391</v>
      </c>
      <c r="K39" s="3">
        <v>1297.999190546893</v>
      </c>
      <c r="L39" s="3">
        <f t="shared" si="116"/>
        <v>-81.999190546893033</v>
      </c>
      <c r="M39" s="3">
        <f t="shared" si="117"/>
        <v>-6.7433544857642307</v>
      </c>
      <c r="O39" s="3">
        <v>1283.3989441708788</v>
      </c>
      <c r="P39" s="3">
        <f t="shared" si="118"/>
        <v>-67.398944170878849</v>
      </c>
      <c r="Q39" s="3">
        <f t="shared" si="119"/>
        <v>-5.5426763298420108</v>
      </c>
      <c r="S39" s="3">
        <v>1292.7791132160717</v>
      </c>
      <c r="T39" s="3">
        <f t="shared" si="120"/>
        <v>-76.779113216071664</v>
      </c>
      <c r="U39" s="3">
        <f t="shared" si="121"/>
        <v>-6.3140718105322096</v>
      </c>
      <c r="W39" s="3">
        <v>1226.8481105785108</v>
      </c>
      <c r="X39" s="3">
        <f t="shared" si="122"/>
        <v>-10.848110578510841</v>
      </c>
      <c r="Y39" s="3">
        <f t="shared" si="123"/>
        <v>-0.89211435678543094</v>
      </c>
      <c r="AA39" s="3">
        <v>1262.0900089695376</v>
      </c>
      <c r="AB39" s="3">
        <f t="shared" si="124"/>
        <v>-46.090008969537621</v>
      </c>
      <c r="AC39" s="3">
        <f t="shared" si="125"/>
        <v>-3.7902967902580276</v>
      </c>
      <c r="AE39" s="3">
        <v>1304.6643591406098</v>
      </c>
      <c r="AF39" s="3">
        <f t="shared" si="126"/>
        <v>-88.664359140609804</v>
      </c>
      <c r="AG39" s="3">
        <f t="shared" si="127"/>
        <v>-7.2914769030106736</v>
      </c>
      <c r="AI39" s="3">
        <v>1306.4711925567442</v>
      </c>
      <c r="AJ39" s="3">
        <f t="shared" si="128"/>
        <v>-90.471192556744199</v>
      </c>
      <c r="AK39" s="3">
        <f t="shared" si="129"/>
        <v>-7.4400651773638318</v>
      </c>
    </row>
    <row r="40" spans="1:37" x14ac:dyDescent="0.2">
      <c r="A40" s="1" t="s">
        <v>31</v>
      </c>
      <c r="B40" s="1">
        <v>706</v>
      </c>
      <c r="C40" s="3">
        <v>755.0406965278296</v>
      </c>
      <c r="D40" s="3">
        <f t="shared" si="114"/>
        <v>-49.040696527829596</v>
      </c>
      <c r="E40" s="3">
        <f t="shared" si="115"/>
        <v>-6.946274295726572</v>
      </c>
      <c r="K40" s="3">
        <v>751.80097751031963</v>
      </c>
      <c r="L40" s="3">
        <f t="shared" si="116"/>
        <v>-45.800977510319626</v>
      </c>
      <c r="M40" s="3">
        <f t="shared" si="117"/>
        <v>-6.4873905821982474</v>
      </c>
      <c r="O40" s="3">
        <v>742.52859228737884</v>
      </c>
      <c r="P40" s="3">
        <f t="shared" si="118"/>
        <v>-36.528592287378842</v>
      </c>
      <c r="Q40" s="3">
        <f t="shared" si="119"/>
        <v>-5.174021570450261</v>
      </c>
      <c r="S40" s="3">
        <v>748.383599060547</v>
      </c>
      <c r="T40" s="3">
        <f t="shared" si="120"/>
        <v>-42.383599060546999</v>
      </c>
      <c r="U40" s="3">
        <f t="shared" si="121"/>
        <v>-6.0033426431369685</v>
      </c>
      <c r="W40" s="3">
        <v>708.37049540729129</v>
      </c>
      <c r="X40" s="3">
        <f t="shared" si="122"/>
        <v>-2.3704954072912869</v>
      </c>
      <c r="Y40" s="3">
        <f t="shared" si="123"/>
        <v>-0.33576422199593298</v>
      </c>
      <c r="AA40" s="3">
        <v>729.67225707734167</v>
      </c>
      <c r="AB40" s="3">
        <f t="shared" si="124"/>
        <v>-23.672257077341669</v>
      </c>
      <c r="AC40" s="3">
        <f t="shared" si="125"/>
        <v>-3.3530109174704914</v>
      </c>
      <c r="AE40" s="3">
        <v>756.09600940131747</v>
      </c>
      <c r="AF40" s="3">
        <f t="shared" si="126"/>
        <v>-50.096009401317474</v>
      </c>
      <c r="AG40" s="3">
        <f t="shared" si="127"/>
        <v>-7.0957520398466674</v>
      </c>
      <c r="AI40" s="3">
        <v>757.08920310778274</v>
      </c>
      <c r="AJ40" s="3">
        <f t="shared" si="128"/>
        <v>-51.089203107782737</v>
      </c>
      <c r="AK40" s="3">
        <f t="shared" si="129"/>
        <v>-7.2364310350967047</v>
      </c>
    </row>
    <row r="41" spans="1:37" x14ac:dyDescent="0.2">
      <c r="A41" s="1"/>
      <c r="B41" s="1">
        <v>814</v>
      </c>
      <c r="C41" s="6">
        <v>858.54189171451037</v>
      </c>
    </row>
    <row r="42" spans="1:37" x14ac:dyDescent="0.2">
      <c r="A42" s="1">
        <v>70</v>
      </c>
    </row>
    <row r="43" spans="1:37" x14ac:dyDescent="0.2">
      <c r="A43" s="1" t="s">
        <v>29</v>
      </c>
      <c r="B43" s="1">
        <v>704</v>
      </c>
      <c r="C43" s="2">
        <v>726.27191806010092</v>
      </c>
      <c r="D43" s="2">
        <f t="shared" ref="D43:D45" si="130">B43-C43</f>
        <v>-22.271918060100916</v>
      </c>
      <c r="E43" s="3">
        <f t="shared" ref="E43:E45" si="131">D43/B43*100</f>
        <v>-3.1636247244461528</v>
      </c>
      <c r="K43" s="2">
        <v>720.19553365548836</v>
      </c>
      <c r="L43" s="2">
        <f t="shared" ref="L43:L45" si="132">B43-K43</f>
        <v>-16.195533655488362</v>
      </c>
      <c r="M43" s="3">
        <f t="shared" ref="M43:M45" si="133">L43/B43*100</f>
        <v>-2.3005019397000512</v>
      </c>
      <c r="O43" s="2">
        <v>709.6642281714719</v>
      </c>
      <c r="P43" s="2">
        <f t="shared" ref="P43:P45" si="134">B43-O43</f>
        <v>-5.6642281714719047</v>
      </c>
      <c r="Q43" s="3">
        <f t="shared" ref="Q43:Q45" si="135">P43/B43*100</f>
        <v>-0.80457786526589559</v>
      </c>
      <c r="S43" s="2">
        <v>715.40693865014543</v>
      </c>
      <c r="T43" s="2">
        <f t="shared" ref="T43:T45" si="136">B43-S43</f>
        <v>-11.406938650145435</v>
      </c>
      <c r="U43" s="3">
        <f t="shared" ref="U43:U45" si="137">T43/B43*100</f>
        <v>-1.6203037855320221</v>
      </c>
      <c r="W43" s="2">
        <v>690.71205674830821</v>
      </c>
      <c r="X43" s="2">
        <f t="shared" ref="X43:X45" si="138">$B43-W43</f>
        <v>13.287943251691786</v>
      </c>
      <c r="Y43" s="3">
        <f t="shared" ref="Y43:Y45" si="139">X43/B43*100</f>
        <v>1.887491939160765</v>
      </c>
      <c r="AA43" s="2">
        <v>702.41863735776315</v>
      </c>
      <c r="AB43" s="2">
        <f t="shared" ref="AB43:AB45" si="140">$B43-AA43</f>
        <v>1.5813626422368543</v>
      </c>
      <c r="AC43" s="3">
        <f t="shared" ref="AC43:AC45" si="141">AB43/$B43*100</f>
        <v>0.22462537531773499</v>
      </c>
      <c r="AE43" s="2">
        <v>726.1913433504202</v>
      </c>
      <c r="AF43" s="2">
        <f t="shared" ref="AF43:AF45" si="142">$B43-AE43</f>
        <v>-22.191343350420198</v>
      </c>
      <c r="AG43" s="3">
        <f t="shared" ref="AG43:AG45" si="143">AF43/$B43*100</f>
        <v>-3.152179453184687</v>
      </c>
      <c r="AI43" s="2">
        <v>725.39598786995316</v>
      </c>
      <c r="AJ43" s="2">
        <f t="shared" ref="AJ43:AJ45" si="144">$B43-AI43</f>
        <v>-21.39598786995316</v>
      </c>
      <c r="AK43" s="3">
        <f t="shared" ref="AK43:AK45" si="145">AJ43/$B43*100</f>
        <v>-3.0392028224365286</v>
      </c>
    </row>
    <row r="44" spans="1:37" x14ac:dyDescent="0.2">
      <c r="A44" s="1" t="s">
        <v>30</v>
      </c>
      <c r="B44" s="1">
        <v>853</v>
      </c>
      <c r="C44" s="3">
        <v>908.19135285957793</v>
      </c>
      <c r="D44" s="3">
        <f t="shared" si="130"/>
        <v>-55.191352859577933</v>
      </c>
      <c r="E44" s="3">
        <f t="shared" si="131"/>
        <v>-6.4702641101498166</v>
      </c>
      <c r="K44" s="3">
        <v>902.64257784168672</v>
      </c>
      <c r="L44" s="3">
        <f t="shared" si="132"/>
        <v>-49.642577841686716</v>
      </c>
      <c r="M44" s="3">
        <f t="shared" si="133"/>
        <v>-5.8197629357194272</v>
      </c>
      <c r="O44" s="3">
        <v>892.15339642871413</v>
      </c>
      <c r="P44" s="3">
        <f t="shared" si="134"/>
        <v>-39.153396428714132</v>
      </c>
      <c r="Q44" s="3">
        <f t="shared" si="135"/>
        <v>-4.590081644632372</v>
      </c>
      <c r="S44" s="3">
        <v>898.25371652753358</v>
      </c>
      <c r="T44" s="3">
        <f t="shared" si="136"/>
        <v>-45.253716527533584</v>
      </c>
      <c r="U44" s="3">
        <f t="shared" si="137"/>
        <v>-5.3052422658304312</v>
      </c>
      <c r="W44" s="3">
        <v>869.38311217428247</v>
      </c>
      <c r="X44" s="3">
        <f t="shared" si="138"/>
        <v>-16.383112174282473</v>
      </c>
      <c r="Y44" s="3">
        <f t="shared" si="139"/>
        <v>-1.9206462103496451</v>
      </c>
      <c r="AA44" s="3">
        <v>883.21518215562321</v>
      </c>
      <c r="AB44" s="3">
        <f t="shared" si="140"/>
        <v>-30.215182155623211</v>
      </c>
      <c r="AC44" s="3">
        <f t="shared" si="141"/>
        <v>-3.5422253406357811</v>
      </c>
      <c r="AE44" s="3">
        <v>908.73178929072435</v>
      </c>
      <c r="AF44" s="3">
        <f t="shared" si="142"/>
        <v>-55.73178929072435</v>
      </c>
      <c r="AG44" s="3">
        <f t="shared" si="143"/>
        <v>-6.5336212533088345</v>
      </c>
      <c r="AI44" s="3">
        <v>908.19705874853287</v>
      </c>
      <c r="AJ44" s="3">
        <f t="shared" si="144"/>
        <v>-55.197058748532868</v>
      </c>
      <c r="AK44" s="3">
        <f t="shared" si="145"/>
        <v>-6.4709330303086592</v>
      </c>
    </row>
    <row r="45" spans="1:37" x14ac:dyDescent="0.2">
      <c r="A45" s="1" t="s">
        <v>31</v>
      </c>
      <c r="B45" s="1">
        <v>480</v>
      </c>
      <c r="C45" s="3">
        <v>502.33699519342719</v>
      </c>
      <c r="D45" s="3">
        <f t="shared" si="130"/>
        <v>-22.336995193427185</v>
      </c>
      <c r="E45" s="3">
        <f t="shared" si="131"/>
        <v>-4.6535406652973306</v>
      </c>
      <c r="K45" s="3">
        <v>498.82323144834248</v>
      </c>
      <c r="L45" s="3">
        <f t="shared" si="132"/>
        <v>-18.823231448342483</v>
      </c>
      <c r="M45" s="3">
        <f t="shared" si="133"/>
        <v>-3.9215065517380174</v>
      </c>
      <c r="O45" s="3">
        <v>492.3880036913996</v>
      </c>
      <c r="P45" s="3">
        <f t="shared" si="134"/>
        <v>-12.388003691399604</v>
      </c>
      <c r="Q45" s="3">
        <f t="shared" si="135"/>
        <v>-2.5808341023749173</v>
      </c>
      <c r="S45" s="3">
        <v>496.01102987759498</v>
      </c>
      <c r="T45" s="3">
        <f t="shared" si="136"/>
        <v>-16.011029877594979</v>
      </c>
      <c r="U45" s="3">
        <f t="shared" si="137"/>
        <v>-3.3356312244989543</v>
      </c>
      <c r="W45" s="3">
        <v>479.64196863869972</v>
      </c>
      <c r="X45" s="3">
        <f t="shared" si="138"/>
        <v>0.35803136130027724</v>
      </c>
      <c r="Y45" s="3">
        <f t="shared" si="139"/>
        <v>7.4589866937557758E-2</v>
      </c>
      <c r="AA45" s="3">
        <v>487.4434188704833</v>
      </c>
      <c r="AB45" s="3">
        <f t="shared" si="140"/>
        <v>-7.4434188704832991</v>
      </c>
      <c r="AC45" s="3">
        <f t="shared" si="141"/>
        <v>-1.5507122646840206</v>
      </c>
      <c r="AE45" s="3">
        <v>502.5238023050386</v>
      </c>
      <c r="AF45" s="3">
        <f t="shared" si="142"/>
        <v>-22.5238023050386</v>
      </c>
      <c r="AG45" s="3">
        <f t="shared" si="143"/>
        <v>-4.6924588135497078</v>
      </c>
      <c r="AI45" s="3">
        <v>502.11338807708768</v>
      </c>
      <c r="AJ45" s="3">
        <f t="shared" si="144"/>
        <v>-22.113388077087677</v>
      </c>
      <c r="AK45" s="3">
        <f t="shared" si="145"/>
        <v>-4.6069558493932661</v>
      </c>
    </row>
    <row r="46" spans="1:37" x14ac:dyDescent="0.2">
      <c r="B46" s="1">
        <v>607</v>
      </c>
      <c r="C46" s="6">
        <v>649.26205554503588</v>
      </c>
    </row>
    <row r="47" spans="1:37" x14ac:dyDescent="0.2">
      <c r="E47" s="3">
        <f>SUMSQ(E1:E45)</f>
        <v>333.60399407770757</v>
      </c>
      <c r="M47" s="3">
        <f>SUMSQ(M1:M45)</f>
        <v>288.9311360989592</v>
      </c>
      <c r="Q47" s="3">
        <f>SUMSQ(Q1:Q45)</f>
        <v>153.54717592775853</v>
      </c>
      <c r="U47" s="3">
        <f>SUMSQ(U1:U45)</f>
        <v>208.49518669915798</v>
      </c>
      <c r="Y47" s="3">
        <f>SUMSQ(Y1:Y45)</f>
        <v>164.44987961070882</v>
      </c>
      <c r="AC47" s="3">
        <f>SUMSQ(AC1:AC45)</f>
        <v>129.43869273093489</v>
      </c>
      <c r="AG47" s="3">
        <f>SUMSQ(AG1:AG45)</f>
        <v>383.31305229291218</v>
      </c>
      <c r="AK47" s="3">
        <f>SUMSQ(AK1:AK45)</f>
        <v>392.43837211269204</v>
      </c>
    </row>
    <row r="49" spans="2:3" x14ac:dyDescent="0.2">
      <c r="B49" s="2"/>
      <c r="C49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1DA0-299B-4F42-8BFF-66CE7F202268}">
  <sheetPr codeName="Hoja20"/>
  <dimension ref="A1:AK47"/>
  <sheetViews>
    <sheetView workbookViewId="0">
      <selection activeCell="G30" sqref="G30"/>
    </sheetView>
  </sheetViews>
  <sheetFormatPr baseColWidth="10" defaultRowHeight="12.75" x14ac:dyDescent="0.2"/>
  <cols>
    <col min="1" max="1" width="53.140625" style="126" customWidth="1"/>
    <col min="2" max="16384" width="11.42578125" style="126"/>
  </cols>
  <sheetData>
    <row r="1" spans="1:37" x14ac:dyDescent="0.2">
      <c r="A1" s="1" t="s">
        <v>19</v>
      </c>
      <c r="B1" s="1" t="s">
        <v>20</v>
      </c>
      <c r="C1" s="1" t="s">
        <v>21</v>
      </c>
      <c r="K1" s="1" t="s">
        <v>21</v>
      </c>
      <c r="O1" s="1" t="s">
        <v>22</v>
      </c>
      <c r="S1" s="1" t="s">
        <v>23</v>
      </c>
      <c r="W1" s="1" t="s">
        <v>24</v>
      </c>
      <c r="AA1" s="1" t="s">
        <v>25</v>
      </c>
      <c r="AE1" s="1" t="s">
        <v>26</v>
      </c>
      <c r="AI1" s="1" t="s">
        <v>27</v>
      </c>
    </row>
    <row r="2" spans="1:37" x14ac:dyDescent="0.2">
      <c r="A2" s="1">
        <v>30</v>
      </c>
      <c r="G2" s="1" t="s">
        <v>28</v>
      </c>
      <c r="I2" s="1" t="s">
        <v>22</v>
      </c>
      <c r="J2" s="1"/>
    </row>
    <row r="3" spans="1:37" x14ac:dyDescent="0.2">
      <c r="A3" s="1" t="s">
        <v>29</v>
      </c>
      <c r="B3" s="1">
        <v>6183</v>
      </c>
      <c r="C3" s="2">
        <v>5623.0297794900753</v>
      </c>
      <c r="D3" s="2">
        <f t="shared" ref="D3:D5" si="0">B3-C3</f>
        <v>559.97022050992473</v>
      </c>
      <c r="E3" s="3">
        <f t="shared" ref="E3:E5" si="1">D3/B3*100</f>
        <v>9.0566103915562781</v>
      </c>
      <c r="F3" s="1">
        <v>2100</v>
      </c>
      <c r="G3" s="4">
        <v>2134.0679228823246</v>
      </c>
      <c r="H3" s="5">
        <f t="shared" ref="H3:H11" si="2">1 -G3/F3</f>
        <v>-1.622282042015466E-2</v>
      </c>
      <c r="I3" s="6">
        <v>2148.9027389317175</v>
      </c>
      <c r="J3" s="5">
        <f t="shared" ref="J3:J11" si="3">1 -$F3/$I3</f>
        <v>2.2757074131716459E-2</v>
      </c>
      <c r="K3" s="2">
        <v>5626.3868009787602</v>
      </c>
      <c r="L3" s="2">
        <f t="shared" ref="L3:L5" si="4">B3-K3</f>
        <v>556.61319902123978</v>
      </c>
      <c r="M3" s="3">
        <f t="shared" ref="M3:M5" si="5">L3/B3*100</f>
        <v>9.0023160119883503</v>
      </c>
      <c r="O3" s="2">
        <v>5552.17138123326</v>
      </c>
      <c r="P3" s="2">
        <f t="shared" ref="P3:P5" si="6">B3-O3</f>
        <v>630.82861876673996</v>
      </c>
      <c r="Q3" s="3">
        <f t="shared" ref="Q3:Q5" si="7">P3/B3*100</f>
        <v>10.202630094885007</v>
      </c>
      <c r="S3" s="2">
        <v>5579.0049807446585</v>
      </c>
      <c r="T3" s="2">
        <f t="shared" ref="T3:T5" si="8">B3-S3</f>
        <v>603.9950192553415</v>
      </c>
      <c r="U3" s="3">
        <f t="shared" ref="U3:U5" si="9">T3/B3*100</f>
        <v>9.7686401302820887</v>
      </c>
      <c r="W3" s="2">
        <v>5437.7963024070323</v>
      </c>
      <c r="X3" s="2">
        <f t="shared" ref="X3:X5" si="10">$B3-W3</f>
        <v>745.20369759296773</v>
      </c>
      <c r="Y3" s="3">
        <f t="shared" ref="Y3:Y5" si="11">X3/B3*100</f>
        <v>12.052461549295936</v>
      </c>
      <c r="AA3" s="2">
        <v>5485.6653399750749</v>
      </c>
      <c r="AB3" s="2">
        <f t="shared" ref="AB3:AB5" si="12">$B3-AA3</f>
        <v>697.33466002492514</v>
      </c>
      <c r="AC3" s="3">
        <f t="shared" ref="AC3:AC5" si="13">AB3/$B3*100</f>
        <v>11.278257480590735</v>
      </c>
      <c r="AE3" s="2">
        <v>5656.1381301454339</v>
      </c>
      <c r="AF3" s="2">
        <f t="shared" ref="AF3:AF5" si="14">$B3-AE3</f>
        <v>526.86186985456607</v>
      </c>
      <c r="AG3" s="3">
        <f t="shared" ref="AG3:AG5" si="15">AF3/$B3*100</f>
        <v>8.5211365009633848</v>
      </c>
      <c r="AI3" s="2">
        <v>5652.9411359317282</v>
      </c>
      <c r="AJ3" s="2">
        <f t="shared" ref="AJ3:AJ5" si="16">$B3-AI3</f>
        <v>530.05886406827176</v>
      </c>
      <c r="AK3" s="3">
        <f t="shared" ref="AK3:AK5" si="17">AJ3/$B3*100</f>
        <v>8.5728426988237398</v>
      </c>
    </row>
    <row r="4" spans="1:37" x14ac:dyDescent="0.2">
      <c r="A4" s="1" t="s">
        <v>30</v>
      </c>
      <c r="B4" s="1">
        <v>5013</v>
      </c>
      <c r="C4" s="3">
        <v>4629.2708588203195</v>
      </c>
      <c r="D4" s="3">
        <f t="shared" si="0"/>
        <v>383.72914117968048</v>
      </c>
      <c r="E4" s="3">
        <f t="shared" si="1"/>
        <v>7.654680653893486</v>
      </c>
      <c r="F4" s="1">
        <v>1976</v>
      </c>
      <c r="G4" s="4">
        <v>2003.2645777528442</v>
      </c>
      <c r="H4" s="5">
        <f t="shared" si="2"/>
        <v>-1.3797863235245122E-2</v>
      </c>
      <c r="I4" s="6">
        <v>2021.1399185919906</v>
      </c>
      <c r="J4" s="5">
        <f t="shared" si="3"/>
        <v>2.2333890977442539E-2</v>
      </c>
      <c r="K4" s="3">
        <v>4632.3870313505922</v>
      </c>
      <c r="L4" s="3">
        <f t="shared" si="4"/>
        <v>380.61296864940778</v>
      </c>
      <c r="M4" s="3">
        <f t="shared" si="5"/>
        <v>7.5925188240456372</v>
      </c>
      <c r="O4" s="3">
        <v>4580.6476364343662</v>
      </c>
      <c r="P4" s="3">
        <f t="shared" si="6"/>
        <v>432.35236356563382</v>
      </c>
      <c r="Q4" s="3">
        <f t="shared" si="7"/>
        <v>8.6246232508604379</v>
      </c>
      <c r="S4" s="3">
        <v>4599.3816068080168</v>
      </c>
      <c r="T4" s="3">
        <f t="shared" si="8"/>
        <v>413.61839319198316</v>
      </c>
      <c r="U4" s="3">
        <f t="shared" si="9"/>
        <v>8.2509154835823502</v>
      </c>
      <c r="W4" s="3">
        <v>4499.257535176469</v>
      </c>
      <c r="X4" s="3">
        <f t="shared" si="10"/>
        <v>513.74246482353101</v>
      </c>
      <c r="Y4" s="3">
        <f t="shared" si="11"/>
        <v>10.248203966158608</v>
      </c>
      <c r="AA4" s="3">
        <v>4534.0197621825391</v>
      </c>
      <c r="AB4" s="3">
        <f t="shared" si="12"/>
        <v>478.98023781746087</v>
      </c>
      <c r="AC4" s="3">
        <f t="shared" si="13"/>
        <v>9.5547623741763594</v>
      </c>
      <c r="AE4" s="3">
        <v>4654.2508205528748</v>
      </c>
      <c r="AF4" s="3">
        <f t="shared" si="14"/>
        <v>358.74917944712524</v>
      </c>
      <c r="AG4" s="3">
        <f t="shared" si="15"/>
        <v>7.1563770087198328</v>
      </c>
      <c r="AI4" s="3">
        <v>4650.9607501432865</v>
      </c>
      <c r="AJ4" s="3">
        <f t="shared" si="16"/>
        <v>362.03924985671347</v>
      </c>
      <c r="AK4" s="3">
        <f t="shared" si="17"/>
        <v>7.2220077769142925</v>
      </c>
    </row>
    <row r="5" spans="1:37" x14ac:dyDescent="0.2">
      <c r="A5" s="1" t="s">
        <v>31</v>
      </c>
      <c r="B5" s="1">
        <v>3302</v>
      </c>
      <c r="C5" s="3">
        <v>3097.5735539115849</v>
      </c>
      <c r="D5" s="3">
        <f t="shared" si="0"/>
        <v>204.4264460884151</v>
      </c>
      <c r="E5" s="3">
        <f t="shared" si="1"/>
        <v>6.190988676208816</v>
      </c>
      <c r="F5" s="1">
        <v>1831</v>
      </c>
      <c r="G5" s="4">
        <v>1852.2356329523675</v>
      </c>
      <c r="H5" s="5">
        <f t="shared" si="2"/>
        <v>-1.1597833398343749E-2</v>
      </c>
      <c r="I5" s="6">
        <v>1870.9343610445767</v>
      </c>
      <c r="J5" s="5">
        <f t="shared" si="3"/>
        <v>2.1344608274916022E-2</v>
      </c>
      <c r="K5" s="3">
        <v>3099.5337216540074</v>
      </c>
      <c r="L5" s="3">
        <f t="shared" si="4"/>
        <v>202.46627834599258</v>
      </c>
      <c r="M5" s="3">
        <f t="shared" si="5"/>
        <v>6.1316256313141304</v>
      </c>
      <c r="O5" s="3">
        <v>3061.6509992180372</v>
      </c>
      <c r="P5" s="3">
        <f t="shared" si="6"/>
        <v>240.34900078196279</v>
      </c>
      <c r="Q5" s="3">
        <f t="shared" si="7"/>
        <v>7.2788916045415748</v>
      </c>
      <c r="S5" s="3">
        <v>3075.3562884460648</v>
      </c>
      <c r="T5" s="3">
        <f t="shared" si="8"/>
        <v>226.64371155393519</v>
      </c>
      <c r="U5" s="3">
        <f t="shared" si="9"/>
        <v>6.8638313614153592</v>
      </c>
      <c r="W5" s="3">
        <v>3002.7698986214864</v>
      </c>
      <c r="X5" s="3">
        <f t="shared" si="10"/>
        <v>299.23010137851361</v>
      </c>
      <c r="Y5" s="3">
        <f t="shared" si="11"/>
        <v>9.0620866559210658</v>
      </c>
      <c r="AA5" s="3">
        <v>3027.6397954362928</v>
      </c>
      <c r="AB5" s="3">
        <f t="shared" si="12"/>
        <v>274.36020456370716</v>
      </c>
      <c r="AC5" s="3">
        <f t="shared" si="13"/>
        <v>8.3089098898760501</v>
      </c>
      <c r="AE5" s="3">
        <v>3115.0840695862898</v>
      </c>
      <c r="AF5" s="3">
        <f t="shared" si="14"/>
        <v>186.91593041371016</v>
      </c>
      <c r="AG5" s="3">
        <f t="shared" si="15"/>
        <v>5.6606883832135111</v>
      </c>
      <c r="AI5" s="3">
        <v>3113.1070322494011</v>
      </c>
      <c r="AJ5" s="3">
        <f t="shared" si="16"/>
        <v>188.89296775059893</v>
      </c>
      <c r="AK5" s="3">
        <f t="shared" si="17"/>
        <v>5.7205623183100824</v>
      </c>
    </row>
    <row r="6" spans="1:37" x14ac:dyDescent="0.2">
      <c r="A6" s="1"/>
      <c r="B6" s="1">
        <v>15007</v>
      </c>
      <c r="C6" s="6">
        <v>2134.0679228823246</v>
      </c>
      <c r="F6" s="1">
        <v>1660</v>
      </c>
      <c r="G6" s="4">
        <v>1677.9011040118687</v>
      </c>
      <c r="H6" s="5">
        <f t="shared" si="2"/>
        <v>-1.0783797597511358E-2</v>
      </c>
      <c r="I6" s="6">
        <v>1696.101475781111</v>
      </c>
      <c r="J6" s="5">
        <f t="shared" si="3"/>
        <v>2.1284973980984945E-2</v>
      </c>
    </row>
    <row r="7" spans="1:37" x14ac:dyDescent="0.2">
      <c r="A7" s="1">
        <v>35</v>
      </c>
      <c r="F7" s="1">
        <v>1463</v>
      </c>
      <c r="G7" s="4">
        <v>1486.0858156874874</v>
      </c>
      <c r="H7" s="5">
        <f t="shared" si="2"/>
        <v>-1.5779778323641525E-2</v>
      </c>
      <c r="I7" s="6">
        <v>1501.3854400225705</v>
      </c>
      <c r="J7" s="5">
        <f t="shared" si="3"/>
        <v>2.5566679281233351E-2</v>
      </c>
    </row>
    <row r="8" spans="1:37" x14ac:dyDescent="0.2">
      <c r="A8" s="1" t="s">
        <v>29</v>
      </c>
      <c r="B8" s="1">
        <v>5576</v>
      </c>
      <c r="C8" s="2">
        <v>4980.9173109786989</v>
      </c>
      <c r="D8" s="2">
        <f t="shared" ref="D8:D10" si="18">B8-C8</f>
        <v>595.08268902130112</v>
      </c>
      <c r="E8" s="3">
        <f t="shared" ref="E8:E10" si="19">D8/B8*100</f>
        <v>10.672214652462358</v>
      </c>
      <c r="F8" s="1">
        <v>1248</v>
      </c>
      <c r="G8" s="4">
        <v>1281.3269033652723</v>
      </c>
      <c r="H8" s="5">
        <f t="shared" si="2"/>
        <v>-2.6704249491404042E-2</v>
      </c>
      <c r="I8" s="6">
        <v>1298.7946559235797</v>
      </c>
      <c r="J8" s="5">
        <f t="shared" si="3"/>
        <v>3.910907370300154E-2</v>
      </c>
      <c r="K8" s="2">
        <v>4983.2413877358158</v>
      </c>
      <c r="L8" s="2">
        <f t="shared" ref="L8:L10" si="20">B8-K8</f>
        <v>592.75861226418419</v>
      </c>
      <c r="M8" s="3">
        <f t="shared" ref="M8:M10" si="21">L8/B8*100</f>
        <v>10.630534653231424</v>
      </c>
      <c r="O8" s="2">
        <v>4906.5880086223897</v>
      </c>
      <c r="P8" s="2">
        <f t="shared" ref="P8:P10" si="22">B8-O8</f>
        <v>669.41199137761032</v>
      </c>
      <c r="Q8" s="3">
        <f t="shared" ref="Q8:Q10" si="23">P8/B8*100</f>
        <v>12.005236574203916</v>
      </c>
      <c r="S8" s="2">
        <v>4933.5510810202722</v>
      </c>
      <c r="T8" s="2">
        <f t="shared" ref="T8:T10" si="24">B8-S8</f>
        <v>642.44891897972775</v>
      </c>
      <c r="U8" s="3">
        <f t="shared" ref="U8:U10" si="25">T8/B8*100</f>
        <v>11.521680756451358</v>
      </c>
      <c r="W8" s="2">
        <v>4802.0344901223643</v>
      </c>
      <c r="X8" s="2">
        <f t="shared" ref="X8:X10" si="26">$B8-W8</f>
        <v>773.96550987763567</v>
      </c>
      <c r="Y8" s="3">
        <f t="shared" ref="Y8:Y10" si="27">X8/B8*100</f>
        <v>13.880299674993465</v>
      </c>
      <c r="AA8" s="2">
        <v>4837.5298548574656</v>
      </c>
      <c r="AB8" s="2">
        <f t="shared" ref="AB8:AB10" si="28">$B8-AA8</f>
        <v>738.47014514253442</v>
      </c>
      <c r="AC8" s="3">
        <f t="shared" ref="AC8:AC10" si="29">AB8/$B8*100</f>
        <v>13.243725701982326</v>
      </c>
      <c r="AE8" s="2">
        <v>5001.7822453178715</v>
      </c>
      <c r="AF8" s="2">
        <f t="shared" ref="AF8:AF10" si="30">$B8-AE8</f>
        <v>574.21775468212854</v>
      </c>
      <c r="AG8" s="3">
        <f t="shared" ref="AG8:AG10" si="31">AF8/$B8*100</f>
        <v>10.298022860152951</v>
      </c>
      <c r="AI8" s="2">
        <v>5009.809217644065</v>
      </c>
      <c r="AJ8" s="2">
        <f t="shared" ref="AJ8:AJ10" si="32">$B8-AI8</f>
        <v>566.19078235593497</v>
      </c>
      <c r="AK8" s="3">
        <f t="shared" ref="AK8:AK10" si="33">AJ8/$B8*100</f>
        <v>10.154067115422077</v>
      </c>
    </row>
    <row r="9" spans="1:37" x14ac:dyDescent="0.2">
      <c r="A9" s="1" t="s">
        <v>30</v>
      </c>
      <c r="B9" s="1">
        <v>4600</v>
      </c>
      <c r="C9" s="3">
        <v>4191.8398056385786</v>
      </c>
      <c r="D9" s="3">
        <f t="shared" si="18"/>
        <v>408.16019436142142</v>
      </c>
      <c r="E9" s="3">
        <f t="shared" si="19"/>
        <v>8.8730477035091617</v>
      </c>
      <c r="F9" s="1">
        <v>1032</v>
      </c>
      <c r="G9" s="4">
        <v>1072.3125179091305</v>
      </c>
      <c r="H9" s="5">
        <f t="shared" si="2"/>
        <v>-3.9062517353808612E-2</v>
      </c>
      <c r="I9" s="6">
        <v>1087.9206575677074</v>
      </c>
      <c r="J9" s="5">
        <f t="shared" si="3"/>
        <v>5.140141165508394E-2</v>
      </c>
      <c r="K9" s="3">
        <v>4194.4507047705192</v>
      </c>
      <c r="L9" s="3">
        <f t="shared" si="20"/>
        <v>405.54929522948078</v>
      </c>
      <c r="M9" s="3">
        <f t="shared" si="21"/>
        <v>8.8162890267278424</v>
      </c>
      <c r="O9" s="3">
        <v>4139.2070612603247</v>
      </c>
      <c r="P9" s="3">
        <f t="shared" si="22"/>
        <v>460.79293873967526</v>
      </c>
      <c r="Q9" s="3">
        <f t="shared" si="23"/>
        <v>10.017237798688592</v>
      </c>
      <c r="S9" s="3">
        <v>4158.5376176238724</v>
      </c>
      <c r="T9" s="3">
        <f t="shared" si="24"/>
        <v>441.46238237612761</v>
      </c>
      <c r="U9" s="3">
        <f t="shared" si="25"/>
        <v>9.5970083125245136</v>
      </c>
      <c r="W9" s="3">
        <v>4063.8045649834867</v>
      </c>
      <c r="X9" s="3">
        <f t="shared" si="26"/>
        <v>536.19543501651333</v>
      </c>
      <c r="Y9" s="3">
        <f t="shared" si="27"/>
        <v>11.656422500358985</v>
      </c>
      <c r="AA9" s="3">
        <v>4088.9991904787807</v>
      </c>
      <c r="AB9" s="3">
        <f t="shared" si="28"/>
        <v>511.00080952121925</v>
      </c>
      <c r="AC9" s="3">
        <f t="shared" si="29"/>
        <v>11.108713250461289</v>
      </c>
      <c r="AE9" s="3">
        <v>4207.4829738631342</v>
      </c>
      <c r="AF9" s="3">
        <f t="shared" si="30"/>
        <v>392.51702613686575</v>
      </c>
      <c r="AG9" s="3">
        <f t="shared" si="31"/>
        <v>8.5329788290622979</v>
      </c>
      <c r="AI9" s="3">
        <v>4213.5366471883053</v>
      </c>
      <c r="AJ9" s="3">
        <f t="shared" si="32"/>
        <v>386.46335281169468</v>
      </c>
      <c r="AK9" s="3">
        <f t="shared" si="33"/>
        <v>8.4013772350368399</v>
      </c>
    </row>
    <row r="10" spans="1:37" x14ac:dyDescent="0.2">
      <c r="A10" s="1" t="s">
        <v>31</v>
      </c>
      <c r="B10" s="1">
        <v>3009</v>
      </c>
      <c r="C10" s="3">
        <v>2773.4372537817781</v>
      </c>
      <c r="D10" s="3">
        <f t="shared" si="18"/>
        <v>235.56274621822195</v>
      </c>
      <c r="E10" s="3">
        <f t="shared" si="19"/>
        <v>7.8286057234370876</v>
      </c>
      <c r="F10" s="1">
        <v>814</v>
      </c>
      <c r="G10" s="4">
        <v>858.54189171451037</v>
      </c>
      <c r="H10" s="5">
        <f t="shared" si="2"/>
        <v>-5.4719768691044779E-2</v>
      </c>
      <c r="I10" s="6">
        <v>871.6743746247364</v>
      </c>
      <c r="J10" s="5">
        <f t="shared" si="3"/>
        <v>6.6165045461575867E-2</v>
      </c>
      <c r="K10" s="3">
        <v>2774.9402736263391</v>
      </c>
      <c r="L10" s="3">
        <f t="shared" si="20"/>
        <v>234.05972637366085</v>
      </c>
      <c r="M10" s="3">
        <f t="shared" si="21"/>
        <v>7.7786549143788921</v>
      </c>
      <c r="O10" s="3">
        <v>2735.2304417630698</v>
      </c>
      <c r="P10" s="3">
        <f t="shared" si="22"/>
        <v>273.76955823693015</v>
      </c>
      <c r="Q10" s="3">
        <f t="shared" si="23"/>
        <v>9.0983568706191473</v>
      </c>
      <c r="S10" s="3">
        <v>2749.1657722668538</v>
      </c>
      <c r="T10" s="3">
        <f t="shared" si="24"/>
        <v>259.83422773314624</v>
      </c>
      <c r="U10" s="3">
        <f t="shared" si="25"/>
        <v>8.6352352187818635</v>
      </c>
      <c r="W10" s="3">
        <v>2681.0823848430396</v>
      </c>
      <c r="X10" s="3">
        <f t="shared" si="26"/>
        <v>327.91761515696044</v>
      </c>
      <c r="Y10" s="3">
        <f t="shared" si="27"/>
        <v>10.897893491424409</v>
      </c>
      <c r="AA10" s="3">
        <v>2699.3387839787297</v>
      </c>
      <c r="AB10" s="3">
        <f t="shared" si="28"/>
        <v>309.66121602127032</v>
      </c>
      <c r="AC10" s="3">
        <f t="shared" si="29"/>
        <v>10.291167032943513</v>
      </c>
      <c r="AE10" s="3">
        <v>2784.4469797083202</v>
      </c>
      <c r="AF10" s="3">
        <f t="shared" si="30"/>
        <v>224.55302029167979</v>
      </c>
      <c r="AG10" s="3">
        <f t="shared" si="31"/>
        <v>7.4627125387730073</v>
      </c>
      <c r="AI10" s="3">
        <v>2788.6832072528705</v>
      </c>
      <c r="AJ10" s="3">
        <f t="shared" si="32"/>
        <v>220.31679274712951</v>
      </c>
      <c r="AK10" s="3">
        <f t="shared" si="33"/>
        <v>7.3219273096420583</v>
      </c>
    </row>
    <row r="11" spans="1:37" x14ac:dyDescent="0.2">
      <c r="A11" s="1"/>
      <c r="B11" s="1">
        <v>14294</v>
      </c>
      <c r="C11" s="6">
        <v>2003.2645777528442</v>
      </c>
      <c r="F11" s="1">
        <v>607</v>
      </c>
      <c r="G11" s="4">
        <v>649.26205554503588</v>
      </c>
      <c r="H11" s="5">
        <f t="shared" si="2"/>
        <v>-6.9624473715050872E-2</v>
      </c>
      <c r="I11" s="6">
        <v>655.09179941420734</v>
      </c>
      <c r="J11" s="5">
        <f t="shared" si="3"/>
        <v>7.3412305660384924E-2</v>
      </c>
    </row>
    <row r="12" spans="1:37" x14ac:dyDescent="0.2">
      <c r="A12" s="1">
        <v>40</v>
      </c>
    </row>
    <row r="13" spans="1:37" x14ac:dyDescent="0.2">
      <c r="A13" s="1" t="s">
        <v>29</v>
      </c>
      <c r="B13" s="1">
        <v>4924</v>
      </c>
      <c r="C13" s="2">
        <v>4306.3729794144701</v>
      </c>
      <c r="D13" s="2">
        <f t="shared" ref="D13:D15" si="34">B13-C13</f>
        <v>617.62702058552986</v>
      </c>
      <c r="E13" s="3">
        <f t="shared" ref="E13:E15" si="35">D13/B13*100</f>
        <v>12.543197006204911</v>
      </c>
      <c r="K13" s="2">
        <v>4307.3332445341284</v>
      </c>
      <c r="L13" s="2">
        <f t="shared" ref="L13:L15" si="36">B13-K13</f>
        <v>616.66675546587157</v>
      </c>
      <c r="M13" s="3">
        <f t="shared" ref="M13:M15" si="37">L13/B13*100</f>
        <v>12.523695277535978</v>
      </c>
      <c r="O13" s="2">
        <v>4232.46078084279</v>
      </c>
      <c r="P13" s="2">
        <f t="shared" ref="P13:P15" si="38">B13-O13</f>
        <v>691.53921915721003</v>
      </c>
      <c r="Q13" s="3">
        <f t="shared" ref="Q13:Q15" si="39">P13/B13*100</f>
        <v>14.04425709092628</v>
      </c>
      <c r="S13" s="2">
        <v>4258.2641335534563</v>
      </c>
      <c r="T13" s="2">
        <f t="shared" ref="T13:T15" si="40">B13-S13</f>
        <v>665.7358664465437</v>
      </c>
      <c r="U13" s="3">
        <f t="shared" ref="U13:U15" si="41">T13/B13*100</f>
        <v>13.520224745055721</v>
      </c>
      <c r="W13" s="2">
        <v>4140.5297773833445</v>
      </c>
      <c r="X13" s="2">
        <f t="shared" ref="X13:X15" si="42">$B13-W13</f>
        <v>783.47022261665552</v>
      </c>
      <c r="Y13" s="3">
        <f t="shared" ref="Y13:Y15" si="43">X13/B13*100</f>
        <v>15.911255536487722</v>
      </c>
      <c r="AA13" s="2">
        <v>4167.8787777182897</v>
      </c>
      <c r="AB13" s="2">
        <f t="shared" ref="AB13:AB15" si="44">$B13-AA13</f>
        <v>756.12122228171029</v>
      </c>
      <c r="AC13" s="3">
        <f t="shared" ref="AC13:AC15" si="45">AB13/$B13*100</f>
        <v>15.355833108889325</v>
      </c>
      <c r="AE13" s="2">
        <v>4324.0543244905621</v>
      </c>
      <c r="AF13" s="2">
        <f t="shared" ref="AF13:AF15" si="46">$B13-AE13</f>
        <v>599.94567550943793</v>
      </c>
      <c r="AG13" s="3">
        <f t="shared" ref="AG13:AG15" si="47">AF13/$B13*100</f>
        <v>12.184112012783062</v>
      </c>
      <c r="AI13" s="2">
        <v>4332.7208026132612</v>
      </c>
      <c r="AJ13" s="2">
        <f t="shared" ref="AJ13:AJ15" si="48">$B13-AI13</f>
        <v>591.27919738673882</v>
      </c>
      <c r="AK13" s="3">
        <f t="shared" ref="AK13:AK15" si="49">AJ13/$B13*100</f>
        <v>12.008107176822477</v>
      </c>
    </row>
    <row r="14" spans="1:37" x14ac:dyDescent="0.2">
      <c r="A14" s="1" t="s">
        <v>30</v>
      </c>
      <c r="B14" s="1">
        <v>4148</v>
      </c>
      <c r="C14" s="3">
        <v>3720.6082399755173</v>
      </c>
      <c r="D14" s="3">
        <f t="shared" si="34"/>
        <v>427.39176002448266</v>
      </c>
      <c r="E14" s="3">
        <f t="shared" si="35"/>
        <v>10.303562199240179</v>
      </c>
      <c r="K14" s="3">
        <v>3722.4279368952161</v>
      </c>
      <c r="L14" s="3">
        <f t="shared" si="36"/>
        <v>425.57206310478387</v>
      </c>
      <c r="M14" s="3">
        <f t="shared" si="37"/>
        <v>10.259692938881001</v>
      </c>
      <c r="O14" s="3">
        <v>3666.5533650080379</v>
      </c>
      <c r="P14" s="3">
        <f t="shared" si="38"/>
        <v>481.44663499196213</v>
      </c>
      <c r="Q14" s="3">
        <f t="shared" si="39"/>
        <v>11.606717333460995</v>
      </c>
      <c r="S14" s="3">
        <v>3685.5541935281749</v>
      </c>
      <c r="T14" s="3">
        <f t="shared" si="40"/>
        <v>462.44580647182511</v>
      </c>
      <c r="U14" s="3">
        <f t="shared" si="41"/>
        <v>11.148645286206005</v>
      </c>
      <c r="W14" s="3">
        <v>3599.6900359969595</v>
      </c>
      <c r="X14" s="3">
        <f t="shared" si="42"/>
        <v>548.30996400304048</v>
      </c>
      <c r="Y14" s="3">
        <f t="shared" si="43"/>
        <v>13.218658727170695</v>
      </c>
      <c r="AA14" s="3">
        <v>3618.1860886148006</v>
      </c>
      <c r="AB14" s="3">
        <f t="shared" si="44"/>
        <v>529.81391138519939</v>
      </c>
      <c r="AC14" s="3">
        <f t="shared" si="45"/>
        <v>12.772755819315318</v>
      </c>
      <c r="AE14" s="3">
        <v>3734.1700017743656</v>
      </c>
      <c r="AF14" s="3">
        <f t="shared" si="46"/>
        <v>413.82999822563443</v>
      </c>
      <c r="AG14" s="3">
        <f t="shared" si="47"/>
        <v>9.9766151934820257</v>
      </c>
      <c r="AI14" s="3">
        <v>3741.1841951276024</v>
      </c>
      <c r="AJ14" s="3">
        <f t="shared" si="48"/>
        <v>406.81580487239762</v>
      </c>
      <c r="AK14" s="3">
        <f t="shared" si="49"/>
        <v>9.8075169930664821</v>
      </c>
    </row>
    <row r="15" spans="1:37" x14ac:dyDescent="0.2">
      <c r="A15" s="1" t="s">
        <v>31</v>
      </c>
      <c r="B15" s="1">
        <v>2679</v>
      </c>
      <c r="C15" s="3">
        <v>2429.1922993434332</v>
      </c>
      <c r="D15" s="3">
        <f t="shared" si="34"/>
        <v>249.80770065656679</v>
      </c>
      <c r="E15" s="3">
        <f t="shared" si="35"/>
        <v>9.3246622118912583</v>
      </c>
      <c r="K15" s="3">
        <v>2430.0522074472037</v>
      </c>
      <c r="L15" s="3">
        <f t="shared" si="36"/>
        <v>248.94779255279627</v>
      </c>
      <c r="M15" s="3">
        <f t="shared" si="37"/>
        <v>9.2925641117131867</v>
      </c>
      <c r="O15" s="3">
        <v>2390.6448953093145</v>
      </c>
      <c r="P15" s="3">
        <f t="shared" si="38"/>
        <v>288.35510469068549</v>
      </c>
      <c r="Q15" s="3">
        <f t="shared" si="39"/>
        <v>10.763535076173405</v>
      </c>
      <c r="S15" s="3">
        <v>2404.143896690473</v>
      </c>
      <c r="T15" s="3">
        <f t="shared" si="40"/>
        <v>274.85610330952704</v>
      </c>
      <c r="U15" s="3">
        <f t="shared" si="41"/>
        <v>10.259652979079023</v>
      </c>
      <c r="W15" s="3">
        <v>2342.8521203408304</v>
      </c>
      <c r="X15" s="3">
        <f t="shared" si="42"/>
        <v>336.14787965916958</v>
      </c>
      <c r="Y15" s="3">
        <f t="shared" si="43"/>
        <v>12.54751323849084</v>
      </c>
      <c r="AA15" s="3">
        <v>2356.624850556841</v>
      </c>
      <c r="AB15" s="3">
        <f t="shared" si="44"/>
        <v>322.37514944315899</v>
      </c>
      <c r="AC15" s="3">
        <f t="shared" si="45"/>
        <v>12.033413566373982</v>
      </c>
      <c r="AE15" s="3">
        <v>2438.6251430117809</v>
      </c>
      <c r="AF15" s="3">
        <f t="shared" si="46"/>
        <v>240.37485698821911</v>
      </c>
      <c r="AG15" s="3">
        <f t="shared" si="47"/>
        <v>8.9725590514452822</v>
      </c>
      <c r="AI15" s="3">
        <v>2443.3528772905465</v>
      </c>
      <c r="AJ15" s="3">
        <f t="shared" si="48"/>
        <v>235.64712270945347</v>
      </c>
      <c r="AK15" s="3">
        <f t="shared" si="49"/>
        <v>8.7960852075197256</v>
      </c>
    </row>
    <row r="16" spans="1:37" x14ac:dyDescent="0.2">
      <c r="A16" s="1"/>
      <c r="B16" s="1">
        <v>13421</v>
      </c>
      <c r="C16" s="6">
        <v>1852.2356329523675</v>
      </c>
    </row>
    <row r="17" spans="1:37" x14ac:dyDescent="0.2">
      <c r="A17" s="1">
        <v>45</v>
      </c>
    </row>
    <row r="18" spans="1:37" x14ac:dyDescent="0.2">
      <c r="A18" s="1" t="s">
        <v>29</v>
      </c>
      <c r="B18" s="1">
        <v>4218</v>
      </c>
      <c r="C18" s="2">
        <v>3613.6829869098283</v>
      </c>
      <c r="D18" s="2">
        <f t="shared" ref="D18:D20" si="50">B18-C18</f>
        <v>604.31701309017171</v>
      </c>
      <c r="E18" s="3">
        <f t="shared" ref="E18:E20" si="51">D18/B18*100</f>
        <v>14.327098461123084</v>
      </c>
      <c r="K18" s="2">
        <v>3613.0325723936808</v>
      </c>
      <c r="L18" s="2">
        <f t="shared" ref="L18:L20" si="52">B18-K18</f>
        <v>604.96742760631923</v>
      </c>
      <c r="M18" s="3">
        <f t="shared" ref="M18:M20" si="53">L18/B18*100</f>
        <v>14.342518435427198</v>
      </c>
      <c r="O18" s="2">
        <v>3542.6482195077442</v>
      </c>
      <c r="P18" s="2">
        <f t="shared" ref="P18:P20" si="54">B18-O18</f>
        <v>675.35178049225578</v>
      </c>
      <c r="Q18" s="3">
        <f t="shared" ref="Q18:Q20" si="55">P18/B18*100</f>
        <v>16.01118493343423</v>
      </c>
      <c r="S18" s="2">
        <v>3566.9149240165648</v>
      </c>
      <c r="T18" s="2">
        <f t="shared" ref="T18:T20" si="56">B18-S18</f>
        <v>651.08507598343522</v>
      </c>
      <c r="U18" s="3">
        <f t="shared" ref="U18:U20" si="57">T18/B18*100</f>
        <v>15.435871882016009</v>
      </c>
      <c r="W18" s="2">
        <v>3459.457359262407</v>
      </c>
      <c r="X18" s="2">
        <f t="shared" ref="X18:X20" si="58">$B18-W18</f>
        <v>758.54264073759305</v>
      </c>
      <c r="Y18" s="3">
        <f t="shared" ref="Y18:Y20" si="59">X18/B18*100</f>
        <v>17.983467063480159</v>
      </c>
      <c r="AA18" s="2">
        <v>3486.0935331186438</v>
      </c>
      <c r="AB18" s="2">
        <f t="shared" ref="AB18:AB20" si="60">$B18-AA18</f>
        <v>731.90646688135621</v>
      </c>
      <c r="AC18" s="3">
        <f t="shared" ref="AC18:AC20" si="61">AB18/$B18*100</f>
        <v>17.351978826016033</v>
      </c>
      <c r="AE18" s="2">
        <v>3631.3711634885904</v>
      </c>
      <c r="AF18" s="2">
        <f t="shared" ref="AF18:AF20" si="62">$B18-AE18</f>
        <v>586.62883651140965</v>
      </c>
      <c r="AG18" s="3">
        <f t="shared" ref="AG18:AG20" si="63">AF18/$B18*100</f>
        <v>13.907748613357271</v>
      </c>
      <c r="AI18" s="2">
        <v>3636.5545322769844</v>
      </c>
      <c r="AJ18" s="2">
        <f t="shared" ref="AJ18:AJ20" si="64">$B18-AI18</f>
        <v>581.44546772301555</v>
      </c>
      <c r="AK18" s="3">
        <f t="shared" ref="AK18:AK20" si="65">AJ18/$B18*100</f>
        <v>13.784861728852906</v>
      </c>
    </row>
    <row r="19" spans="1:37" x14ac:dyDescent="0.2">
      <c r="A19" s="1" t="s">
        <v>30</v>
      </c>
      <c r="B19" s="1">
        <v>3649</v>
      </c>
      <c r="C19" s="3">
        <v>3222.1527303895714</v>
      </c>
      <c r="D19" s="3">
        <f t="shared" si="50"/>
        <v>426.84726961042861</v>
      </c>
      <c r="E19" s="3">
        <f t="shared" si="51"/>
        <v>11.697650578526407</v>
      </c>
      <c r="K19" s="3">
        <v>3222.901465385205</v>
      </c>
      <c r="L19" s="3">
        <f t="shared" si="52"/>
        <v>426.09853461479497</v>
      </c>
      <c r="M19" s="3">
        <f t="shared" si="53"/>
        <v>11.67713166935585</v>
      </c>
      <c r="O19" s="3">
        <v>3168.0476070758245</v>
      </c>
      <c r="P19" s="3">
        <f t="shared" si="54"/>
        <v>480.95239292417546</v>
      </c>
      <c r="Q19" s="3">
        <f t="shared" si="55"/>
        <v>13.180388953800367</v>
      </c>
      <c r="S19" s="3">
        <v>3186.5596345155936</v>
      </c>
      <c r="T19" s="3">
        <f t="shared" si="56"/>
        <v>462.44036548440636</v>
      </c>
      <c r="U19" s="3">
        <f t="shared" si="57"/>
        <v>12.673071128649118</v>
      </c>
      <c r="W19" s="3">
        <v>3106.4941973408559</v>
      </c>
      <c r="X19" s="3">
        <f t="shared" si="58"/>
        <v>542.50580265914414</v>
      </c>
      <c r="Y19" s="3">
        <f t="shared" si="59"/>
        <v>14.867245893646045</v>
      </c>
      <c r="AA19" s="3">
        <v>3124.3995936653832</v>
      </c>
      <c r="AB19" s="3">
        <f t="shared" si="60"/>
        <v>524.60040633461676</v>
      </c>
      <c r="AC19" s="3">
        <f t="shared" si="61"/>
        <v>14.376552653730249</v>
      </c>
      <c r="AE19" s="3">
        <v>3236.4805954791759</v>
      </c>
      <c r="AF19" s="3">
        <f t="shared" si="62"/>
        <v>412.51940452082408</v>
      </c>
      <c r="AG19" s="3">
        <f t="shared" si="63"/>
        <v>11.304998753653715</v>
      </c>
      <c r="AI19" s="3">
        <v>3240.8856097271728</v>
      </c>
      <c r="AJ19" s="3">
        <f t="shared" si="64"/>
        <v>408.11439027282722</v>
      </c>
      <c r="AK19" s="3">
        <f t="shared" si="65"/>
        <v>11.184280358257803</v>
      </c>
    </row>
    <row r="20" spans="1:37" x14ac:dyDescent="0.2">
      <c r="A20" s="1" t="s">
        <v>31</v>
      </c>
      <c r="B20" s="1">
        <v>2338</v>
      </c>
      <c r="C20" s="3">
        <v>2071.0330278308338</v>
      </c>
      <c r="D20" s="3">
        <f t="shared" si="50"/>
        <v>266.96697216916618</v>
      </c>
      <c r="E20" s="3">
        <f t="shared" si="51"/>
        <v>11.418604455481873</v>
      </c>
      <c r="K20" s="3">
        <v>2071.0898267364223</v>
      </c>
      <c r="L20" s="3">
        <f t="shared" si="52"/>
        <v>266.91017326357769</v>
      </c>
      <c r="M20" s="3">
        <f t="shared" si="53"/>
        <v>11.416175075431038</v>
      </c>
      <c r="O20" s="3">
        <v>2033.2888165849356</v>
      </c>
      <c r="P20" s="3">
        <f t="shared" si="54"/>
        <v>304.7111834150644</v>
      </c>
      <c r="Q20" s="3">
        <f t="shared" si="55"/>
        <v>13.03298474829189</v>
      </c>
      <c r="S20" s="3">
        <v>2046.1930674015541</v>
      </c>
      <c r="T20" s="3">
        <f t="shared" si="56"/>
        <v>291.80693259844588</v>
      </c>
      <c r="U20" s="3">
        <f t="shared" si="57"/>
        <v>12.481049298479293</v>
      </c>
      <c r="W20" s="3">
        <v>1989.7019790004542</v>
      </c>
      <c r="X20" s="3">
        <f t="shared" si="58"/>
        <v>348.29802099954577</v>
      </c>
      <c r="Y20" s="3">
        <f t="shared" si="59"/>
        <v>14.897263515806063</v>
      </c>
      <c r="AA20" s="3">
        <v>2003.0803838368631</v>
      </c>
      <c r="AB20" s="3">
        <f t="shared" si="60"/>
        <v>334.91961616313688</v>
      </c>
      <c r="AC20" s="3">
        <f t="shared" si="61"/>
        <v>14.325047740082844</v>
      </c>
      <c r="AE20" s="3">
        <v>2080.7179667819078</v>
      </c>
      <c r="AF20" s="3">
        <f t="shared" si="62"/>
        <v>257.28203321809224</v>
      </c>
      <c r="AG20" s="3">
        <f t="shared" si="63"/>
        <v>11.004364123956041</v>
      </c>
      <c r="AI20" s="3">
        <v>2083.610389338548</v>
      </c>
      <c r="AJ20" s="3">
        <f t="shared" si="64"/>
        <v>254.38961066145202</v>
      </c>
      <c r="AK20" s="3">
        <f t="shared" si="65"/>
        <v>10.880650584322158</v>
      </c>
    </row>
    <row r="21" spans="1:37" x14ac:dyDescent="0.2">
      <c r="A21" s="1"/>
      <c r="B21" s="1">
        <v>12359</v>
      </c>
      <c r="C21" s="6">
        <v>1677.9011040118687</v>
      </c>
    </row>
    <row r="22" spans="1:37" x14ac:dyDescent="0.2">
      <c r="A22" s="1">
        <v>50</v>
      </c>
    </row>
    <row r="23" spans="1:37" x14ac:dyDescent="0.2">
      <c r="A23" s="1" t="s">
        <v>29</v>
      </c>
      <c r="B23" s="1">
        <v>3505</v>
      </c>
      <c r="C23" s="2">
        <v>2928.4670521659882</v>
      </c>
      <c r="D23" s="2">
        <f t="shared" ref="D23:D25" si="66">B23-C23</f>
        <v>576.53294783401179</v>
      </c>
      <c r="E23" s="3">
        <f t="shared" ref="E23:E25" si="67">D23/B23*100</f>
        <v>16.448871550185785</v>
      </c>
      <c r="K23" s="2">
        <v>2926.1052717220555</v>
      </c>
      <c r="L23" s="2">
        <f t="shared" ref="L23:L25" si="68">B23-K23</f>
        <v>578.89472827794452</v>
      </c>
      <c r="M23" s="3">
        <f t="shared" ref="M23:M25" si="69">L23/B23*100</f>
        <v>16.516254729755904</v>
      </c>
      <c r="O23" s="2">
        <v>2864.9927016816619</v>
      </c>
      <c r="P23" s="2">
        <f t="shared" ref="P23:P25" si="70">B23-O23</f>
        <v>640.00729831833814</v>
      </c>
      <c r="Q23" s="3">
        <f t="shared" ref="Q23:Q25" si="71">P23/B23*100</f>
        <v>18.259837327199378</v>
      </c>
      <c r="S23" s="2">
        <v>2886.0219259417445</v>
      </c>
      <c r="T23" s="2">
        <f t="shared" ref="T23:T25" si="72">B23-S23</f>
        <v>618.97807405825552</v>
      </c>
      <c r="U23" s="3">
        <f t="shared" ref="U23:U25" si="73">T23/B23*100</f>
        <v>17.65985945957933</v>
      </c>
      <c r="W23" s="7">
        <v>2792.6756891646501</v>
      </c>
      <c r="X23" s="2">
        <f t="shared" ref="X23:X25" si="74">$B23-W23</f>
        <v>712.32431083534993</v>
      </c>
      <c r="Y23" s="3">
        <f t="shared" ref="Y23:Y25" si="75">X23/B23*100</f>
        <v>20.323090180751784</v>
      </c>
      <c r="AA23" s="2">
        <v>2820.7453316042361</v>
      </c>
      <c r="AB23" s="2">
        <f t="shared" ref="AB23:AB25" si="76">$B23-AA23</f>
        <v>684.25466839576393</v>
      </c>
      <c r="AC23" s="3">
        <f t="shared" ref="AC23:AC25" si="77">AB23/$B23*100</f>
        <v>19.522244462076006</v>
      </c>
      <c r="AE23" s="2">
        <v>2944.984770098536</v>
      </c>
      <c r="AF23" s="2">
        <f t="shared" ref="AF23:AF25" si="78">$B23-AE23</f>
        <v>560.01522990146395</v>
      </c>
      <c r="AG23" s="3">
        <f t="shared" ref="AG23:AG25" si="79">AF23/$B23*100</f>
        <v>15.977609982923365</v>
      </c>
      <c r="AI23" s="2">
        <v>2946.3548921004253</v>
      </c>
      <c r="AJ23" s="2">
        <f t="shared" ref="AJ23:AJ25" si="80">$B23-AI23</f>
        <v>558.64510789957467</v>
      </c>
      <c r="AK23" s="3">
        <f t="shared" ref="AK23:AK25" si="81">AJ23/$B23*100</f>
        <v>15.938519483582731</v>
      </c>
    </row>
    <row r="24" spans="1:37" x14ac:dyDescent="0.2">
      <c r="A24" s="1" t="s">
        <v>30</v>
      </c>
      <c r="B24" s="1">
        <v>3126</v>
      </c>
      <c r="C24" s="3">
        <v>2712.7968486307714</v>
      </c>
      <c r="D24" s="3">
        <f t="shared" si="66"/>
        <v>413.20315136922864</v>
      </c>
      <c r="E24" s="3">
        <f t="shared" si="67"/>
        <v>13.218270997096246</v>
      </c>
      <c r="K24" s="3">
        <v>2712.2549303443698</v>
      </c>
      <c r="L24" s="3">
        <f t="shared" si="68"/>
        <v>413.74506965563023</v>
      </c>
      <c r="M24" s="3">
        <f t="shared" si="69"/>
        <v>13.235606834793035</v>
      </c>
      <c r="O24" s="3">
        <v>2662.1220307290741</v>
      </c>
      <c r="P24" s="3">
        <f t="shared" si="70"/>
        <v>463.87796927092586</v>
      </c>
      <c r="Q24" s="3">
        <f t="shared" si="71"/>
        <v>14.839346425813368</v>
      </c>
      <c r="S24" s="3">
        <v>2678.7104478358497</v>
      </c>
      <c r="T24" s="3">
        <f t="shared" si="72"/>
        <v>447.28955216415034</v>
      </c>
      <c r="U24" s="3">
        <f t="shared" si="73"/>
        <v>14.308686889448188</v>
      </c>
      <c r="W24" s="8">
        <v>2608.1479290577513</v>
      </c>
      <c r="X24" s="3">
        <f t="shared" si="74"/>
        <v>517.8520709422487</v>
      </c>
      <c r="Y24" s="3">
        <f t="shared" si="75"/>
        <v>16.56596516130034</v>
      </c>
      <c r="AA24" s="3">
        <v>2627.3865800323324</v>
      </c>
      <c r="AB24" s="3">
        <f t="shared" si="76"/>
        <v>498.6134199676676</v>
      </c>
      <c r="AC24" s="3">
        <f t="shared" si="77"/>
        <v>15.950525270878682</v>
      </c>
      <c r="AE24" s="3">
        <v>2727.0927902844587</v>
      </c>
      <c r="AF24" s="3">
        <f t="shared" si="78"/>
        <v>398.90720971554128</v>
      </c>
      <c r="AG24" s="3">
        <f t="shared" si="79"/>
        <v>12.76094720779083</v>
      </c>
      <c r="AI24" s="3">
        <v>2728.2823241015012</v>
      </c>
      <c r="AJ24" s="3">
        <f t="shared" si="80"/>
        <v>397.71767589849878</v>
      </c>
      <c r="AK24" s="3">
        <f t="shared" si="81"/>
        <v>12.722894302575135</v>
      </c>
    </row>
    <row r="25" spans="1:37" x14ac:dyDescent="0.2">
      <c r="A25" s="1" t="s">
        <v>31</v>
      </c>
      <c r="B25" s="1">
        <v>1974</v>
      </c>
      <c r="C25" s="3">
        <v>1711.5231414724919</v>
      </c>
      <c r="D25" s="3">
        <f t="shared" si="66"/>
        <v>262.47685852750806</v>
      </c>
      <c r="E25" s="3">
        <f t="shared" si="67"/>
        <v>13.296700026722799</v>
      </c>
      <c r="K25" s="3">
        <v>1710.6778543062405</v>
      </c>
      <c r="L25" s="3">
        <f t="shared" si="68"/>
        <v>263.32214569375947</v>
      </c>
      <c r="M25" s="3">
        <f t="shared" si="69"/>
        <v>13.339521058447795</v>
      </c>
      <c r="O25" s="3">
        <v>1677.0379002861901</v>
      </c>
      <c r="P25" s="3">
        <f t="shared" si="70"/>
        <v>296.96209971380995</v>
      </c>
      <c r="Q25" s="3">
        <f t="shared" si="71"/>
        <v>15.043672731196045</v>
      </c>
      <c r="S25" s="3">
        <v>1688.3992428801675</v>
      </c>
      <c r="T25" s="3">
        <f t="shared" si="72"/>
        <v>285.60075711983245</v>
      </c>
      <c r="U25" s="3">
        <f t="shared" si="73"/>
        <v>14.468123460984419</v>
      </c>
      <c r="W25" s="9">
        <v>1639.0039144084315</v>
      </c>
      <c r="X25" s="3">
        <f t="shared" si="74"/>
        <v>334.99608559156854</v>
      </c>
      <c r="Y25" s="3">
        <f t="shared" si="75"/>
        <v>16.970419736148358</v>
      </c>
      <c r="AA25" s="3">
        <v>1653.2174053004039</v>
      </c>
      <c r="AB25" s="3">
        <f t="shared" si="76"/>
        <v>320.78259469959607</v>
      </c>
      <c r="AC25" s="3">
        <f t="shared" si="77"/>
        <v>16.250384736555016</v>
      </c>
      <c r="AE25" s="3">
        <v>1720.8675783742008</v>
      </c>
      <c r="AF25" s="3">
        <f t="shared" si="78"/>
        <v>253.13242162579922</v>
      </c>
      <c r="AG25" s="3">
        <f t="shared" si="79"/>
        <v>12.823324297152949</v>
      </c>
      <c r="AI25" s="3">
        <v>1721.6347921113575</v>
      </c>
      <c r="AJ25" s="3">
        <f t="shared" si="80"/>
        <v>252.36520788864254</v>
      </c>
      <c r="AK25" s="3">
        <f t="shared" si="81"/>
        <v>12.784458353021405</v>
      </c>
    </row>
    <row r="26" spans="1:37" x14ac:dyDescent="0.2">
      <c r="A26" s="1"/>
      <c r="B26" s="1">
        <v>11129</v>
      </c>
      <c r="C26" s="6">
        <v>1486.0858156874874</v>
      </c>
    </row>
    <row r="27" spans="1:37" x14ac:dyDescent="0.2">
      <c r="A27" s="1">
        <v>55</v>
      </c>
    </row>
    <row r="28" spans="1:37" x14ac:dyDescent="0.2">
      <c r="A28" s="1" t="s">
        <v>29</v>
      </c>
      <c r="B28" s="1">
        <v>2743</v>
      </c>
      <c r="C28" s="2">
        <v>2281.718821636744</v>
      </c>
      <c r="D28" s="2">
        <f t="shared" ref="D28:D30" si="82">B28-C28</f>
        <v>461.281178363256</v>
      </c>
      <c r="E28" s="3">
        <f t="shared" ref="E28:E30" si="83">D28/B28*100</f>
        <v>16.816667093082611</v>
      </c>
      <c r="K28" s="2">
        <v>2277.7205939307541</v>
      </c>
      <c r="L28" s="2">
        <f t="shared" ref="L28:L30" si="84">B28-K28</f>
        <v>465.27940606924585</v>
      </c>
      <c r="M28" s="3">
        <f t="shared" ref="M28:M30" si="85">L28/B28*100</f>
        <v>16.962428219804806</v>
      </c>
      <c r="O28" s="2">
        <v>2234.5628146409545</v>
      </c>
      <c r="P28" s="2">
        <f t="shared" ref="P28:P30" si="86">B28-O28</f>
        <v>508.43718535904554</v>
      </c>
      <c r="Q28" s="3">
        <f t="shared" ref="Q28:Q30" si="87">P28/B28*100</f>
        <v>18.535806976268521</v>
      </c>
      <c r="S28" s="2">
        <v>2253.1138967880397</v>
      </c>
      <c r="T28" s="2">
        <f t="shared" ref="T28:T30" si="88">B28-S28</f>
        <v>489.88610321196029</v>
      </c>
      <c r="U28" s="3">
        <f t="shared" ref="U28:U30" si="89">T28/B28*100</f>
        <v>17.859500663943141</v>
      </c>
      <c r="W28" s="2">
        <v>2156.5453856788567</v>
      </c>
      <c r="X28" s="2">
        <f t="shared" ref="X28:X30" si="90">$B28-W28</f>
        <v>586.45461432114325</v>
      </c>
      <c r="Y28" s="3">
        <f t="shared" ref="Y28:Y30" si="91">X28/B28*100</f>
        <v>21.380044269819294</v>
      </c>
      <c r="AA28" s="2">
        <v>2193.1211041756319</v>
      </c>
      <c r="AB28" s="2">
        <f t="shared" ref="AB28:AB30" si="92">$B28-AA28</f>
        <v>549.8788958243681</v>
      </c>
      <c r="AC28" s="3">
        <f t="shared" ref="AC28:AC30" si="93">AB28/$B28*100</f>
        <v>20.046623981931027</v>
      </c>
      <c r="AE28" s="2">
        <v>2296.2232629177593</v>
      </c>
      <c r="AF28" s="2">
        <f t="shared" ref="AF28:AF30" si="94">$B28-AE28</f>
        <v>446.77673708224074</v>
      </c>
      <c r="AG28" s="3">
        <f t="shared" ref="AG28:AG30" si="95">AF28/$B28*100</f>
        <v>16.287886878681761</v>
      </c>
      <c r="AI28" s="2">
        <v>2295.1742265525318</v>
      </c>
      <c r="AJ28" s="2">
        <f t="shared" ref="AJ28:AJ30" si="96">$B28-AI28</f>
        <v>447.82577344746824</v>
      </c>
      <c r="AK28" s="3">
        <f t="shared" ref="AK28:AK30" si="97">AJ28/$B28*100</f>
        <v>16.326131004282473</v>
      </c>
    </row>
    <row r="29" spans="1:37" x14ac:dyDescent="0.2">
      <c r="A29" s="1" t="s">
        <v>30</v>
      </c>
      <c r="B29" s="1">
        <v>2594</v>
      </c>
      <c r="C29" s="3">
        <v>2215.589829514674</v>
      </c>
      <c r="D29" s="3">
        <f t="shared" si="82"/>
        <v>378.41017048532603</v>
      </c>
      <c r="E29" s="3">
        <f t="shared" si="83"/>
        <v>14.587901714931611</v>
      </c>
      <c r="K29" s="3">
        <v>2213.6257884371321</v>
      </c>
      <c r="L29" s="3">
        <f t="shared" si="84"/>
        <v>380.37421156286791</v>
      </c>
      <c r="M29" s="3">
        <f t="shared" si="85"/>
        <v>14.663616482762833</v>
      </c>
      <c r="O29" s="3">
        <v>2176.7060536161075</v>
      </c>
      <c r="P29" s="3">
        <f t="shared" si="86"/>
        <v>417.29394638389249</v>
      </c>
      <c r="Q29" s="3">
        <f t="shared" si="87"/>
        <v>16.086890762678969</v>
      </c>
      <c r="S29" s="3">
        <v>2192.1843655850885</v>
      </c>
      <c r="T29" s="3">
        <f t="shared" si="88"/>
        <v>401.81563441491153</v>
      </c>
      <c r="U29" s="3">
        <f t="shared" si="89"/>
        <v>15.49019407921787</v>
      </c>
      <c r="W29" s="3">
        <v>2113.5750129504504</v>
      </c>
      <c r="X29" s="3">
        <f t="shared" si="90"/>
        <v>480.4249870495496</v>
      </c>
      <c r="Y29" s="3">
        <f t="shared" si="91"/>
        <v>18.520624018872383</v>
      </c>
      <c r="AA29" s="3">
        <v>2141.8131853725085</v>
      </c>
      <c r="AB29" s="3">
        <f t="shared" si="92"/>
        <v>452.18681462749146</v>
      </c>
      <c r="AC29" s="3">
        <f t="shared" si="93"/>
        <v>17.43202832025796</v>
      </c>
      <c r="AE29" s="3">
        <v>2229.3997101806876</v>
      </c>
      <c r="AF29" s="3">
        <f t="shared" si="94"/>
        <v>364.60028981931237</v>
      </c>
      <c r="AG29" s="3">
        <f t="shared" si="95"/>
        <v>14.055523894345118</v>
      </c>
      <c r="AI29" s="3">
        <v>2228.2148433297989</v>
      </c>
      <c r="AJ29" s="3">
        <f t="shared" si="96"/>
        <v>365.7851566702011</v>
      </c>
      <c r="AK29" s="3">
        <f t="shared" si="97"/>
        <v>14.101201105250622</v>
      </c>
    </row>
    <row r="30" spans="1:37" x14ac:dyDescent="0.2">
      <c r="A30" s="1" t="s">
        <v>31</v>
      </c>
      <c r="B30" s="1">
        <v>1604</v>
      </c>
      <c r="C30" s="3">
        <v>1366.9281032884692</v>
      </c>
      <c r="D30" s="3">
        <f t="shared" si="82"/>
        <v>237.07189671153083</v>
      </c>
      <c r="E30" s="3">
        <f t="shared" si="83"/>
        <v>14.780043435880973</v>
      </c>
      <c r="K30" s="3">
        <v>1365.1601792906788</v>
      </c>
      <c r="L30" s="3">
        <f t="shared" si="84"/>
        <v>238.8398207093212</v>
      </c>
      <c r="M30" s="3">
        <f t="shared" si="85"/>
        <v>14.890263136491347</v>
      </c>
      <c r="O30" s="3">
        <v>1340.8975791298631</v>
      </c>
      <c r="P30" s="3">
        <f t="shared" si="86"/>
        <v>263.10242087013694</v>
      </c>
      <c r="Q30" s="3">
        <f t="shared" si="87"/>
        <v>16.402894069210532</v>
      </c>
      <c r="S30" s="3">
        <v>1351.1960098942702</v>
      </c>
      <c r="T30" s="3">
        <f t="shared" si="88"/>
        <v>252.80399010572978</v>
      </c>
      <c r="U30" s="3">
        <f t="shared" si="89"/>
        <v>15.760847263449488</v>
      </c>
      <c r="W30" s="3">
        <v>1298.2882599358845</v>
      </c>
      <c r="X30" s="3">
        <f t="shared" si="90"/>
        <v>305.71174006411547</v>
      </c>
      <c r="Y30" s="3">
        <f t="shared" si="91"/>
        <v>19.059335415468546</v>
      </c>
      <c r="AA30" s="3">
        <v>1317.8260915362409</v>
      </c>
      <c r="AB30" s="3">
        <f t="shared" si="92"/>
        <v>286.17390846375906</v>
      </c>
      <c r="AC30" s="3">
        <f t="shared" si="93"/>
        <v>17.841266113700691</v>
      </c>
      <c r="AE30" s="3">
        <v>1375.5486458234002</v>
      </c>
      <c r="AF30" s="3">
        <f t="shared" si="94"/>
        <v>228.45135417659981</v>
      </c>
      <c r="AG30" s="3">
        <f t="shared" si="95"/>
        <v>14.242603128216945</v>
      </c>
      <c r="AI30" s="3">
        <v>1374.8573916669577</v>
      </c>
      <c r="AJ30" s="3">
        <f t="shared" si="96"/>
        <v>229.14260833304229</v>
      </c>
      <c r="AK30" s="3">
        <f t="shared" si="97"/>
        <v>14.285698773880442</v>
      </c>
    </row>
    <row r="31" spans="1:37" x14ac:dyDescent="0.2">
      <c r="A31" s="1"/>
      <c r="B31" s="1">
        <v>1248</v>
      </c>
      <c r="C31" s="6">
        <v>1281.3269033652723</v>
      </c>
    </row>
    <row r="32" spans="1:37" x14ac:dyDescent="0.2">
      <c r="A32" s="1">
        <v>60</v>
      </c>
    </row>
    <row r="33" spans="1:37" x14ac:dyDescent="0.2">
      <c r="A33" s="1" t="s">
        <v>29</v>
      </c>
      <c r="B33" s="1">
        <v>2078</v>
      </c>
      <c r="C33" s="2">
        <v>1690.2503414549533</v>
      </c>
      <c r="D33" s="2">
        <f t="shared" ref="D33:D35" si="98">B33-C33</f>
        <v>387.74965854504671</v>
      </c>
      <c r="E33" s="3">
        <f t="shared" ref="E33:E35" si="99">D33/B33*100</f>
        <v>18.659752576758745</v>
      </c>
      <c r="K33" s="2">
        <v>1684.9115031624922</v>
      </c>
      <c r="L33" s="2">
        <f t="shared" ref="L33:L35" si="100">B33-K33</f>
        <v>393.08849683750782</v>
      </c>
      <c r="M33" s="3">
        <f t="shared" ref="M33:M35" si="101">L33/B33*100</f>
        <v>18.916674535009999</v>
      </c>
      <c r="O33" s="2">
        <v>1657.4426556189653</v>
      </c>
      <c r="P33" s="2">
        <f t="shared" ref="P33:P35" si="102">B33-O33</f>
        <v>420.55734438103468</v>
      </c>
      <c r="Q33" s="3">
        <f t="shared" ref="Q33:Q35" si="103">P33/B33*100</f>
        <v>20.238563252215336</v>
      </c>
      <c r="S33" s="2">
        <v>1671.2587892702963</v>
      </c>
      <c r="T33" s="2">
        <f t="shared" ref="T33:T35" si="104">B33-S33</f>
        <v>406.74121072970365</v>
      </c>
      <c r="U33" s="3">
        <f t="shared" ref="U33:U35" si="105">T33/B33*100</f>
        <v>19.573686753113748</v>
      </c>
      <c r="W33" s="2">
        <v>1583.1226007318382</v>
      </c>
      <c r="X33" s="2">
        <f t="shared" ref="X33:X35" si="106">$B33-W33</f>
        <v>494.87739926816175</v>
      </c>
      <c r="Y33" s="3">
        <f t="shared" ref="Y33:Y35" si="107">X33/B33*100</f>
        <v>23.815081774213752</v>
      </c>
      <c r="AA33" s="2">
        <v>1626.1757922368945</v>
      </c>
      <c r="AB33" s="2">
        <f t="shared" ref="AB33:AB35" si="108">$B33-AA33</f>
        <v>451.82420776310551</v>
      </c>
      <c r="AC33" s="3">
        <f t="shared" ref="AC33:AC35" si="109">AB33/$B33*100</f>
        <v>21.743224627675914</v>
      </c>
      <c r="AE33" s="2">
        <v>1695.9904185983723</v>
      </c>
      <c r="AF33" s="2">
        <f t="shared" ref="AF33:AF35" si="110">$B33-AE33</f>
        <v>382.00958140162766</v>
      </c>
      <c r="AG33" s="3">
        <f t="shared" ref="AG33:AG35" si="111">AF33/$B33*100</f>
        <v>18.383521722888723</v>
      </c>
      <c r="AI33" s="2">
        <v>1697.6875352462057</v>
      </c>
      <c r="AJ33" s="2">
        <f t="shared" ref="AJ33:AJ35" si="112">$B33-AI33</f>
        <v>380.3124647537943</v>
      </c>
      <c r="AK33" s="3">
        <f t="shared" ref="AK33:AK35" si="113">AJ33/$B33*100</f>
        <v>18.301851046862094</v>
      </c>
    </row>
    <row r="34" spans="1:37" x14ac:dyDescent="0.2">
      <c r="A34" s="1" t="s">
        <v>30</v>
      </c>
      <c r="B34" s="1">
        <v>2013</v>
      </c>
      <c r="C34" s="3">
        <v>1742.5171605512098</v>
      </c>
      <c r="D34" s="3">
        <f t="shared" si="98"/>
        <v>270.48283944879017</v>
      </c>
      <c r="E34" s="3">
        <f t="shared" si="99"/>
        <v>13.436802754535032</v>
      </c>
      <c r="K34" s="3">
        <v>1739.1172849613736</v>
      </c>
      <c r="L34" s="3">
        <f t="shared" si="100"/>
        <v>273.88271503862643</v>
      </c>
      <c r="M34" s="3">
        <f t="shared" si="101"/>
        <v>13.605698710314279</v>
      </c>
      <c r="O34" s="3">
        <v>1714.5697389524275</v>
      </c>
      <c r="P34" s="3">
        <f t="shared" si="102"/>
        <v>298.43026104757246</v>
      </c>
      <c r="Q34" s="3">
        <f t="shared" si="103"/>
        <v>14.825149580107922</v>
      </c>
      <c r="S34" s="3">
        <v>1726.696235458604</v>
      </c>
      <c r="T34" s="3">
        <f t="shared" si="104"/>
        <v>286.30376454139605</v>
      </c>
      <c r="U34" s="3">
        <f t="shared" si="105"/>
        <v>14.222740414376355</v>
      </c>
      <c r="W34" s="3">
        <v>1648.352512906933</v>
      </c>
      <c r="X34" s="3">
        <f t="shared" si="106"/>
        <v>364.64748709306696</v>
      </c>
      <c r="Y34" s="3">
        <f t="shared" si="107"/>
        <v>18.114629264434523</v>
      </c>
      <c r="AA34" s="3">
        <v>1686.3585750672914</v>
      </c>
      <c r="AB34" s="3">
        <f t="shared" si="108"/>
        <v>326.64142493270856</v>
      </c>
      <c r="AC34" s="3">
        <f t="shared" si="109"/>
        <v>16.226598357312895</v>
      </c>
      <c r="AE34" s="3">
        <v>1748.7427438414427</v>
      </c>
      <c r="AF34" s="3">
        <f t="shared" si="110"/>
        <v>264.25725615855731</v>
      </c>
      <c r="AG34" s="3">
        <f t="shared" si="111"/>
        <v>13.127533837980989</v>
      </c>
      <c r="AI34" s="3">
        <v>1750.3513706875081</v>
      </c>
      <c r="AJ34" s="3">
        <f t="shared" si="112"/>
        <v>262.64862931249195</v>
      </c>
      <c r="AK34" s="3">
        <f t="shared" si="113"/>
        <v>13.047621923124289</v>
      </c>
    </row>
    <row r="35" spans="1:37" x14ac:dyDescent="0.2">
      <c r="A35" s="1" t="s">
        <v>31</v>
      </c>
      <c r="B35" s="1">
        <v>1234</v>
      </c>
      <c r="C35" s="3">
        <v>1045.8981623939771</v>
      </c>
      <c r="D35" s="3">
        <f t="shared" si="98"/>
        <v>188.10183760602285</v>
      </c>
      <c r="E35" s="3">
        <f t="shared" si="99"/>
        <v>15.243260746031027</v>
      </c>
      <c r="K35" s="3">
        <v>1043.2875211579824</v>
      </c>
      <c r="L35" s="3">
        <f t="shared" si="100"/>
        <v>190.71247884201762</v>
      </c>
      <c r="M35" s="3">
        <f t="shared" si="101"/>
        <v>15.454820003404993</v>
      </c>
      <c r="O35" s="3">
        <v>1027.4861607123532</v>
      </c>
      <c r="P35" s="3">
        <f t="shared" si="102"/>
        <v>206.51383928764676</v>
      </c>
      <c r="Q35" s="3">
        <f t="shared" si="103"/>
        <v>16.735319229144793</v>
      </c>
      <c r="S35" s="3">
        <v>1035.3540691928413</v>
      </c>
      <c r="T35" s="3">
        <f t="shared" si="104"/>
        <v>198.64593080715872</v>
      </c>
      <c r="U35" s="3">
        <f t="shared" si="105"/>
        <v>16.097725349040417</v>
      </c>
      <c r="W35" s="3">
        <v>984.93420567111525</v>
      </c>
      <c r="X35" s="3">
        <f t="shared" si="106"/>
        <v>249.06579432888475</v>
      </c>
      <c r="Y35" s="3">
        <f t="shared" si="107"/>
        <v>20.18361380298904</v>
      </c>
      <c r="AA35" s="3">
        <v>1009.4727345151676</v>
      </c>
      <c r="AB35" s="3">
        <f t="shared" si="108"/>
        <v>224.52726548483236</v>
      </c>
      <c r="AC35" s="3">
        <f t="shared" si="109"/>
        <v>18.195078240261942</v>
      </c>
      <c r="AE35" s="3">
        <v>1049.5763592173194</v>
      </c>
      <c r="AF35" s="3">
        <f t="shared" si="110"/>
        <v>184.42364078268065</v>
      </c>
      <c r="AG35" s="3">
        <f t="shared" si="111"/>
        <v>14.945189690654834</v>
      </c>
      <c r="AI35" s="3">
        <v>1050.569285615913</v>
      </c>
      <c r="AJ35" s="3">
        <f t="shared" si="112"/>
        <v>183.43071438408697</v>
      </c>
      <c r="AK35" s="3">
        <f t="shared" si="113"/>
        <v>14.864725638904941</v>
      </c>
    </row>
    <row r="36" spans="1:37" x14ac:dyDescent="0.2">
      <c r="A36" s="1"/>
      <c r="B36" s="1">
        <v>8154</v>
      </c>
      <c r="C36" s="6">
        <v>1072.3125179091305</v>
      </c>
    </row>
    <row r="37" spans="1:37" x14ac:dyDescent="0.2">
      <c r="A37" s="1">
        <v>65</v>
      </c>
    </row>
    <row r="38" spans="1:37" x14ac:dyDescent="0.2">
      <c r="A38" s="1" t="s">
        <v>29</v>
      </c>
      <c r="B38" s="1">
        <v>1449</v>
      </c>
      <c r="C38" s="2">
        <v>1167.0059389764072</v>
      </c>
      <c r="D38" s="2">
        <f t="shared" ref="D38:D40" si="114">B38-C38</f>
        <v>281.99406102359285</v>
      </c>
      <c r="E38" s="3">
        <f t="shared" ref="E38:E40" si="115">D38/B38*100</f>
        <v>19.461287855320418</v>
      </c>
      <c r="K38" s="2">
        <v>1160.8903246037469</v>
      </c>
      <c r="L38" s="2">
        <f t="shared" ref="L38:L40" si="116">B38-K38</f>
        <v>288.10967539625312</v>
      </c>
      <c r="M38" s="3">
        <f t="shared" ref="M38:M40" si="117">L38/B38*100</f>
        <v>19.883345437974683</v>
      </c>
      <c r="O38" s="2">
        <v>1145.0621035425354</v>
      </c>
      <c r="P38" s="2">
        <f t="shared" ref="P38:P40" si="118">B38-O38</f>
        <v>303.9378964574646</v>
      </c>
      <c r="Q38" s="3">
        <f t="shared" ref="Q38:Q40" si="119">P38/B38*100</f>
        <v>20.975700238610393</v>
      </c>
      <c r="R38" s="2"/>
      <c r="S38" s="2">
        <v>1154.9215861914749</v>
      </c>
      <c r="T38" s="2">
        <f t="shared" ref="T38:T40" si="120">B38-S38</f>
        <v>294.07841380852506</v>
      </c>
      <c r="U38" s="3">
        <f t="shared" ref="U38:U40" si="121">T38/B38*100</f>
        <v>20.295266653452384</v>
      </c>
      <c r="W38" s="2">
        <v>1089.2959185184372</v>
      </c>
      <c r="X38" s="2">
        <f t="shared" ref="X38:X40" si="122">$B38-W38</f>
        <v>359.70408148156275</v>
      </c>
      <c r="Y38" s="3">
        <f t="shared" ref="Y38:Y40" si="123">X38/B38*100</f>
        <v>24.824298238893221</v>
      </c>
      <c r="AA38" s="2">
        <v>1124.0819026878887</v>
      </c>
      <c r="AB38" s="2">
        <f t="shared" ref="AB38:AB40" si="124">$B38-AA38</f>
        <v>324.91809731211129</v>
      </c>
      <c r="AC38" s="3">
        <f t="shared" ref="AC38:AC40" si="125">AB38/$B38*100</f>
        <v>22.423609200283735</v>
      </c>
      <c r="AE38" s="2">
        <v>1168.3270377280546</v>
      </c>
      <c r="AF38" s="2">
        <f t="shared" ref="AF38:AF40" si="126">$B38-AE38</f>
        <v>280.67296227194538</v>
      </c>
      <c r="AG38" s="3">
        <f t="shared" ref="AG38:AG40" si="127">AF38/$B38*100</f>
        <v>19.370114718560757</v>
      </c>
      <c r="AI38" s="2">
        <v>1169.7973247816124</v>
      </c>
      <c r="AJ38" s="2">
        <f t="shared" ref="AJ38:AJ40" si="128">$B38-AI38</f>
        <v>279.20267521838764</v>
      </c>
      <c r="AK38" s="3">
        <f t="shared" ref="AK38:AK40" si="129">AJ38/$B38*100</f>
        <v>19.268645632738966</v>
      </c>
    </row>
    <row r="39" spans="1:37" x14ac:dyDescent="0.2">
      <c r="A39" s="1" t="s">
        <v>30</v>
      </c>
      <c r="B39" s="1">
        <v>1514</v>
      </c>
      <c r="C39" s="3">
        <v>1302.6676239597211</v>
      </c>
      <c r="D39" s="3">
        <f t="shared" si="114"/>
        <v>211.33237604027886</v>
      </c>
      <c r="E39" s="3">
        <f t="shared" si="115"/>
        <v>13.958545313096357</v>
      </c>
      <c r="K39" s="3">
        <v>1297.999190546893</v>
      </c>
      <c r="L39" s="3">
        <f t="shared" si="116"/>
        <v>216.00080945310697</v>
      </c>
      <c r="M39" s="3">
        <f t="shared" si="117"/>
        <v>14.266896265066512</v>
      </c>
      <c r="O39" s="3">
        <v>1283.3989441708788</v>
      </c>
      <c r="P39" s="3">
        <f t="shared" si="118"/>
        <v>230.60105582912115</v>
      </c>
      <c r="Q39" s="3">
        <f t="shared" si="119"/>
        <v>15.231245431249747</v>
      </c>
      <c r="S39" s="3">
        <v>1292.7791132160717</v>
      </c>
      <c r="T39" s="3">
        <f t="shared" si="120"/>
        <v>221.22088678392834</v>
      </c>
      <c r="U39" s="3">
        <f t="shared" si="121"/>
        <v>14.611683407128687</v>
      </c>
      <c r="W39" s="3">
        <v>1226.8481105785108</v>
      </c>
      <c r="X39" s="3">
        <f t="shared" si="122"/>
        <v>287.15188942148916</v>
      </c>
      <c r="Y39" s="3">
        <f t="shared" si="123"/>
        <v>18.966439195606945</v>
      </c>
      <c r="AA39" s="3">
        <v>1262.0900089695376</v>
      </c>
      <c r="AB39" s="3">
        <f t="shared" si="124"/>
        <v>251.90999103046238</v>
      </c>
      <c r="AC39" s="3">
        <f t="shared" si="125"/>
        <v>16.638704823676512</v>
      </c>
      <c r="AE39" s="3">
        <v>1304.6643591406098</v>
      </c>
      <c r="AF39" s="3">
        <f t="shared" si="126"/>
        <v>209.3356408593902</v>
      </c>
      <c r="AG39" s="3">
        <f t="shared" si="127"/>
        <v>13.8266605587444</v>
      </c>
      <c r="AI39" s="3">
        <v>1306.4711925567442</v>
      </c>
      <c r="AJ39" s="3">
        <f t="shared" si="128"/>
        <v>207.5288074432558</v>
      </c>
      <c r="AK39" s="3">
        <f t="shared" si="129"/>
        <v>13.707318853583605</v>
      </c>
    </row>
    <row r="40" spans="1:37" x14ac:dyDescent="0.2">
      <c r="A40" s="1" t="s">
        <v>31</v>
      </c>
      <c r="B40" s="1">
        <v>903</v>
      </c>
      <c r="C40" s="3">
        <v>755.0406965278296</v>
      </c>
      <c r="D40" s="3">
        <f t="shared" si="114"/>
        <v>147.9593034721704</v>
      </c>
      <c r="E40" s="3">
        <f t="shared" si="115"/>
        <v>16.385304924935813</v>
      </c>
      <c r="K40" s="3">
        <v>751.80097751031963</v>
      </c>
      <c r="L40" s="3">
        <f t="shared" si="116"/>
        <v>151.19902248968037</v>
      </c>
      <c r="M40" s="3">
        <f t="shared" si="117"/>
        <v>16.744077795091957</v>
      </c>
      <c r="O40" s="3">
        <v>742.52859228737884</v>
      </c>
      <c r="P40" s="3">
        <f t="shared" si="118"/>
        <v>160.47140771262116</v>
      </c>
      <c r="Q40" s="3">
        <f t="shared" si="119"/>
        <v>17.770920012471887</v>
      </c>
      <c r="S40" s="3">
        <v>748.383599060547</v>
      </c>
      <c r="T40" s="3">
        <f t="shared" si="120"/>
        <v>154.616400939453</v>
      </c>
      <c r="U40" s="3">
        <f t="shared" si="121"/>
        <v>17.122525020980397</v>
      </c>
      <c r="W40" s="3">
        <v>708.37049540729129</v>
      </c>
      <c r="X40" s="3">
        <f t="shared" si="122"/>
        <v>194.62950459270871</v>
      </c>
      <c r="Y40" s="3">
        <f t="shared" si="123"/>
        <v>21.553654993655449</v>
      </c>
      <c r="AA40" s="3">
        <v>729.67225707734167</v>
      </c>
      <c r="AB40" s="3">
        <f t="shared" si="124"/>
        <v>173.32774292265833</v>
      </c>
      <c r="AC40" s="3">
        <f t="shared" si="125"/>
        <v>19.19465591613049</v>
      </c>
      <c r="AE40" s="3">
        <v>756.09600940131747</v>
      </c>
      <c r="AF40" s="3">
        <f t="shared" si="126"/>
        <v>146.90399059868253</v>
      </c>
      <c r="AG40" s="3">
        <f t="shared" si="127"/>
        <v>16.26843749708555</v>
      </c>
      <c r="AI40" s="3">
        <v>757.08920310778274</v>
      </c>
      <c r="AJ40" s="3">
        <f t="shared" si="128"/>
        <v>145.91079689221726</v>
      </c>
      <c r="AK40" s="3">
        <f t="shared" si="129"/>
        <v>16.158449268241114</v>
      </c>
    </row>
    <row r="41" spans="1:37" x14ac:dyDescent="0.2">
      <c r="A41" s="1"/>
      <c r="B41" s="1">
        <v>6540</v>
      </c>
      <c r="C41" s="6">
        <v>858.54189171451037</v>
      </c>
    </row>
    <row r="42" spans="1:37" x14ac:dyDescent="0.2">
      <c r="A42" s="1">
        <v>70</v>
      </c>
    </row>
    <row r="43" spans="1:37" x14ac:dyDescent="0.2">
      <c r="A43" s="1" t="s">
        <v>29</v>
      </c>
      <c r="B43" s="1">
        <v>922</v>
      </c>
      <c r="C43" s="2">
        <v>726.27191806010092</v>
      </c>
      <c r="D43" s="2">
        <f t="shared" ref="D43:D45" si="130">B43-C43</f>
        <v>195.72808193989908</v>
      </c>
      <c r="E43" s="3">
        <f t="shared" ref="E43:E45" si="131">D43/B43*100</f>
        <v>21.228642292830706</v>
      </c>
      <c r="K43" s="2">
        <v>720.19553365548836</v>
      </c>
      <c r="L43" s="2">
        <f t="shared" ref="L43:L45" si="132">B43-K43</f>
        <v>201.80446634451164</v>
      </c>
      <c r="M43" s="3">
        <f t="shared" ref="M43:M45" si="133">L43/B43*100</f>
        <v>21.887686154502347</v>
      </c>
      <c r="O43" s="2">
        <v>709.6642281714719</v>
      </c>
      <c r="P43" s="2">
        <f t="shared" ref="P43:P45" si="134">B43-O43</f>
        <v>212.3357718285281</v>
      </c>
      <c r="Q43" s="3">
        <f t="shared" ref="Q43:Q45" si="135">P43/B43*100</f>
        <v>23.029910176629944</v>
      </c>
      <c r="S43" s="2">
        <v>715.40693865014543</v>
      </c>
      <c r="T43" s="2">
        <f t="shared" ref="T43:T45" si="136">B43-S43</f>
        <v>206.59306134985457</v>
      </c>
      <c r="U43" s="3">
        <f t="shared" ref="U43:U45" si="137">T43/B43*100</f>
        <v>22.407056545537372</v>
      </c>
      <c r="W43" s="2">
        <v>690.71205674830821</v>
      </c>
      <c r="X43" s="2">
        <f t="shared" ref="X43:X45" si="138">$B43-W43</f>
        <v>231.28794325169179</v>
      </c>
      <c r="Y43" s="3">
        <f t="shared" ref="Y43:Y45" si="139">X43/B43*100</f>
        <v>25.085460222526223</v>
      </c>
      <c r="AA43" s="2">
        <v>702.41863735776315</v>
      </c>
      <c r="AB43" s="2">
        <f t="shared" ref="AB43:AB45" si="140">$B43-AA43</f>
        <v>219.58136264223685</v>
      </c>
      <c r="AC43" s="3">
        <f t="shared" ref="AC43:AC45" si="141">AB43/$B43*100</f>
        <v>23.815766013257793</v>
      </c>
      <c r="AE43" s="2">
        <v>726.1913433504202</v>
      </c>
      <c r="AF43" s="2">
        <f t="shared" ref="AF43:AF45" si="142">$B43-AE43</f>
        <v>195.8086566495798</v>
      </c>
      <c r="AG43" s="3">
        <f t="shared" ref="AG43:AG45" si="143">AF43/$B43*100</f>
        <v>21.237381415355728</v>
      </c>
      <c r="AI43" s="2">
        <v>725.39598786995316</v>
      </c>
      <c r="AJ43" s="2">
        <f t="shared" ref="AJ43:AJ45" si="144">$B43-AI43</f>
        <v>196.60401213004684</v>
      </c>
      <c r="AK43" s="3">
        <f t="shared" ref="AK43:AK45" si="145">AJ43/$B43*100</f>
        <v>21.3236455672502</v>
      </c>
    </row>
    <row r="44" spans="1:37" x14ac:dyDescent="0.2">
      <c r="A44" s="1" t="s">
        <v>30</v>
      </c>
      <c r="B44" s="1">
        <v>1075</v>
      </c>
      <c r="C44" s="3">
        <v>908.19135285957793</v>
      </c>
      <c r="D44" s="3">
        <f t="shared" si="130"/>
        <v>166.80864714042207</v>
      </c>
      <c r="E44" s="3">
        <f t="shared" si="131"/>
        <v>15.517083454922984</v>
      </c>
      <c r="K44" s="3">
        <v>902.64257784168672</v>
      </c>
      <c r="L44" s="3">
        <f t="shared" si="132"/>
        <v>172.35742215831328</v>
      </c>
      <c r="M44" s="3">
        <f t="shared" si="133"/>
        <v>16.033248572866352</v>
      </c>
      <c r="O44" s="3">
        <v>892.15339642871413</v>
      </c>
      <c r="P44" s="3">
        <f t="shared" si="134"/>
        <v>182.84660357128587</v>
      </c>
      <c r="Q44" s="3">
        <f t="shared" si="135"/>
        <v>17.008986378724266</v>
      </c>
      <c r="S44" s="3">
        <v>898.25371652753358</v>
      </c>
      <c r="T44" s="3">
        <f t="shared" si="136"/>
        <v>176.74628347246642</v>
      </c>
      <c r="U44" s="3">
        <f t="shared" si="137"/>
        <v>16.441514741624783</v>
      </c>
      <c r="W44" s="3">
        <v>869.38311217428247</v>
      </c>
      <c r="X44" s="3">
        <f t="shared" si="138"/>
        <v>205.61688782571753</v>
      </c>
      <c r="Y44" s="3">
        <f t="shared" si="139"/>
        <v>19.1271523558807</v>
      </c>
      <c r="AA44" s="3">
        <v>883.21518215562321</v>
      </c>
      <c r="AB44" s="3">
        <f t="shared" si="140"/>
        <v>191.78481784437679</v>
      </c>
      <c r="AC44" s="3">
        <f t="shared" si="141"/>
        <v>17.840448171569932</v>
      </c>
      <c r="AE44" s="3">
        <v>908.73178929072435</v>
      </c>
      <c r="AF44" s="3">
        <f t="shared" si="142"/>
        <v>166.26821070927565</v>
      </c>
      <c r="AG44" s="3">
        <f t="shared" si="143"/>
        <v>15.46681029853727</v>
      </c>
      <c r="AI44" s="3">
        <v>908.19705874853287</v>
      </c>
      <c r="AJ44" s="3">
        <f t="shared" si="144"/>
        <v>166.80294125146713</v>
      </c>
      <c r="AK44" s="3">
        <f t="shared" si="145"/>
        <v>15.516552674555081</v>
      </c>
    </row>
    <row r="45" spans="1:37" x14ac:dyDescent="0.2">
      <c r="A45" s="1" t="s">
        <v>31</v>
      </c>
      <c r="B45" s="1">
        <v>613</v>
      </c>
      <c r="C45" s="3">
        <v>502.33699519342719</v>
      </c>
      <c r="D45" s="3">
        <f t="shared" si="130"/>
        <v>110.66300480657281</v>
      </c>
      <c r="E45" s="3">
        <f t="shared" si="131"/>
        <v>18.052692464367507</v>
      </c>
      <c r="K45" s="3">
        <v>498.82323144834248</v>
      </c>
      <c r="L45" s="3">
        <f t="shared" si="132"/>
        <v>114.17676855165752</v>
      </c>
      <c r="M45" s="3">
        <f t="shared" si="133"/>
        <v>18.625900253125209</v>
      </c>
      <c r="O45" s="3">
        <v>492.3880036913996</v>
      </c>
      <c r="P45" s="3">
        <f t="shared" si="134"/>
        <v>120.6119963086004</v>
      </c>
      <c r="Q45" s="3">
        <f t="shared" si="135"/>
        <v>19.675692709396476</v>
      </c>
      <c r="S45" s="3">
        <v>496.01102987759498</v>
      </c>
      <c r="T45" s="3">
        <f t="shared" si="136"/>
        <v>116.98897012240502</v>
      </c>
      <c r="U45" s="3">
        <f t="shared" si="137"/>
        <v>19.08466070512317</v>
      </c>
      <c r="W45" s="3">
        <v>479.64196863869972</v>
      </c>
      <c r="X45" s="3">
        <f t="shared" si="138"/>
        <v>133.35803136130028</v>
      </c>
      <c r="Y45" s="3">
        <f t="shared" si="139"/>
        <v>21.75498064621538</v>
      </c>
      <c r="AA45" s="3">
        <v>487.4434188704833</v>
      </c>
      <c r="AB45" s="3">
        <f t="shared" si="140"/>
        <v>125.5565811295167</v>
      </c>
      <c r="AC45" s="3">
        <f t="shared" si="141"/>
        <v>20.482313397963573</v>
      </c>
      <c r="AE45" s="3">
        <v>502.5238023050386</v>
      </c>
      <c r="AF45" s="3">
        <f t="shared" si="142"/>
        <v>110.4761976949614</v>
      </c>
      <c r="AG45" s="3">
        <f t="shared" si="143"/>
        <v>18.022218221037747</v>
      </c>
      <c r="AI45" s="3">
        <v>502.11338807708768</v>
      </c>
      <c r="AJ45" s="3">
        <f t="shared" si="144"/>
        <v>110.88661192291232</v>
      </c>
      <c r="AK45" s="3">
        <f t="shared" si="145"/>
        <v>18.089169971111307</v>
      </c>
    </row>
    <row r="46" spans="1:37" x14ac:dyDescent="0.2">
      <c r="B46" s="1">
        <v>4909</v>
      </c>
      <c r="C46" s="6">
        <v>649.26205554503588</v>
      </c>
    </row>
    <row r="47" spans="1:37" x14ac:dyDescent="0.2">
      <c r="E47" s="3">
        <f>SUMSQ(E1:E45)</f>
        <v>5212.4226424808439</v>
      </c>
      <c r="M47" s="3">
        <f>SUMSQ(M1:M45)</f>
        <v>5342.8751747485376</v>
      </c>
      <c r="Q47" s="3">
        <f>SUMSQ(Q1:Q45)</f>
        <v>6361.867216908875</v>
      </c>
      <c r="U47" s="3">
        <f>SUMSQ(U1:U45)</f>
        <v>5910.0379363177199</v>
      </c>
      <c r="Y47" s="3">
        <f>SUMSQ(Y1:Y45)</f>
        <v>8481.8652360564665</v>
      </c>
      <c r="AC47" s="3">
        <f>SUMSQ(AC1:AC45)</f>
        <v>7392.8638520685381</v>
      </c>
      <c r="AG47" s="3">
        <f>SUMSQ(AG1:AG45)</f>
        <v>4989.2385138951486</v>
      </c>
      <c r="AK47" s="3">
        <f>SUMSQ(AK1:AK45)</f>
        <v>4954.8497456780296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18E1-960C-4B4E-8600-E6FBE0AB3BD5}">
  <sheetPr codeName="Hoja16"/>
  <dimension ref="A1:AK47"/>
  <sheetViews>
    <sheetView topLeftCell="A10" workbookViewId="0">
      <selection activeCell="O55" sqref="O55"/>
    </sheetView>
  </sheetViews>
  <sheetFormatPr baseColWidth="10" defaultRowHeight="12.75" x14ac:dyDescent="0.2"/>
  <cols>
    <col min="1" max="1" width="53.140625" customWidth="1"/>
  </cols>
  <sheetData>
    <row r="1" spans="1:37" x14ac:dyDescent="0.2">
      <c r="A1" s="1" t="s">
        <v>19</v>
      </c>
      <c r="B1" s="1" t="s">
        <v>20</v>
      </c>
      <c r="C1" s="1" t="s">
        <v>21</v>
      </c>
      <c r="D1" s="45"/>
      <c r="E1" s="45"/>
      <c r="F1" s="45"/>
      <c r="G1" s="45"/>
      <c r="H1" s="45"/>
      <c r="I1" s="45"/>
      <c r="J1" s="45"/>
      <c r="K1" s="1" t="s">
        <v>21</v>
      </c>
      <c r="L1" s="45"/>
      <c r="M1" s="45"/>
      <c r="N1" s="45"/>
      <c r="O1" s="1" t="s">
        <v>22</v>
      </c>
      <c r="P1" s="45"/>
      <c r="Q1" s="45"/>
      <c r="R1" s="45"/>
      <c r="S1" s="1" t="s">
        <v>23</v>
      </c>
      <c r="T1" s="45"/>
      <c r="U1" s="45"/>
      <c r="V1" s="45"/>
      <c r="W1" s="1" t="s">
        <v>24</v>
      </c>
      <c r="X1" s="45"/>
      <c r="Y1" s="45"/>
      <c r="Z1" s="45"/>
      <c r="AA1" s="1" t="s">
        <v>25</v>
      </c>
      <c r="AB1" s="45"/>
      <c r="AC1" s="45"/>
      <c r="AD1" s="45"/>
      <c r="AE1" s="1" t="s">
        <v>26</v>
      </c>
      <c r="AF1" s="45"/>
      <c r="AG1" s="45"/>
      <c r="AH1" s="45"/>
      <c r="AI1" s="1" t="s">
        <v>27</v>
      </c>
      <c r="AJ1" s="45"/>
      <c r="AK1" s="45"/>
    </row>
    <row r="2" spans="1:37" x14ac:dyDescent="0.2">
      <c r="A2" s="1">
        <v>30</v>
      </c>
      <c r="B2" s="45"/>
      <c r="C2" s="45"/>
      <c r="D2" s="45"/>
      <c r="E2" s="45"/>
      <c r="F2" s="45"/>
      <c r="G2" s="1" t="s">
        <v>28</v>
      </c>
      <c r="H2" s="45"/>
      <c r="I2" s="1" t="s">
        <v>22</v>
      </c>
      <c r="J2" s="1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</row>
    <row r="3" spans="1:37" x14ac:dyDescent="0.2">
      <c r="A3" s="1" t="s">
        <v>29</v>
      </c>
      <c r="B3" s="1">
        <v>6183</v>
      </c>
      <c r="C3" s="2">
        <v>5623.0297794900753</v>
      </c>
      <c r="D3" s="2">
        <f t="shared" ref="D3:D5" si="0">B3-C3</f>
        <v>559.97022050992473</v>
      </c>
      <c r="E3" s="3">
        <f t="shared" ref="E3:E5" si="1">D3/B3*100</f>
        <v>9.0566103915562781</v>
      </c>
      <c r="F3" s="1">
        <v>2100</v>
      </c>
      <c r="G3" s="4">
        <v>2134.0679228823246</v>
      </c>
      <c r="H3" s="5">
        <f t="shared" ref="H3:H11" si="2">1 -G3/F3</f>
        <v>-1.622282042015466E-2</v>
      </c>
      <c r="I3" s="6">
        <v>2148.9027389317175</v>
      </c>
      <c r="J3" s="5">
        <f t="shared" ref="J3:J11" si="3">1 -$F3/$I3</f>
        <v>2.2757074131716459E-2</v>
      </c>
      <c r="K3" s="2">
        <v>5626.3868009787602</v>
      </c>
      <c r="L3" s="2">
        <f t="shared" ref="L3:L5" si="4">B3-K3</f>
        <v>556.61319902123978</v>
      </c>
      <c r="M3" s="3">
        <f t="shared" ref="M3:M5" si="5">L3/B3*100</f>
        <v>9.0023160119883503</v>
      </c>
      <c r="N3" s="45"/>
      <c r="O3" s="2">
        <v>5552.17138123326</v>
      </c>
      <c r="P3" s="2">
        <f t="shared" ref="P3:P5" si="6">B3-O3</f>
        <v>630.82861876673996</v>
      </c>
      <c r="Q3" s="3">
        <f t="shared" ref="Q3:Q5" si="7">P3/B3*100</f>
        <v>10.202630094885007</v>
      </c>
      <c r="R3" s="45"/>
      <c r="S3" s="2">
        <v>5579.0049807446585</v>
      </c>
      <c r="T3" s="2">
        <f t="shared" ref="T3:T5" si="8">B3-S3</f>
        <v>603.9950192553415</v>
      </c>
      <c r="U3" s="3">
        <f t="shared" ref="U3:U5" si="9">T3/B3*100</f>
        <v>9.7686401302820887</v>
      </c>
      <c r="V3" s="45"/>
      <c r="W3" s="2">
        <v>5437.7963024070323</v>
      </c>
      <c r="X3" s="2">
        <f t="shared" ref="X3:X5" si="10">$B3-W3</f>
        <v>745.20369759296773</v>
      </c>
      <c r="Y3" s="3">
        <f t="shared" ref="Y3:Y5" si="11">X3/B3*100</f>
        <v>12.052461549295936</v>
      </c>
      <c r="Z3" s="45"/>
      <c r="AA3" s="2">
        <v>5485.6653399750749</v>
      </c>
      <c r="AB3" s="2">
        <f t="shared" ref="AB3:AB5" si="12">$B3-AA3</f>
        <v>697.33466002492514</v>
      </c>
      <c r="AC3" s="3">
        <f t="shared" ref="AC3:AC5" si="13">AB3/$B3*100</f>
        <v>11.278257480590735</v>
      </c>
      <c r="AD3" s="45"/>
      <c r="AE3" s="2">
        <v>5656.1381301454339</v>
      </c>
      <c r="AF3" s="2">
        <f t="shared" ref="AF3:AF5" si="14">$B3-AE3</f>
        <v>526.86186985456607</v>
      </c>
      <c r="AG3" s="3">
        <f t="shared" ref="AG3:AG5" si="15">AF3/$B3*100</f>
        <v>8.5211365009633848</v>
      </c>
      <c r="AH3" s="45"/>
      <c r="AI3" s="2">
        <v>5652.9411359317282</v>
      </c>
      <c r="AJ3" s="2">
        <f t="shared" ref="AJ3:AJ5" si="16">$B3-AI3</f>
        <v>530.05886406827176</v>
      </c>
      <c r="AK3" s="3">
        <f t="shared" ref="AK3:AK5" si="17">AJ3/$B3*100</f>
        <v>8.5728426988237398</v>
      </c>
    </row>
    <row r="4" spans="1:37" x14ac:dyDescent="0.2">
      <c r="A4" s="1" t="s">
        <v>30</v>
      </c>
      <c r="B4" s="1">
        <v>5013</v>
      </c>
      <c r="C4" s="3">
        <v>4629.2708588203195</v>
      </c>
      <c r="D4" s="3">
        <f t="shared" si="0"/>
        <v>383.72914117968048</v>
      </c>
      <c r="E4" s="3">
        <f t="shared" si="1"/>
        <v>7.654680653893486</v>
      </c>
      <c r="F4" s="1">
        <v>1976</v>
      </c>
      <c r="G4" s="4">
        <v>2003.2645777528442</v>
      </c>
      <c r="H4" s="5">
        <f t="shared" si="2"/>
        <v>-1.3797863235245122E-2</v>
      </c>
      <c r="I4" s="6">
        <v>2021.1399185919906</v>
      </c>
      <c r="J4" s="5">
        <f t="shared" si="3"/>
        <v>2.2333890977442539E-2</v>
      </c>
      <c r="K4" s="3">
        <v>4632.3870313505922</v>
      </c>
      <c r="L4" s="3">
        <f t="shared" si="4"/>
        <v>380.61296864940778</v>
      </c>
      <c r="M4" s="3">
        <f t="shared" si="5"/>
        <v>7.5925188240456372</v>
      </c>
      <c r="N4" s="45"/>
      <c r="O4" s="3">
        <v>4580.6476364343662</v>
      </c>
      <c r="P4" s="3">
        <f t="shared" si="6"/>
        <v>432.35236356563382</v>
      </c>
      <c r="Q4" s="3">
        <f t="shared" si="7"/>
        <v>8.6246232508604379</v>
      </c>
      <c r="R4" s="45"/>
      <c r="S4" s="3">
        <v>4599.3816068080168</v>
      </c>
      <c r="T4" s="3">
        <f t="shared" si="8"/>
        <v>413.61839319198316</v>
      </c>
      <c r="U4" s="3">
        <f t="shared" si="9"/>
        <v>8.2509154835823502</v>
      </c>
      <c r="V4" s="45"/>
      <c r="W4" s="3">
        <v>4499.257535176469</v>
      </c>
      <c r="X4" s="3">
        <f t="shared" si="10"/>
        <v>513.74246482353101</v>
      </c>
      <c r="Y4" s="3">
        <f t="shared" si="11"/>
        <v>10.248203966158608</v>
      </c>
      <c r="Z4" s="45"/>
      <c r="AA4" s="3">
        <v>4534.0197621825391</v>
      </c>
      <c r="AB4" s="3">
        <f t="shared" si="12"/>
        <v>478.98023781746087</v>
      </c>
      <c r="AC4" s="3">
        <f t="shared" si="13"/>
        <v>9.5547623741763594</v>
      </c>
      <c r="AD4" s="45"/>
      <c r="AE4" s="3">
        <v>4654.2508205528748</v>
      </c>
      <c r="AF4" s="3">
        <f t="shared" si="14"/>
        <v>358.74917944712524</v>
      </c>
      <c r="AG4" s="3">
        <f t="shared" si="15"/>
        <v>7.1563770087198328</v>
      </c>
      <c r="AH4" s="45"/>
      <c r="AI4" s="3">
        <v>4650.9607501432865</v>
      </c>
      <c r="AJ4" s="3">
        <f t="shared" si="16"/>
        <v>362.03924985671347</v>
      </c>
      <c r="AK4" s="3">
        <f t="shared" si="17"/>
        <v>7.2220077769142925</v>
      </c>
    </row>
    <row r="5" spans="1:37" x14ac:dyDescent="0.2">
      <c r="A5" s="1" t="s">
        <v>31</v>
      </c>
      <c r="B5" s="1">
        <v>3302</v>
      </c>
      <c r="C5" s="3">
        <v>3097.5735539115849</v>
      </c>
      <c r="D5" s="3">
        <f t="shared" si="0"/>
        <v>204.4264460884151</v>
      </c>
      <c r="E5" s="3">
        <f t="shared" si="1"/>
        <v>6.190988676208816</v>
      </c>
      <c r="F5" s="1">
        <v>1831</v>
      </c>
      <c r="G5" s="4">
        <v>1852.2356329523675</v>
      </c>
      <c r="H5" s="5">
        <f t="shared" si="2"/>
        <v>-1.1597833398343749E-2</v>
      </c>
      <c r="I5" s="6">
        <v>1870.9343610445767</v>
      </c>
      <c r="J5" s="5">
        <f t="shared" si="3"/>
        <v>2.1344608274916022E-2</v>
      </c>
      <c r="K5" s="3">
        <v>3099.5337216540074</v>
      </c>
      <c r="L5" s="3">
        <f t="shared" si="4"/>
        <v>202.46627834599258</v>
      </c>
      <c r="M5" s="3">
        <f t="shared" si="5"/>
        <v>6.1316256313141304</v>
      </c>
      <c r="N5" s="45"/>
      <c r="O5" s="3">
        <v>3061.6509992180372</v>
      </c>
      <c r="P5" s="3">
        <f t="shared" si="6"/>
        <v>240.34900078196279</v>
      </c>
      <c r="Q5" s="3">
        <f t="shared" si="7"/>
        <v>7.2788916045415748</v>
      </c>
      <c r="R5" s="45"/>
      <c r="S5" s="3">
        <v>3075.3562884460648</v>
      </c>
      <c r="T5" s="3">
        <f t="shared" si="8"/>
        <v>226.64371155393519</v>
      </c>
      <c r="U5" s="3">
        <f t="shared" si="9"/>
        <v>6.8638313614153592</v>
      </c>
      <c r="V5" s="45"/>
      <c r="W5" s="3">
        <v>3002.7698986214864</v>
      </c>
      <c r="X5" s="3">
        <f t="shared" si="10"/>
        <v>299.23010137851361</v>
      </c>
      <c r="Y5" s="3">
        <f t="shared" si="11"/>
        <v>9.0620866559210658</v>
      </c>
      <c r="Z5" s="45"/>
      <c r="AA5" s="3">
        <v>3027.6397954362928</v>
      </c>
      <c r="AB5" s="3">
        <f t="shared" si="12"/>
        <v>274.36020456370716</v>
      </c>
      <c r="AC5" s="3">
        <f t="shared" si="13"/>
        <v>8.3089098898760501</v>
      </c>
      <c r="AD5" s="45"/>
      <c r="AE5" s="3">
        <v>3115.0840695862898</v>
      </c>
      <c r="AF5" s="3">
        <f t="shared" si="14"/>
        <v>186.91593041371016</v>
      </c>
      <c r="AG5" s="3">
        <f t="shared" si="15"/>
        <v>5.6606883832135111</v>
      </c>
      <c r="AH5" s="45"/>
      <c r="AI5" s="3">
        <v>3113.1070322494011</v>
      </c>
      <c r="AJ5" s="3">
        <f t="shared" si="16"/>
        <v>188.89296775059893</v>
      </c>
      <c r="AK5" s="3">
        <f t="shared" si="17"/>
        <v>5.7205623183100824</v>
      </c>
    </row>
    <row r="6" spans="1:37" x14ac:dyDescent="0.2">
      <c r="A6" s="1"/>
      <c r="B6" s="1">
        <v>15007</v>
      </c>
      <c r="C6" s="6">
        <v>2134.0679228823246</v>
      </c>
      <c r="D6" s="45"/>
      <c r="E6" s="45"/>
      <c r="F6" s="1">
        <v>1660</v>
      </c>
      <c r="G6" s="4">
        <v>1677.9011040118687</v>
      </c>
      <c r="H6" s="5">
        <f t="shared" si="2"/>
        <v>-1.0783797597511358E-2</v>
      </c>
      <c r="I6" s="6">
        <v>1696.101475781111</v>
      </c>
      <c r="J6" s="5">
        <f t="shared" si="3"/>
        <v>2.1284973980984945E-2</v>
      </c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</row>
    <row r="7" spans="1:37" x14ac:dyDescent="0.2">
      <c r="A7" s="1">
        <v>35</v>
      </c>
      <c r="B7" s="45"/>
      <c r="C7" s="45"/>
      <c r="D7" s="45"/>
      <c r="E7" s="45"/>
      <c r="F7" s="1">
        <v>1463</v>
      </c>
      <c r="G7" s="4">
        <v>1486.0858156874874</v>
      </c>
      <c r="H7" s="5">
        <f t="shared" si="2"/>
        <v>-1.5779778323641525E-2</v>
      </c>
      <c r="I7" s="6">
        <v>1501.3854400225705</v>
      </c>
      <c r="J7" s="5">
        <f t="shared" si="3"/>
        <v>2.5566679281233351E-2</v>
      </c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</row>
    <row r="8" spans="1:37" x14ac:dyDescent="0.2">
      <c r="A8" s="1" t="s">
        <v>29</v>
      </c>
      <c r="B8" s="1">
        <v>5576</v>
      </c>
      <c r="C8" s="2">
        <v>4980.9173109786989</v>
      </c>
      <c r="D8" s="2">
        <f t="shared" ref="D8:D10" si="18">B8-C8</f>
        <v>595.08268902130112</v>
      </c>
      <c r="E8" s="3">
        <f t="shared" ref="E8:E10" si="19">D8/B8*100</f>
        <v>10.672214652462358</v>
      </c>
      <c r="F8" s="1">
        <v>1248</v>
      </c>
      <c r="G8" s="4">
        <v>1281.3269033652723</v>
      </c>
      <c r="H8" s="5">
        <f t="shared" si="2"/>
        <v>-2.6704249491404042E-2</v>
      </c>
      <c r="I8" s="6">
        <v>1298.7946559235797</v>
      </c>
      <c r="J8" s="5">
        <f t="shared" si="3"/>
        <v>3.910907370300154E-2</v>
      </c>
      <c r="K8" s="2">
        <v>4983.2413877358158</v>
      </c>
      <c r="L8" s="2">
        <f t="shared" ref="L8:L10" si="20">B8-K8</f>
        <v>592.75861226418419</v>
      </c>
      <c r="M8" s="3">
        <f t="shared" ref="M8:M10" si="21">L8/B8*100</f>
        <v>10.630534653231424</v>
      </c>
      <c r="N8" s="45"/>
      <c r="O8" s="2">
        <v>4906.5880086223897</v>
      </c>
      <c r="P8" s="2">
        <f t="shared" ref="P8:P10" si="22">B8-O8</f>
        <v>669.41199137761032</v>
      </c>
      <c r="Q8" s="3">
        <f t="shared" ref="Q8:Q10" si="23">P8/B8*100</f>
        <v>12.005236574203916</v>
      </c>
      <c r="R8" s="45"/>
      <c r="S8" s="2">
        <v>4933.5510810202722</v>
      </c>
      <c r="T8" s="2">
        <f t="shared" ref="T8:T10" si="24">B8-S8</f>
        <v>642.44891897972775</v>
      </c>
      <c r="U8" s="3">
        <f t="shared" ref="U8:U10" si="25">T8/B8*100</f>
        <v>11.521680756451358</v>
      </c>
      <c r="V8" s="45"/>
      <c r="W8" s="2">
        <v>4802.0344901223643</v>
      </c>
      <c r="X8" s="2">
        <f t="shared" ref="X8:X10" si="26">$B8-W8</f>
        <v>773.96550987763567</v>
      </c>
      <c r="Y8" s="3">
        <f t="shared" ref="Y8:Y10" si="27">X8/B8*100</f>
        <v>13.880299674993465</v>
      </c>
      <c r="Z8" s="45"/>
      <c r="AA8" s="2">
        <v>4837.5298548574656</v>
      </c>
      <c r="AB8" s="2">
        <f t="shared" ref="AB8:AB10" si="28">$B8-AA8</f>
        <v>738.47014514253442</v>
      </c>
      <c r="AC8" s="3">
        <f t="shared" ref="AC8:AC10" si="29">AB8/$B8*100</f>
        <v>13.243725701982326</v>
      </c>
      <c r="AD8" s="45"/>
      <c r="AE8" s="2">
        <v>5001.7822453178715</v>
      </c>
      <c r="AF8" s="2">
        <f t="shared" ref="AF8:AF10" si="30">$B8-AE8</f>
        <v>574.21775468212854</v>
      </c>
      <c r="AG8" s="3">
        <f t="shared" ref="AG8:AG10" si="31">AF8/$B8*100</f>
        <v>10.298022860152951</v>
      </c>
      <c r="AH8" s="45"/>
      <c r="AI8" s="2">
        <v>5009.809217644065</v>
      </c>
      <c r="AJ8" s="2">
        <f t="shared" ref="AJ8:AJ10" si="32">$B8-AI8</f>
        <v>566.19078235593497</v>
      </c>
      <c r="AK8" s="3">
        <f t="shared" ref="AK8:AK10" si="33">AJ8/$B8*100</f>
        <v>10.154067115422077</v>
      </c>
    </row>
    <row r="9" spans="1:37" x14ac:dyDescent="0.2">
      <c r="A9" s="1" t="s">
        <v>30</v>
      </c>
      <c r="B9" s="1">
        <v>4600</v>
      </c>
      <c r="C9" s="3">
        <v>4191.8398056385786</v>
      </c>
      <c r="D9" s="3">
        <f t="shared" si="18"/>
        <v>408.16019436142142</v>
      </c>
      <c r="E9" s="3">
        <f t="shared" si="19"/>
        <v>8.8730477035091617</v>
      </c>
      <c r="F9" s="1">
        <v>1032</v>
      </c>
      <c r="G9" s="4">
        <v>1072.3125179091305</v>
      </c>
      <c r="H9" s="5">
        <f t="shared" si="2"/>
        <v>-3.9062517353808612E-2</v>
      </c>
      <c r="I9" s="6">
        <v>1087.9206575677074</v>
      </c>
      <c r="J9" s="5">
        <f t="shared" si="3"/>
        <v>5.140141165508394E-2</v>
      </c>
      <c r="K9" s="3">
        <v>4194.4507047705192</v>
      </c>
      <c r="L9" s="3">
        <f t="shared" si="20"/>
        <v>405.54929522948078</v>
      </c>
      <c r="M9" s="3">
        <f t="shared" si="21"/>
        <v>8.8162890267278424</v>
      </c>
      <c r="N9" s="45"/>
      <c r="O9" s="3">
        <v>4139.2070612603247</v>
      </c>
      <c r="P9" s="3">
        <f t="shared" si="22"/>
        <v>460.79293873967526</v>
      </c>
      <c r="Q9" s="3">
        <f t="shared" si="23"/>
        <v>10.017237798688592</v>
      </c>
      <c r="R9" s="45"/>
      <c r="S9" s="3">
        <v>4158.5376176238724</v>
      </c>
      <c r="T9" s="3">
        <f t="shared" si="24"/>
        <v>441.46238237612761</v>
      </c>
      <c r="U9" s="3">
        <f t="shared" si="25"/>
        <v>9.5970083125245136</v>
      </c>
      <c r="V9" s="45"/>
      <c r="W9" s="3">
        <v>4063.8045649834867</v>
      </c>
      <c r="X9" s="3">
        <f t="shared" si="26"/>
        <v>536.19543501651333</v>
      </c>
      <c r="Y9" s="3">
        <f t="shared" si="27"/>
        <v>11.656422500358985</v>
      </c>
      <c r="Z9" s="45"/>
      <c r="AA9" s="3">
        <v>4088.9991904787807</v>
      </c>
      <c r="AB9" s="3">
        <f t="shared" si="28"/>
        <v>511.00080952121925</v>
      </c>
      <c r="AC9" s="3">
        <f t="shared" si="29"/>
        <v>11.108713250461289</v>
      </c>
      <c r="AD9" s="45"/>
      <c r="AE9" s="3">
        <v>4207.4829738631342</v>
      </c>
      <c r="AF9" s="3">
        <f t="shared" si="30"/>
        <v>392.51702613686575</v>
      </c>
      <c r="AG9" s="3">
        <f t="shared" si="31"/>
        <v>8.5329788290622979</v>
      </c>
      <c r="AH9" s="45"/>
      <c r="AI9" s="3">
        <v>4213.5366471883053</v>
      </c>
      <c r="AJ9" s="3">
        <f t="shared" si="32"/>
        <v>386.46335281169468</v>
      </c>
      <c r="AK9" s="3">
        <f t="shared" si="33"/>
        <v>8.4013772350368399</v>
      </c>
    </row>
    <row r="10" spans="1:37" x14ac:dyDescent="0.2">
      <c r="A10" s="1" t="s">
        <v>31</v>
      </c>
      <c r="B10" s="1">
        <v>3009</v>
      </c>
      <c r="C10" s="3">
        <v>2773.4372537817781</v>
      </c>
      <c r="D10" s="3">
        <f t="shared" si="18"/>
        <v>235.56274621822195</v>
      </c>
      <c r="E10" s="3">
        <f t="shared" si="19"/>
        <v>7.8286057234370876</v>
      </c>
      <c r="F10" s="1">
        <v>814</v>
      </c>
      <c r="G10" s="4">
        <v>858.54189171451037</v>
      </c>
      <c r="H10" s="5">
        <f t="shared" si="2"/>
        <v>-5.4719768691044779E-2</v>
      </c>
      <c r="I10" s="6">
        <v>871.6743746247364</v>
      </c>
      <c r="J10" s="5">
        <f t="shared" si="3"/>
        <v>6.6165045461575867E-2</v>
      </c>
      <c r="K10" s="3">
        <v>2774.9402736263391</v>
      </c>
      <c r="L10" s="3">
        <f t="shared" si="20"/>
        <v>234.05972637366085</v>
      </c>
      <c r="M10" s="3">
        <f t="shared" si="21"/>
        <v>7.7786549143788921</v>
      </c>
      <c r="N10" s="45"/>
      <c r="O10" s="3">
        <v>2735.2304417630698</v>
      </c>
      <c r="P10" s="3">
        <f t="shared" si="22"/>
        <v>273.76955823693015</v>
      </c>
      <c r="Q10" s="3">
        <f t="shared" si="23"/>
        <v>9.0983568706191473</v>
      </c>
      <c r="R10" s="45"/>
      <c r="S10" s="3">
        <v>2749.1657722668538</v>
      </c>
      <c r="T10" s="3">
        <f t="shared" si="24"/>
        <v>259.83422773314624</v>
      </c>
      <c r="U10" s="3">
        <f t="shared" si="25"/>
        <v>8.6352352187818635</v>
      </c>
      <c r="V10" s="45"/>
      <c r="W10" s="3">
        <v>2681.0823848430396</v>
      </c>
      <c r="X10" s="3">
        <f t="shared" si="26"/>
        <v>327.91761515696044</v>
      </c>
      <c r="Y10" s="3">
        <f t="shared" si="27"/>
        <v>10.897893491424409</v>
      </c>
      <c r="Z10" s="45"/>
      <c r="AA10" s="3">
        <v>2699.3387839787297</v>
      </c>
      <c r="AB10" s="3">
        <f t="shared" si="28"/>
        <v>309.66121602127032</v>
      </c>
      <c r="AC10" s="3">
        <f t="shared" si="29"/>
        <v>10.291167032943513</v>
      </c>
      <c r="AD10" s="45"/>
      <c r="AE10" s="3">
        <v>2784.4469797083202</v>
      </c>
      <c r="AF10" s="3">
        <f t="shared" si="30"/>
        <v>224.55302029167979</v>
      </c>
      <c r="AG10" s="3">
        <f t="shared" si="31"/>
        <v>7.4627125387730073</v>
      </c>
      <c r="AH10" s="45"/>
      <c r="AI10" s="3">
        <v>2788.6832072528705</v>
      </c>
      <c r="AJ10" s="3">
        <f t="shared" si="32"/>
        <v>220.31679274712951</v>
      </c>
      <c r="AK10" s="3">
        <f t="shared" si="33"/>
        <v>7.3219273096420583</v>
      </c>
    </row>
    <row r="11" spans="1:37" x14ac:dyDescent="0.2">
      <c r="A11" s="1"/>
      <c r="B11" s="1">
        <v>14294</v>
      </c>
      <c r="C11" s="6">
        <v>2003.2645777528442</v>
      </c>
      <c r="D11" s="45"/>
      <c r="E11" s="45"/>
      <c r="F11" s="1">
        <v>607</v>
      </c>
      <c r="G11" s="4">
        <v>649.26205554503588</v>
      </c>
      <c r="H11" s="5">
        <f t="shared" si="2"/>
        <v>-6.9624473715050872E-2</v>
      </c>
      <c r="I11" s="6">
        <v>655.09179941420734</v>
      </c>
      <c r="J11" s="5">
        <f t="shared" si="3"/>
        <v>7.3412305660384924E-2</v>
      </c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</row>
    <row r="12" spans="1:37" x14ac:dyDescent="0.2">
      <c r="A12" s="1">
        <v>40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</row>
    <row r="13" spans="1:37" x14ac:dyDescent="0.2">
      <c r="A13" s="1" t="s">
        <v>29</v>
      </c>
      <c r="B13" s="1">
        <v>4924</v>
      </c>
      <c r="C13" s="2">
        <v>4306.3729794144701</v>
      </c>
      <c r="D13" s="2">
        <f t="shared" ref="D13:D15" si="34">B13-C13</f>
        <v>617.62702058552986</v>
      </c>
      <c r="E13" s="3">
        <f t="shared" ref="E13:E15" si="35">D13/B13*100</f>
        <v>12.543197006204911</v>
      </c>
      <c r="F13" s="45"/>
      <c r="G13" s="45"/>
      <c r="H13" s="45"/>
      <c r="I13" s="45"/>
      <c r="J13" s="45"/>
      <c r="K13" s="2">
        <v>4307.3332445341284</v>
      </c>
      <c r="L13" s="2">
        <f t="shared" ref="L13:L15" si="36">B13-K13</f>
        <v>616.66675546587157</v>
      </c>
      <c r="M13" s="3">
        <f t="shared" ref="M13:M15" si="37">L13/B13*100</f>
        <v>12.523695277535978</v>
      </c>
      <c r="N13" s="45"/>
      <c r="O13" s="2">
        <v>4232.46078084279</v>
      </c>
      <c r="P13" s="2">
        <f t="shared" ref="P13:P15" si="38">B13-O13</f>
        <v>691.53921915721003</v>
      </c>
      <c r="Q13" s="3">
        <f t="shared" ref="Q13:Q15" si="39">P13/B13*100</f>
        <v>14.04425709092628</v>
      </c>
      <c r="R13" s="45"/>
      <c r="S13" s="2">
        <v>4258.2641335534563</v>
      </c>
      <c r="T13" s="2">
        <f t="shared" ref="T13:T15" si="40">B13-S13</f>
        <v>665.7358664465437</v>
      </c>
      <c r="U13" s="3">
        <f t="shared" ref="U13:U15" si="41">T13/B13*100</f>
        <v>13.520224745055721</v>
      </c>
      <c r="V13" s="45"/>
      <c r="W13" s="2">
        <v>4140.5297773833445</v>
      </c>
      <c r="X13" s="2">
        <f t="shared" ref="X13:X15" si="42">$B13-W13</f>
        <v>783.47022261665552</v>
      </c>
      <c r="Y13" s="3">
        <f t="shared" ref="Y13:Y15" si="43">X13/B13*100</f>
        <v>15.911255536487722</v>
      </c>
      <c r="Z13" s="45"/>
      <c r="AA13" s="2">
        <v>4167.8787777182897</v>
      </c>
      <c r="AB13" s="2">
        <f t="shared" ref="AB13:AB15" si="44">$B13-AA13</f>
        <v>756.12122228171029</v>
      </c>
      <c r="AC13" s="3">
        <f t="shared" ref="AC13:AC15" si="45">AB13/$B13*100</f>
        <v>15.355833108889325</v>
      </c>
      <c r="AD13" s="45"/>
      <c r="AE13" s="2">
        <v>4324.0543244905621</v>
      </c>
      <c r="AF13" s="2">
        <f t="shared" ref="AF13:AF15" si="46">$B13-AE13</f>
        <v>599.94567550943793</v>
      </c>
      <c r="AG13" s="3">
        <f t="shared" ref="AG13:AG15" si="47">AF13/$B13*100</f>
        <v>12.184112012783062</v>
      </c>
      <c r="AH13" s="45"/>
      <c r="AI13" s="2">
        <v>4332.7208026132612</v>
      </c>
      <c r="AJ13" s="2">
        <f t="shared" ref="AJ13:AJ15" si="48">$B13-AI13</f>
        <v>591.27919738673882</v>
      </c>
      <c r="AK13" s="3">
        <f t="shared" ref="AK13:AK15" si="49">AJ13/$B13*100</f>
        <v>12.008107176822477</v>
      </c>
    </row>
    <row r="14" spans="1:37" x14ac:dyDescent="0.2">
      <c r="A14" s="1" t="s">
        <v>30</v>
      </c>
      <c r="B14" s="1">
        <v>4148</v>
      </c>
      <c r="C14" s="3">
        <v>3720.6082399755173</v>
      </c>
      <c r="D14" s="3">
        <f t="shared" si="34"/>
        <v>427.39176002448266</v>
      </c>
      <c r="E14" s="3">
        <f t="shared" si="35"/>
        <v>10.303562199240179</v>
      </c>
      <c r="F14" s="45"/>
      <c r="G14" s="45"/>
      <c r="H14" s="45"/>
      <c r="I14" s="45"/>
      <c r="J14" s="45"/>
      <c r="K14" s="3">
        <v>3722.4279368952161</v>
      </c>
      <c r="L14" s="3">
        <f t="shared" si="36"/>
        <v>425.57206310478387</v>
      </c>
      <c r="M14" s="3">
        <f t="shared" si="37"/>
        <v>10.259692938881001</v>
      </c>
      <c r="N14" s="45"/>
      <c r="O14" s="3">
        <v>3666.5533650080379</v>
      </c>
      <c r="P14" s="3">
        <f t="shared" si="38"/>
        <v>481.44663499196213</v>
      </c>
      <c r="Q14" s="3">
        <f t="shared" si="39"/>
        <v>11.606717333460995</v>
      </c>
      <c r="R14" s="45"/>
      <c r="S14" s="3">
        <v>3685.5541935281749</v>
      </c>
      <c r="T14" s="3">
        <f t="shared" si="40"/>
        <v>462.44580647182511</v>
      </c>
      <c r="U14" s="3">
        <f t="shared" si="41"/>
        <v>11.148645286206005</v>
      </c>
      <c r="V14" s="45"/>
      <c r="W14" s="3">
        <v>3599.6900359969595</v>
      </c>
      <c r="X14" s="3">
        <f t="shared" si="42"/>
        <v>548.30996400304048</v>
      </c>
      <c r="Y14" s="3">
        <f t="shared" si="43"/>
        <v>13.218658727170695</v>
      </c>
      <c r="Z14" s="45"/>
      <c r="AA14" s="3">
        <v>3618.1860886148006</v>
      </c>
      <c r="AB14" s="3">
        <f t="shared" si="44"/>
        <v>529.81391138519939</v>
      </c>
      <c r="AC14" s="3">
        <f t="shared" si="45"/>
        <v>12.772755819315318</v>
      </c>
      <c r="AD14" s="45"/>
      <c r="AE14" s="3">
        <v>3734.1700017743656</v>
      </c>
      <c r="AF14" s="3">
        <f t="shared" si="46"/>
        <v>413.82999822563443</v>
      </c>
      <c r="AG14" s="3">
        <f t="shared" si="47"/>
        <v>9.9766151934820257</v>
      </c>
      <c r="AH14" s="45"/>
      <c r="AI14" s="3">
        <v>3741.1841951276024</v>
      </c>
      <c r="AJ14" s="3">
        <f t="shared" si="48"/>
        <v>406.81580487239762</v>
      </c>
      <c r="AK14" s="3">
        <f t="shared" si="49"/>
        <v>9.8075169930664821</v>
      </c>
    </row>
    <row r="15" spans="1:37" x14ac:dyDescent="0.2">
      <c r="A15" s="1" t="s">
        <v>31</v>
      </c>
      <c r="B15" s="1">
        <v>2679</v>
      </c>
      <c r="C15" s="3">
        <v>2429.1922993434332</v>
      </c>
      <c r="D15" s="3">
        <f t="shared" si="34"/>
        <v>249.80770065656679</v>
      </c>
      <c r="E15" s="3">
        <f t="shared" si="35"/>
        <v>9.3246622118912583</v>
      </c>
      <c r="F15" s="45"/>
      <c r="G15" s="45"/>
      <c r="H15" s="45"/>
      <c r="I15" s="45"/>
      <c r="J15" s="45"/>
      <c r="K15" s="3">
        <v>2430.0522074472037</v>
      </c>
      <c r="L15" s="3">
        <f t="shared" si="36"/>
        <v>248.94779255279627</v>
      </c>
      <c r="M15" s="3">
        <f t="shared" si="37"/>
        <v>9.2925641117131867</v>
      </c>
      <c r="N15" s="45"/>
      <c r="O15" s="3">
        <v>2390.6448953093145</v>
      </c>
      <c r="P15" s="3">
        <f t="shared" si="38"/>
        <v>288.35510469068549</v>
      </c>
      <c r="Q15" s="3">
        <f t="shared" si="39"/>
        <v>10.763535076173405</v>
      </c>
      <c r="R15" s="45"/>
      <c r="S15" s="3">
        <v>2404.143896690473</v>
      </c>
      <c r="T15" s="3">
        <f t="shared" si="40"/>
        <v>274.85610330952704</v>
      </c>
      <c r="U15" s="3">
        <f t="shared" si="41"/>
        <v>10.259652979079023</v>
      </c>
      <c r="V15" s="45"/>
      <c r="W15" s="3">
        <v>2342.8521203408304</v>
      </c>
      <c r="X15" s="3">
        <f t="shared" si="42"/>
        <v>336.14787965916958</v>
      </c>
      <c r="Y15" s="3">
        <f t="shared" si="43"/>
        <v>12.54751323849084</v>
      </c>
      <c r="Z15" s="45"/>
      <c r="AA15" s="3">
        <v>2356.624850556841</v>
      </c>
      <c r="AB15" s="3">
        <f t="shared" si="44"/>
        <v>322.37514944315899</v>
      </c>
      <c r="AC15" s="3">
        <f t="shared" si="45"/>
        <v>12.033413566373982</v>
      </c>
      <c r="AD15" s="45"/>
      <c r="AE15" s="3">
        <v>2438.6251430117809</v>
      </c>
      <c r="AF15" s="3">
        <f t="shared" si="46"/>
        <v>240.37485698821911</v>
      </c>
      <c r="AG15" s="3">
        <f t="shared" si="47"/>
        <v>8.9725590514452822</v>
      </c>
      <c r="AH15" s="45"/>
      <c r="AI15" s="3">
        <v>2443.3528772905465</v>
      </c>
      <c r="AJ15" s="3">
        <f t="shared" si="48"/>
        <v>235.64712270945347</v>
      </c>
      <c r="AK15" s="3">
        <f t="shared" si="49"/>
        <v>8.7960852075197256</v>
      </c>
    </row>
    <row r="16" spans="1:37" x14ac:dyDescent="0.2">
      <c r="A16" s="1"/>
      <c r="B16" s="1">
        <v>13421</v>
      </c>
      <c r="C16" s="6">
        <v>1852.2356329523675</v>
      </c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</row>
    <row r="17" spans="1:37" x14ac:dyDescent="0.2">
      <c r="A17" s="1">
        <v>45</v>
      </c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</row>
    <row r="18" spans="1:37" x14ac:dyDescent="0.2">
      <c r="A18" s="1" t="s">
        <v>29</v>
      </c>
      <c r="B18" s="1">
        <v>4218</v>
      </c>
      <c r="C18" s="2">
        <v>3613.6829869098283</v>
      </c>
      <c r="D18" s="2">
        <f t="shared" ref="D18:D20" si="50">B18-C18</f>
        <v>604.31701309017171</v>
      </c>
      <c r="E18" s="3">
        <f t="shared" ref="E18:E20" si="51">D18/B18*100</f>
        <v>14.327098461123084</v>
      </c>
      <c r="F18" s="45"/>
      <c r="G18" s="45"/>
      <c r="H18" s="45"/>
      <c r="I18" s="45"/>
      <c r="J18" s="45"/>
      <c r="K18" s="2">
        <v>3613.0325723936808</v>
      </c>
      <c r="L18" s="2">
        <f t="shared" ref="L18:L20" si="52">B18-K18</f>
        <v>604.96742760631923</v>
      </c>
      <c r="M18" s="3">
        <f t="shared" ref="M18:M20" si="53">L18/B18*100</f>
        <v>14.342518435427198</v>
      </c>
      <c r="N18" s="45"/>
      <c r="O18" s="2">
        <v>3542.6482195077442</v>
      </c>
      <c r="P18" s="2">
        <f t="shared" ref="P18:P20" si="54">B18-O18</f>
        <v>675.35178049225578</v>
      </c>
      <c r="Q18" s="3">
        <f t="shared" ref="Q18:Q20" si="55">P18/B18*100</f>
        <v>16.01118493343423</v>
      </c>
      <c r="R18" s="45"/>
      <c r="S18" s="2">
        <v>3566.9149240165648</v>
      </c>
      <c r="T18" s="2">
        <f t="shared" ref="T18:T20" si="56">B18-S18</f>
        <v>651.08507598343522</v>
      </c>
      <c r="U18" s="3">
        <f t="shared" ref="U18:U20" si="57">T18/B18*100</f>
        <v>15.435871882016009</v>
      </c>
      <c r="V18" s="45"/>
      <c r="W18" s="2">
        <v>3459.457359262407</v>
      </c>
      <c r="X18" s="2">
        <f t="shared" ref="X18:X20" si="58">$B18-W18</f>
        <v>758.54264073759305</v>
      </c>
      <c r="Y18" s="3">
        <f t="shared" ref="Y18:Y20" si="59">X18/B18*100</f>
        <v>17.983467063480159</v>
      </c>
      <c r="Z18" s="45"/>
      <c r="AA18" s="2">
        <v>3486.0935331186438</v>
      </c>
      <c r="AB18" s="2">
        <f t="shared" ref="AB18:AB20" si="60">$B18-AA18</f>
        <v>731.90646688135621</v>
      </c>
      <c r="AC18" s="3">
        <f t="shared" ref="AC18:AC20" si="61">AB18/$B18*100</f>
        <v>17.351978826016033</v>
      </c>
      <c r="AD18" s="45"/>
      <c r="AE18" s="2">
        <v>3631.3711634885904</v>
      </c>
      <c r="AF18" s="2">
        <f t="shared" ref="AF18:AF20" si="62">$B18-AE18</f>
        <v>586.62883651140965</v>
      </c>
      <c r="AG18" s="3">
        <f t="shared" ref="AG18:AG20" si="63">AF18/$B18*100</f>
        <v>13.907748613357271</v>
      </c>
      <c r="AH18" s="45"/>
      <c r="AI18" s="2">
        <v>3636.5545322769844</v>
      </c>
      <c r="AJ18" s="2">
        <f t="shared" ref="AJ18:AJ20" si="64">$B18-AI18</f>
        <v>581.44546772301555</v>
      </c>
      <c r="AK18" s="3">
        <f t="shared" ref="AK18:AK20" si="65">AJ18/$B18*100</f>
        <v>13.784861728852906</v>
      </c>
    </row>
    <row r="19" spans="1:37" x14ac:dyDescent="0.2">
      <c r="A19" s="1" t="s">
        <v>30</v>
      </c>
      <c r="B19" s="1">
        <v>3649</v>
      </c>
      <c r="C19" s="3">
        <v>3222.1527303895714</v>
      </c>
      <c r="D19" s="3">
        <f t="shared" si="50"/>
        <v>426.84726961042861</v>
      </c>
      <c r="E19" s="3">
        <f t="shared" si="51"/>
        <v>11.697650578526407</v>
      </c>
      <c r="F19" s="45"/>
      <c r="G19" s="45"/>
      <c r="H19" s="45"/>
      <c r="I19" s="45"/>
      <c r="J19" s="45"/>
      <c r="K19" s="3">
        <v>3222.901465385205</v>
      </c>
      <c r="L19" s="3">
        <f t="shared" si="52"/>
        <v>426.09853461479497</v>
      </c>
      <c r="M19" s="3">
        <f t="shared" si="53"/>
        <v>11.67713166935585</v>
      </c>
      <c r="N19" s="45"/>
      <c r="O19" s="3">
        <v>3168.0476070758245</v>
      </c>
      <c r="P19" s="3">
        <f t="shared" si="54"/>
        <v>480.95239292417546</v>
      </c>
      <c r="Q19" s="3">
        <f t="shared" si="55"/>
        <v>13.180388953800367</v>
      </c>
      <c r="R19" s="45"/>
      <c r="S19" s="3">
        <v>3186.5596345155936</v>
      </c>
      <c r="T19" s="3">
        <f t="shared" si="56"/>
        <v>462.44036548440636</v>
      </c>
      <c r="U19" s="3">
        <f t="shared" si="57"/>
        <v>12.673071128649118</v>
      </c>
      <c r="V19" s="45"/>
      <c r="W19" s="3">
        <v>3106.4941973408559</v>
      </c>
      <c r="X19" s="3">
        <f t="shared" si="58"/>
        <v>542.50580265914414</v>
      </c>
      <c r="Y19" s="3">
        <f t="shared" si="59"/>
        <v>14.867245893646045</v>
      </c>
      <c r="Z19" s="45"/>
      <c r="AA19" s="3">
        <v>3124.3995936653832</v>
      </c>
      <c r="AB19" s="3">
        <f t="shared" si="60"/>
        <v>524.60040633461676</v>
      </c>
      <c r="AC19" s="3">
        <f t="shared" si="61"/>
        <v>14.376552653730249</v>
      </c>
      <c r="AD19" s="45"/>
      <c r="AE19" s="3">
        <v>3236.4805954791759</v>
      </c>
      <c r="AF19" s="3">
        <f t="shared" si="62"/>
        <v>412.51940452082408</v>
      </c>
      <c r="AG19" s="3">
        <f t="shared" si="63"/>
        <v>11.304998753653715</v>
      </c>
      <c r="AH19" s="45"/>
      <c r="AI19" s="3">
        <v>3240.8856097271728</v>
      </c>
      <c r="AJ19" s="3">
        <f t="shared" si="64"/>
        <v>408.11439027282722</v>
      </c>
      <c r="AK19" s="3">
        <f t="shared" si="65"/>
        <v>11.184280358257803</v>
      </c>
    </row>
    <row r="20" spans="1:37" x14ac:dyDescent="0.2">
      <c r="A20" s="1" t="s">
        <v>31</v>
      </c>
      <c r="B20" s="1">
        <v>2338</v>
      </c>
      <c r="C20" s="3">
        <v>2071.0330278308338</v>
      </c>
      <c r="D20" s="3">
        <f t="shared" si="50"/>
        <v>266.96697216916618</v>
      </c>
      <c r="E20" s="3">
        <f t="shared" si="51"/>
        <v>11.418604455481873</v>
      </c>
      <c r="F20" s="45"/>
      <c r="G20" s="45"/>
      <c r="H20" s="45"/>
      <c r="I20" s="45"/>
      <c r="J20" s="45"/>
      <c r="K20" s="3">
        <v>2071.0898267364223</v>
      </c>
      <c r="L20" s="3">
        <f t="shared" si="52"/>
        <v>266.91017326357769</v>
      </c>
      <c r="M20" s="3">
        <f t="shared" si="53"/>
        <v>11.416175075431038</v>
      </c>
      <c r="N20" s="45"/>
      <c r="O20" s="3">
        <v>2033.2888165849356</v>
      </c>
      <c r="P20" s="3">
        <f t="shared" si="54"/>
        <v>304.7111834150644</v>
      </c>
      <c r="Q20" s="3">
        <f t="shared" si="55"/>
        <v>13.03298474829189</v>
      </c>
      <c r="R20" s="45"/>
      <c r="S20" s="3">
        <v>2046.1930674015541</v>
      </c>
      <c r="T20" s="3">
        <f t="shared" si="56"/>
        <v>291.80693259844588</v>
      </c>
      <c r="U20" s="3">
        <f t="shared" si="57"/>
        <v>12.481049298479293</v>
      </c>
      <c r="V20" s="45"/>
      <c r="W20" s="3">
        <v>1989.7019790004542</v>
      </c>
      <c r="X20" s="3">
        <f t="shared" si="58"/>
        <v>348.29802099954577</v>
      </c>
      <c r="Y20" s="3">
        <f t="shared" si="59"/>
        <v>14.897263515806063</v>
      </c>
      <c r="Z20" s="45"/>
      <c r="AA20" s="3">
        <v>2003.0803838368631</v>
      </c>
      <c r="AB20" s="3">
        <f t="shared" si="60"/>
        <v>334.91961616313688</v>
      </c>
      <c r="AC20" s="3">
        <f t="shared" si="61"/>
        <v>14.325047740082844</v>
      </c>
      <c r="AD20" s="45"/>
      <c r="AE20" s="3">
        <v>2080.7179667819078</v>
      </c>
      <c r="AF20" s="3">
        <f t="shared" si="62"/>
        <v>257.28203321809224</v>
      </c>
      <c r="AG20" s="3">
        <f t="shared" si="63"/>
        <v>11.004364123956041</v>
      </c>
      <c r="AH20" s="45"/>
      <c r="AI20" s="3">
        <v>2083.610389338548</v>
      </c>
      <c r="AJ20" s="3">
        <f t="shared" si="64"/>
        <v>254.38961066145202</v>
      </c>
      <c r="AK20" s="3">
        <f t="shared" si="65"/>
        <v>10.880650584322158</v>
      </c>
    </row>
    <row r="21" spans="1:37" x14ac:dyDescent="0.2">
      <c r="A21" s="1"/>
      <c r="B21" s="1">
        <v>12359</v>
      </c>
      <c r="C21" s="6">
        <v>1677.9011040118687</v>
      </c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</row>
    <row r="22" spans="1:37" x14ac:dyDescent="0.2">
      <c r="A22" s="1">
        <v>50</v>
      </c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</row>
    <row r="23" spans="1:37" x14ac:dyDescent="0.2">
      <c r="A23" s="1" t="s">
        <v>29</v>
      </c>
      <c r="B23" s="1">
        <v>3505</v>
      </c>
      <c r="C23" s="2">
        <v>2928.4670521659882</v>
      </c>
      <c r="D23" s="2">
        <f t="shared" ref="D23:D25" si="66">B23-C23</f>
        <v>576.53294783401179</v>
      </c>
      <c r="E23" s="3">
        <f t="shared" ref="E23:E25" si="67">D23/B23*100</f>
        <v>16.448871550185785</v>
      </c>
      <c r="F23" s="45"/>
      <c r="G23" s="45"/>
      <c r="H23" s="45"/>
      <c r="I23" s="45"/>
      <c r="J23" s="45"/>
      <c r="K23" s="2">
        <v>2926.1052717220555</v>
      </c>
      <c r="L23" s="2">
        <f t="shared" ref="L23:L25" si="68">B23-K23</f>
        <v>578.89472827794452</v>
      </c>
      <c r="M23" s="3">
        <f t="shared" ref="M23:M25" si="69">L23/B23*100</f>
        <v>16.516254729755904</v>
      </c>
      <c r="N23" s="45"/>
      <c r="O23" s="2">
        <v>2864.9927016816619</v>
      </c>
      <c r="P23" s="2">
        <f t="shared" ref="P23:P25" si="70">B23-O23</f>
        <v>640.00729831833814</v>
      </c>
      <c r="Q23" s="3">
        <f t="shared" ref="Q23:Q25" si="71">P23/B23*100</f>
        <v>18.259837327199378</v>
      </c>
      <c r="R23" s="45"/>
      <c r="S23" s="2">
        <v>2886.0219259417445</v>
      </c>
      <c r="T23" s="2">
        <f t="shared" ref="T23:T25" si="72">B23-S23</f>
        <v>618.97807405825552</v>
      </c>
      <c r="U23" s="3">
        <f t="shared" ref="U23:U25" si="73">T23/B23*100</f>
        <v>17.65985945957933</v>
      </c>
      <c r="V23" s="45"/>
      <c r="W23" s="7">
        <v>2792.6756891646501</v>
      </c>
      <c r="X23" s="2">
        <f t="shared" ref="X23:X25" si="74">$B23-W23</f>
        <v>712.32431083534993</v>
      </c>
      <c r="Y23" s="3">
        <f t="shared" ref="Y23:Y25" si="75">X23/B23*100</f>
        <v>20.323090180751784</v>
      </c>
      <c r="Z23" s="45"/>
      <c r="AA23" s="2">
        <v>2820.7453316042361</v>
      </c>
      <c r="AB23" s="2">
        <f t="shared" ref="AB23:AB25" si="76">$B23-AA23</f>
        <v>684.25466839576393</v>
      </c>
      <c r="AC23" s="3">
        <f t="shared" ref="AC23:AC25" si="77">AB23/$B23*100</f>
        <v>19.522244462076006</v>
      </c>
      <c r="AD23" s="45"/>
      <c r="AE23" s="2">
        <v>2944.984770098536</v>
      </c>
      <c r="AF23" s="2">
        <f t="shared" ref="AF23:AF25" si="78">$B23-AE23</f>
        <v>560.01522990146395</v>
      </c>
      <c r="AG23" s="3">
        <f t="shared" ref="AG23:AG25" si="79">AF23/$B23*100</f>
        <v>15.977609982923365</v>
      </c>
      <c r="AH23" s="45"/>
      <c r="AI23" s="2">
        <v>2946.3548921004253</v>
      </c>
      <c r="AJ23" s="2">
        <f t="shared" ref="AJ23:AJ25" si="80">$B23-AI23</f>
        <v>558.64510789957467</v>
      </c>
      <c r="AK23" s="3">
        <f t="shared" ref="AK23:AK25" si="81">AJ23/$B23*100</f>
        <v>15.938519483582731</v>
      </c>
    </row>
    <row r="24" spans="1:37" x14ac:dyDescent="0.2">
      <c r="A24" s="1" t="s">
        <v>30</v>
      </c>
      <c r="B24" s="1">
        <v>3126</v>
      </c>
      <c r="C24" s="3">
        <v>2712.7968486307714</v>
      </c>
      <c r="D24" s="3">
        <f t="shared" si="66"/>
        <v>413.20315136922864</v>
      </c>
      <c r="E24" s="3">
        <f t="shared" si="67"/>
        <v>13.218270997096246</v>
      </c>
      <c r="F24" s="45"/>
      <c r="G24" s="45"/>
      <c r="H24" s="45"/>
      <c r="I24" s="45"/>
      <c r="J24" s="45"/>
      <c r="K24" s="3">
        <v>2712.2549303443698</v>
      </c>
      <c r="L24" s="3">
        <f t="shared" si="68"/>
        <v>413.74506965563023</v>
      </c>
      <c r="M24" s="3">
        <f t="shared" si="69"/>
        <v>13.235606834793035</v>
      </c>
      <c r="N24" s="45"/>
      <c r="O24" s="3">
        <v>2662.1220307290741</v>
      </c>
      <c r="P24" s="3">
        <f t="shared" si="70"/>
        <v>463.87796927092586</v>
      </c>
      <c r="Q24" s="3">
        <f t="shared" si="71"/>
        <v>14.839346425813368</v>
      </c>
      <c r="R24" s="45"/>
      <c r="S24" s="3">
        <v>2678.7104478358497</v>
      </c>
      <c r="T24" s="3">
        <f t="shared" si="72"/>
        <v>447.28955216415034</v>
      </c>
      <c r="U24" s="3">
        <f t="shared" si="73"/>
        <v>14.308686889448188</v>
      </c>
      <c r="V24" s="45"/>
      <c r="W24" s="8">
        <v>2608.1479290577513</v>
      </c>
      <c r="X24" s="3">
        <f t="shared" si="74"/>
        <v>517.8520709422487</v>
      </c>
      <c r="Y24" s="3">
        <f t="shared" si="75"/>
        <v>16.56596516130034</v>
      </c>
      <c r="Z24" s="45"/>
      <c r="AA24" s="3">
        <v>2627.3865800323324</v>
      </c>
      <c r="AB24" s="3">
        <f t="shared" si="76"/>
        <v>498.6134199676676</v>
      </c>
      <c r="AC24" s="3">
        <f t="shared" si="77"/>
        <v>15.950525270878682</v>
      </c>
      <c r="AD24" s="45"/>
      <c r="AE24" s="3">
        <v>2727.0927902844587</v>
      </c>
      <c r="AF24" s="3">
        <f t="shared" si="78"/>
        <v>398.90720971554128</v>
      </c>
      <c r="AG24" s="3">
        <f t="shared" si="79"/>
        <v>12.76094720779083</v>
      </c>
      <c r="AH24" s="45"/>
      <c r="AI24" s="3">
        <v>2728.2823241015012</v>
      </c>
      <c r="AJ24" s="3">
        <f t="shared" si="80"/>
        <v>397.71767589849878</v>
      </c>
      <c r="AK24" s="3">
        <f t="shared" si="81"/>
        <v>12.722894302575135</v>
      </c>
    </row>
    <row r="25" spans="1:37" x14ac:dyDescent="0.2">
      <c r="A25" s="1" t="s">
        <v>31</v>
      </c>
      <c r="B25" s="1">
        <v>1974</v>
      </c>
      <c r="C25" s="3">
        <v>1711.5231414724919</v>
      </c>
      <c r="D25" s="3">
        <f t="shared" si="66"/>
        <v>262.47685852750806</v>
      </c>
      <c r="E25" s="3">
        <f t="shared" si="67"/>
        <v>13.296700026722799</v>
      </c>
      <c r="F25" s="45"/>
      <c r="G25" s="45"/>
      <c r="H25" s="45"/>
      <c r="I25" s="45"/>
      <c r="J25" s="45"/>
      <c r="K25" s="3">
        <v>1710.6778543062405</v>
      </c>
      <c r="L25" s="3">
        <f t="shared" si="68"/>
        <v>263.32214569375947</v>
      </c>
      <c r="M25" s="3">
        <f t="shared" si="69"/>
        <v>13.339521058447795</v>
      </c>
      <c r="N25" s="45"/>
      <c r="O25" s="3">
        <v>1677.0379002861901</v>
      </c>
      <c r="P25" s="3">
        <f t="shared" si="70"/>
        <v>296.96209971380995</v>
      </c>
      <c r="Q25" s="3">
        <f t="shared" si="71"/>
        <v>15.043672731196045</v>
      </c>
      <c r="R25" s="45"/>
      <c r="S25" s="3">
        <v>1688.3992428801675</v>
      </c>
      <c r="T25" s="3">
        <f t="shared" si="72"/>
        <v>285.60075711983245</v>
      </c>
      <c r="U25" s="3">
        <f t="shared" si="73"/>
        <v>14.468123460984419</v>
      </c>
      <c r="V25" s="45"/>
      <c r="W25" s="9">
        <v>1639.0039144084315</v>
      </c>
      <c r="X25" s="3">
        <f t="shared" si="74"/>
        <v>334.99608559156854</v>
      </c>
      <c r="Y25" s="3">
        <f t="shared" si="75"/>
        <v>16.970419736148358</v>
      </c>
      <c r="Z25" s="45"/>
      <c r="AA25" s="3">
        <v>1653.2174053004039</v>
      </c>
      <c r="AB25" s="3">
        <f t="shared" si="76"/>
        <v>320.78259469959607</v>
      </c>
      <c r="AC25" s="3">
        <f t="shared" si="77"/>
        <v>16.250384736555016</v>
      </c>
      <c r="AD25" s="45"/>
      <c r="AE25" s="3">
        <v>1720.8675783742008</v>
      </c>
      <c r="AF25" s="3">
        <f t="shared" si="78"/>
        <v>253.13242162579922</v>
      </c>
      <c r="AG25" s="3">
        <f t="shared" si="79"/>
        <v>12.823324297152949</v>
      </c>
      <c r="AH25" s="45"/>
      <c r="AI25" s="3">
        <v>1721.6347921113575</v>
      </c>
      <c r="AJ25" s="3">
        <f t="shared" si="80"/>
        <v>252.36520788864254</v>
      </c>
      <c r="AK25" s="3">
        <f t="shared" si="81"/>
        <v>12.784458353021405</v>
      </c>
    </row>
    <row r="26" spans="1:37" x14ac:dyDescent="0.2">
      <c r="A26" s="1"/>
      <c r="B26" s="1">
        <v>11129</v>
      </c>
      <c r="C26" s="6">
        <v>1486.0858156874874</v>
      </c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</row>
    <row r="27" spans="1:37" x14ac:dyDescent="0.2">
      <c r="A27" s="1">
        <v>55</v>
      </c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</row>
    <row r="28" spans="1:37" x14ac:dyDescent="0.2">
      <c r="A28" s="1" t="s">
        <v>29</v>
      </c>
      <c r="B28" s="1">
        <v>2743</v>
      </c>
      <c r="C28" s="2">
        <v>2281.718821636744</v>
      </c>
      <c r="D28" s="2">
        <f t="shared" ref="D28:D30" si="82">B28-C28</f>
        <v>461.281178363256</v>
      </c>
      <c r="E28" s="3">
        <f t="shared" ref="E28:E30" si="83">D28/B28*100</f>
        <v>16.816667093082611</v>
      </c>
      <c r="F28" s="45"/>
      <c r="G28" s="45"/>
      <c r="H28" s="45"/>
      <c r="I28" s="45"/>
      <c r="J28" s="45"/>
      <c r="K28" s="2">
        <v>2277.7205939307541</v>
      </c>
      <c r="L28" s="2">
        <f t="shared" ref="L28:L30" si="84">B28-K28</f>
        <v>465.27940606924585</v>
      </c>
      <c r="M28" s="3">
        <f t="shared" ref="M28:M30" si="85">L28/B28*100</f>
        <v>16.962428219804806</v>
      </c>
      <c r="N28" s="45"/>
      <c r="O28" s="2">
        <v>2234.5628146409545</v>
      </c>
      <c r="P28" s="2">
        <f t="shared" ref="P28:P30" si="86">B28-O28</f>
        <v>508.43718535904554</v>
      </c>
      <c r="Q28" s="3">
        <f t="shared" ref="Q28:Q30" si="87">P28/B28*100</f>
        <v>18.535806976268521</v>
      </c>
      <c r="R28" s="45"/>
      <c r="S28" s="2">
        <v>2253.1138967880397</v>
      </c>
      <c r="T28" s="2">
        <f t="shared" ref="T28:T30" si="88">B28-S28</f>
        <v>489.88610321196029</v>
      </c>
      <c r="U28" s="3">
        <f t="shared" ref="U28:U30" si="89">T28/B28*100</f>
        <v>17.859500663943141</v>
      </c>
      <c r="V28" s="45"/>
      <c r="W28" s="2">
        <v>2156.5453856788567</v>
      </c>
      <c r="X28" s="2">
        <f t="shared" ref="X28:X30" si="90">$B28-W28</f>
        <v>586.45461432114325</v>
      </c>
      <c r="Y28" s="3">
        <f t="shared" ref="Y28:Y30" si="91">X28/B28*100</f>
        <v>21.380044269819294</v>
      </c>
      <c r="Z28" s="45"/>
      <c r="AA28" s="2">
        <v>2193.1211041756319</v>
      </c>
      <c r="AB28" s="2">
        <f t="shared" ref="AB28:AB30" si="92">$B28-AA28</f>
        <v>549.8788958243681</v>
      </c>
      <c r="AC28" s="3">
        <f t="shared" ref="AC28:AC30" si="93">AB28/$B28*100</f>
        <v>20.046623981931027</v>
      </c>
      <c r="AD28" s="45"/>
      <c r="AE28" s="2">
        <v>2296.2232629177593</v>
      </c>
      <c r="AF28" s="2">
        <f t="shared" ref="AF28:AF30" si="94">$B28-AE28</f>
        <v>446.77673708224074</v>
      </c>
      <c r="AG28" s="3">
        <f t="shared" ref="AG28:AG30" si="95">AF28/$B28*100</f>
        <v>16.287886878681761</v>
      </c>
      <c r="AH28" s="45"/>
      <c r="AI28" s="2">
        <v>2295.1742265525318</v>
      </c>
      <c r="AJ28" s="2">
        <f t="shared" ref="AJ28:AJ30" si="96">$B28-AI28</f>
        <v>447.82577344746824</v>
      </c>
      <c r="AK28" s="3">
        <f t="shared" ref="AK28:AK30" si="97">AJ28/$B28*100</f>
        <v>16.326131004282473</v>
      </c>
    </row>
    <row r="29" spans="1:37" x14ac:dyDescent="0.2">
      <c r="A29" s="1" t="s">
        <v>30</v>
      </c>
      <c r="B29" s="1">
        <v>2594</v>
      </c>
      <c r="C29" s="3">
        <v>2215.589829514674</v>
      </c>
      <c r="D29" s="3">
        <f t="shared" si="82"/>
        <v>378.41017048532603</v>
      </c>
      <c r="E29" s="3">
        <f t="shared" si="83"/>
        <v>14.587901714931611</v>
      </c>
      <c r="F29" s="45"/>
      <c r="G29" s="45"/>
      <c r="H29" s="45"/>
      <c r="I29" s="45"/>
      <c r="J29" s="45"/>
      <c r="K29" s="3">
        <v>2213.6257884371321</v>
      </c>
      <c r="L29" s="3">
        <f t="shared" si="84"/>
        <v>380.37421156286791</v>
      </c>
      <c r="M29" s="3">
        <f t="shared" si="85"/>
        <v>14.663616482762833</v>
      </c>
      <c r="N29" s="45"/>
      <c r="O29" s="3">
        <v>2176.7060536161075</v>
      </c>
      <c r="P29" s="3">
        <f t="shared" si="86"/>
        <v>417.29394638389249</v>
      </c>
      <c r="Q29" s="3">
        <f t="shared" si="87"/>
        <v>16.086890762678969</v>
      </c>
      <c r="R29" s="45"/>
      <c r="S29" s="3">
        <v>2192.1843655850885</v>
      </c>
      <c r="T29" s="3">
        <f t="shared" si="88"/>
        <v>401.81563441491153</v>
      </c>
      <c r="U29" s="3">
        <f t="shared" si="89"/>
        <v>15.49019407921787</v>
      </c>
      <c r="V29" s="45"/>
      <c r="W29" s="3">
        <v>2113.5750129504504</v>
      </c>
      <c r="X29" s="3">
        <f t="shared" si="90"/>
        <v>480.4249870495496</v>
      </c>
      <c r="Y29" s="3">
        <f t="shared" si="91"/>
        <v>18.520624018872383</v>
      </c>
      <c r="Z29" s="45"/>
      <c r="AA29" s="3">
        <v>2141.8131853725085</v>
      </c>
      <c r="AB29" s="3">
        <f t="shared" si="92"/>
        <v>452.18681462749146</v>
      </c>
      <c r="AC29" s="3">
        <f t="shared" si="93"/>
        <v>17.43202832025796</v>
      </c>
      <c r="AD29" s="45"/>
      <c r="AE29" s="3">
        <v>2229.3997101806876</v>
      </c>
      <c r="AF29" s="3">
        <f t="shared" si="94"/>
        <v>364.60028981931237</v>
      </c>
      <c r="AG29" s="3">
        <f t="shared" si="95"/>
        <v>14.055523894345118</v>
      </c>
      <c r="AH29" s="45"/>
      <c r="AI29" s="3">
        <v>2228.2148433297989</v>
      </c>
      <c r="AJ29" s="3">
        <f t="shared" si="96"/>
        <v>365.7851566702011</v>
      </c>
      <c r="AK29" s="3">
        <f t="shared" si="97"/>
        <v>14.101201105250622</v>
      </c>
    </row>
    <row r="30" spans="1:37" x14ac:dyDescent="0.2">
      <c r="A30" s="1" t="s">
        <v>31</v>
      </c>
      <c r="B30" s="1">
        <v>1604</v>
      </c>
      <c r="C30" s="3">
        <v>1366.9281032884692</v>
      </c>
      <c r="D30" s="3">
        <f t="shared" si="82"/>
        <v>237.07189671153083</v>
      </c>
      <c r="E30" s="3">
        <f t="shared" si="83"/>
        <v>14.780043435880973</v>
      </c>
      <c r="F30" s="45"/>
      <c r="G30" s="45"/>
      <c r="H30" s="45"/>
      <c r="I30" s="45"/>
      <c r="J30" s="45"/>
      <c r="K30" s="3">
        <v>1365.1601792906788</v>
      </c>
      <c r="L30" s="3">
        <f t="shared" si="84"/>
        <v>238.8398207093212</v>
      </c>
      <c r="M30" s="3">
        <f t="shared" si="85"/>
        <v>14.890263136491347</v>
      </c>
      <c r="N30" s="45"/>
      <c r="O30" s="3">
        <v>1340.8975791298631</v>
      </c>
      <c r="P30" s="3">
        <f t="shared" si="86"/>
        <v>263.10242087013694</v>
      </c>
      <c r="Q30" s="3">
        <f t="shared" si="87"/>
        <v>16.402894069210532</v>
      </c>
      <c r="R30" s="45"/>
      <c r="S30" s="3">
        <v>1351.1960098942702</v>
      </c>
      <c r="T30" s="3">
        <f t="shared" si="88"/>
        <v>252.80399010572978</v>
      </c>
      <c r="U30" s="3">
        <f t="shared" si="89"/>
        <v>15.760847263449488</v>
      </c>
      <c r="V30" s="45"/>
      <c r="W30" s="3">
        <v>1298.2882599358845</v>
      </c>
      <c r="X30" s="3">
        <f t="shared" si="90"/>
        <v>305.71174006411547</v>
      </c>
      <c r="Y30" s="3">
        <f t="shared" si="91"/>
        <v>19.059335415468546</v>
      </c>
      <c r="Z30" s="45"/>
      <c r="AA30" s="3">
        <v>1317.8260915362409</v>
      </c>
      <c r="AB30" s="3">
        <f t="shared" si="92"/>
        <v>286.17390846375906</v>
      </c>
      <c r="AC30" s="3">
        <f t="shared" si="93"/>
        <v>17.841266113700691</v>
      </c>
      <c r="AD30" s="45"/>
      <c r="AE30" s="3">
        <v>1375.5486458234002</v>
      </c>
      <c r="AF30" s="3">
        <f t="shared" si="94"/>
        <v>228.45135417659981</v>
      </c>
      <c r="AG30" s="3">
        <f t="shared" si="95"/>
        <v>14.242603128216945</v>
      </c>
      <c r="AH30" s="45"/>
      <c r="AI30" s="3">
        <v>1374.8573916669577</v>
      </c>
      <c r="AJ30" s="3">
        <f t="shared" si="96"/>
        <v>229.14260833304229</v>
      </c>
      <c r="AK30" s="3">
        <f t="shared" si="97"/>
        <v>14.285698773880442</v>
      </c>
    </row>
    <row r="31" spans="1:37" x14ac:dyDescent="0.2">
      <c r="A31" s="1"/>
      <c r="B31" s="1">
        <v>1248</v>
      </c>
      <c r="C31" s="6">
        <v>1281.3269033652723</v>
      </c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</row>
    <row r="32" spans="1:37" x14ac:dyDescent="0.2">
      <c r="A32" s="1">
        <v>60</v>
      </c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</row>
    <row r="33" spans="1:37" x14ac:dyDescent="0.2">
      <c r="A33" s="1" t="s">
        <v>29</v>
      </c>
      <c r="B33" s="1">
        <v>2078</v>
      </c>
      <c r="C33" s="2">
        <v>1690.2503414549533</v>
      </c>
      <c r="D33" s="2">
        <f t="shared" ref="D33:D35" si="98">B33-C33</f>
        <v>387.74965854504671</v>
      </c>
      <c r="E33" s="3">
        <f t="shared" ref="E33:E35" si="99">D33/B33*100</f>
        <v>18.659752576758745</v>
      </c>
      <c r="F33" s="45"/>
      <c r="G33" s="45"/>
      <c r="H33" s="45"/>
      <c r="I33" s="45"/>
      <c r="J33" s="45"/>
      <c r="K33" s="2">
        <v>1684.9115031624922</v>
      </c>
      <c r="L33" s="2">
        <f t="shared" ref="L33:L35" si="100">B33-K33</f>
        <v>393.08849683750782</v>
      </c>
      <c r="M33" s="3">
        <f t="shared" ref="M33:M35" si="101">L33/B33*100</f>
        <v>18.916674535009999</v>
      </c>
      <c r="N33" s="45"/>
      <c r="O33" s="2">
        <v>1657.4426556189653</v>
      </c>
      <c r="P33" s="2">
        <f t="shared" ref="P33:P35" si="102">B33-O33</f>
        <v>420.55734438103468</v>
      </c>
      <c r="Q33" s="3">
        <f t="shared" ref="Q33:Q35" si="103">P33/B33*100</f>
        <v>20.238563252215336</v>
      </c>
      <c r="R33" s="45"/>
      <c r="S33" s="2">
        <v>1671.2587892702963</v>
      </c>
      <c r="T33" s="2">
        <f t="shared" ref="T33:T35" si="104">B33-S33</f>
        <v>406.74121072970365</v>
      </c>
      <c r="U33" s="3">
        <f t="shared" ref="U33:U35" si="105">T33/B33*100</f>
        <v>19.573686753113748</v>
      </c>
      <c r="V33" s="45"/>
      <c r="W33" s="2">
        <v>1583.1226007318382</v>
      </c>
      <c r="X33" s="2">
        <f t="shared" ref="X33:X35" si="106">$B33-W33</f>
        <v>494.87739926816175</v>
      </c>
      <c r="Y33" s="3">
        <f t="shared" ref="Y33:Y35" si="107">X33/B33*100</f>
        <v>23.815081774213752</v>
      </c>
      <c r="Z33" s="45"/>
      <c r="AA33" s="2">
        <v>1626.1757922368945</v>
      </c>
      <c r="AB33" s="2">
        <f t="shared" ref="AB33:AB35" si="108">$B33-AA33</f>
        <v>451.82420776310551</v>
      </c>
      <c r="AC33" s="3">
        <f t="shared" ref="AC33:AC35" si="109">AB33/$B33*100</f>
        <v>21.743224627675914</v>
      </c>
      <c r="AD33" s="45"/>
      <c r="AE33" s="2">
        <v>1695.9904185983723</v>
      </c>
      <c r="AF33" s="2">
        <f t="shared" ref="AF33:AF35" si="110">$B33-AE33</f>
        <v>382.00958140162766</v>
      </c>
      <c r="AG33" s="3">
        <f t="shared" ref="AG33:AG35" si="111">AF33/$B33*100</f>
        <v>18.383521722888723</v>
      </c>
      <c r="AH33" s="45"/>
      <c r="AI33" s="2">
        <v>1697.6875352462057</v>
      </c>
      <c r="AJ33" s="2">
        <f t="shared" ref="AJ33:AJ35" si="112">$B33-AI33</f>
        <v>380.3124647537943</v>
      </c>
      <c r="AK33" s="3">
        <f t="shared" ref="AK33:AK35" si="113">AJ33/$B33*100</f>
        <v>18.301851046862094</v>
      </c>
    </row>
    <row r="34" spans="1:37" x14ac:dyDescent="0.2">
      <c r="A34" s="1" t="s">
        <v>30</v>
      </c>
      <c r="B34" s="1">
        <v>2013</v>
      </c>
      <c r="C34" s="3">
        <v>1742.5171605512098</v>
      </c>
      <c r="D34" s="3">
        <f t="shared" si="98"/>
        <v>270.48283944879017</v>
      </c>
      <c r="E34" s="3">
        <f t="shared" si="99"/>
        <v>13.436802754535032</v>
      </c>
      <c r="F34" s="45"/>
      <c r="G34" s="45"/>
      <c r="H34" s="45"/>
      <c r="I34" s="45"/>
      <c r="J34" s="45"/>
      <c r="K34" s="3">
        <v>1739.1172849613736</v>
      </c>
      <c r="L34" s="3">
        <f t="shared" si="100"/>
        <v>273.88271503862643</v>
      </c>
      <c r="M34" s="3">
        <f t="shared" si="101"/>
        <v>13.605698710314279</v>
      </c>
      <c r="N34" s="45"/>
      <c r="O34" s="3">
        <v>1714.5697389524275</v>
      </c>
      <c r="P34" s="3">
        <f t="shared" si="102"/>
        <v>298.43026104757246</v>
      </c>
      <c r="Q34" s="3">
        <f t="shared" si="103"/>
        <v>14.825149580107922</v>
      </c>
      <c r="R34" s="45"/>
      <c r="S34" s="3">
        <v>1726.696235458604</v>
      </c>
      <c r="T34" s="3">
        <f t="shared" si="104"/>
        <v>286.30376454139605</v>
      </c>
      <c r="U34" s="3">
        <f t="shared" si="105"/>
        <v>14.222740414376355</v>
      </c>
      <c r="V34" s="45"/>
      <c r="W34" s="3">
        <v>1648.352512906933</v>
      </c>
      <c r="X34" s="3">
        <f t="shared" si="106"/>
        <v>364.64748709306696</v>
      </c>
      <c r="Y34" s="3">
        <f t="shared" si="107"/>
        <v>18.114629264434523</v>
      </c>
      <c r="Z34" s="45"/>
      <c r="AA34" s="3">
        <v>1686.3585750672914</v>
      </c>
      <c r="AB34" s="3">
        <f t="shared" si="108"/>
        <v>326.64142493270856</v>
      </c>
      <c r="AC34" s="3">
        <f t="shared" si="109"/>
        <v>16.226598357312895</v>
      </c>
      <c r="AD34" s="45"/>
      <c r="AE34" s="3">
        <v>1748.7427438414427</v>
      </c>
      <c r="AF34" s="3">
        <f t="shared" si="110"/>
        <v>264.25725615855731</v>
      </c>
      <c r="AG34" s="3">
        <f t="shared" si="111"/>
        <v>13.127533837980989</v>
      </c>
      <c r="AH34" s="45"/>
      <c r="AI34" s="3">
        <v>1750.3513706875081</v>
      </c>
      <c r="AJ34" s="3">
        <f t="shared" si="112"/>
        <v>262.64862931249195</v>
      </c>
      <c r="AK34" s="3">
        <f t="shared" si="113"/>
        <v>13.047621923124289</v>
      </c>
    </row>
    <row r="35" spans="1:37" x14ac:dyDescent="0.2">
      <c r="A35" s="1" t="s">
        <v>31</v>
      </c>
      <c r="B35" s="1">
        <v>1234</v>
      </c>
      <c r="C35" s="3">
        <v>1045.8981623939771</v>
      </c>
      <c r="D35" s="3">
        <f t="shared" si="98"/>
        <v>188.10183760602285</v>
      </c>
      <c r="E35" s="3">
        <f t="shared" si="99"/>
        <v>15.243260746031027</v>
      </c>
      <c r="F35" s="45"/>
      <c r="G35" s="45"/>
      <c r="H35" s="45"/>
      <c r="I35" s="45"/>
      <c r="J35" s="45"/>
      <c r="K35" s="3">
        <v>1043.2875211579824</v>
      </c>
      <c r="L35" s="3">
        <f t="shared" si="100"/>
        <v>190.71247884201762</v>
      </c>
      <c r="M35" s="3">
        <f t="shared" si="101"/>
        <v>15.454820003404993</v>
      </c>
      <c r="N35" s="45"/>
      <c r="O35" s="3">
        <v>1027.4861607123532</v>
      </c>
      <c r="P35" s="3">
        <f t="shared" si="102"/>
        <v>206.51383928764676</v>
      </c>
      <c r="Q35" s="3">
        <f t="shared" si="103"/>
        <v>16.735319229144793</v>
      </c>
      <c r="R35" s="45"/>
      <c r="S35" s="3">
        <v>1035.3540691928413</v>
      </c>
      <c r="T35" s="3">
        <f t="shared" si="104"/>
        <v>198.64593080715872</v>
      </c>
      <c r="U35" s="3">
        <f t="shared" si="105"/>
        <v>16.097725349040417</v>
      </c>
      <c r="V35" s="45"/>
      <c r="W35" s="3">
        <v>984.93420567111525</v>
      </c>
      <c r="X35" s="3">
        <f t="shared" si="106"/>
        <v>249.06579432888475</v>
      </c>
      <c r="Y35" s="3">
        <f t="shared" si="107"/>
        <v>20.18361380298904</v>
      </c>
      <c r="Z35" s="45"/>
      <c r="AA35" s="3">
        <v>1009.4727345151676</v>
      </c>
      <c r="AB35" s="3">
        <f t="shared" si="108"/>
        <v>224.52726548483236</v>
      </c>
      <c r="AC35" s="3">
        <f t="shared" si="109"/>
        <v>18.195078240261942</v>
      </c>
      <c r="AD35" s="45"/>
      <c r="AE35" s="3">
        <v>1049.5763592173194</v>
      </c>
      <c r="AF35" s="3">
        <f t="shared" si="110"/>
        <v>184.42364078268065</v>
      </c>
      <c r="AG35" s="3">
        <f t="shared" si="111"/>
        <v>14.945189690654834</v>
      </c>
      <c r="AH35" s="45"/>
      <c r="AI35" s="3">
        <v>1050.569285615913</v>
      </c>
      <c r="AJ35" s="3">
        <f t="shared" si="112"/>
        <v>183.43071438408697</v>
      </c>
      <c r="AK35" s="3">
        <f t="shared" si="113"/>
        <v>14.864725638904941</v>
      </c>
    </row>
    <row r="36" spans="1:37" x14ac:dyDescent="0.2">
      <c r="A36" s="1"/>
      <c r="B36" s="1">
        <v>8154</v>
      </c>
      <c r="C36" s="6">
        <v>1072.3125179091305</v>
      </c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  <c r="AG36" s="45"/>
      <c r="AH36" s="45"/>
      <c r="AI36" s="45"/>
      <c r="AJ36" s="45"/>
      <c r="AK36" s="45"/>
    </row>
    <row r="37" spans="1:37" x14ac:dyDescent="0.2">
      <c r="A37" s="1">
        <v>65</v>
      </c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</row>
    <row r="38" spans="1:37" x14ac:dyDescent="0.2">
      <c r="A38" s="1" t="s">
        <v>29</v>
      </c>
      <c r="B38" s="1">
        <v>1449</v>
      </c>
      <c r="C38" s="2">
        <v>1167.0059389764072</v>
      </c>
      <c r="D38" s="2">
        <f t="shared" ref="D38:D40" si="114">B38-C38</f>
        <v>281.99406102359285</v>
      </c>
      <c r="E38" s="3">
        <f t="shared" ref="E38:E40" si="115">D38/B38*100</f>
        <v>19.461287855320418</v>
      </c>
      <c r="F38" s="45"/>
      <c r="G38" s="45"/>
      <c r="H38" s="45"/>
      <c r="I38" s="45"/>
      <c r="J38" s="45"/>
      <c r="K38" s="2">
        <v>1160.8903246037469</v>
      </c>
      <c r="L38" s="2">
        <f t="shared" ref="L38:L40" si="116">B38-K38</f>
        <v>288.10967539625312</v>
      </c>
      <c r="M38" s="3">
        <f t="shared" ref="M38:M40" si="117">L38/B38*100</f>
        <v>19.883345437974683</v>
      </c>
      <c r="N38" s="45"/>
      <c r="O38" s="2">
        <v>1145.0621035425354</v>
      </c>
      <c r="P38" s="2">
        <f t="shared" ref="P38:P40" si="118">B38-O38</f>
        <v>303.9378964574646</v>
      </c>
      <c r="Q38" s="3">
        <f t="shared" ref="Q38:Q40" si="119">P38/B38*100</f>
        <v>20.975700238610393</v>
      </c>
      <c r="R38" s="2"/>
      <c r="S38" s="2">
        <v>1154.9215861914749</v>
      </c>
      <c r="T38" s="2">
        <f t="shared" ref="T38:T40" si="120">B38-S38</f>
        <v>294.07841380852506</v>
      </c>
      <c r="U38" s="3">
        <f t="shared" ref="U38:U40" si="121">T38/B38*100</f>
        <v>20.295266653452384</v>
      </c>
      <c r="V38" s="45"/>
      <c r="W38" s="2">
        <v>1089.2959185184372</v>
      </c>
      <c r="X38" s="2">
        <f t="shared" ref="X38:X40" si="122">$B38-W38</f>
        <v>359.70408148156275</v>
      </c>
      <c r="Y38" s="3">
        <f t="shared" ref="Y38:Y40" si="123">X38/B38*100</f>
        <v>24.824298238893221</v>
      </c>
      <c r="Z38" s="45"/>
      <c r="AA38" s="2">
        <v>1124.0819026878887</v>
      </c>
      <c r="AB38" s="2">
        <f t="shared" ref="AB38:AB40" si="124">$B38-AA38</f>
        <v>324.91809731211129</v>
      </c>
      <c r="AC38" s="3">
        <f t="shared" ref="AC38:AC40" si="125">AB38/$B38*100</f>
        <v>22.423609200283735</v>
      </c>
      <c r="AD38" s="45"/>
      <c r="AE38" s="2">
        <v>1168.3270377280546</v>
      </c>
      <c r="AF38" s="2">
        <f t="shared" ref="AF38:AF40" si="126">$B38-AE38</f>
        <v>280.67296227194538</v>
      </c>
      <c r="AG38" s="3">
        <f t="shared" ref="AG38:AG40" si="127">AF38/$B38*100</f>
        <v>19.370114718560757</v>
      </c>
      <c r="AH38" s="45"/>
      <c r="AI38" s="2">
        <v>1169.7973247816124</v>
      </c>
      <c r="AJ38" s="2">
        <f t="shared" ref="AJ38:AJ40" si="128">$B38-AI38</f>
        <v>279.20267521838764</v>
      </c>
      <c r="AK38" s="3">
        <f t="shared" ref="AK38:AK40" si="129">AJ38/$B38*100</f>
        <v>19.268645632738966</v>
      </c>
    </row>
    <row r="39" spans="1:37" x14ac:dyDescent="0.2">
      <c r="A39" s="1" t="s">
        <v>30</v>
      </c>
      <c r="B39" s="1">
        <v>1514</v>
      </c>
      <c r="C39" s="3">
        <v>1302.6676239597211</v>
      </c>
      <c r="D39" s="3">
        <f t="shared" si="114"/>
        <v>211.33237604027886</v>
      </c>
      <c r="E39" s="3">
        <f t="shared" si="115"/>
        <v>13.958545313096357</v>
      </c>
      <c r="F39" s="45"/>
      <c r="G39" s="45"/>
      <c r="H39" s="45"/>
      <c r="I39" s="45"/>
      <c r="J39" s="45"/>
      <c r="K39" s="3">
        <v>1297.999190546893</v>
      </c>
      <c r="L39" s="3">
        <f t="shared" si="116"/>
        <v>216.00080945310697</v>
      </c>
      <c r="M39" s="3">
        <f t="shared" si="117"/>
        <v>14.266896265066512</v>
      </c>
      <c r="N39" s="45"/>
      <c r="O39" s="3">
        <v>1283.3989441708788</v>
      </c>
      <c r="P39" s="3">
        <f t="shared" si="118"/>
        <v>230.60105582912115</v>
      </c>
      <c r="Q39" s="3">
        <f t="shared" si="119"/>
        <v>15.231245431249747</v>
      </c>
      <c r="R39" s="45"/>
      <c r="S39" s="3">
        <v>1292.7791132160717</v>
      </c>
      <c r="T39" s="3">
        <f t="shared" si="120"/>
        <v>221.22088678392834</v>
      </c>
      <c r="U39" s="3">
        <f t="shared" si="121"/>
        <v>14.611683407128687</v>
      </c>
      <c r="V39" s="45"/>
      <c r="W39" s="3">
        <v>1226.8481105785108</v>
      </c>
      <c r="X39" s="3">
        <f t="shared" si="122"/>
        <v>287.15188942148916</v>
      </c>
      <c r="Y39" s="3">
        <f t="shared" si="123"/>
        <v>18.966439195606945</v>
      </c>
      <c r="Z39" s="45"/>
      <c r="AA39" s="3">
        <v>1262.0900089695376</v>
      </c>
      <c r="AB39" s="3">
        <f t="shared" si="124"/>
        <v>251.90999103046238</v>
      </c>
      <c r="AC39" s="3">
        <f t="shared" si="125"/>
        <v>16.638704823676512</v>
      </c>
      <c r="AD39" s="45"/>
      <c r="AE39" s="3">
        <v>1304.6643591406098</v>
      </c>
      <c r="AF39" s="3">
        <f t="shared" si="126"/>
        <v>209.3356408593902</v>
      </c>
      <c r="AG39" s="3">
        <f t="shared" si="127"/>
        <v>13.8266605587444</v>
      </c>
      <c r="AH39" s="45"/>
      <c r="AI39" s="3">
        <v>1306.4711925567442</v>
      </c>
      <c r="AJ39" s="3">
        <f t="shared" si="128"/>
        <v>207.5288074432558</v>
      </c>
      <c r="AK39" s="3">
        <f t="shared" si="129"/>
        <v>13.707318853583605</v>
      </c>
    </row>
    <row r="40" spans="1:37" x14ac:dyDescent="0.2">
      <c r="A40" s="1" t="s">
        <v>31</v>
      </c>
      <c r="B40" s="1">
        <v>903</v>
      </c>
      <c r="C40" s="3">
        <v>755.0406965278296</v>
      </c>
      <c r="D40" s="3">
        <f t="shared" si="114"/>
        <v>147.9593034721704</v>
      </c>
      <c r="E40" s="3">
        <f t="shared" si="115"/>
        <v>16.385304924935813</v>
      </c>
      <c r="F40" s="45"/>
      <c r="G40" s="45"/>
      <c r="H40" s="45"/>
      <c r="I40" s="45"/>
      <c r="J40" s="45"/>
      <c r="K40" s="3">
        <v>751.80097751031963</v>
      </c>
      <c r="L40" s="3">
        <f t="shared" si="116"/>
        <v>151.19902248968037</v>
      </c>
      <c r="M40" s="3">
        <f t="shared" si="117"/>
        <v>16.744077795091957</v>
      </c>
      <c r="N40" s="45"/>
      <c r="O40" s="3">
        <v>742.52859228737884</v>
      </c>
      <c r="P40" s="3">
        <f t="shared" si="118"/>
        <v>160.47140771262116</v>
      </c>
      <c r="Q40" s="3">
        <f t="shared" si="119"/>
        <v>17.770920012471887</v>
      </c>
      <c r="R40" s="45"/>
      <c r="S40" s="3">
        <v>748.383599060547</v>
      </c>
      <c r="T40" s="3">
        <f t="shared" si="120"/>
        <v>154.616400939453</v>
      </c>
      <c r="U40" s="3">
        <f t="shared" si="121"/>
        <v>17.122525020980397</v>
      </c>
      <c r="V40" s="45"/>
      <c r="W40" s="3">
        <v>708.37049540729129</v>
      </c>
      <c r="X40" s="3">
        <f t="shared" si="122"/>
        <v>194.62950459270871</v>
      </c>
      <c r="Y40" s="3">
        <f t="shared" si="123"/>
        <v>21.553654993655449</v>
      </c>
      <c r="Z40" s="45"/>
      <c r="AA40" s="3">
        <v>729.67225707734167</v>
      </c>
      <c r="AB40" s="3">
        <f t="shared" si="124"/>
        <v>173.32774292265833</v>
      </c>
      <c r="AC40" s="3">
        <f t="shared" si="125"/>
        <v>19.19465591613049</v>
      </c>
      <c r="AD40" s="45"/>
      <c r="AE40" s="3">
        <v>756.09600940131747</v>
      </c>
      <c r="AF40" s="3">
        <f t="shared" si="126"/>
        <v>146.90399059868253</v>
      </c>
      <c r="AG40" s="3">
        <f t="shared" si="127"/>
        <v>16.26843749708555</v>
      </c>
      <c r="AH40" s="45"/>
      <c r="AI40" s="3">
        <v>757.08920310778274</v>
      </c>
      <c r="AJ40" s="3">
        <f t="shared" si="128"/>
        <v>145.91079689221726</v>
      </c>
      <c r="AK40" s="3">
        <f t="shared" si="129"/>
        <v>16.158449268241114</v>
      </c>
    </row>
    <row r="41" spans="1:37" x14ac:dyDescent="0.2">
      <c r="A41" s="1"/>
      <c r="B41" s="1">
        <v>6540</v>
      </c>
      <c r="C41" s="6">
        <v>858.54189171451037</v>
      </c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</row>
    <row r="42" spans="1:37" x14ac:dyDescent="0.2">
      <c r="A42" s="1">
        <v>70</v>
      </c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  <c r="AG42" s="45"/>
      <c r="AH42" s="45"/>
      <c r="AI42" s="45"/>
      <c r="AJ42" s="45"/>
      <c r="AK42" s="45"/>
    </row>
    <row r="43" spans="1:37" x14ac:dyDescent="0.2">
      <c r="A43" s="1" t="s">
        <v>29</v>
      </c>
      <c r="B43" s="1">
        <v>2985</v>
      </c>
      <c r="C43" s="2">
        <v>726.27191806010092</v>
      </c>
      <c r="D43" s="2">
        <f t="shared" ref="D43:D45" si="130">B43-C43</f>
        <v>2258.7280819398993</v>
      </c>
      <c r="E43" s="3">
        <f t="shared" ref="E43:E45" si="131">D43/B43*100</f>
        <v>75.669282477048554</v>
      </c>
      <c r="F43" s="45"/>
      <c r="G43" s="45"/>
      <c r="H43" s="45"/>
      <c r="I43" s="45"/>
      <c r="J43" s="45"/>
      <c r="K43" s="2">
        <v>720.19553365548836</v>
      </c>
      <c r="L43" s="2">
        <f t="shared" ref="L43:L45" si="132">B43-K43</f>
        <v>2264.8044663445116</v>
      </c>
      <c r="M43" s="3">
        <f t="shared" ref="M43:M45" si="133">L43/B43*100</f>
        <v>75.87284644370223</v>
      </c>
      <c r="N43" s="45"/>
      <c r="O43" s="2">
        <v>709.6642281714719</v>
      </c>
      <c r="P43" s="2">
        <f t="shared" ref="P43:P45" si="134">B43-O43</f>
        <v>2275.3357718285279</v>
      </c>
      <c r="Q43" s="3">
        <f t="shared" ref="Q43:Q45" si="135">P43/B43*100</f>
        <v>76.225653997605619</v>
      </c>
      <c r="R43" s="45"/>
      <c r="S43" s="2">
        <v>715.40693865014543</v>
      </c>
      <c r="T43" s="2">
        <f t="shared" ref="T43:T45" si="136">B43-S43</f>
        <v>2269.5930613498545</v>
      </c>
      <c r="U43" s="3">
        <f t="shared" ref="U43:U45" si="137">T43/B43*100</f>
        <v>76.033268386929791</v>
      </c>
      <c r="V43" s="45"/>
      <c r="W43" s="2">
        <v>690.71205674830821</v>
      </c>
      <c r="X43" s="2">
        <f t="shared" ref="X43:X45" si="138">$B43-W43</f>
        <v>2294.287943251692</v>
      </c>
      <c r="Y43" s="3">
        <f t="shared" ref="Y43:Y45" si="139">X43/B43*100</f>
        <v>76.860567613122015</v>
      </c>
      <c r="Z43" s="45"/>
      <c r="AA43" s="2">
        <v>702.41863735776315</v>
      </c>
      <c r="AB43" s="2">
        <f t="shared" ref="AB43:AB45" si="140">$B43-AA43</f>
        <v>2282.5813626422369</v>
      </c>
      <c r="AC43" s="3">
        <f t="shared" ref="AC43:AC45" si="141">AB43/$B43*100</f>
        <v>76.468387358198882</v>
      </c>
      <c r="AD43" s="45"/>
      <c r="AE43" s="2">
        <v>726.1913433504202</v>
      </c>
      <c r="AF43" s="2">
        <f t="shared" ref="AF43:AF45" si="142">$B43-AE43</f>
        <v>2258.8086566495799</v>
      </c>
      <c r="AG43" s="3">
        <f t="shared" ref="AG43:AG45" si="143">AF43/$B43*100</f>
        <v>75.671981797305861</v>
      </c>
      <c r="AH43" s="45"/>
      <c r="AI43" s="2">
        <v>725.39598786995316</v>
      </c>
      <c r="AJ43" s="2">
        <f t="shared" ref="AJ43:AJ45" si="144">$B43-AI43</f>
        <v>2259.6040121300466</v>
      </c>
      <c r="AK43" s="3">
        <f t="shared" ref="AK43:AK45" si="145">AJ43/$B43*100</f>
        <v>75.698626872028356</v>
      </c>
    </row>
    <row r="44" spans="1:37" x14ac:dyDescent="0.2">
      <c r="A44" s="1" t="s">
        <v>30</v>
      </c>
      <c r="B44" s="1">
        <v>3175</v>
      </c>
      <c r="C44" s="3">
        <v>908.19135285957793</v>
      </c>
      <c r="D44" s="3">
        <f t="shared" si="130"/>
        <v>2266.8086471404222</v>
      </c>
      <c r="E44" s="3">
        <f t="shared" si="131"/>
        <v>71.395547941430621</v>
      </c>
      <c r="F44" s="45"/>
      <c r="G44" s="45"/>
      <c r="H44" s="45"/>
      <c r="I44" s="45"/>
      <c r="J44" s="45"/>
      <c r="K44" s="3">
        <v>902.64257784168672</v>
      </c>
      <c r="L44" s="3">
        <f t="shared" si="132"/>
        <v>2272.3574221583131</v>
      </c>
      <c r="M44" s="3">
        <f t="shared" si="133"/>
        <v>71.570312508923251</v>
      </c>
      <c r="N44" s="45"/>
      <c r="O44" s="3">
        <v>892.15339642871413</v>
      </c>
      <c r="P44" s="3">
        <f t="shared" si="134"/>
        <v>2282.8466035712859</v>
      </c>
      <c r="Q44" s="3">
        <f t="shared" si="135"/>
        <v>71.900680427442083</v>
      </c>
      <c r="R44" s="45"/>
      <c r="S44" s="3">
        <v>898.25371652753358</v>
      </c>
      <c r="T44" s="3">
        <f t="shared" si="136"/>
        <v>2276.7462834724665</v>
      </c>
      <c r="U44" s="3">
        <f t="shared" si="137"/>
        <v>71.70854436133753</v>
      </c>
      <c r="V44" s="45"/>
      <c r="W44" s="3">
        <v>869.38311217428247</v>
      </c>
      <c r="X44" s="3">
        <f t="shared" si="138"/>
        <v>2305.6168878257176</v>
      </c>
      <c r="Y44" s="3">
        <f t="shared" si="139"/>
        <v>72.617854734668271</v>
      </c>
      <c r="Z44" s="45"/>
      <c r="AA44" s="3">
        <v>883.21518215562321</v>
      </c>
      <c r="AB44" s="3">
        <f t="shared" si="140"/>
        <v>2291.7848178443769</v>
      </c>
      <c r="AC44" s="3">
        <f t="shared" si="141"/>
        <v>72.182198987224467</v>
      </c>
      <c r="AD44" s="45"/>
      <c r="AE44" s="3">
        <v>908.73178929072435</v>
      </c>
      <c r="AF44" s="3">
        <f t="shared" si="142"/>
        <v>2266.2682107092755</v>
      </c>
      <c r="AG44" s="3">
        <f t="shared" si="143"/>
        <v>71.378526321551988</v>
      </c>
      <c r="AH44" s="45"/>
      <c r="AI44" s="3">
        <v>908.19705874853287</v>
      </c>
      <c r="AJ44" s="3">
        <f t="shared" si="144"/>
        <v>2266.802941251467</v>
      </c>
      <c r="AK44" s="3">
        <f t="shared" si="145"/>
        <v>71.39536822839267</v>
      </c>
    </row>
    <row r="45" spans="1:37" x14ac:dyDescent="0.2">
      <c r="A45" s="1" t="s">
        <v>31</v>
      </c>
      <c r="B45" s="1">
        <v>1882</v>
      </c>
      <c r="C45" s="3">
        <v>502.33699519342719</v>
      </c>
      <c r="D45" s="3">
        <f t="shared" si="130"/>
        <v>1379.6630048065729</v>
      </c>
      <c r="E45" s="3">
        <f t="shared" si="131"/>
        <v>73.308342444557539</v>
      </c>
      <c r="F45" s="45"/>
      <c r="G45" s="45"/>
      <c r="H45" s="45"/>
      <c r="I45" s="45"/>
      <c r="J45" s="45"/>
      <c r="K45" s="3">
        <v>498.82323144834248</v>
      </c>
      <c r="L45" s="3">
        <f t="shared" si="132"/>
        <v>1383.1767685516575</v>
      </c>
      <c r="M45" s="3">
        <f t="shared" si="133"/>
        <v>73.495046150460013</v>
      </c>
      <c r="N45" s="45"/>
      <c r="O45" s="3">
        <v>492.3880036913996</v>
      </c>
      <c r="P45" s="3">
        <f t="shared" si="134"/>
        <v>1389.6119963086003</v>
      </c>
      <c r="Q45" s="3">
        <f t="shared" si="135"/>
        <v>73.836981737970262</v>
      </c>
      <c r="R45" s="45"/>
      <c r="S45" s="3">
        <v>496.01102987759498</v>
      </c>
      <c r="T45" s="3">
        <f t="shared" si="136"/>
        <v>1385.9889701224051</v>
      </c>
      <c r="U45" s="3">
        <f t="shared" si="137"/>
        <v>73.644472376323336</v>
      </c>
      <c r="V45" s="45"/>
      <c r="W45" s="3">
        <v>479.64196863869972</v>
      </c>
      <c r="X45" s="3">
        <f t="shared" si="138"/>
        <v>1402.3580313613002</v>
      </c>
      <c r="Y45" s="3">
        <f t="shared" si="139"/>
        <v>74.51424183641339</v>
      </c>
      <c r="Z45" s="45"/>
      <c r="AA45" s="3">
        <v>487.4434188704833</v>
      </c>
      <c r="AB45" s="3">
        <f t="shared" si="140"/>
        <v>1394.5565811295166</v>
      </c>
      <c r="AC45" s="3">
        <f t="shared" si="141"/>
        <v>74.099712068518414</v>
      </c>
      <c r="AD45" s="45"/>
      <c r="AE45" s="3">
        <v>502.5238023050386</v>
      </c>
      <c r="AF45" s="3">
        <f t="shared" si="142"/>
        <v>1379.4761976949615</v>
      </c>
      <c r="AG45" s="3">
        <f t="shared" si="143"/>
        <v>73.29841645563026</v>
      </c>
      <c r="AH45" s="45"/>
      <c r="AI45" s="3">
        <v>502.11338807708768</v>
      </c>
      <c r="AJ45" s="3">
        <f t="shared" si="144"/>
        <v>1379.8866119229124</v>
      </c>
      <c r="AK45" s="3">
        <f t="shared" si="145"/>
        <v>73.320223800367287</v>
      </c>
    </row>
    <row r="46" spans="1:37" x14ac:dyDescent="0.2">
      <c r="A46" s="45"/>
      <c r="B46" s="1">
        <v>10511</v>
      </c>
      <c r="C46" s="6">
        <v>649.26205554503588</v>
      </c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</row>
    <row r="47" spans="1:37" x14ac:dyDescent="0.2">
      <c r="A47" s="45"/>
      <c r="B47" s="45"/>
      <c r="C47" s="45"/>
      <c r="D47" s="45"/>
      <c r="E47" s="3">
        <f>SUMSQ(E1:E45)</f>
        <v>20392.36545314081</v>
      </c>
      <c r="F47" s="45"/>
      <c r="G47" s="45"/>
      <c r="H47" s="45"/>
      <c r="I47" s="45"/>
      <c r="J47" s="45"/>
      <c r="K47" s="45"/>
      <c r="L47" s="45"/>
      <c r="M47" s="3">
        <f>SUMSQ(M1:M45)</f>
        <v>20540.335418264654</v>
      </c>
      <c r="N47" s="45"/>
      <c r="O47" s="45"/>
      <c r="P47" s="45"/>
      <c r="Q47" s="3">
        <f>SUMSQ(Q1:Q45)</f>
        <v>21587.009998404203</v>
      </c>
      <c r="R47" s="45"/>
      <c r="S47" s="45"/>
      <c r="T47" s="45"/>
      <c r="U47" s="3">
        <f>SUMSQ(U1:U45)</f>
        <v>21120.095619661934</v>
      </c>
      <c r="V47" s="45"/>
      <c r="W47" s="45"/>
      <c r="X47" s="45"/>
      <c r="Y47" s="3">
        <f>SUMSQ(Y1:Y45)</f>
        <v>23746.729697850424</v>
      </c>
      <c r="Z47" s="45"/>
      <c r="AA47" s="45"/>
      <c r="AB47" s="45"/>
      <c r="AC47" s="3">
        <f>SUMSQ(AC1:AC45)</f>
        <v>22636.317832607572</v>
      </c>
      <c r="AD47" s="45"/>
      <c r="AE47" s="45"/>
      <c r="AF47" s="45"/>
      <c r="AG47" s="3">
        <f>SUMSQ(AG1:AG45)</f>
        <v>20167.990277967496</v>
      </c>
      <c r="AH47" s="45"/>
      <c r="AI47" s="45"/>
      <c r="AJ47" s="45"/>
      <c r="AK47" s="3">
        <f>SUMSQ(AK1:AK45)</f>
        <v>20135.606341168623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outlinePr summaryBelow="0" summaryRight="0"/>
  </sheetPr>
  <dimension ref="A1:B6"/>
  <sheetViews>
    <sheetView workbookViewId="0"/>
  </sheetViews>
  <sheetFormatPr baseColWidth="10" defaultColWidth="12.5703125" defaultRowHeight="15.75" customHeight="1" x14ac:dyDescent="0.2"/>
  <cols>
    <col min="1" max="1" width="30.140625" customWidth="1"/>
  </cols>
  <sheetData>
    <row r="1" spans="1:2" ht="15.75" customHeight="1" x14ac:dyDescent="0.2">
      <c r="A1" s="41"/>
    </row>
    <row r="2" spans="1:2" ht="12.75" x14ac:dyDescent="0.2">
      <c r="A2" s="1" t="s">
        <v>2</v>
      </c>
      <c r="B2" s="1" t="s">
        <v>186</v>
      </c>
    </row>
    <row r="3" spans="1:2" ht="12.75" x14ac:dyDescent="0.2">
      <c r="A3" s="1" t="s">
        <v>3</v>
      </c>
      <c r="B3" s="1" t="s">
        <v>187</v>
      </c>
    </row>
    <row r="4" spans="1:2" ht="12.75" x14ac:dyDescent="0.2">
      <c r="A4" s="1" t="s">
        <v>4</v>
      </c>
      <c r="B4" s="1" t="s">
        <v>188</v>
      </c>
    </row>
    <row r="5" spans="1:2" ht="12.75" x14ac:dyDescent="0.2">
      <c r="A5" s="1" t="s">
        <v>5</v>
      </c>
      <c r="B5" s="1" t="s">
        <v>189</v>
      </c>
    </row>
    <row r="6" spans="1:2" ht="12.75" x14ac:dyDescent="0.2">
      <c r="A6" s="1" t="s">
        <v>37</v>
      </c>
      <c r="B6" s="1" t="s">
        <v>190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outlinePr summaryBelow="0" summaryRight="0"/>
  </sheetPr>
  <dimension ref="A1:I20"/>
  <sheetViews>
    <sheetView workbookViewId="0">
      <selection activeCell="K27" sqref="K27"/>
    </sheetView>
  </sheetViews>
  <sheetFormatPr baseColWidth="10" defaultColWidth="12.5703125" defaultRowHeight="15.75" customHeight="1" x14ac:dyDescent="0.2"/>
  <sheetData>
    <row r="1" spans="1:9" ht="12.75" x14ac:dyDescent="0.2">
      <c r="A1" s="1" t="s">
        <v>191</v>
      </c>
      <c r="B1" s="1"/>
      <c r="C1" s="1"/>
      <c r="D1" s="1"/>
      <c r="E1" s="1"/>
      <c r="F1" s="1"/>
      <c r="G1" s="1"/>
    </row>
    <row r="2" spans="1:9" ht="12.75" x14ac:dyDescent="0.2">
      <c r="A2" s="233" t="s">
        <v>192</v>
      </c>
      <c r="B2" s="230"/>
      <c r="C2" s="230"/>
      <c r="D2" s="230"/>
      <c r="E2" s="230"/>
      <c r="F2" s="230"/>
      <c r="G2" s="230"/>
      <c r="H2" s="230"/>
      <c r="I2" s="230"/>
    </row>
    <row r="3" spans="1:9" ht="15.75" customHeight="1" x14ac:dyDescent="0.2">
      <c r="A3" s="230"/>
      <c r="B3" s="230"/>
      <c r="C3" s="230"/>
      <c r="D3" s="230"/>
      <c r="E3" s="230"/>
      <c r="F3" s="230"/>
      <c r="G3" s="230"/>
      <c r="H3" s="230"/>
      <c r="I3" s="230"/>
    </row>
    <row r="4" spans="1:9" ht="12.75" x14ac:dyDescent="0.2">
      <c r="A4" s="1"/>
      <c r="B4" s="1"/>
      <c r="C4" s="1"/>
      <c r="D4" s="1"/>
      <c r="E4" s="1"/>
      <c r="F4" s="1"/>
      <c r="G4" s="1"/>
    </row>
    <row r="5" spans="1:9" ht="12.75" x14ac:dyDescent="0.2">
      <c r="A5" s="233" t="s">
        <v>193</v>
      </c>
      <c r="B5" s="230"/>
      <c r="C5" s="230"/>
      <c r="D5" s="230"/>
      <c r="E5" s="230"/>
      <c r="F5" s="230"/>
      <c r="G5" s="230"/>
      <c r="H5" s="230"/>
      <c r="I5" s="230"/>
    </row>
    <row r="6" spans="1:9" ht="12.75" x14ac:dyDescent="0.2">
      <c r="A6" s="1" t="s">
        <v>194</v>
      </c>
      <c r="B6" s="1"/>
      <c r="C6" s="1"/>
      <c r="D6" s="1"/>
      <c r="E6" s="1"/>
      <c r="F6" s="1"/>
      <c r="G6" s="1"/>
    </row>
    <row r="7" spans="1:9" ht="12.75" x14ac:dyDescent="0.2">
      <c r="A7" s="1" t="s">
        <v>195</v>
      </c>
      <c r="B7" s="1"/>
      <c r="C7" s="1"/>
      <c r="D7" s="1"/>
      <c r="E7" s="1"/>
      <c r="F7" s="1"/>
      <c r="G7" s="1"/>
    </row>
    <row r="8" spans="1:9" ht="12.75" x14ac:dyDescent="0.2">
      <c r="A8" s="1" t="s">
        <v>196</v>
      </c>
      <c r="B8" s="1"/>
      <c r="C8" s="1"/>
      <c r="D8" s="1"/>
      <c r="E8" s="1"/>
      <c r="F8" s="1"/>
      <c r="G8" s="1"/>
    </row>
    <row r="9" spans="1:9" ht="12.75" x14ac:dyDescent="0.2">
      <c r="A9" s="1"/>
      <c r="B9" s="1"/>
      <c r="C9" s="1"/>
      <c r="D9" s="1"/>
      <c r="E9" s="1"/>
      <c r="F9" s="1"/>
      <c r="G9" s="1"/>
    </row>
    <row r="10" spans="1:9" ht="12.75" x14ac:dyDescent="0.2">
      <c r="A10" s="1"/>
      <c r="B10" s="1"/>
      <c r="C10" s="1"/>
      <c r="D10" s="1"/>
      <c r="E10" s="1"/>
      <c r="F10" s="1"/>
      <c r="G10" s="1"/>
    </row>
    <row r="11" spans="1:9" ht="12.75" x14ac:dyDescent="0.2">
      <c r="A11" s="1"/>
      <c r="B11" s="1"/>
      <c r="C11" s="1"/>
      <c r="D11" s="1"/>
      <c r="E11" s="1"/>
      <c r="F11" s="1"/>
      <c r="G11" s="1"/>
    </row>
    <row r="12" spans="1:9" ht="12.75" x14ac:dyDescent="0.2">
      <c r="A12" s="1"/>
      <c r="B12" s="1"/>
      <c r="C12" s="1"/>
      <c r="D12" s="1"/>
      <c r="E12" s="1"/>
      <c r="F12" s="1"/>
      <c r="G12" s="1"/>
    </row>
    <row r="13" spans="1:9" ht="12.75" x14ac:dyDescent="0.2">
      <c r="A13" s="1"/>
      <c r="B13" s="1"/>
      <c r="C13" s="1"/>
      <c r="D13" s="1"/>
      <c r="E13" s="1"/>
      <c r="F13" s="1"/>
      <c r="G13" s="1"/>
    </row>
    <row r="14" spans="1:9" ht="12.75" x14ac:dyDescent="0.2">
      <c r="A14" s="1"/>
      <c r="B14" s="1"/>
      <c r="C14" s="1"/>
      <c r="D14" s="1"/>
      <c r="E14" s="1"/>
      <c r="F14" s="1"/>
      <c r="G14" s="1"/>
    </row>
    <row r="15" spans="1:9" ht="12.75" x14ac:dyDescent="0.2">
      <c r="A15" s="1"/>
      <c r="B15" s="1"/>
      <c r="C15" s="1"/>
      <c r="D15" s="1"/>
      <c r="E15" s="1"/>
      <c r="F15" s="1"/>
      <c r="G15" s="1"/>
    </row>
    <row r="16" spans="1:9" ht="12.75" x14ac:dyDescent="0.2">
      <c r="A16" s="1"/>
      <c r="B16" s="1"/>
      <c r="C16" s="1"/>
      <c r="D16" s="1"/>
      <c r="E16" s="1"/>
      <c r="F16" s="1"/>
      <c r="G16" s="1"/>
    </row>
    <row r="17" spans="1:7" ht="12.75" x14ac:dyDescent="0.2">
      <c r="A17" s="1"/>
      <c r="B17" s="1"/>
      <c r="C17" s="1"/>
      <c r="D17" s="1"/>
      <c r="E17" s="1"/>
      <c r="F17" s="1"/>
      <c r="G17" s="1"/>
    </row>
    <row r="18" spans="1:7" ht="12.75" x14ac:dyDescent="0.2">
      <c r="A18" s="1"/>
      <c r="B18" s="1"/>
      <c r="C18" s="1"/>
      <c r="D18" s="1"/>
      <c r="E18" s="1"/>
      <c r="F18" s="1"/>
      <c r="G18" s="1"/>
    </row>
    <row r="19" spans="1:7" ht="12.75" x14ac:dyDescent="0.2">
      <c r="A19" s="1"/>
      <c r="B19" s="1"/>
      <c r="C19" s="1"/>
      <c r="D19" s="1"/>
      <c r="E19" s="1"/>
      <c r="F19" s="1"/>
      <c r="G19" s="1"/>
    </row>
    <row r="20" spans="1:7" ht="12.75" x14ac:dyDescent="0.2">
      <c r="A20" s="1"/>
      <c r="B20" s="1"/>
      <c r="C20" s="1"/>
      <c r="D20" s="1"/>
      <c r="E20" s="1"/>
      <c r="F20" s="1"/>
      <c r="G20" s="1"/>
    </row>
  </sheetData>
  <mergeCells count="2">
    <mergeCell ref="A2:I3"/>
    <mergeCell ref="A5:I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71</vt:i4>
      </vt:variant>
    </vt:vector>
  </HeadingPairs>
  <TitlesOfParts>
    <vt:vector size="95" baseType="lpstr">
      <vt:lpstr>Hoja1</vt:lpstr>
      <vt:lpstr>Hoja 7</vt:lpstr>
      <vt:lpstr>TRATAMIENTO</vt:lpstr>
      <vt:lpstr>UTILIDADES</vt:lpstr>
      <vt:lpstr>SIN_TTO</vt:lpstr>
      <vt:lpstr>inputs</vt:lpstr>
      <vt:lpstr>prob</vt:lpstr>
      <vt:lpstr>Inputs_Default</vt:lpstr>
      <vt:lpstr>SIMULACION</vt:lpstr>
      <vt:lpstr>ObservadoEsperado</vt:lpstr>
      <vt:lpstr>CEA BRASIL</vt:lpstr>
      <vt:lpstr>CEA CHILE</vt:lpstr>
      <vt:lpstr>CON_TRATAMIENTO</vt:lpstr>
      <vt:lpstr>SIN_TRATAMIENTO</vt:lpstr>
      <vt:lpstr>Hoja1 (2)</vt:lpstr>
      <vt:lpstr>bindia</vt:lpstr>
      <vt:lpstr>Colombia</vt:lpstr>
      <vt:lpstr>brazil</vt:lpstr>
      <vt:lpstr>india</vt:lpstr>
      <vt:lpstr>COMPARACION_INDIA</vt:lpstr>
      <vt:lpstr>COMPARACION_BRAZIL</vt:lpstr>
      <vt:lpstr>COMPARACION_BRAZILx</vt:lpstr>
      <vt:lpstr>glosario</vt:lpstr>
      <vt:lpstr>Hoja 10</vt:lpstr>
      <vt:lpstr>_pG1</vt:lpstr>
      <vt:lpstr>_pG2</vt:lpstr>
      <vt:lpstr>_pG3</vt:lpstr>
      <vt:lpstr>_pGO</vt:lpstr>
      <vt:lpstr>Costo_Diagnostico</vt:lpstr>
      <vt:lpstr>Costo_Evaluacion</vt:lpstr>
      <vt:lpstr>Costo_Tratamiento</vt:lpstr>
      <vt:lpstr>DISCONTINUACION_F0F3_G1</vt:lpstr>
      <vt:lpstr>DISCONTINUACION_F0F3_G2</vt:lpstr>
      <vt:lpstr>DISCONTINUACION_F0F3_G3</vt:lpstr>
      <vt:lpstr>DISCONTINUACION_F0F3_GO</vt:lpstr>
      <vt:lpstr>DISCONTINUACION_F4_G1</vt:lpstr>
      <vt:lpstr>DISCONTINUACION_F4_G2</vt:lpstr>
      <vt:lpstr>DISCONTINUACION_F4_G3</vt:lpstr>
      <vt:lpstr>DISCONTINUACION_F4_GO</vt:lpstr>
      <vt:lpstr>DURACION_F0F3_G1</vt:lpstr>
      <vt:lpstr>DURACION_F0F3_G2</vt:lpstr>
      <vt:lpstr>DURACION_F0F3_G3</vt:lpstr>
      <vt:lpstr>DURACION_F0F3_GO</vt:lpstr>
      <vt:lpstr>DURACION_F4_G1</vt:lpstr>
      <vt:lpstr>DURACION_F4_G2</vt:lpstr>
      <vt:lpstr>DURACION_F4_G3</vt:lpstr>
      <vt:lpstr>DURACION_F4_GO</vt:lpstr>
      <vt:lpstr>iCostoDC</vt:lpstr>
      <vt:lpstr>iCostoF0F2</vt:lpstr>
      <vt:lpstr>iCostoF3</vt:lpstr>
      <vt:lpstr>iCostoF4</vt:lpstr>
      <vt:lpstr>iCostoHCC</vt:lpstr>
      <vt:lpstr>iCostoSVRF0F2</vt:lpstr>
      <vt:lpstr>iCostoSVRF3</vt:lpstr>
      <vt:lpstr>iCostoSVRF4</vt:lpstr>
      <vt:lpstr>inputCiclosPorAño</vt:lpstr>
      <vt:lpstr>inputCohorte</vt:lpstr>
      <vt:lpstr>inputDescuento</vt:lpstr>
      <vt:lpstr>inputEdad</vt:lpstr>
      <vt:lpstr>inputPais</vt:lpstr>
      <vt:lpstr>iQalyDC</vt:lpstr>
      <vt:lpstr>iQalyF0</vt:lpstr>
      <vt:lpstr>iQalyF1</vt:lpstr>
      <vt:lpstr>iQalyF2</vt:lpstr>
      <vt:lpstr>iQalyF3</vt:lpstr>
      <vt:lpstr>iQalyF4</vt:lpstr>
      <vt:lpstr>iQalyHCC</vt:lpstr>
      <vt:lpstr>iQalySVR</vt:lpstr>
      <vt:lpstr>iQalySVRF4</vt:lpstr>
      <vt:lpstr>p_DC_HCC</vt:lpstr>
      <vt:lpstr>p_DC_LDR</vt:lpstr>
      <vt:lpstr>p_DC1_HCC</vt:lpstr>
      <vt:lpstr>p_DC1_LDR</vt:lpstr>
      <vt:lpstr>p_F0_F1</vt:lpstr>
      <vt:lpstr>p_F1_F2</vt:lpstr>
      <vt:lpstr>p_F2_F3</vt:lpstr>
      <vt:lpstr>p_F3_F4</vt:lpstr>
      <vt:lpstr>p_F4_DC</vt:lpstr>
      <vt:lpstr>p_F4_HCC</vt:lpstr>
      <vt:lpstr>p_HCC_LDR</vt:lpstr>
      <vt:lpstr>p_SVRF4_DC</vt:lpstr>
      <vt:lpstr>p_SVRF4_HCC</vt:lpstr>
      <vt:lpstr>prevCC</vt:lpstr>
      <vt:lpstr>prevF0</vt:lpstr>
      <vt:lpstr>prevF1</vt:lpstr>
      <vt:lpstr>prevF2</vt:lpstr>
      <vt:lpstr>prevF3</vt:lpstr>
      <vt:lpstr>pSVR_F0F3_G1</vt:lpstr>
      <vt:lpstr>pSVR_F0F3_G2</vt:lpstr>
      <vt:lpstr>pSVR_F0F3_G3</vt:lpstr>
      <vt:lpstr>pSVR_F0F3_GO</vt:lpstr>
      <vt:lpstr>pSVR_F4_G1</vt:lpstr>
      <vt:lpstr>pSVR_F4_G2</vt:lpstr>
      <vt:lpstr>pSVR_F4_G3</vt:lpstr>
      <vt:lpstr>pSVR_F4_GO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</dc:creator>
  <cp:lastModifiedBy>Lean</cp:lastModifiedBy>
  <dcterms:created xsi:type="dcterms:W3CDTF">2023-07-23T19:31:00Z</dcterms:created>
  <dcterms:modified xsi:type="dcterms:W3CDTF">2023-09-15T16:15:22Z</dcterms:modified>
</cp:coreProperties>
</file>