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iaTool\hpv\xlsx\"/>
    </mc:Choice>
  </mc:AlternateContent>
  <bookViews>
    <workbookView xWindow="0" yWindow="0" windowWidth="23040" windowHeight="9072"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E14" i="1" l="1"/>
  <c r="E15" i="1"/>
  <c r="E17" i="1"/>
  <c r="E9" i="1"/>
  <c r="E11" i="1"/>
  <c r="E13" i="2"/>
  <c r="G10" i="1"/>
  <c r="E10" i="1"/>
  <c r="F8" i="3"/>
  <c r="E24" i="1" l="1"/>
  <c r="E24" i="2" s="1"/>
  <c r="H24" i="2" s="1"/>
  <c r="E33" i="4" s="1"/>
  <c r="G9" i="7"/>
  <c r="G7" i="7"/>
  <c r="G5" i="7"/>
  <c r="G4" i="7"/>
  <c r="G3"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2"/>
  <c r="H17" i="2" s="1"/>
  <c r="E15" i="2"/>
  <c r="H15" i="2" s="1"/>
  <c r="E16" i="1"/>
  <c r="E16" i="2" s="1"/>
  <c r="H13" i="2"/>
  <c r="E12" i="1"/>
  <c r="E12" i="2" s="1"/>
  <c r="H12" i="2" s="1"/>
  <c r="E11" i="2"/>
  <c r="H11" i="2" s="1"/>
  <c r="E34" i="4" s="1"/>
  <c r="E10" i="2"/>
  <c r="H10" i="2" s="1"/>
  <c r="E8" i="4" s="1"/>
  <c r="E9" i="2"/>
  <c r="H9" i="2" s="1"/>
  <c r="F7" i="4" s="1"/>
  <c r="H7" i="4" s="1"/>
  <c r="E8" i="1"/>
  <c r="D4" i="4" s="1"/>
  <c r="G8" i="4" l="1"/>
  <c r="E32" i="4"/>
  <c r="I4" i="6"/>
  <c r="S4" i="6" s="1"/>
  <c r="G5" i="6"/>
  <c r="AL5" i="6" s="1"/>
  <c r="F8" i="4"/>
  <c r="H8" i="4" s="1"/>
  <c r="E25" i="4"/>
  <c r="E7" i="4"/>
  <c r="G7" i="4" s="1"/>
  <c r="E2" i="5"/>
  <c r="D4" i="5"/>
  <c r="B5" i="6"/>
  <c r="D16" i="6"/>
  <c r="D4" i="6"/>
  <c r="E5" i="6" s="1"/>
  <c r="D5" i="6"/>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E31" i="4" s="1"/>
  <c r="A19" i="6"/>
  <c r="D17" i="6"/>
  <c r="D18" i="6"/>
  <c r="A6" i="6"/>
  <c r="BA4" i="6" l="1"/>
  <c r="AY5" i="6"/>
  <c r="H5" i="6"/>
  <c r="AZ5" i="6" s="1"/>
  <c r="Q5" i="6"/>
  <c r="AM5" i="6" s="1"/>
  <c r="F10" i="4"/>
  <c r="E10" i="4"/>
  <c r="AY6" i="6"/>
  <c r="N6" i="6"/>
  <c r="N5" i="6"/>
  <c r="AY4" i="6"/>
  <c r="N4" i="6"/>
  <c r="BF4" i="6" s="1"/>
  <c r="O5" i="6"/>
  <c r="BK4" i="6"/>
  <c r="M5" i="6"/>
  <c r="R5" i="6"/>
  <c r="A20" i="6"/>
  <c r="D19" i="6"/>
  <c r="E6" i="6"/>
  <c r="H4" i="6"/>
  <c r="AZ4" i="6" s="1"/>
  <c r="O4" i="6"/>
  <c r="AL4" i="6"/>
  <c r="M4" i="6"/>
  <c r="BE4" i="6" s="1"/>
  <c r="Q4" i="6"/>
  <c r="S5" i="6"/>
  <c r="B6" i="6"/>
  <c r="D5" i="5"/>
  <c r="D11" i="3"/>
  <c r="M11" i="3" s="1"/>
  <c r="G7" i="6" s="1"/>
  <c r="C12" i="3"/>
  <c r="F11" i="3"/>
  <c r="O11" i="3" s="1"/>
  <c r="B5" i="5" s="1"/>
  <c r="C5" i="5" s="1"/>
  <c r="E11" i="3"/>
  <c r="N11" i="3" s="1"/>
  <c r="I7" i="6" s="1"/>
  <c r="BA7" i="6" s="1"/>
  <c r="E3" i="5"/>
  <c r="J5" i="6"/>
  <c r="BB5" i="6" s="1"/>
  <c r="O6" i="6"/>
  <c r="P6" i="6" s="1"/>
  <c r="AL6" i="6"/>
  <c r="M6" i="6"/>
  <c r="Q6" i="6"/>
  <c r="A7" i="6"/>
  <c r="D6" i="6"/>
  <c r="J6" i="6" s="1"/>
  <c r="BB6" i="6" s="1"/>
  <c r="S6" i="6"/>
  <c r="C10" i="4"/>
  <c r="G10" i="4" s="1"/>
  <c r="D10" i="4"/>
  <c r="H10" i="4" s="1"/>
  <c r="J4" i="6"/>
  <c r="BB4" i="6" s="1"/>
  <c r="AC4" i="6"/>
  <c r="AA5" i="6" l="1"/>
  <c r="BI5" i="6"/>
  <c r="P5" i="6"/>
  <c r="BH5" i="6" s="1"/>
  <c r="Y5" i="6"/>
  <c r="AI5" i="6" s="1"/>
  <c r="BG5" i="6"/>
  <c r="AY7" i="6"/>
  <c r="N7" i="6"/>
  <c r="BG4" i="6"/>
  <c r="P4" i="6"/>
  <c r="BH4" i="6" s="1"/>
  <c r="W5" i="6"/>
  <c r="AG5" i="6" s="1"/>
  <c r="BE5" i="6"/>
  <c r="X5" i="6"/>
  <c r="AH5" i="6" s="1"/>
  <c r="BF5" i="6"/>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Y7" i="6" s="1"/>
  <c r="AL7" i="6"/>
  <c r="M7" i="6"/>
  <c r="BE7" i="6" s="1"/>
  <c r="W4" i="6"/>
  <c r="D20" i="6"/>
  <c r="A21" i="6"/>
  <c r="T5" i="6"/>
  <c r="AA6" i="6"/>
  <c r="B7" i="6"/>
  <c r="D6" i="5"/>
  <c r="E5" i="5" s="1"/>
  <c r="E4" i="5"/>
  <c r="X4" i="6"/>
  <c r="BP4" i="6" s="1"/>
  <c r="S7" i="6"/>
  <c r="Q7" i="6"/>
  <c r="A8" i="6"/>
  <c r="D7" i="6"/>
  <c r="H7" i="6" s="1"/>
  <c r="AZ7" i="6" s="1"/>
  <c r="Y4" i="6"/>
  <c r="BP5" i="6" l="1"/>
  <c r="BO5" i="6"/>
  <c r="Z5" i="6"/>
  <c r="AJ5" i="6" s="1"/>
  <c r="BQ5" i="6"/>
  <c r="AY8" i="6"/>
  <c r="N8" i="6"/>
  <c r="BF8" i="6" s="1"/>
  <c r="BG7" i="6"/>
  <c r="BQ7" i="6" s="1"/>
  <c r="P7" i="6"/>
  <c r="BH7" i="6" s="1"/>
  <c r="BQ6" i="6"/>
  <c r="X7" i="6"/>
  <c r="AH7" i="6" s="1"/>
  <c r="BF7" i="6"/>
  <c r="BO6" i="6"/>
  <c r="AI6" i="6"/>
  <c r="BP6" i="6"/>
  <c r="AD6" i="6"/>
  <c r="BL6" i="6"/>
  <c r="AM7" i="6"/>
  <c r="BI7" i="6"/>
  <c r="AG4" i="6"/>
  <c r="BO4" i="6"/>
  <c r="AC7" i="6"/>
  <c r="BK7" i="6"/>
  <c r="AI4" i="6"/>
  <c r="BQ4" i="6"/>
  <c r="AD5" i="6"/>
  <c r="BL5" i="6"/>
  <c r="AD4" i="6"/>
  <c r="BL4" i="6"/>
  <c r="J7" i="6"/>
  <c r="BB7" i="6" s="1"/>
  <c r="R7" i="6"/>
  <c r="D13" i="3"/>
  <c r="M13" i="3" s="1"/>
  <c r="G9" i="6" s="1"/>
  <c r="C14" i="3"/>
  <c r="F13" i="3"/>
  <c r="O13" i="3" s="1"/>
  <c r="B7" i="5" s="1"/>
  <c r="C7" i="5" s="1"/>
  <c r="E13" i="3"/>
  <c r="N13" i="3" s="1"/>
  <c r="I9" i="6" s="1"/>
  <c r="BA9" i="6" s="1"/>
  <c r="R6" i="6"/>
  <c r="M8" i="6"/>
  <c r="AL8" i="6"/>
  <c r="O8" i="6"/>
  <c r="Z4" i="6"/>
  <c r="AH4" i="6"/>
  <c r="D21" i="6"/>
  <c r="A22" i="6"/>
  <c r="AI7" i="6"/>
  <c r="AB4" i="6"/>
  <c r="E8" i="6"/>
  <c r="W7" i="6"/>
  <c r="AA7" i="6"/>
  <c r="D8" i="6"/>
  <c r="J8" i="6" s="1"/>
  <c r="BB8" i="6" s="1"/>
  <c r="S8" i="6"/>
  <c r="Q8" i="6"/>
  <c r="A9" i="6"/>
  <c r="B8" i="6"/>
  <c r="D7" i="5"/>
  <c r="Z6" i="6"/>
  <c r="BR5" i="6" l="1"/>
  <c r="AY9" i="6"/>
  <c r="N9" i="6"/>
  <c r="BG8" i="6"/>
  <c r="P8" i="6"/>
  <c r="BH8" i="6" s="1"/>
  <c r="Y8" i="6"/>
  <c r="AI8" i="6" s="1"/>
  <c r="W8" i="6"/>
  <c r="AG8" i="6" s="1"/>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A8" i="6"/>
  <c r="S9" i="6"/>
  <c r="Q9" i="6"/>
  <c r="A10" i="6"/>
  <c r="D9" i="6"/>
  <c r="J9" i="6" s="1"/>
  <c r="BB9" i="6" s="1"/>
  <c r="E9" i="6"/>
  <c r="D14" i="3"/>
  <c r="M14" i="3" s="1"/>
  <c r="G10" i="6" s="1"/>
  <c r="C15" i="3"/>
  <c r="F14" i="3"/>
  <c r="O14" i="3" s="1"/>
  <c r="B8" i="5" s="1"/>
  <c r="C8" i="5" s="1"/>
  <c r="E14" i="3"/>
  <c r="N14" i="3" s="1"/>
  <c r="I10" i="6" s="1"/>
  <c r="BA10" i="6" s="1"/>
  <c r="A23" i="6"/>
  <c r="D22" i="6"/>
  <c r="AL9" i="6"/>
  <c r="M9" i="6"/>
  <c r="BE9" i="6" s="1"/>
  <c r="H9" i="6"/>
  <c r="AZ9" i="6" s="1"/>
  <c r="O9" i="6"/>
  <c r="BQ8" i="6" l="1"/>
  <c r="AY10" i="6"/>
  <c r="N10" i="6"/>
  <c r="BF10" i="6" s="1"/>
  <c r="BL7" i="6"/>
  <c r="BG9" i="6"/>
  <c r="P9" i="6"/>
  <c r="BH9" i="6" s="1"/>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AL10" i="6"/>
  <c r="M10" i="6"/>
  <c r="BE10" i="6" s="1"/>
  <c r="W9" i="6"/>
  <c r="R9" i="6"/>
  <c r="R8" i="6"/>
  <c r="D15" i="3"/>
  <c r="M15" i="3" s="1"/>
  <c r="G11" i="6" s="1"/>
  <c r="C16" i="3"/>
  <c r="F15" i="3"/>
  <c r="O15" i="3" s="1"/>
  <c r="B9" i="5" s="1"/>
  <c r="C9" i="5" s="1"/>
  <c r="E15" i="3"/>
  <c r="N15" i="3" s="1"/>
  <c r="I11" i="6" s="1"/>
  <c r="BA11" i="6" s="1"/>
  <c r="Y9" i="6"/>
  <c r="BQ9" i="6" l="1"/>
  <c r="AY11" i="6"/>
  <c r="N11" i="6"/>
  <c r="BF11" i="6" s="1"/>
  <c r="BG10" i="6"/>
  <c r="P10" i="6"/>
  <c r="BH10" i="6" s="1"/>
  <c r="BP9" i="6"/>
  <c r="AI9" i="6"/>
  <c r="AC10" i="6"/>
  <c r="BK10" i="6"/>
  <c r="AD9" i="6"/>
  <c r="BL9" i="6"/>
  <c r="AB9" i="6"/>
  <c r="BJ9" i="6"/>
  <c r="AB8" i="6"/>
  <c r="BJ8" i="6"/>
  <c r="AJ8" i="6"/>
  <c r="BR8" i="6"/>
  <c r="AG9" i="6"/>
  <c r="BO9" i="6"/>
  <c r="AM10" i="6"/>
  <c r="BI10" i="6"/>
  <c r="R10" i="6"/>
  <c r="B11" i="6"/>
  <c r="D10" i="5"/>
  <c r="D24" i="6"/>
  <c r="A25" i="6"/>
  <c r="E8" i="5"/>
  <c r="Q11" i="6"/>
  <c r="A12" i="6"/>
  <c r="D11" i="6"/>
  <c r="J11" i="6" s="1"/>
  <c r="BB11" i="6" s="1"/>
  <c r="S11" i="6"/>
  <c r="E11" i="6"/>
  <c r="O11" i="6"/>
  <c r="P11" i="6" s="1"/>
  <c r="AL11" i="6"/>
  <c r="M11" i="6"/>
  <c r="Z9" i="6"/>
  <c r="J10" i="6"/>
  <c r="BB10" i="6" s="1"/>
  <c r="X10" i="6"/>
  <c r="D16" i="3"/>
  <c r="M16" i="3" s="1"/>
  <c r="G12" i="6" s="1"/>
  <c r="C17" i="3"/>
  <c r="F16" i="3"/>
  <c r="O16" i="3" s="1"/>
  <c r="B10" i="5" s="1"/>
  <c r="C10" i="5" s="1"/>
  <c r="E16" i="3"/>
  <c r="N16" i="3" s="1"/>
  <c r="I12" i="6" s="1"/>
  <c r="BA12" i="6" s="1"/>
  <c r="Y10" i="6"/>
  <c r="AA10" i="6"/>
  <c r="W10" i="6"/>
  <c r="AY12" i="6" l="1"/>
  <c r="N12" i="6"/>
  <c r="W11" i="6"/>
  <c r="AG11" i="6" s="1"/>
  <c r="BE11" i="6"/>
  <c r="Y11" i="6"/>
  <c r="AI11" i="6" s="1"/>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B12" i="6"/>
  <c r="D11" i="5"/>
  <c r="E10" i="5" s="1"/>
  <c r="H11" i="6"/>
  <c r="AZ11" i="6" s="1"/>
  <c r="E9" i="5"/>
  <c r="AL12" i="6"/>
  <c r="O12" i="6"/>
  <c r="P12" i="6" s="1"/>
  <c r="M12" i="6"/>
  <c r="BE12" i="6" s="1"/>
  <c r="E12" i="6"/>
  <c r="T10" i="6"/>
  <c r="S12" i="6"/>
  <c r="Q12" i="6"/>
  <c r="D12" i="6"/>
  <c r="H12" i="6" s="1"/>
  <c r="AZ12" i="6" s="1"/>
  <c r="A13" i="6"/>
  <c r="D25" i="6"/>
  <c r="A26" i="6"/>
  <c r="X11" i="6"/>
  <c r="AY13" i="6" l="1"/>
  <c r="N13" i="6"/>
  <c r="BQ11" i="6"/>
  <c r="X12" i="6"/>
  <c r="AH12" i="6" s="1"/>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AY15" i="6" l="1"/>
  <c r="N15" i="6"/>
  <c r="BG14" i="6"/>
  <c r="P14" i="6"/>
  <c r="BH14" i="6" s="1"/>
  <c r="X14" i="6"/>
  <c r="AH14" i="6" s="1"/>
  <c r="BF14" i="6"/>
  <c r="BO13" i="6"/>
  <c r="BQ13" i="6"/>
  <c r="W14" i="6"/>
  <c r="BO14" i="6" s="1"/>
  <c r="BP13" i="6"/>
  <c r="AD12" i="6"/>
  <c r="BL12" i="6"/>
  <c r="AC14" i="6"/>
  <c r="BK14" i="6"/>
  <c r="AM14" i="6"/>
  <c r="BI14" i="6"/>
  <c r="AJ12" i="6"/>
  <c r="BR12" i="6"/>
  <c r="AD13" i="6"/>
  <c r="BL13" i="6"/>
  <c r="AA14" i="6"/>
  <c r="H14" i="6"/>
  <c r="AZ14" i="6" s="1"/>
  <c r="E15"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Y14" i="6"/>
  <c r="B15" i="6"/>
  <c r="D14" i="5"/>
  <c r="E13" i="5" s="1"/>
  <c r="T14" i="6"/>
  <c r="AY16" i="6" l="1"/>
  <c r="N16" i="6"/>
  <c r="BF16" i="6" s="1"/>
  <c r="AG14" i="6"/>
  <c r="X15" i="6"/>
  <c r="BF15" i="6"/>
  <c r="Y15" i="6"/>
  <c r="AI15" i="6" s="1"/>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L16" i="6"/>
  <c r="O16" i="6"/>
  <c r="M16" i="6"/>
  <c r="BE16" i="6" s="1"/>
  <c r="H16" i="6"/>
  <c r="AZ16" i="6" s="1"/>
  <c r="Q16" i="6"/>
  <c r="N17" i="6" l="1"/>
  <c r="BF17" i="6" s="1"/>
  <c r="BG16" i="6"/>
  <c r="P16" i="6"/>
  <c r="BH16" i="6" s="1"/>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T17" i="6"/>
  <c r="Z16" i="6"/>
  <c r="E32" i="6" l="1"/>
  <c r="AY19" i="6"/>
  <c r="N19" i="6"/>
  <c r="BF19" i="6" s="1"/>
  <c r="BG18" i="6"/>
  <c r="P18" i="6"/>
  <c r="BH18" i="6" s="1"/>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M19" i="6"/>
  <c r="BE19" i="6" s="1"/>
  <c r="Q19" i="6"/>
  <c r="D32" i="6"/>
  <c r="E33" i="6" s="1"/>
  <c r="A33" i="6"/>
  <c r="Y18" i="6"/>
  <c r="W18" i="6"/>
  <c r="X18" i="6"/>
  <c r="R18" i="6"/>
  <c r="Z17" i="6"/>
  <c r="AY20" i="6" l="1"/>
  <c r="N20" i="6"/>
  <c r="BF20" i="6" s="1"/>
  <c r="BG19" i="6"/>
  <c r="P19" i="6"/>
  <c r="BH19" i="6" s="1"/>
  <c r="AI18" i="6"/>
  <c r="BQ18" i="6"/>
  <c r="AB18" i="6"/>
  <c r="BJ18" i="6"/>
  <c r="AD18" i="6"/>
  <c r="BL18" i="6"/>
  <c r="AH18" i="6"/>
  <c r="BP18" i="6"/>
  <c r="AC19" i="6"/>
  <c r="BK19" i="6"/>
  <c r="AG18" i="6"/>
  <c r="BO18" i="6"/>
  <c r="AJ17" i="6"/>
  <c r="BR17" i="6"/>
  <c r="AM19" i="6"/>
  <c r="BI19" i="6"/>
  <c r="R19" i="6"/>
  <c r="T19" i="6"/>
  <c r="J20" i="6"/>
  <c r="BB20" i="6" s="1"/>
  <c r="S20" i="6"/>
  <c r="B20" i="6"/>
  <c r="D19" i="5"/>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F22" i="6" s="1"/>
  <c r="BG21" i="6"/>
  <c r="P21" i="6"/>
  <c r="BH21" i="6" s="1"/>
  <c r="AJ19" i="6"/>
  <c r="BR19" i="6"/>
  <c r="AI20" i="6"/>
  <c r="BQ20" i="6"/>
  <c r="AH20" i="6"/>
  <c r="BP20" i="6"/>
  <c r="AB20" i="6"/>
  <c r="BJ20" i="6"/>
  <c r="AC21" i="6"/>
  <c r="BK21" i="6"/>
  <c r="AM21" i="6"/>
  <c r="BI21" i="6"/>
  <c r="AD20" i="6"/>
  <c r="BL20" i="6"/>
  <c r="AG20" i="6"/>
  <c r="BO20" i="6"/>
  <c r="X21" i="6"/>
  <c r="J22" i="6"/>
  <c r="BB22" i="6" s="1"/>
  <c r="S22" i="6"/>
  <c r="B22" i="6"/>
  <c r="D21" i="5"/>
  <c r="E19" i="5"/>
  <c r="T21" i="6"/>
  <c r="Y21" i="6"/>
  <c r="H22" i="6"/>
  <c r="AZ22" i="6" s="1"/>
  <c r="O22" i="6"/>
  <c r="AL22" i="6"/>
  <c r="M22" i="6"/>
  <c r="BE22" i="6" s="1"/>
  <c r="Q22" i="6"/>
  <c r="A36" i="6"/>
  <c r="D35" i="6"/>
  <c r="E36" i="6" s="1"/>
  <c r="R21" i="6"/>
  <c r="AA21" i="6"/>
  <c r="D27" i="3"/>
  <c r="M27" i="3" s="1"/>
  <c r="G23" i="6" s="1"/>
  <c r="C28" i="3"/>
  <c r="F27" i="3"/>
  <c r="O27" i="3" s="1"/>
  <c r="B21" i="5" s="1"/>
  <c r="C21" i="5" s="1"/>
  <c r="E27" i="3"/>
  <c r="N27" i="3" s="1"/>
  <c r="I23" i="6" s="1"/>
  <c r="BA23" i="6" s="1"/>
  <c r="Z20" i="6"/>
  <c r="W21" i="6"/>
  <c r="AY23" i="6" l="1"/>
  <c r="N23" i="6"/>
  <c r="BF23" i="6" s="1"/>
  <c r="BG22" i="6"/>
  <c r="P22" i="6"/>
  <c r="BH22" i="6" s="1"/>
  <c r="AD21" i="6"/>
  <c r="BL21" i="6"/>
  <c r="AM22" i="6"/>
  <c r="BI22" i="6"/>
  <c r="AC22" i="6"/>
  <c r="BK22" i="6"/>
  <c r="AB21" i="6"/>
  <c r="BJ21" i="6"/>
  <c r="AJ20" i="6"/>
  <c r="BR20" i="6"/>
  <c r="AG21" i="6"/>
  <c r="BO21" i="6"/>
  <c r="AI21" i="6"/>
  <c r="BQ21" i="6"/>
  <c r="AH21" i="6"/>
  <c r="BP21" i="6"/>
  <c r="AA22" i="6"/>
  <c r="D36" i="6"/>
  <c r="E37" i="6" s="1"/>
  <c r="A37"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BH24" i="6" s="1"/>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Y24" i="6"/>
  <c r="X24" i="6"/>
  <c r="B25" i="6"/>
  <c r="D24" i="5"/>
  <c r="E23" i="5" s="1"/>
  <c r="Z23" i="6"/>
  <c r="E22" i="5"/>
  <c r="AY26" i="6" l="1"/>
  <c r="N26" i="6"/>
  <c r="BF26" i="6" s="1"/>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AL26" i="6"/>
  <c r="M26" i="6"/>
  <c r="BE26" i="6" s="1"/>
  <c r="Q26" i="6"/>
  <c r="B26" i="6"/>
  <c r="D25" i="5"/>
  <c r="E24" i="5" s="1"/>
  <c r="W25" i="6"/>
  <c r="A40" i="6"/>
  <c r="D39" i="6"/>
  <c r="E40" i="6" s="1"/>
  <c r="Y25" i="6"/>
  <c r="Z24" i="6"/>
  <c r="X25" i="6"/>
  <c r="T25" i="6"/>
  <c r="R25" i="6"/>
  <c r="AY27" i="6" l="1"/>
  <c r="N27" i="6"/>
  <c r="BF27" i="6" s="1"/>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M27" i="6"/>
  <c r="BE27" i="6" s="1"/>
  <c r="Q27" i="6"/>
  <c r="AY28" i="6" l="1"/>
  <c r="N28" i="6"/>
  <c r="BF28" i="6" s="1"/>
  <c r="BG27" i="6"/>
  <c r="P27" i="6"/>
  <c r="BH27" i="6" s="1"/>
  <c r="AH26" i="6"/>
  <c r="BP26" i="6"/>
  <c r="AC27" i="6"/>
  <c r="BK27" i="6"/>
  <c r="AJ25" i="6"/>
  <c r="BR25" i="6"/>
  <c r="AD26" i="6"/>
  <c r="BL26" i="6"/>
  <c r="AB26" i="6"/>
  <c r="BJ26" i="6"/>
  <c r="AI26" i="6"/>
  <c r="BQ26" i="6"/>
  <c r="AG26" i="6"/>
  <c r="BO26" i="6"/>
  <c r="AM27" i="6"/>
  <c r="BI27" i="6"/>
  <c r="B28" i="6"/>
  <c r="D27" i="5"/>
  <c r="X27" i="6"/>
  <c r="J28" i="6"/>
  <c r="BB28" i="6" s="1"/>
  <c r="S28" i="6"/>
  <c r="AA27" i="6"/>
  <c r="Y27" i="6"/>
  <c r="BQ27" i="6" s="1"/>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AY29" i="6" l="1"/>
  <c r="N29" i="6"/>
  <c r="BF29" i="6" s="1"/>
  <c r="BG28" i="6"/>
  <c r="P28" i="6"/>
  <c r="BH28" i="6" s="1"/>
  <c r="AB27" i="6"/>
  <c r="BJ27" i="6"/>
  <c r="AG27" i="6"/>
  <c r="BO27" i="6"/>
  <c r="AC28" i="6"/>
  <c r="BK28" i="6"/>
  <c r="AD27" i="6"/>
  <c r="BL27" i="6"/>
  <c r="AM28" i="6"/>
  <c r="BI28" i="6"/>
  <c r="AH27" i="6"/>
  <c r="BP27" i="6"/>
  <c r="AJ26" i="6"/>
  <c r="BR26" i="6"/>
  <c r="AA28" i="6"/>
  <c r="AI27" i="6"/>
  <c r="J29" i="6"/>
  <c r="BB29" i="6" s="1"/>
  <c r="S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Y28" i="6"/>
  <c r="AY30" i="6" l="1"/>
  <c r="N30" i="6"/>
  <c r="BG29" i="6"/>
  <c r="P29" i="6"/>
  <c r="BH29" i="6" s="1"/>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Y29" i="6"/>
  <c r="X29" i="6"/>
  <c r="R29" i="6"/>
  <c r="W29" i="6"/>
  <c r="H30" i="6"/>
  <c r="AZ30" i="6" s="1"/>
  <c r="O30" i="6"/>
  <c r="BF30" i="6"/>
  <c r="AL30" i="6"/>
  <c r="M30" i="6"/>
  <c r="BE30" i="6" s="1"/>
  <c r="Q30" i="6"/>
  <c r="AA29" i="6"/>
  <c r="AY31" i="6" l="1"/>
  <c r="N31" i="6"/>
  <c r="BF31" i="6" s="1"/>
  <c r="BG30" i="6"/>
  <c r="P30" i="6"/>
  <c r="BH30" i="6" s="1"/>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Y30" i="6"/>
  <c r="Z29" i="6"/>
  <c r="R30" i="6"/>
  <c r="AY32" i="6" l="1"/>
  <c r="N32" i="6"/>
  <c r="BG31" i="6"/>
  <c r="P31" i="6"/>
  <c r="AJ29" i="6"/>
  <c r="BR29" i="6"/>
  <c r="AG30" i="6"/>
  <c r="BO30" i="6"/>
  <c r="AH30" i="6"/>
  <c r="BP30" i="6"/>
  <c r="AI30" i="6"/>
  <c r="BQ30" i="6"/>
  <c r="AM31" i="6"/>
  <c r="BI31" i="6"/>
  <c r="AB30" i="6"/>
  <c r="BJ30" i="6"/>
  <c r="AD30" i="6"/>
  <c r="BL30" i="6"/>
  <c r="AC31" i="6"/>
  <c r="BK31" i="6"/>
  <c r="AA31" i="6"/>
  <c r="B32" i="6"/>
  <c r="D31" i="5"/>
  <c r="BH31" i="6"/>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AY33" i="6" l="1"/>
  <c r="N33" i="6"/>
  <c r="BF33" i="6" s="1"/>
  <c r="BG32" i="6"/>
  <c r="P32" i="6"/>
  <c r="BH32" i="6" s="1"/>
  <c r="AI31" i="6"/>
  <c r="BQ31" i="6"/>
  <c r="AG31" i="6"/>
  <c r="BO31" i="6"/>
  <c r="AJ30" i="6"/>
  <c r="BR30" i="6"/>
  <c r="AD31" i="6"/>
  <c r="BL31" i="6"/>
  <c r="AH31" i="6"/>
  <c r="BP31" i="6"/>
  <c r="AM32" i="6"/>
  <c r="BI32" i="6"/>
  <c r="AB31" i="6"/>
  <c r="BJ31" i="6"/>
  <c r="AC32" i="6"/>
  <c r="BK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AY34" i="6" l="1"/>
  <c r="N34" i="6"/>
  <c r="BF34" i="6" s="1"/>
  <c r="BG33" i="6"/>
  <c r="P33" i="6"/>
  <c r="BH33"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Y33" i="6"/>
  <c r="T33" i="6"/>
  <c r="AA33" i="6"/>
  <c r="D39" i="3"/>
  <c r="M39" i="3" s="1"/>
  <c r="G35" i="6" s="1"/>
  <c r="C40" i="3"/>
  <c r="F39" i="3"/>
  <c r="O39" i="3" s="1"/>
  <c r="B33" i="5" s="1"/>
  <c r="C33" i="5" s="1"/>
  <c r="E39" i="3"/>
  <c r="N39" i="3" s="1"/>
  <c r="I35" i="6" s="1"/>
  <c r="BA35" i="6" s="1"/>
  <c r="X33" i="6"/>
  <c r="H34" i="6"/>
  <c r="AZ34" i="6" s="1"/>
  <c r="AL34" i="6"/>
  <c r="M34" i="6"/>
  <c r="BE34" i="6" s="1"/>
  <c r="O34" i="6"/>
  <c r="Q34" i="6"/>
  <c r="Z32" i="6"/>
  <c r="AY35" i="6" l="1"/>
  <c r="N35" i="6"/>
  <c r="BF35" i="6" s="1"/>
  <c r="BG34" i="6"/>
  <c r="P34" i="6"/>
  <c r="BH34" i="6" s="1"/>
  <c r="AM34" i="6"/>
  <c r="BI34" i="6"/>
  <c r="AB33" i="6"/>
  <c r="BJ33" i="6"/>
  <c r="AD33" i="6"/>
  <c r="BL33" i="6"/>
  <c r="AJ32" i="6"/>
  <c r="BR32" i="6"/>
  <c r="AI33" i="6"/>
  <c r="BQ33" i="6"/>
  <c r="AG33" i="6"/>
  <c r="BO33" i="6"/>
  <c r="AC34" i="6"/>
  <c r="BK34" i="6"/>
  <c r="AH33" i="6"/>
  <c r="BP33" i="6"/>
  <c r="AA34" i="6"/>
  <c r="O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Y34" i="6"/>
  <c r="J35" i="6"/>
  <c r="BB35" i="6" s="1"/>
  <c r="S35" i="6"/>
  <c r="Z33" i="6"/>
  <c r="AY36" i="6" l="1"/>
  <c r="N36" i="6"/>
  <c r="BF36" i="6" s="1"/>
  <c r="BG35" i="6"/>
  <c r="P35" i="6"/>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BH35" i="6"/>
  <c r="Y35" i="6"/>
  <c r="D41" i="3"/>
  <c r="M41" i="3" s="1"/>
  <c r="G37" i="6" s="1"/>
  <c r="C42" i="3"/>
  <c r="F41" i="3"/>
  <c r="O41" i="3" s="1"/>
  <c r="B35" i="5" s="1"/>
  <c r="C35" i="5" s="1"/>
  <c r="E41" i="3"/>
  <c r="N41" i="3" s="1"/>
  <c r="I37" i="6" s="1"/>
  <c r="BA37" i="6" s="1"/>
  <c r="AA35" i="6"/>
  <c r="W35" i="6"/>
  <c r="T35" i="6"/>
  <c r="B36" i="6"/>
  <c r="D35" i="5"/>
  <c r="E34" i="5" s="1"/>
  <c r="X35" i="6"/>
  <c r="AY37" i="6" l="1"/>
  <c r="N37" i="6"/>
  <c r="BF37" i="6" s="1"/>
  <c r="BG36" i="6"/>
  <c r="P36" i="6"/>
  <c r="AG35" i="6"/>
  <c r="BO35" i="6"/>
  <c r="AB35" i="6"/>
  <c r="BJ35" i="6"/>
  <c r="AI35" i="6"/>
  <c r="BQ35" i="6"/>
  <c r="AJ34" i="6"/>
  <c r="BR34" i="6"/>
  <c r="AH35" i="6"/>
  <c r="BP35" i="6"/>
  <c r="AM36" i="6"/>
  <c r="BI36" i="6"/>
  <c r="AD35" i="6"/>
  <c r="BL35" i="6"/>
  <c r="AC36" i="6"/>
  <c r="BK36" i="6"/>
  <c r="AA36"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AY38" i="6" l="1"/>
  <c r="N38" i="6"/>
  <c r="BG37" i="6"/>
  <c r="P37"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BH38" i="6" s="1"/>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Y38" i="6"/>
  <c r="X38" i="6"/>
  <c r="H39" i="6"/>
  <c r="AZ39" i="6" s="1"/>
  <c r="O39" i="6"/>
  <c r="AL39" i="6"/>
  <c r="M39" i="6"/>
  <c r="BE39" i="6" s="1"/>
  <c r="Q39" i="6"/>
  <c r="AY40" i="6" l="1"/>
  <c r="N40" i="6"/>
  <c r="BF40" i="6" s="1"/>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M40" i="6"/>
  <c r="BE40" i="6" s="1"/>
  <c r="Q40" i="6"/>
  <c r="Z38" i="6"/>
  <c r="AA39" i="6"/>
  <c r="E37" i="5"/>
  <c r="AY41" i="6" l="1"/>
  <c r="N41" i="6"/>
  <c r="BF41" i="6" s="1"/>
  <c r="BG40" i="6"/>
  <c r="P40" i="6"/>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AY43" i="6" l="1"/>
  <c r="N43" i="6"/>
  <c r="BF43" i="6" s="1"/>
  <c r="BG42" i="6"/>
  <c r="P42" i="6"/>
  <c r="BH42"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Y42" i="6"/>
  <c r="BQ42" i="6" l="1"/>
  <c r="AY44" i="6"/>
  <c r="N44" i="6"/>
  <c r="BF44" i="6" s="1"/>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Q44" i="6"/>
  <c r="A58" i="6"/>
  <c r="D57" i="6"/>
  <c r="E58" i="6" s="1"/>
  <c r="B44" i="6"/>
  <c r="C44" i="6" s="1"/>
  <c r="F44" i="6" s="1"/>
  <c r="D43" i="5"/>
  <c r="E42" i="5" s="1"/>
  <c r="AY45" i="6" l="1"/>
  <c r="N45" i="6"/>
  <c r="BF45" i="6" s="1"/>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AY47" i="6" l="1"/>
  <c r="N47" i="6"/>
  <c r="BF47" i="6" s="1"/>
  <c r="BG46" i="6"/>
  <c r="P46" i="6"/>
  <c r="BH46"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Y46" i="6"/>
  <c r="R46" i="6"/>
  <c r="AY48" i="6" l="1"/>
  <c r="N48" i="6"/>
  <c r="BF48" i="6" s="1"/>
  <c r="BG47" i="6"/>
  <c r="P47" i="6"/>
  <c r="BH47" i="6" s="1"/>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Q48" i="6"/>
  <c r="A62" i="6"/>
  <c r="D61" i="6"/>
  <c r="E62" i="6" s="1"/>
  <c r="X47" i="6"/>
  <c r="W47" i="6"/>
  <c r="Y47" i="6"/>
  <c r="AY49" i="6" l="1"/>
  <c r="N49" i="6"/>
  <c r="BG48" i="6"/>
  <c r="P48" i="6"/>
  <c r="BH48" i="6" s="1"/>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Y48" i="6"/>
  <c r="J49" i="6"/>
  <c r="BB49" i="6" s="1"/>
  <c r="S49" i="6"/>
  <c r="AY50" i="6" l="1"/>
  <c r="N50" i="6"/>
  <c r="BF50" i="6" s="1"/>
  <c r="BG49" i="6"/>
  <c r="P49" i="6"/>
  <c r="BH49" i="6" s="1"/>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Y49" i="6"/>
  <c r="Z48" i="6"/>
  <c r="E47" i="5"/>
  <c r="A64" i="6"/>
  <c r="D63" i="6"/>
  <c r="E64" i="6" s="1"/>
  <c r="D55" i="3"/>
  <c r="M55" i="3" s="1"/>
  <c r="G51" i="6" s="1"/>
  <c r="C56" i="3"/>
  <c r="F55" i="3"/>
  <c r="O55" i="3" s="1"/>
  <c r="B49" i="5" s="1"/>
  <c r="C49" i="5" s="1"/>
  <c r="E55" i="3"/>
  <c r="N55" i="3" s="1"/>
  <c r="I51" i="6" s="1"/>
  <c r="BA51" i="6" s="1"/>
  <c r="H50" i="6"/>
  <c r="AZ50" i="6" s="1"/>
  <c r="O50" i="6"/>
  <c r="AL50" i="6"/>
  <c r="M50" i="6"/>
  <c r="BE50" i="6" s="1"/>
  <c r="Q50" i="6"/>
  <c r="R49" i="6"/>
  <c r="AY51" i="6" l="1"/>
  <c r="N51" i="6"/>
  <c r="BF51" i="6" s="1"/>
  <c r="BG50" i="6"/>
  <c r="P50" i="6"/>
  <c r="BH50"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AY53" i="6" l="1"/>
  <c r="N53" i="6"/>
  <c r="BF53" i="6" s="1"/>
  <c r="BG52" i="6"/>
  <c r="P52" i="6"/>
  <c r="BH52" i="6" s="1"/>
  <c r="AJ50" i="6"/>
  <c r="BR50" i="6"/>
  <c r="AH51" i="6"/>
  <c r="BP51" i="6"/>
  <c r="AG51" i="6"/>
  <c r="BO51" i="6"/>
  <c r="AI51" i="6"/>
  <c r="BQ51" i="6"/>
  <c r="AM52" i="6"/>
  <c r="BI52" i="6"/>
  <c r="AB51" i="6"/>
  <c r="BJ51" i="6"/>
  <c r="AD51" i="6"/>
  <c r="BL51" i="6"/>
  <c r="AC52" i="6"/>
  <c r="BK52" i="6"/>
  <c r="T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F54" i="6" s="1"/>
  <c r="BG53" i="6"/>
  <c r="P53" i="6"/>
  <c r="BH53" i="6" s="1"/>
  <c r="AH52" i="6"/>
  <c r="BP52" i="6"/>
  <c r="AG52" i="6"/>
  <c r="BO52" i="6"/>
  <c r="AJ51" i="6"/>
  <c r="BR51" i="6"/>
  <c r="AI52" i="6"/>
  <c r="BQ52" i="6"/>
  <c r="AB52" i="6"/>
  <c r="BJ52" i="6"/>
  <c r="AC53" i="6"/>
  <c r="BK53" i="6"/>
  <c r="AM53" i="6"/>
  <c r="BI53" i="6"/>
  <c r="AD52" i="6"/>
  <c r="BL52" i="6"/>
  <c r="H54" i="6"/>
  <c r="AZ54" i="6" s="1"/>
  <c r="O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AY55" i="6" l="1"/>
  <c r="N55" i="6"/>
  <c r="BF55" i="6" s="1"/>
  <c r="BG54" i="6"/>
  <c r="P54" i="6"/>
  <c r="BH54" i="6" s="1"/>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Y54" i="6"/>
  <c r="E52" i="5"/>
  <c r="Z53" i="6"/>
  <c r="R54" i="6"/>
  <c r="H55" i="6"/>
  <c r="AZ55" i="6" s="1"/>
  <c r="O55" i="6"/>
  <c r="AL55" i="6"/>
  <c r="M55" i="6"/>
  <c r="BE55" i="6" s="1"/>
  <c r="Q55" i="6"/>
  <c r="AA54" i="6"/>
  <c r="W54" i="6"/>
  <c r="D60" i="3"/>
  <c r="M60" i="3" s="1"/>
  <c r="G56" i="6" s="1"/>
  <c r="C61" i="3"/>
  <c r="F60" i="3"/>
  <c r="O60" i="3" s="1"/>
  <c r="B54" i="5" s="1"/>
  <c r="C54" i="5" s="1"/>
  <c r="E60" i="3"/>
  <c r="N60" i="3" s="1"/>
  <c r="I56" i="6" s="1"/>
  <c r="BA56" i="6" s="1"/>
  <c r="AY56" i="6" l="1"/>
  <c r="N56" i="6"/>
  <c r="BF56" i="6" s="1"/>
  <c r="BG55" i="6"/>
  <c r="P55" i="6"/>
  <c r="BH55" i="6" s="1"/>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Y55" i="6"/>
  <c r="AL56" i="6"/>
  <c r="M56" i="6"/>
  <c r="BE56" i="6" s="1"/>
  <c r="H56" i="6"/>
  <c r="AZ56" i="6" s="1"/>
  <c r="O56" i="6"/>
  <c r="Q56" i="6"/>
  <c r="W55" i="6"/>
  <c r="X55" i="6"/>
  <c r="R55" i="6"/>
  <c r="AA55" i="6"/>
  <c r="Z54" i="6"/>
  <c r="B56" i="6"/>
  <c r="C56" i="6" s="1"/>
  <c r="F56" i="6" s="1"/>
  <c r="D55" i="5"/>
  <c r="E54" i="5" s="1"/>
  <c r="AY57" i="6" l="1"/>
  <c r="N57" i="6"/>
  <c r="BF57" i="6" s="1"/>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AL57" i="6"/>
  <c r="M57" i="6"/>
  <c r="BE57" i="6" s="1"/>
  <c r="H57" i="6"/>
  <c r="AZ57" i="6" s="1"/>
  <c r="Q57" i="6"/>
  <c r="Z55" i="6"/>
  <c r="X56" i="6"/>
  <c r="Y56" i="6"/>
  <c r="R56" i="6"/>
  <c r="AA56" i="6"/>
  <c r="AY58" i="6" l="1"/>
  <c r="N58" i="6"/>
  <c r="BF58" i="6" s="1"/>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AY60" i="6" l="1"/>
  <c r="N60" i="6"/>
  <c r="BF60" i="6" s="1"/>
  <c r="BG59" i="6"/>
  <c r="P59" i="6"/>
  <c r="BH59"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Y59" i="6"/>
  <c r="R59" i="6"/>
  <c r="E57" i="5"/>
  <c r="AY61" i="6" l="1"/>
  <c r="N61" i="6"/>
  <c r="BF61" i="6" s="1"/>
  <c r="BG60" i="6"/>
  <c r="P60" i="6"/>
  <c r="BH60" i="6" s="1"/>
  <c r="AC60" i="6"/>
  <c r="AG59" i="6"/>
  <c r="BO59" i="6"/>
  <c r="AH59" i="6"/>
  <c r="BP59" i="6"/>
  <c r="AD59" i="6"/>
  <c r="BL59" i="6"/>
  <c r="AJ58" i="6"/>
  <c r="BR58" i="6"/>
  <c r="AB59" i="6"/>
  <c r="BJ59" i="6"/>
  <c r="AI59" i="6"/>
  <c r="BQ59" i="6"/>
  <c r="AM60" i="6"/>
  <c r="BI60" i="6"/>
  <c r="J61" i="6"/>
  <c r="BB61" i="6" s="1"/>
  <c r="S61" i="6"/>
  <c r="D74" i="6"/>
  <c r="E75" i="6" s="1"/>
  <c r="A75"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G61" i="6"/>
  <c r="P61" i="6"/>
  <c r="BH61" i="6" s="1"/>
  <c r="AD60" i="6"/>
  <c r="BL60" i="6"/>
  <c r="AB60" i="6"/>
  <c r="BJ60" i="6"/>
  <c r="AG60" i="6"/>
  <c r="BO60" i="6"/>
  <c r="AC61" i="6"/>
  <c r="BK61" i="6"/>
  <c r="AJ59" i="6"/>
  <c r="BR59" i="6"/>
  <c r="AI60" i="6"/>
  <c r="BQ60" i="6"/>
  <c r="AH60" i="6"/>
  <c r="BP60" i="6"/>
  <c r="AM61" i="6"/>
  <c r="BI61" i="6"/>
  <c r="H62" i="6"/>
  <c r="AZ62" i="6" s="1"/>
  <c r="O62" i="6"/>
  <c r="BF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Y61" i="6"/>
  <c r="AY63" i="6" l="1"/>
  <c r="N63" i="6"/>
  <c r="BF63" i="6" s="1"/>
  <c r="BG62" i="6"/>
  <c r="P62" i="6"/>
  <c r="BH62"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Y62" i="6"/>
  <c r="Z61" i="6"/>
  <c r="R62" i="6"/>
  <c r="W62" i="6"/>
  <c r="J63" i="6"/>
  <c r="BB63" i="6" s="1"/>
  <c r="S63" i="6"/>
  <c r="AY64" i="6" l="1"/>
  <c r="N64" i="6"/>
  <c r="BF64" i="6" s="1"/>
  <c r="BG63" i="6"/>
  <c r="P63" i="6"/>
  <c r="BH63" i="6" s="1"/>
  <c r="AG62" i="6"/>
  <c r="BO62" i="6"/>
  <c r="AM63" i="6"/>
  <c r="BI63" i="6"/>
  <c r="AD62" i="6"/>
  <c r="BL62" i="6"/>
  <c r="AB62" i="6"/>
  <c r="BJ62" i="6"/>
  <c r="AI62" i="6"/>
  <c r="BQ62" i="6"/>
  <c r="AJ61" i="6"/>
  <c r="BR61" i="6"/>
  <c r="AC63" i="6"/>
  <c r="BK63" i="6"/>
  <c r="AH62" i="6"/>
  <c r="BP62" i="6"/>
  <c r="W63" i="6"/>
  <c r="J64" i="6"/>
  <c r="BB64" i="6" s="1"/>
  <c r="S64"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AY65" i="6" l="1"/>
  <c r="N65" i="6"/>
  <c r="BG64" i="6"/>
  <c r="P64" i="6"/>
  <c r="BH64" i="6" s="1"/>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BH65" i="6" s="1"/>
  <c r="AG64" i="6"/>
  <c r="BO64" i="6"/>
  <c r="AJ63" i="6"/>
  <c r="BR63" i="6"/>
  <c r="AI64" i="6"/>
  <c r="BQ64" i="6"/>
  <c r="AH64" i="6"/>
  <c r="BP64" i="6"/>
  <c r="AB64" i="6"/>
  <c r="BJ64" i="6"/>
  <c r="AM65" i="6"/>
  <c r="BI65" i="6"/>
  <c r="AC65" i="6"/>
  <c r="BK65" i="6"/>
  <c r="AD64" i="6"/>
  <c r="BL64"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BH66" i="6" s="1"/>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Y66" i="6"/>
  <c r="Z65" i="6"/>
  <c r="AY68" i="6" l="1"/>
  <c r="N68" i="6"/>
  <c r="BF68" i="6" s="1"/>
  <c r="BG67" i="6"/>
  <c r="P67" i="6"/>
  <c r="BH67" i="6" s="1"/>
  <c r="AI66" i="6"/>
  <c r="BQ66" i="6"/>
  <c r="AD66" i="6"/>
  <c r="BL66" i="6"/>
  <c r="AG66" i="6"/>
  <c r="BO66" i="6"/>
  <c r="AC67" i="6"/>
  <c r="BK67" i="6"/>
  <c r="AH66" i="6"/>
  <c r="BP66" i="6"/>
  <c r="AM67" i="6"/>
  <c r="BI67" i="6"/>
  <c r="AJ65" i="6"/>
  <c r="BR65" i="6"/>
  <c r="AB66" i="6"/>
  <c r="BJ66" i="6"/>
  <c r="AL68" i="6"/>
  <c r="M68" i="6"/>
  <c r="BE68" i="6" s="1"/>
  <c r="O68" i="6"/>
  <c r="H68" i="6"/>
  <c r="AZ68" i="6" s="1"/>
  <c r="Q68"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F69" i="6" s="1"/>
  <c r="BG68" i="6"/>
  <c r="P68" i="6"/>
  <c r="BH68" i="6" s="1"/>
  <c r="AD67" i="6"/>
  <c r="BL67" i="6"/>
  <c r="AM68" i="6"/>
  <c r="BI68" i="6"/>
  <c r="AB67" i="6"/>
  <c r="BJ67" i="6"/>
  <c r="AJ66" i="6"/>
  <c r="BR66" i="6"/>
  <c r="AC68" i="6"/>
  <c r="BK68" i="6"/>
  <c r="AG67" i="6"/>
  <c r="BO67" i="6"/>
  <c r="AI67" i="6"/>
  <c r="BQ67" i="6"/>
  <c r="AH67" i="6"/>
  <c r="BP67" i="6"/>
  <c r="AA68" i="6"/>
  <c r="T68" i="6"/>
  <c r="R68" i="6"/>
  <c r="Y68" i="6"/>
  <c r="D82" i="6"/>
  <c r="E83" i="6" s="1"/>
  <c r="A83" i="6"/>
  <c r="Z67" i="6"/>
  <c r="J69" i="6"/>
  <c r="BB69" i="6" s="1"/>
  <c r="S69" i="6"/>
  <c r="W68" i="6"/>
  <c r="D74" i="3"/>
  <c r="M74" i="3" s="1"/>
  <c r="G70" i="6" s="1"/>
  <c r="C75" i="3"/>
  <c r="F74" i="3"/>
  <c r="O74" i="3" s="1"/>
  <c r="B68" i="5" s="1"/>
  <c r="C68" i="5" s="1"/>
  <c r="E74" i="3"/>
  <c r="N74" i="3" s="1"/>
  <c r="I70" i="6" s="1"/>
  <c r="BA70" i="6" s="1"/>
  <c r="X68" i="6"/>
  <c r="O69" i="6"/>
  <c r="AL69" i="6"/>
  <c r="M69" i="6"/>
  <c r="BE69" i="6" s="1"/>
  <c r="H69" i="6"/>
  <c r="AZ69" i="6" s="1"/>
  <c r="Q69" i="6"/>
  <c r="B69" i="6"/>
  <c r="C69" i="6" s="1"/>
  <c r="F69" i="6" s="1"/>
  <c r="D68" i="5"/>
  <c r="AY70" i="6" l="1"/>
  <c r="N70" i="6"/>
  <c r="BF70" i="6" s="1"/>
  <c r="BG69" i="6"/>
  <c r="P69" i="6"/>
  <c r="BH69" i="6" s="1"/>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AL70" i="6"/>
  <c r="M70" i="6"/>
  <c r="BE70" i="6" s="1"/>
  <c r="Q70" i="6"/>
  <c r="Z68" i="6"/>
  <c r="AA69" i="6"/>
  <c r="X69" i="6"/>
  <c r="D75" i="3"/>
  <c r="M75" i="3" s="1"/>
  <c r="G71" i="6" s="1"/>
  <c r="C76" i="3"/>
  <c r="F75" i="3"/>
  <c r="O75" i="3" s="1"/>
  <c r="B69" i="5" s="1"/>
  <c r="C69" i="5" s="1"/>
  <c r="E75" i="3"/>
  <c r="N75" i="3" s="1"/>
  <c r="I71" i="6" s="1"/>
  <c r="BA71" i="6" s="1"/>
  <c r="A84" i="6"/>
  <c r="D83" i="6"/>
  <c r="E84" i="6" s="1"/>
  <c r="E67" i="5"/>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F72" i="6" s="1"/>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F73" i="6" s="1"/>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M73" i="6"/>
  <c r="BE73" i="6" s="1"/>
  <c r="Q73" i="6"/>
  <c r="W72" i="6"/>
  <c r="AY74" i="6" l="1"/>
  <c r="N74" i="6"/>
  <c r="BG73" i="6"/>
  <c r="P73" i="6"/>
  <c r="BH73"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BF74" i="6"/>
  <c r="H74" i="6"/>
  <c r="AZ74" i="6" s="1"/>
  <c r="Q74" i="6"/>
  <c r="BQ73" i="6" l="1"/>
  <c r="AY75" i="6"/>
  <c r="N75" i="6"/>
  <c r="BF75" i="6" s="1"/>
  <c r="BG74" i="6"/>
  <c r="P74" i="6"/>
  <c r="BH74" i="6" s="1"/>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AL75" i="6"/>
  <c r="M75" i="6"/>
  <c r="BE75" i="6" s="1"/>
  <c r="H75" i="6"/>
  <c r="AZ75" i="6" s="1"/>
  <c r="Q75" i="6"/>
  <c r="X74" i="6"/>
  <c r="D80" i="3"/>
  <c r="M80" i="3" s="1"/>
  <c r="G76" i="6" s="1"/>
  <c r="C81" i="3"/>
  <c r="F80" i="3"/>
  <c r="O80" i="3" s="1"/>
  <c r="B74" i="5" s="1"/>
  <c r="C74" i="5" s="1"/>
  <c r="E80" i="3"/>
  <c r="N80" i="3" s="1"/>
  <c r="I76" i="6" s="1"/>
  <c r="BA76" i="6" s="1"/>
  <c r="Y74" i="6"/>
  <c r="AY76" i="6" l="1"/>
  <c r="N76" i="6"/>
  <c r="BF76" i="6" s="1"/>
  <c r="BG75" i="6"/>
  <c r="P75" i="6"/>
  <c r="BH75"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G76" i="6"/>
  <c r="P76" i="6"/>
  <c r="AD75" i="6"/>
  <c r="BL75" i="6"/>
  <c r="AG75" i="6"/>
  <c r="BO75" i="6"/>
  <c r="AH75" i="6"/>
  <c r="BP75" i="6"/>
  <c r="AB75" i="6"/>
  <c r="BJ75" i="6"/>
  <c r="AJ74" i="6"/>
  <c r="BR74" i="6"/>
  <c r="AI75" i="6"/>
  <c r="BQ75" i="6"/>
  <c r="AC76" i="6"/>
  <c r="BK76" i="6"/>
  <c r="AM76" i="6"/>
  <c r="BI76" i="6"/>
  <c r="AL77" i="6"/>
  <c r="M77" i="6"/>
  <c r="BE77" i="6" s="1"/>
  <c r="BF77" i="6"/>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F78" i="6" s="1"/>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Q78" i="6"/>
  <c r="B78" i="6"/>
  <c r="C78" i="6" s="1"/>
  <c r="F78" i="6" s="1"/>
  <c r="D77" i="5"/>
  <c r="E76" i="5" s="1"/>
  <c r="Z76" i="6"/>
  <c r="T77" i="6"/>
  <c r="W77" i="6"/>
  <c r="AY79" i="6" l="1"/>
  <c r="N79" i="6"/>
  <c r="BF79" i="6" s="1"/>
  <c r="BG78" i="6"/>
  <c r="P78" i="6"/>
  <c r="BH78"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BF80" i="6"/>
  <c r="Q80" i="6"/>
  <c r="Z78" i="6"/>
  <c r="AA79" i="6"/>
  <c r="W79" i="6"/>
  <c r="E77" i="5"/>
  <c r="X79" i="6"/>
  <c r="A94" i="6"/>
  <c r="D93" i="6"/>
  <c r="E94" i="6" s="1"/>
  <c r="AY81" i="6" l="1"/>
  <c r="N81" i="6"/>
  <c r="BF81" i="6" s="1"/>
  <c r="BG80" i="6"/>
  <c r="P80" i="6"/>
  <c r="BH80" i="6" s="1"/>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Y80" i="6"/>
  <c r="R80" i="6"/>
  <c r="J81" i="6"/>
  <c r="BB81" i="6" s="1"/>
  <c r="S81" i="6"/>
  <c r="D94" i="6"/>
  <c r="E95" i="6" s="1"/>
  <c r="A95" i="6"/>
  <c r="X80" i="6"/>
  <c r="D86" i="3"/>
  <c r="M86" i="3" s="1"/>
  <c r="G82" i="6" s="1"/>
  <c r="C87" i="3"/>
  <c r="F86" i="3"/>
  <c r="O86" i="3" s="1"/>
  <c r="B80" i="5" s="1"/>
  <c r="C80" i="5" s="1"/>
  <c r="E86" i="3"/>
  <c r="N86" i="3" s="1"/>
  <c r="I82" i="6" s="1"/>
  <c r="BA82" i="6" s="1"/>
  <c r="AY82" i="6" l="1"/>
  <c r="N82" i="6"/>
  <c r="BG81" i="6"/>
  <c r="P81" i="6"/>
  <c r="BH81" i="6" s="1"/>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Y81" i="6"/>
  <c r="A96" i="6"/>
  <c r="D95" i="6"/>
  <c r="E96" i="6" s="1"/>
  <c r="D87" i="3"/>
  <c r="M87" i="3" s="1"/>
  <c r="G83" i="6" s="1"/>
  <c r="C88" i="3"/>
  <c r="F87" i="3"/>
  <c r="O87" i="3" s="1"/>
  <c r="B81" i="5" s="1"/>
  <c r="C81" i="5" s="1"/>
  <c r="E87" i="3"/>
  <c r="N87" i="3" s="1"/>
  <c r="I83" i="6" s="1"/>
  <c r="BA83" i="6" s="1"/>
  <c r="T81" i="6"/>
  <c r="AL82" i="6"/>
  <c r="M82" i="6"/>
  <c r="BE82" i="6" s="1"/>
  <c r="O82" i="6"/>
  <c r="BF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AY84" i="6" l="1"/>
  <c r="N84" i="6"/>
  <c r="BF84" i="6" s="1"/>
  <c r="BG83" i="6"/>
  <c r="P83" i="6"/>
  <c r="BH83" i="6" s="1"/>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AL84" i="6"/>
  <c r="M84" i="6"/>
  <c r="BE84" i="6" s="1"/>
  <c r="Q84" i="6"/>
  <c r="A98" i="6"/>
  <c r="D97" i="6"/>
  <c r="E98" i="6" s="1"/>
  <c r="R83" i="6"/>
  <c r="E81" i="5"/>
  <c r="Y83" i="6"/>
  <c r="J84" i="6"/>
  <c r="BB84" i="6" s="1"/>
  <c r="S84" i="6"/>
  <c r="T83" i="6"/>
  <c r="D89" i="3"/>
  <c r="M89" i="3" s="1"/>
  <c r="G85" i="6" s="1"/>
  <c r="C90" i="3"/>
  <c r="F89" i="3"/>
  <c r="O89" i="3" s="1"/>
  <c r="B83" i="5" s="1"/>
  <c r="C83" i="5" s="1"/>
  <c r="E89" i="3"/>
  <c r="N89" i="3" s="1"/>
  <c r="I85" i="6" s="1"/>
  <c r="BA85" i="6" s="1"/>
  <c r="Z82" i="6"/>
  <c r="AY85" i="6" l="1"/>
  <c r="N85" i="6"/>
  <c r="BF85" i="6" s="1"/>
  <c r="BG84" i="6"/>
  <c r="P84" i="6"/>
  <c r="BH84" i="6" s="1"/>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Q85" i="6"/>
  <c r="AA84" i="6"/>
  <c r="B85" i="6"/>
  <c r="C85" i="6" s="1"/>
  <c r="F85" i="6" s="1"/>
  <c r="D84" i="5"/>
  <c r="Z83" i="6"/>
  <c r="X84" i="6"/>
  <c r="E82" i="5"/>
  <c r="Y84" i="6"/>
  <c r="AY86" i="6" l="1"/>
  <c r="N86" i="6"/>
  <c r="BF86" i="6" s="1"/>
  <c r="BG85" i="6"/>
  <c r="P85" i="6"/>
  <c r="BH85" i="6" s="1"/>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Y85" i="6"/>
  <c r="W85" i="6"/>
  <c r="B86" i="6"/>
  <c r="C86" i="6" s="1"/>
  <c r="F86" i="6" s="1"/>
  <c r="D85" i="5"/>
  <c r="E83" i="5"/>
  <c r="R85" i="6"/>
  <c r="J86" i="6"/>
  <c r="BB86" i="6" s="1"/>
  <c r="S86" i="6"/>
  <c r="T85" i="6"/>
  <c r="AL86" i="6"/>
  <c r="M86" i="6"/>
  <c r="BE86" i="6" s="1"/>
  <c r="O86" i="6"/>
  <c r="H86" i="6"/>
  <c r="AZ86" i="6" s="1"/>
  <c r="Q86" i="6"/>
  <c r="Z84" i="6"/>
  <c r="AA85" i="6"/>
  <c r="AY87" i="6" l="1"/>
  <c r="N87" i="6"/>
  <c r="BF87" i="6" s="1"/>
  <c r="BG86" i="6"/>
  <c r="P86" i="6"/>
  <c r="BH86" i="6" s="1"/>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Y86" i="6"/>
  <c r="J87" i="6"/>
  <c r="BB87" i="6" s="1"/>
  <c r="S87" i="6"/>
  <c r="W86" i="6"/>
  <c r="O87" i="6"/>
  <c r="AL87" i="6"/>
  <c r="M87" i="6"/>
  <c r="BE87" i="6" s="1"/>
  <c r="H87" i="6"/>
  <c r="AZ87" i="6" s="1"/>
  <c r="Q87" i="6"/>
  <c r="AA87" i="6" s="1"/>
  <c r="AY88" i="6" l="1"/>
  <c r="N88" i="6"/>
  <c r="BF88" i="6" s="1"/>
  <c r="BG87" i="6"/>
  <c r="P87" i="6"/>
  <c r="BH87" i="6" s="1"/>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F90" i="6" s="1"/>
  <c r="BG89" i="6"/>
  <c r="P89" i="6"/>
  <c r="BH89" i="6" s="1"/>
  <c r="AI88" i="6"/>
  <c r="BQ88" i="6"/>
  <c r="AM89" i="6"/>
  <c r="BI89" i="6"/>
  <c r="AD88" i="6"/>
  <c r="BL88" i="6"/>
  <c r="AJ87" i="6"/>
  <c r="BR87" i="6"/>
  <c r="AB88" i="6"/>
  <c r="BJ88" i="6"/>
  <c r="AC89" i="6"/>
  <c r="BK89" i="6"/>
  <c r="AG88" i="6"/>
  <c r="BO88" i="6"/>
  <c r="AH88" i="6"/>
  <c r="BP88" i="6"/>
  <c r="AA89" i="6"/>
  <c r="Z88" i="6"/>
  <c r="W89" i="6"/>
  <c r="A104" i="6"/>
  <c r="D103" i="6"/>
  <c r="E104" i="6" s="1"/>
  <c r="Y89" i="6"/>
  <c r="T89" i="6"/>
  <c r="D95" i="3"/>
  <c r="M95" i="3" s="1"/>
  <c r="G91" i="6" s="1"/>
  <c r="C96" i="3"/>
  <c r="F95" i="3"/>
  <c r="O95" i="3" s="1"/>
  <c r="B89" i="5" s="1"/>
  <c r="C89" i="5" s="1"/>
  <c r="E95" i="3"/>
  <c r="N95" i="3" s="1"/>
  <c r="I91" i="6" s="1"/>
  <c r="BA91" i="6" s="1"/>
  <c r="R89" i="6"/>
  <c r="AL90" i="6"/>
  <c r="M90" i="6"/>
  <c r="BE90" i="6" s="1"/>
  <c r="O90" i="6"/>
  <c r="H90" i="6"/>
  <c r="AZ90" i="6" s="1"/>
  <c r="Q90" i="6"/>
  <c r="X89" i="6"/>
  <c r="J90" i="6"/>
  <c r="BB90" i="6" s="1"/>
  <c r="S90" i="6"/>
  <c r="B90" i="6"/>
  <c r="C90" i="6" s="1"/>
  <c r="F90" i="6" s="1"/>
  <c r="D89" i="5"/>
  <c r="AY91" i="6" l="1"/>
  <c r="N91" i="6"/>
  <c r="BF91" i="6" s="1"/>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AL91" i="6"/>
  <c r="M91" i="6"/>
  <c r="BE91" i="6" s="1"/>
  <c r="H91" i="6"/>
  <c r="AZ91" i="6" s="1"/>
  <c r="Q91" i="6"/>
  <c r="J91" i="6"/>
  <c r="BB91" i="6" s="1"/>
  <c r="S91" i="6"/>
  <c r="Y90" i="6"/>
  <c r="B91" i="6"/>
  <c r="C91" i="6" s="1"/>
  <c r="F91" i="6" s="1"/>
  <c r="D90" i="5"/>
  <c r="E88" i="5"/>
  <c r="X90" i="6"/>
  <c r="W90" i="6"/>
  <c r="D104" i="6"/>
  <c r="AY92" i="6" l="1"/>
  <c r="N92" i="6"/>
  <c r="BF92" i="6" s="1"/>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AL92" i="6"/>
  <c r="M92" i="6"/>
  <c r="BE92" i="6" s="1"/>
  <c r="Q92" i="6"/>
  <c r="Y91" i="6"/>
  <c r="E89" i="5"/>
  <c r="R91" i="6"/>
  <c r="AY93" i="6" l="1"/>
  <c r="N93" i="6"/>
  <c r="BF93" i="6" s="1"/>
  <c r="AD91" i="6"/>
  <c r="BG92" i="6"/>
  <c r="P92" i="6"/>
  <c r="BH92"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Y92" i="6"/>
  <c r="H93" i="6"/>
  <c r="AZ93" i="6" s="1"/>
  <c r="O93" i="6"/>
  <c r="AL93" i="6"/>
  <c r="M93" i="6"/>
  <c r="BE93" i="6" s="1"/>
  <c r="Q93" i="6"/>
  <c r="AA93" i="6" s="1"/>
  <c r="B93" i="6"/>
  <c r="C93" i="6" s="1"/>
  <c r="F93" i="6" s="1"/>
  <c r="D92" i="5"/>
  <c r="E90" i="5"/>
  <c r="J93" i="6"/>
  <c r="BB93" i="6" s="1"/>
  <c r="S93" i="6"/>
  <c r="AY94" i="6" l="1"/>
  <c r="N94" i="6"/>
  <c r="BG93" i="6"/>
  <c r="P93" i="6"/>
  <c r="BH93" i="6" s="1"/>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Y95" i="6" l="1"/>
  <c r="N95" i="6"/>
  <c r="BF95" i="6" s="1"/>
  <c r="AC94" i="6"/>
  <c r="BG94" i="6"/>
  <c r="P94" i="6"/>
  <c r="BH94" i="6" s="1"/>
  <c r="AH93" i="6"/>
  <c r="BP93" i="6"/>
  <c r="AG93" i="6"/>
  <c r="BO93" i="6"/>
  <c r="AD93" i="6"/>
  <c r="BL93" i="6"/>
  <c r="AM94" i="6"/>
  <c r="BI94" i="6"/>
  <c r="AJ92" i="6"/>
  <c r="BR92" i="6"/>
  <c r="AB93" i="6"/>
  <c r="BJ93" i="6"/>
  <c r="AI93" i="6"/>
  <c r="BQ93" i="6"/>
  <c r="O95" i="6"/>
  <c r="AL95" i="6"/>
  <c r="M95" i="6"/>
  <c r="BE95" i="6" s="1"/>
  <c r="H95" i="6"/>
  <c r="AZ95" i="6" s="1"/>
  <c r="Q95" i="6"/>
  <c r="R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AY96" i="6" l="1"/>
  <c r="N96" i="6"/>
  <c r="BF96" i="6" s="1"/>
  <c r="BG95" i="6"/>
  <c r="P95" i="6"/>
  <c r="BH95"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Y95" i="6"/>
  <c r="AY97" i="6" l="1"/>
  <c r="N97" i="6"/>
  <c r="BG96" i="6"/>
  <c r="P96"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BH96" i="6"/>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F99" i="6" s="1"/>
  <c r="BG98" i="6"/>
  <c r="P98" i="6"/>
  <c r="BH98" i="6" s="1"/>
  <c r="AJ96" i="6"/>
  <c r="BR96" i="6"/>
  <c r="AM98" i="6"/>
  <c r="BI98" i="6"/>
  <c r="AD97" i="6"/>
  <c r="BL97" i="6"/>
  <c r="AB97" i="6"/>
  <c r="BJ97" i="6"/>
  <c r="AC98" i="6"/>
  <c r="BK98" i="6"/>
  <c r="AG97" i="6"/>
  <c r="BO97" i="6"/>
  <c r="AI97" i="6"/>
  <c r="BQ97" i="6"/>
  <c r="AH97" i="6"/>
  <c r="BP97" i="6"/>
  <c r="AA98" i="6"/>
  <c r="J99" i="6"/>
  <c r="BB99" i="6" s="1"/>
  <c r="S99" i="6"/>
  <c r="X98" i="6"/>
  <c r="Y98" i="6"/>
  <c r="O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BH99" i="6" s="1"/>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Y99" i="6"/>
  <c r="AY101" i="6" l="1"/>
  <c r="N101" i="6"/>
  <c r="BF101" i="6" s="1"/>
  <c r="BG100" i="6"/>
  <c r="P100" i="6"/>
  <c r="BH100"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Y100" i="6"/>
  <c r="Z99" i="6"/>
  <c r="T100" i="6"/>
  <c r="E106" i="3"/>
  <c r="N106" i="3" s="1"/>
  <c r="I102" i="6" s="1"/>
  <c r="BA102" i="6" s="1"/>
  <c r="F106" i="3"/>
  <c r="O106" i="3" s="1"/>
  <c r="B100" i="5" s="1"/>
  <c r="C100" i="5" s="1"/>
  <c r="D106" i="3"/>
  <c r="M106" i="3" s="1"/>
  <c r="G102" i="6" s="1"/>
  <c r="C107" i="3"/>
  <c r="AA100" i="6"/>
  <c r="AY102" i="6" l="1"/>
  <c r="N102" i="6"/>
  <c r="BF102" i="6" s="1"/>
  <c r="BG101" i="6"/>
  <c r="P101" i="6"/>
  <c r="BH101" i="6" s="1"/>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Y101" i="6"/>
  <c r="AL102" i="6"/>
  <c r="M102" i="6"/>
  <c r="BE102" i="6" s="1"/>
  <c r="O102" i="6"/>
  <c r="H102" i="6"/>
  <c r="AZ102" i="6" s="1"/>
  <c r="Q102" i="6"/>
  <c r="AA102" i="6" s="1"/>
  <c r="E99" i="5"/>
  <c r="Z100" i="6"/>
  <c r="X101" i="6"/>
  <c r="R101" i="6"/>
  <c r="BJ101" i="6" s="1"/>
  <c r="AA101" i="6"/>
  <c r="AY103" i="6" l="1"/>
  <c r="N103" i="6"/>
  <c r="BF103" i="6" s="1"/>
  <c r="BG102" i="6"/>
  <c r="P102" i="6"/>
  <c r="BH102" i="6" s="1"/>
  <c r="AC102" i="6"/>
  <c r="AB101" i="6"/>
  <c r="AH101" i="6"/>
  <c r="BP101" i="6"/>
  <c r="AI101" i="6"/>
  <c r="BQ101" i="6"/>
  <c r="AD101" i="6"/>
  <c r="BL101" i="6"/>
  <c r="AJ100" i="6"/>
  <c r="BR100" i="6"/>
  <c r="AM102" i="6"/>
  <c r="BI102" i="6"/>
  <c r="AG101" i="6"/>
  <c r="BO101"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AL103" i="6"/>
  <c r="M103" i="6"/>
  <c r="BE103" i="6" s="1"/>
  <c r="H103" i="6"/>
  <c r="AZ103" i="6" s="1"/>
  <c r="Q103" i="6"/>
  <c r="R102" i="6"/>
  <c r="J103" i="6"/>
  <c r="BB103" i="6" s="1"/>
  <c r="S103" i="6"/>
  <c r="AY104" i="6" l="1"/>
  <c r="N104" i="6"/>
  <c r="BF104" i="6" s="1"/>
  <c r="BG103" i="6"/>
  <c r="P103" i="6"/>
  <c r="BH103" i="6" s="1"/>
  <c r="AG102" i="6"/>
  <c r="BO102" i="6"/>
  <c r="AM103" i="6"/>
  <c r="BI103" i="6"/>
  <c r="AB102" i="6"/>
  <c r="BJ102" i="6"/>
  <c r="AD102" i="6"/>
  <c r="BL102" i="6"/>
  <c r="AI102" i="6"/>
  <c r="BQ102" i="6"/>
  <c r="AH102" i="6"/>
  <c r="BP102" i="6"/>
  <c r="AJ101" i="6"/>
  <c r="BR101" i="6"/>
  <c r="AC103" i="6"/>
  <c r="BK103" i="6"/>
  <c r="AA103" i="6"/>
  <c r="J104" i="6"/>
  <c r="BB104" i="6" s="1"/>
  <c r="S104" i="6"/>
  <c r="Y103" i="6"/>
  <c r="R103" i="6"/>
  <c r="B104" i="6"/>
  <c r="C104" i="6" s="1"/>
  <c r="G3" i="6" s="1"/>
  <c r="E102" i="5"/>
  <c r="T103" i="6"/>
  <c r="W103" i="6"/>
  <c r="E101" i="5"/>
  <c r="F100" i="5" s="1"/>
  <c r="G100" i="5" s="1"/>
  <c r="I100" i="5" s="1"/>
  <c r="Z102" i="6"/>
  <c r="H104" i="6"/>
  <c r="AZ104" i="6" s="1"/>
  <c r="O104" i="6"/>
  <c r="AL104" i="6"/>
  <c r="M104" i="6"/>
  <c r="BE104" i="6" s="1"/>
  <c r="Q104" i="6"/>
  <c r="X103" i="6"/>
  <c r="I3" i="6" l="1"/>
  <c r="BB3" i="6"/>
  <c r="AZ3" i="6"/>
  <c r="F98" i="5"/>
  <c r="G98" i="5" s="1"/>
  <c r="I98" i="5" s="1"/>
  <c r="F97" i="5"/>
  <c r="G97" i="5" s="1"/>
  <c r="I97" i="5" s="1"/>
  <c r="BG104" i="6"/>
  <c r="P104" i="6"/>
  <c r="BH104" i="6" s="1"/>
  <c r="BH3" i="6" s="1"/>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G12" i="4" s="1"/>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D26" i="4"/>
  <c r="H11" i="4"/>
  <c r="H12" i="4" s="1"/>
  <c r="AE3" i="6"/>
  <c r="C16" i="4" s="1"/>
  <c r="G16" i="4" s="1"/>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<sst xmlns="http://schemas.openxmlformats.org/spreadsheetml/2006/main" count="288" uniqueCount="162">
  <si>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</si>
  <si>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</si>
  <si>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</si>
  <si>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</si>
  <si>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</si>
  <si>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</si>
  <si>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</si>
  <si>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</si>
  <si>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</si>
  <si>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</si>
  <si>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</si>
  <si>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</si>
  <si>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</si>
  <si>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</si>
  <si>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</si>
  <si>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</si>
  <si>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</si>
  <si>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</si>
  <si>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</si>
  <si>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</si>
  <si>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</si>
  <si>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</si>
  <si>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</si>
  <si>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</si>
  <si>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</si>
  <si>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</si>
  <si>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</si>
  <si>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</si>
  <si>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</si>
  <si>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</si>
  <si>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</si>
  <si>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</si>
  <si>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</si>
  <si>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</si>
  <si>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</si>
  <si>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</si>
  <si>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</si>
  <si>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</si>
  <si>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</si>
  <si>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</si>
  <si>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</si>
  <si>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</si>
  <si>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</si>
  <si>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</si>
  <si>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</si>
  <si>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</si>
  <si>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</si>
  <si>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</si>
  <si>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</si>
  <si>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</si>
  <si>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</si>
  <si>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</si>
  <si>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</si>
  <si>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</si>
  <si>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</si>
  <si>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</si>
  <si>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</si>
  <si>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</si>
  <si>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</si>
  <si>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</si>
  <si>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</si>
  <si>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</si>
  <si>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</si>
  <si>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</si>
  <si>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</si>
  <si>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</si>
  <si>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</si>
  <si>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</si>
  <si>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</si>
  <si>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</si>
  <si>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</si>
  <si>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</si>
  <si>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</si>
  <si>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</si>
  <si>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</si>
  <si>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</si>
  <si>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</si>
  <si>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</si>
  <si>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</si>
  <si>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</si>
  <si>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</si>
  <si>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</si>
  <si>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</si>
  <si>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</si>
  <si>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</si>
  <si>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</si>
  <si>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</si>
  <si>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</si>
  <si>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</si>
  <si>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</si>
  <si>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</si>
  <si>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</si>
  <si>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</si>
  <si>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</si>
  <si>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</si>
  <si>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</si>
  <si>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</si>
  <si>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</si>
  <si>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</si>
  <si>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</si>
  <si>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</si>
  <si>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</si>
  <si>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D</t>
  </si>
  <si>
    <t>B</t>
  </si>
  <si>
    <t>Not Eligible</t>
  </si>
  <si>
    <t>Upper-middle income</t>
  </si>
  <si>
    <t>AMR</t>
  </si>
  <si>
    <t>AR</t>
  </si>
  <si>
    <t>BRAZIL</t>
  </si>
  <si>
    <t>BR</t>
  </si>
  <si>
    <t>Not Participating</t>
  </si>
  <si>
    <t>CHILE</t>
  </si>
  <si>
    <t>CL</t>
  </si>
  <si>
    <t>COLOMBIA</t>
  </si>
  <si>
    <t>CO</t>
  </si>
  <si>
    <t>COSTA RICA</t>
  </si>
  <si>
    <t>CR</t>
  </si>
  <si>
    <t>ECUADOR</t>
  </si>
  <si>
    <t>EC</t>
  </si>
  <si>
    <t>MEXICO</t>
  </si>
  <si>
    <t>MX</t>
  </si>
  <si>
    <t>PERU</t>
  </si>
  <si>
    <t>PE</t>
  </si>
  <si>
    <t>Country ¦ Age [12]</t>
  </si>
  <si>
    <t>Country ¦ Age [11]</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</si>
  <si>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</si>
  <si>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</si>
  <si>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</si>
  <si>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</si>
  <si>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</si>
  <si>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</si>
  <si>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</si>
  <si>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</si>
  <si>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</si>
  <si>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</si>
  <si>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</si>
  <si>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</si>
  <si>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</si>
  <si>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</si>
  <si>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</si>
  <si>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</si>
  <si>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</si>
  <si>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</si>
  <si>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</si>
  <si>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</si>
  <si>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</si>
  <si>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</si>
  <si>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</si>
  <si>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</si>
  <si>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</si>
  <si>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</si>
  <si>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</si>
  <si>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</si>
  <si>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</si>
  <si>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</si>
  <si>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</si>
  <si>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</si>
  <si>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</si>
  <si>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</si>
  <si>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</si>
  <si>
    <t>Costo programatico de la intervención:</t>
  </si>
  <si>
    <t>Agregue una celda en Country selection que se llama Costo Programatico de la intervención, se suma a costo de vacunacion en la parte de OUTPUT  y permite el calculo de los resultados incluyendo dicho input. (Country Selection!E25). Tambien modifique Output!E10, F10, G10, H10 para agregar +CountrySelection!E25 y modifique G12 y 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</si>
</sst>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 numFmtId="175" formatCode="0.00000%"/>
  </numFmts>
  <fonts count="27" x14ac:knownFonts="1">
    <font>
      <sz val="11"/>
      <color rgb="FF000000"/>
      <name val="Calibri"/>
      <scheme val="minor"/>
    </font>
    <font>
      <sz val="11"/>
      <color theme="1"/>
      <name val="Calibri"/>
      <family val="2"/>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b/>
      <sz val="11"/>
      <color theme="0"/>
      <name val="Calibri"/>
      <family val="2"/>
      <scheme val="minor"/>
    </font>
    <font>
      <sz val="11"/>
      <color theme="0"/>
      <name val="Calibri"/>
      <family val="2"/>
      <scheme val="minor"/>
    </font>
    <font>
      <b/>
      <sz val="11"/>
      <color theme="0"/>
      <name val="Calibri"/>
      <family val="2"/>
    </font>
    <font>
      <b/>
      <sz val="11"/>
      <color theme="1"/>
      <name val="Calibri"/>
      <family val="2"/>
      <scheme val="minor"/>
    </font>
    <font>
      <b/>
      <sz val="11"/>
      <color rgb="FF000000"/>
      <name val="Calibri"/>
      <family val="2"/>
      <scheme val="minor"/>
    </font>
  </fonts>
  <fills count="19">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7030A0"/>
        <bgColor indexed="64"/>
      </patternFill>
    </fill>
    <fill>
      <patternFill patternType="solid">
        <fgColor rgb="FF7030A0"/>
        <bgColor rgb="FFF2F2F2"/>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diagonal/>
    </border>
  </borders>
  <cellStyleXfs count="1">
    <xf numFmtId="0" fontId="0" fillId="0" borderId="0"/>
  </cellStyleXfs>
  <cellXfs count="150">
    <xf numFmtId="0" fontId="0" fillId="0" borderId="0" xfId="0" applyFont="1" applyAlignment="1"/>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2" borderId="1" xfId="0" applyFont="1" applyFill="1" applyBorder="1" applyAlignment="1">
      <alignment horizontal="center"/>
    </xf>
    <xf numFmtId="0" fontId="6" fillId="0" borderId="0" xfId="0" applyFont="1" applyAlignment="1">
      <alignment horizontal="right"/>
    </xf>
    <xf numFmtId="0" fontId="6" fillId="0" borderId="0" xfId="0" applyFont="1" applyAlignment="1">
      <alignment horizontal="left"/>
    </xf>
    <xf numFmtId="0" fontId="6" fillId="3" borderId="2" xfId="0" applyFont="1" applyFill="1" applyBorder="1"/>
    <xf numFmtId="0" fontId="7" fillId="4" borderId="1" xfId="0" applyFont="1" applyFill="1" applyBorder="1" applyAlignment="1">
      <alignment horizontal="center"/>
    </xf>
    <xf numFmtId="0" fontId="2" fillId="3" borderId="2" xfId="0" applyFont="1" applyFill="1" applyBorder="1"/>
    <xf numFmtId="3" fontId="7" fillId="4" borderId="1" xfId="0" applyNumberFormat="1" applyFont="1" applyFill="1" applyBorder="1" applyAlignment="1">
      <alignment horizontal="center"/>
    </xf>
    <xf numFmtId="0" fontId="6" fillId="0" borderId="0" xfId="0" applyFont="1"/>
    <xf numFmtId="9" fontId="7" fillId="4" borderId="1" xfId="0" applyNumberFormat="1" applyFont="1" applyFill="1" applyBorder="1" applyAlignment="1">
      <alignment horizontal="center"/>
    </xf>
    <xf numFmtId="164"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2" fontId="7" fillId="4" borderId="1" xfId="0" applyNumberFormat="1" applyFont="1" applyFill="1" applyBorder="1" applyAlignment="1">
      <alignment horizontal="center"/>
    </xf>
    <xf numFmtId="9" fontId="2" fillId="0" borderId="0" xfId="0" applyNumberFormat="1" applyFont="1"/>
    <xf numFmtId="166" fontId="7" fillId="4" borderId="1" xfId="0" applyNumberFormat="1" applyFont="1" applyFill="1" applyBorder="1" applyAlignment="1">
      <alignment horizontal="center"/>
    </xf>
    <xf numFmtId="166" fontId="8" fillId="0" borderId="0" xfId="0" applyNumberFormat="1" applyFont="1" applyAlignment="1">
      <alignment horizontal="center"/>
    </xf>
    <xf numFmtId="0" fontId="5" fillId="0" borderId="0" xfId="0" applyFont="1"/>
    <xf numFmtId="0" fontId="2" fillId="0" borderId="0" xfId="0" applyFont="1" applyAlignment="1">
      <alignment horizontal="center"/>
    </xf>
    <xf numFmtId="0" fontId="2" fillId="3" borderId="2" xfId="0" applyFont="1" applyFill="1" applyBorder="1" applyAlignment="1">
      <alignment horizontal="center"/>
    </xf>
    <xf numFmtId="3" fontId="2" fillId="0" borderId="0" xfId="0" applyNumberFormat="1" applyFont="1" applyAlignment="1">
      <alignment horizontal="center"/>
    </xf>
    <xf numFmtId="3" fontId="2" fillId="3" borderId="2" xfId="0" applyNumberFormat="1" applyFont="1" applyFill="1" applyBorder="1" applyAlignment="1">
      <alignment horizontal="center"/>
    </xf>
    <xf numFmtId="9" fontId="8" fillId="0" borderId="0" xfId="0" applyNumberFormat="1" applyFont="1" applyAlignment="1">
      <alignment horizontal="center"/>
    </xf>
    <xf numFmtId="9" fontId="8" fillId="3" borderId="2" xfId="0" applyNumberFormat="1" applyFont="1" applyFill="1" applyBorder="1" applyAlignment="1">
      <alignment horizontal="center"/>
    </xf>
    <xf numFmtId="165" fontId="2" fillId="0" borderId="0" xfId="0" applyNumberFormat="1" applyFont="1" applyAlignment="1">
      <alignment horizontal="center"/>
    </xf>
    <xf numFmtId="165" fontId="2" fillId="3" borderId="2" xfId="0" applyNumberFormat="1" applyFont="1" applyFill="1" applyBorder="1" applyAlignment="1">
      <alignment horizontal="center"/>
    </xf>
    <xf numFmtId="2" fontId="2" fillId="3" borderId="2" xfId="0" applyNumberFormat="1" applyFont="1" applyFill="1" applyBorder="1" applyAlignment="1">
      <alignment horizontal="center"/>
    </xf>
    <xf numFmtId="166" fontId="8" fillId="3" borderId="2"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3" borderId="2" xfId="0" applyFont="1" applyFill="1" applyBorder="1" applyAlignment="1">
      <alignment horizontal="center" vertical="center" wrapText="1"/>
    </xf>
    <xf numFmtId="0" fontId="7" fillId="4" borderId="1" xfId="0" applyFont="1" applyFill="1" applyBorder="1"/>
    <xf numFmtId="0" fontId="9" fillId="0" borderId="3" xfId="0" applyFont="1" applyBorder="1"/>
    <xf numFmtId="0" fontId="6" fillId="0" borderId="0" xfId="0" applyFont="1" applyAlignment="1">
      <alignment horizontal="right" wrapText="1"/>
    </xf>
    <xf numFmtId="0" fontId="6" fillId="0" borderId="0" xfId="0" applyFont="1" applyAlignment="1">
      <alignment horizontal="center" wrapText="1"/>
    </xf>
    <xf numFmtId="3" fontId="11" fillId="4" borderId="4" xfId="0" applyNumberFormat="1" applyFont="1" applyFill="1" applyBorder="1" applyAlignment="1">
      <alignment horizontal="center"/>
    </xf>
    <xf numFmtId="0" fontId="11" fillId="4" borderId="4" xfId="0" applyFont="1" applyFill="1" applyBorder="1" applyAlignment="1">
      <alignment horizontal="center"/>
    </xf>
    <xf numFmtId="0" fontId="2" fillId="0" borderId="0" xfId="0" applyFont="1" applyAlignment="1">
      <alignment horizontal="right" wrapText="1"/>
    </xf>
    <xf numFmtId="165" fontId="11" fillId="4" borderId="4" xfId="0" applyNumberFormat="1" applyFont="1" applyFill="1" applyBorder="1" applyAlignment="1">
      <alignment horizontal="center"/>
    </xf>
    <xf numFmtId="0" fontId="12" fillId="0" borderId="0" xfId="0" applyFont="1" applyAlignment="1">
      <alignment wrapText="1"/>
    </xf>
    <xf numFmtId="0" fontId="13" fillId="0" borderId="0" xfId="0" applyFont="1"/>
    <xf numFmtId="2" fontId="14" fillId="0" borderId="0" xfId="0" applyNumberFormat="1" applyFont="1"/>
    <xf numFmtId="0" fontId="14" fillId="0" borderId="0" xfId="0" applyFont="1"/>
    <xf numFmtId="0" fontId="6" fillId="0" borderId="0" xfId="0" applyFont="1" applyAlignment="1">
      <alignment wrapText="1"/>
    </xf>
    <xf numFmtId="0" fontId="2" fillId="0" borderId="0" xfId="0" applyFont="1" applyAlignment="1">
      <alignment wrapText="1"/>
    </xf>
    <xf numFmtId="0" fontId="2" fillId="5" borderId="2" xfId="0" applyFont="1" applyFill="1" applyBorder="1" applyAlignment="1">
      <alignment wrapText="1"/>
    </xf>
    <xf numFmtId="167" fontId="2" fillId="5" borderId="2" xfId="0" applyNumberFormat="1" applyFont="1" applyFill="1" applyBorder="1" applyAlignment="1">
      <alignment wrapText="1"/>
    </xf>
    <xf numFmtId="168" fontId="2" fillId="0" borderId="0" xfId="0" applyNumberFormat="1" applyFont="1"/>
    <xf numFmtId="169" fontId="2" fillId="0" borderId="0" xfId="0" applyNumberFormat="1" applyFont="1"/>
    <xf numFmtId="167" fontId="2" fillId="0" borderId="0" xfId="0" applyNumberFormat="1" applyFont="1"/>
    <xf numFmtId="170" fontId="2" fillId="0" borderId="0" xfId="0" applyNumberFormat="1" applyFont="1"/>
    <xf numFmtId="171" fontId="2" fillId="0" borderId="0" xfId="0" applyNumberFormat="1" applyFont="1"/>
    <xf numFmtId="2" fontId="2" fillId="0" borderId="0" xfId="0" applyNumberFormat="1" applyFont="1"/>
    <xf numFmtId="0" fontId="15" fillId="0" borderId="0" xfId="0" applyFont="1" applyAlignment="1">
      <alignment wrapText="1"/>
    </xf>
    <xf numFmtId="3" fontId="15" fillId="0" borderId="0" xfId="0" applyNumberFormat="1" applyFont="1" applyAlignment="1">
      <alignment wrapText="1"/>
    </xf>
    <xf numFmtId="0" fontId="15" fillId="0" borderId="0" xfId="0" applyFont="1" applyAlignment="1">
      <alignment horizontal="left" wrapText="1"/>
    </xf>
    <xf numFmtId="172" fontId="15" fillId="0" borderId="0" xfId="0" applyNumberFormat="1" applyFont="1" applyAlignment="1">
      <alignment wrapText="1"/>
    </xf>
    <xf numFmtId="173" fontId="15" fillId="0" borderId="0" xfId="0" applyNumberFormat="1" applyFont="1" applyAlignment="1">
      <alignment wrapText="1"/>
    </xf>
    <xf numFmtId="0" fontId="16" fillId="0" borderId="0" xfId="0" applyFont="1" applyAlignment="1">
      <alignment wrapText="1"/>
    </xf>
    <xf numFmtId="0" fontId="17" fillId="0" borderId="0" xfId="0" applyFont="1" applyAlignment="1">
      <alignment wrapText="1"/>
    </xf>
    <xf numFmtId="172" fontId="17" fillId="0" borderId="0" xfId="0" applyNumberFormat="1" applyFont="1" applyAlignment="1">
      <alignment horizontal="right"/>
    </xf>
    <xf numFmtId="3" fontId="17" fillId="0" borderId="0" xfId="0" applyNumberFormat="1" applyFont="1" applyAlignment="1">
      <alignment wrapText="1"/>
    </xf>
    <xf numFmtId="173" fontId="17" fillId="0" borderId="0" xfId="0" applyNumberFormat="1" applyFont="1"/>
    <xf numFmtId="3" fontId="17" fillId="0" borderId="0" xfId="0" applyNumberFormat="1" applyFont="1"/>
    <xf numFmtId="172" fontId="15" fillId="0" borderId="0" xfId="0" applyNumberFormat="1" applyFont="1"/>
    <xf numFmtId="0" fontId="2" fillId="0" borderId="0" xfId="0" quotePrefix="1" applyFont="1"/>
    <xf numFmtId="0" fontId="0" fillId="0" borderId="0" xfId="0" applyFont="1" applyAlignment="1">
      <alignment vertical="top"/>
    </xf>
    <xf numFmtId="9" fontId="2" fillId="0" borderId="0" xfId="0" applyNumberFormat="1" applyFont="1" applyAlignment="1">
      <alignment horizontal="center"/>
    </xf>
    <xf numFmtId="0" fontId="9" fillId="0" borderId="2" xfId="0" applyFont="1" applyBorder="1" applyAlignment="1">
      <alignment horizontal="right"/>
    </xf>
    <xf numFmtId="0" fontId="9" fillId="0" borderId="2" xfId="0" applyFont="1" applyBorder="1"/>
    <xf numFmtId="9" fontId="2" fillId="3" borderId="2" xfId="0" applyNumberFormat="1" applyFont="1" applyFill="1" applyBorder="1" applyAlignment="1">
      <alignment horizontal="center"/>
    </xf>
    <xf numFmtId="0" fontId="19" fillId="0" borderId="0" xfId="0" applyFont="1"/>
    <xf numFmtId="165" fontId="11" fillId="4" borderId="7" xfId="0" applyNumberFormat="1" applyFont="1" applyFill="1" applyBorder="1" applyAlignment="1">
      <alignment horizontal="center"/>
    </xf>
    <xf numFmtId="0" fontId="11" fillId="4" borderId="7" xfId="0" applyFont="1" applyFill="1" applyBorder="1" applyAlignment="1">
      <alignment horizontal="center"/>
    </xf>
    <xf numFmtId="3" fontId="11"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20" fillId="0" borderId="0" xfId="0" applyFont="1" applyAlignment="1">
      <alignment horizontal="right"/>
    </xf>
    <xf numFmtId="165" fontId="11" fillId="4" borderId="8" xfId="0" applyNumberFormat="1" applyFont="1" applyFill="1" applyBorder="1" applyAlignment="1">
      <alignment horizontal="center"/>
    </xf>
    <xf numFmtId="165" fontId="11" fillId="4" borderId="9" xfId="0" applyNumberFormat="1" applyFont="1" applyFill="1" applyBorder="1" applyAlignment="1">
      <alignment horizontal="center"/>
    </xf>
    <xf numFmtId="10" fontId="2" fillId="7" borderId="5" xfId="0" applyNumberFormat="1" applyFont="1" applyFill="1" applyBorder="1" applyAlignment="1">
      <alignment horizontal="center"/>
    </xf>
    <xf numFmtId="10" fontId="2" fillId="7" borderId="10" xfId="0" applyNumberFormat="1" applyFont="1" applyFill="1" applyBorder="1" applyAlignment="1">
      <alignment horizontal="center"/>
    </xf>
    <xf numFmtId="10" fontId="2" fillId="7" borderId="6" xfId="0" applyNumberFormat="1" applyFont="1" applyFill="1" applyBorder="1" applyAlignment="1">
      <alignment horizontal="center"/>
    </xf>
    <xf numFmtId="165" fontId="11"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1" fillId="4" borderId="11" xfId="0" applyNumberFormat="1" applyFont="1" applyFill="1" applyBorder="1" applyAlignment="1">
      <alignment horizontal="center"/>
    </xf>
    <xf numFmtId="0" fontId="0" fillId="6" borderId="0" xfId="0" applyFont="1" applyFill="1" applyAlignment="1">
      <alignment vertical="top"/>
    </xf>
    <xf numFmtId="0" fontId="18" fillId="6" borderId="0" xfId="0" applyFont="1" applyFill="1" applyAlignment="1">
      <alignment vertical="top"/>
    </xf>
    <xf numFmtId="0" fontId="18" fillId="9" borderId="0" xfId="0" applyFont="1" applyFill="1" applyAlignment="1">
      <alignment vertical="top"/>
    </xf>
    <xf numFmtId="0" fontId="0" fillId="9" borderId="0" xfId="0" applyFont="1" applyFill="1" applyAlignment="1">
      <alignment vertical="top"/>
    </xf>
    <xf numFmtId="0" fontId="0" fillId="9" borderId="0" xfId="0" applyFont="1" applyFill="1" applyAlignment="1"/>
    <xf numFmtId="0" fontId="21" fillId="11" borderId="13" xfId="0" applyFont="1" applyFill="1" applyBorder="1" applyAlignment="1">
      <alignment horizontal="center" wrapText="1"/>
    </xf>
    <xf numFmtId="0" fontId="21" fillId="12" borderId="13" xfId="0" applyFont="1" applyFill="1" applyBorder="1" applyAlignment="1">
      <alignment horizontal="center" wrapText="1"/>
    </xf>
    <xf numFmtId="0" fontId="18" fillId="0" borderId="0" xfId="0" applyFont="1" applyAlignment="1"/>
    <xf numFmtId="3" fontId="7" fillId="13" borderId="1" xfId="0" applyNumberFormat="1" applyFont="1" applyFill="1" applyBorder="1" applyAlignment="1">
      <alignment horizontal="center"/>
    </xf>
    <xf numFmtId="0" fontId="2" fillId="14" borderId="2" xfId="0" applyFont="1" applyFill="1" applyBorder="1"/>
    <xf numFmtId="2" fontId="21" fillId="11" borderId="13" xfId="0" applyNumberFormat="1" applyFont="1" applyFill="1" applyBorder="1" applyAlignment="1">
      <alignment horizontal="center" wrapText="1"/>
    </xf>
    <xf numFmtId="2" fontId="21" fillId="12" borderId="13" xfId="0" applyNumberFormat="1" applyFont="1" applyFill="1" applyBorder="1" applyAlignment="1">
      <alignment horizontal="center" wrapText="1"/>
    </xf>
    <xf numFmtId="0" fontId="18" fillId="15" borderId="0" xfId="0" applyFont="1" applyFill="1" applyAlignment="1"/>
    <xf numFmtId="0" fontId="0" fillId="15" borderId="0" xfId="0" applyFont="1" applyFill="1" applyAlignment="1"/>
    <xf numFmtId="0" fontId="2" fillId="15" borderId="0" xfId="0" applyFont="1" applyFill="1"/>
    <xf numFmtId="0" fontId="6" fillId="15" borderId="0" xfId="0" applyFont="1" applyFill="1" applyAlignment="1">
      <alignment wrapText="1"/>
    </xf>
    <xf numFmtId="167" fontId="2" fillId="16" borderId="2" xfId="0" applyNumberFormat="1" applyFont="1" applyFill="1" applyBorder="1" applyAlignment="1">
      <alignment wrapText="1"/>
    </xf>
    <xf numFmtId="167" fontId="2" fillId="15" borderId="0" xfId="0" applyNumberFormat="1" applyFont="1" applyFill="1"/>
    <xf numFmtId="1" fontId="8" fillId="0" borderId="0" xfId="0" applyNumberFormat="1" applyFont="1" applyAlignment="1">
      <alignment horizontal="center"/>
    </xf>
    <xf numFmtId="0" fontId="2" fillId="0" borderId="2" xfId="0" applyFont="1" applyBorder="1" applyAlignment="1">
      <alignment horizontal="right"/>
    </xf>
    <xf numFmtId="9" fontId="7" fillId="4" borderId="14" xfId="0" applyNumberFormat="1" applyFont="1" applyFill="1" applyBorder="1" applyAlignment="1">
      <alignment horizontal="center"/>
    </xf>
    <xf numFmtId="0" fontId="0" fillId="17" borderId="0" xfId="0" applyFont="1" applyFill="1" applyAlignment="1"/>
    <xf numFmtId="165" fontId="23" fillId="17" borderId="11" xfId="0" applyNumberFormat="1" applyFont="1" applyFill="1" applyBorder="1" applyAlignment="1"/>
    <xf numFmtId="165" fontId="22" fillId="17" borderId="11" xfId="0" applyNumberFormat="1" applyFont="1" applyFill="1" applyBorder="1" applyAlignment="1"/>
    <xf numFmtId="165" fontId="24" fillId="18" borderId="4" xfId="0" applyNumberFormat="1" applyFont="1" applyFill="1" applyBorder="1" applyAlignment="1">
      <alignment horizontal="center"/>
    </xf>
    <xf numFmtId="165" fontId="24" fillId="18" borderId="7" xfId="0" applyNumberFormat="1" applyFont="1" applyFill="1" applyBorder="1" applyAlignment="1">
      <alignment horizontal="center"/>
    </xf>
    <xf numFmtId="0" fontId="3" fillId="17" borderId="5" xfId="0" applyFont="1" applyFill="1" applyBorder="1" applyAlignment="1">
      <alignment horizontal="right"/>
    </xf>
    <xf numFmtId="0" fontId="3" fillId="17" borderId="6" xfId="0" applyFont="1" applyFill="1" applyBorder="1"/>
    <xf numFmtId="0" fontId="1" fillId="0" borderId="0" xfId="0" applyFont="1"/>
    <xf numFmtId="0" fontId="25" fillId="0" borderId="0" xfId="0" applyFont="1"/>
    <xf numFmtId="0" fontId="26" fillId="0" borderId="0" xfId="0" applyFont="1" applyAlignment="1"/>
    <xf numFmtId="168" fontId="25" fillId="0" borderId="0" xfId="0" applyNumberFormat="1" applyFont="1"/>
    <xf numFmtId="168" fontId="26" fillId="0" borderId="0" xfId="0" applyNumberFormat="1" applyFont="1" applyAlignment="1"/>
    <xf numFmtId="0" fontId="25" fillId="0" borderId="0" xfId="0" applyFont="1" applyAlignment="1"/>
    <xf numFmtId="168" fontId="7" fillId="4" borderId="1" xfId="0" applyNumberFormat="1" applyFont="1" applyFill="1" applyBorder="1" applyAlignment="1">
      <alignment horizontal="center"/>
    </xf>
    <xf numFmtId="9" fontId="15" fillId="0" borderId="0" xfId="0" applyNumberFormat="1" applyFont="1" applyAlignment="1">
      <alignment horizontal="right"/>
    </xf>
    <xf numFmtId="172" fontId="15" fillId="0" borderId="0" xfId="0" applyNumberFormat="1" applyFont="1" applyAlignment="1">
      <alignment horizontal="right" wrapText="1"/>
    </xf>
    <xf numFmtId="172" fontId="15" fillId="0" borderId="0" xfId="0" applyNumberFormat="1" applyFont="1" applyAlignment="1">
      <alignment horizontal="right"/>
    </xf>
    <xf numFmtId="0" fontId="15" fillId="0" borderId="0" xfId="0" applyFont="1" applyAlignment="1">
      <alignment horizontal="right"/>
    </xf>
    <xf numFmtId="169" fontId="17" fillId="0" borderId="0" xfId="0" applyNumberFormat="1" applyFont="1" applyAlignment="1">
      <alignment horizontal="right"/>
    </xf>
    <xf numFmtId="164" fontId="2" fillId="0" borderId="0" xfId="0" applyNumberFormat="1" applyFont="1" applyAlignment="1">
      <alignment horizontal="center"/>
    </xf>
    <xf numFmtId="174" fontId="2" fillId="0" borderId="0" xfId="0" applyNumberFormat="1" applyFont="1" applyAlignment="1">
      <alignment horizontal="center"/>
    </xf>
    <xf numFmtId="168" fontId="2" fillId="0" borderId="0" xfId="0" applyNumberFormat="1" applyFont="1" applyAlignment="1">
      <alignment horizontal="center"/>
    </xf>
    <xf numFmtId="2" fontId="0" fillId="0" borderId="0" xfId="0" applyNumberFormat="1" applyFont="1" applyAlignment="1"/>
    <xf numFmtId="3" fontId="0" fillId="0" borderId="0" xfId="0" applyNumberFormat="1" applyFont="1" applyAlignment="1"/>
    <xf numFmtId="175" fontId="0" fillId="0" borderId="0" xfId="0" applyNumberFormat="1" applyFont="1" applyAlignment="1"/>
    <xf numFmtId="0" fontId="0" fillId="6" borderId="0" xfId="0" applyFont="1" applyFill="1" applyAlignment="1">
      <alignment horizontal="center"/>
    </xf>
    <xf numFmtId="0" fontId="0" fillId="10"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23" fillId="17" borderId="0" xfId="0" applyFont="1" applyFill="1" applyAlignment="1">
      <alignment horizontal="center" vertical="top" wrapText="1"/>
    </xf>
    <xf numFmtId="0" fontId="9" fillId="0" borderId="3" xfId="0" applyFont="1" applyBorder="1" applyAlignment="1">
      <alignment horizontal="center"/>
    </xf>
    <xf numFmtId="0" fontId="10" fillId="0" borderId="3" xfId="0" applyFont="1" applyBorder="1"/>
    <xf numFmtId="0" fontId="18" fillId="6" borderId="5" xfId="0" applyFont="1" applyFill="1" applyBorder="1" applyAlignment="1">
      <alignment horizontal="center"/>
    </xf>
    <xf numFmtId="0" fontId="0" fillId="6" borderId="6" xfId="0" applyFont="1" applyFill="1" applyBorder="1" applyAlignment="1">
      <alignment horizontal="center"/>
    </xf>
    <xf numFmtId="0" fontId="0" fillId="8" borderId="5" xfId="0" applyFont="1" applyFill="1" applyBorder="1" applyAlignment="1">
      <alignment horizontal="center"/>
    </xf>
    <xf numFmtId="0" fontId="0" fillId="8" borderId="6" xfId="0" applyFont="1" applyFill="1" applyBorder="1" applyAlignment="1">
      <alignment horizontal="center"/>
    </xf>
    <xf numFmtId="0" fontId="19"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AR" b="1" i="0">
                <a:solidFill>
                  <a:srgbClr val="757575"/>
                </a:solidFill>
                <a:latin typeface="+mn-lt"/>
              </a:rP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0.21299999999999999</c:v>
                </c:pt>
                <c:pt idx="16">
                  <c:v>0.21299999999999999</c:v>
                </c:pt>
                <c:pt idx="17">
                  <c:v>0.21299999999999999</c:v>
                </c:pt>
                <c:pt idx="18">
                  <c:v>0.21299999999999999</c:v>
                </c:pt>
                <c:pt idx="19">
                  <c:v>0.21299999999999999</c:v>
                </c:pt>
                <c:pt idx="20">
                  <c:v>2.6269999999999998</c:v>
                </c:pt>
                <c:pt idx="21">
                  <c:v>2.6269999999999998</c:v>
                </c:pt>
                <c:pt idx="22">
                  <c:v>2.6269999999999998</c:v>
                </c:pt>
                <c:pt idx="23">
                  <c:v>2.6269999999999998</c:v>
                </c:pt>
                <c:pt idx="24">
                  <c:v>2.6269999999999998</c:v>
                </c:pt>
                <c:pt idx="25">
                  <c:v>5.8929999999999989</c:v>
                </c:pt>
                <c:pt idx="26">
                  <c:v>5.8929999999999989</c:v>
                </c:pt>
                <c:pt idx="27">
                  <c:v>5.8929999999999989</c:v>
                </c:pt>
                <c:pt idx="28">
                  <c:v>5.8929999999999989</c:v>
                </c:pt>
                <c:pt idx="29">
                  <c:v>5.8219999999999992</c:v>
                </c:pt>
                <c:pt idx="30">
                  <c:v>9.0879999999999992</c:v>
                </c:pt>
                <c:pt idx="31">
                  <c:v>9.0169999999999995</c:v>
                </c:pt>
                <c:pt idx="32">
                  <c:v>8.9459999999999997</c:v>
                </c:pt>
                <c:pt idx="33">
                  <c:v>8.9459999999999997</c:v>
                </c:pt>
                <c:pt idx="34">
                  <c:v>8.875</c:v>
                </c:pt>
                <c:pt idx="35">
                  <c:v>12.212</c:v>
                </c:pt>
                <c:pt idx="36">
                  <c:v>12.282999999999999</c:v>
                </c:pt>
                <c:pt idx="37">
                  <c:v>12.282999999999999</c:v>
                </c:pt>
                <c:pt idx="38">
                  <c:v>12.424999999999999</c:v>
                </c:pt>
                <c:pt idx="39">
                  <c:v>12.638</c:v>
                </c:pt>
                <c:pt idx="40">
                  <c:v>14.696999999999999</c:v>
                </c:pt>
                <c:pt idx="41">
                  <c:v>14.981</c:v>
                </c:pt>
                <c:pt idx="42">
                  <c:v>15.335999999999999</c:v>
                </c:pt>
                <c:pt idx="43">
                  <c:v>15.762</c:v>
                </c:pt>
                <c:pt idx="44">
                  <c:v>16.187999999999999</c:v>
                </c:pt>
                <c:pt idx="45">
                  <c:v>17.04</c:v>
                </c:pt>
                <c:pt idx="46">
                  <c:v>17.394999999999996</c:v>
                </c:pt>
                <c:pt idx="47">
                  <c:v>17.678999999999995</c:v>
                </c:pt>
                <c:pt idx="48">
                  <c:v>18.033999999999999</c:v>
                </c:pt>
                <c:pt idx="49">
                  <c:v>18.388999999999999</c:v>
                </c:pt>
                <c:pt idx="50">
                  <c:v>19.88</c:v>
                </c:pt>
                <c:pt idx="51">
                  <c:v>20.234999999999999</c:v>
                </c:pt>
                <c:pt idx="52">
                  <c:v>20.518999999999998</c:v>
                </c:pt>
                <c:pt idx="53">
                  <c:v>20.661000000000001</c:v>
                </c:pt>
                <c:pt idx="54">
                  <c:v>20.803000000000001</c:v>
                </c:pt>
                <c:pt idx="55">
                  <c:v>21.725999999999999</c:v>
                </c:pt>
                <c:pt idx="56">
                  <c:v>22.081</c:v>
                </c:pt>
                <c:pt idx="57">
                  <c:v>22.577999999999996</c:v>
                </c:pt>
                <c:pt idx="58">
                  <c:v>23.216999999999995</c:v>
                </c:pt>
                <c:pt idx="59">
                  <c:v>23.997999999999998</c:v>
                </c:pt>
                <c:pt idx="60">
                  <c:v>22.932999999999996</c:v>
                </c:pt>
                <c:pt idx="61">
                  <c:v>23.785</c:v>
                </c:pt>
                <c:pt idx="62">
                  <c:v>24.779</c:v>
                </c:pt>
                <c:pt idx="63">
                  <c:v>25.914999999999999</c:v>
                </c:pt>
                <c:pt idx="64">
                  <c:v>27.050999999999995</c:v>
                </c:pt>
                <c:pt idx="65">
                  <c:v>24.849999999999998</c:v>
                </c:pt>
                <c:pt idx="66">
                  <c:v>26.056999999999995</c:v>
                </c:pt>
                <c:pt idx="67">
                  <c:v>27.334999999999994</c:v>
                </c:pt>
                <c:pt idx="68">
                  <c:v>28.613</c:v>
                </c:pt>
                <c:pt idx="69">
                  <c:v>30.103999999999999</c:v>
                </c:pt>
                <c:pt idx="70">
                  <c:v>24.992000000000001</c:v>
                </c:pt>
                <c:pt idx="71">
                  <c:v>27.192999999999998</c:v>
                </c:pt>
                <c:pt idx="72">
                  <c:v>29.890999999999998</c:v>
                </c:pt>
                <c:pt idx="73">
                  <c:v>32.446999999999996</c:v>
                </c:pt>
                <c:pt idx="74">
                  <c:v>35.145000000000003</c:v>
                </c:pt>
                <c:pt idx="75">
                  <c:v>26.838000000000005</c:v>
                </c:pt>
                <c:pt idx="76">
                  <c:v>28.613</c:v>
                </c:pt>
                <c:pt idx="77">
                  <c:v>30.53</c:v>
                </c:pt>
                <c:pt idx="78">
                  <c:v>32.659999999999997</c:v>
                </c:pt>
                <c:pt idx="79">
                  <c:v>35.216000000000001</c:v>
                </c:pt>
                <c:pt idx="80">
                  <c:v>27.334999999999994</c:v>
                </c:pt>
                <c:pt idx="81">
                  <c:v>29.962</c:v>
                </c:pt>
                <c:pt idx="82">
                  <c:v>33.511999999999993</c:v>
                </c:pt>
                <c:pt idx="83">
                  <c:v>38.055999999999997</c:v>
                </c:pt>
                <c:pt idx="84">
                  <c:v>43.948999999999998</c:v>
                </c:pt>
                <c:pt idx="85">
                  <c:v>15.122999999999999</c:v>
                </c:pt>
                <c:pt idx="86">
                  <c:v>17.963000000000001</c:v>
                </c:pt>
                <c:pt idx="87">
                  <c:v>21.796999999999997</c:v>
                </c:pt>
                <c:pt idx="88">
                  <c:v>27.192999999999998</c:v>
                </c:pt>
                <c:pt idx="89">
                  <c:v>34.861000000000004</c:v>
                </c:pt>
                <c:pt idx="90">
                  <c:v>45.581999999999994</c:v>
                </c:pt>
                <c:pt idx="91">
                  <c:v>60.988999999999997</c:v>
                </c:pt>
                <c:pt idx="92">
                  <c:v>83.992999999999995</c:v>
                </c:pt>
                <c:pt idx="93">
                  <c:v>119.13799999999999</c:v>
                </c:pt>
                <c:pt idx="94">
                  <c:v>173.66599999999997</c:v>
                </c:pt>
                <c:pt idx="95">
                  <c:v>260.35699999999997</c:v>
                </c:pt>
                <c:pt idx="96">
                  <c:v>403.49299999999999</c:v>
                </c:pt>
                <c:pt idx="97">
                  <c:v>648.2299999999999</c:v>
                </c:pt>
                <c:pt idx="98">
                  <c:v>1077.7090000000001</c:v>
                </c:pt>
                <c:pt idx="99">
                  <c:v>1846.8519999999999</c:v>
                </c:pt>
                <c:pt idx="100">
                  <c:v>1521.2459999999999</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8.9289600000000011E-2</c:v>
                </c:pt>
                <c:pt idx="16">
                  <c:v>8.9289600000000011E-2</c:v>
                </c:pt>
                <c:pt idx="17">
                  <c:v>8.9289600000000011E-2</c:v>
                </c:pt>
                <c:pt idx="18">
                  <c:v>8.9289600000000011E-2</c:v>
                </c:pt>
                <c:pt idx="19">
                  <c:v>8.9289600000000011E-2</c:v>
                </c:pt>
                <c:pt idx="20">
                  <c:v>1.1012384</c:v>
                </c:pt>
                <c:pt idx="21">
                  <c:v>1.1012384</c:v>
                </c:pt>
                <c:pt idx="22">
                  <c:v>1.1012384</c:v>
                </c:pt>
                <c:pt idx="23">
                  <c:v>1.1012384</c:v>
                </c:pt>
                <c:pt idx="24">
                  <c:v>1.1012384</c:v>
                </c:pt>
                <c:pt idx="25">
                  <c:v>2.4703455999999999</c:v>
                </c:pt>
                <c:pt idx="26">
                  <c:v>2.4703455999999999</c:v>
                </c:pt>
                <c:pt idx="27">
                  <c:v>2.4703455999999999</c:v>
                </c:pt>
                <c:pt idx="28">
                  <c:v>2.4703455999999999</c:v>
                </c:pt>
                <c:pt idx="29">
                  <c:v>2.4405823999999998</c:v>
                </c:pt>
                <c:pt idx="30">
                  <c:v>3.8096896</c:v>
                </c:pt>
                <c:pt idx="31">
                  <c:v>3.7799264000000004</c:v>
                </c:pt>
                <c:pt idx="32">
                  <c:v>3.7501632000000003</c:v>
                </c:pt>
                <c:pt idx="33">
                  <c:v>3.7501632000000003</c:v>
                </c:pt>
                <c:pt idx="34">
                  <c:v>3.7204000000000006</c:v>
                </c:pt>
                <c:pt idx="35">
                  <c:v>5.1192704000000004</c:v>
                </c:pt>
                <c:pt idx="36">
                  <c:v>5.1490335999999992</c:v>
                </c:pt>
                <c:pt idx="37">
                  <c:v>5.1490335999999992</c:v>
                </c:pt>
                <c:pt idx="38">
                  <c:v>5.2085599999999994</c:v>
                </c:pt>
                <c:pt idx="39">
                  <c:v>5.2978495999999993</c:v>
                </c:pt>
                <c:pt idx="40">
                  <c:v>6.1609824</c:v>
                </c:pt>
                <c:pt idx="41">
                  <c:v>6.2800351999999995</c:v>
                </c:pt>
                <c:pt idx="42">
                  <c:v>6.4288511999999995</c:v>
                </c:pt>
                <c:pt idx="43">
                  <c:v>6.6074303999999993</c:v>
                </c:pt>
                <c:pt idx="44">
                  <c:v>6.7860095999999999</c:v>
                </c:pt>
                <c:pt idx="45">
                  <c:v>7.1431679999999993</c:v>
                </c:pt>
                <c:pt idx="46">
                  <c:v>7.2919839999999985</c:v>
                </c:pt>
                <c:pt idx="47">
                  <c:v>7.4110367999999989</c:v>
                </c:pt>
                <c:pt idx="48">
                  <c:v>7.5598528000000007</c:v>
                </c:pt>
                <c:pt idx="49">
                  <c:v>7.7086687999999999</c:v>
                </c:pt>
                <c:pt idx="50">
                  <c:v>8.3336959999999998</c:v>
                </c:pt>
                <c:pt idx="51">
                  <c:v>8.4825119999999998</c:v>
                </c:pt>
                <c:pt idx="52">
                  <c:v>8.6015648000000002</c:v>
                </c:pt>
                <c:pt idx="53">
                  <c:v>8.6610911999999995</c:v>
                </c:pt>
                <c:pt idx="54">
                  <c:v>8.7206176000000006</c:v>
                </c:pt>
                <c:pt idx="55">
                  <c:v>9.1075391999999997</c:v>
                </c:pt>
                <c:pt idx="56">
                  <c:v>9.2563551999999998</c:v>
                </c:pt>
                <c:pt idx="57">
                  <c:v>9.4646975999999992</c:v>
                </c:pt>
                <c:pt idx="58">
                  <c:v>9.7325663999999996</c:v>
                </c:pt>
                <c:pt idx="59">
                  <c:v>10.059961599999998</c:v>
                </c:pt>
                <c:pt idx="60">
                  <c:v>9.6135135999999992</c:v>
                </c:pt>
                <c:pt idx="61">
                  <c:v>9.9706720000000004</c:v>
                </c:pt>
                <c:pt idx="62">
                  <c:v>10.387356800000001</c:v>
                </c:pt>
                <c:pt idx="63">
                  <c:v>10.863568000000001</c:v>
                </c:pt>
                <c:pt idx="64">
                  <c:v>11.339779199999999</c:v>
                </c:pt>
                <c:pt idx="65">
                  <c:v>10.417119999999999</c:v>
                </c:pt>
                <c:pt idx="66">
                  <c:v>10.923094399999998</c:v>
                </c:pt>
                <c:pt idx="67">
                  <c:v>11.458831999999999</c:v>
                </c:pt>
                <c:pt idx="68">
                  <c:v>11.9945696</c:v>
                </c:pt>
                <c:pt idx="69">
                  <c:v>12.619596799999998</c:v>
                </c:pt>
                <c:pt idx="70">
                  <c:v>10.4766464</c:v>
                </c:pt>
                <c:pt idx="71">
                  <c:v>11.3993056</c:v>
                </c:pt>
                <c:pt idx="72">
                  <c:v>12.530307200000001</c:v>
                </c:pt>
                <c:pt idx="73">
                  <c:v>13.601782400000001</c:v>
                </c:pt>
                <c:pt idx="74">
                  <c:v>14.732784000000001</c:v>
                </c:pt>
                <c:pt idx="75">
                  <c:v>11.250489600000002</c:v>
                </c:pt>
                <c:pt idx="76">
                  <c:v>11.9945696</c:v>
                </c:pt>
                <c:pt idx="77">
                  <c:v>12.798176</c:v>
                </c:pt>
                <c:pt idx="78">
                  <c:v>13.691071999999998</c:v>
                </c:pt>
                <c:pt idx="79">
                  <c:v>14.7625472</c:v>
                </c:pt>
                <c:pt idx="80">
                  <c:v>11.458831999999999</c:v>
                </c:pt>
                <c:pt idx="81">
                  <c:v>12.560070399999999</c:v>
                </c:pt>
                <c:pt idx="82">
                  <c:v>14.0482304</c:v>
                </c:pt>
                <c:pt idx="83">
                  <c:v>15.953075200000002</c:v>
                </c:pt>
                <c:pt idx="84">
                  <c:v>18.423420799999999</c:v>
                </c:pt>
                <c:pt idx="85">
                  <c:v>6.3395616000000006</c:v>
                </c:pt>
                <c:pt idx="86">
                  <c:v>7.530089600000001</c:v>
                </c:pt>
                <c:pt idx="87">
                  <c:v>9.1373023999999994</c:v>
                </c:pt>
                <c:pt idx="88">
                  <c:v>11.3993056</c:v>
                </c:pt>
                <c:pt idx="89">
                  <c:v>14.613731200000002</c:v>
                </c:pt>
                <c:pt idx="90">
                  <c:v>19.1079744</c:v>
                </c:pt>
                <c:pt idx="91">
                  <c:v>25.566588800000002</c:v>
                </c:pt>
                <c:pt idx="92">
                  <c:v>35.209865600000001</c:v>
                </c:pt>
                <c:pt idx="93">
                  <c:v>49.942649599999996</c:v>
                </c:pt>
                <c:pt idx="94">
                  <c:v>72.800787199999988</c:v>
                </c:pt>
                <c:pt idx="95">
                  <c:v>109.14165439999999</c:v>
                </c:pt>
                <c:pt idx="96">
                  <c:v>169.14426560000001</c:v>
                </c:pt>
                <c:pt idx="97">
                  <c:v>271.73801599999996</c:v>
                </c:pt>
                <c:pt idx="98">
                  <c:v>451.77561279999998</c:v>
                </c:pt>
                <c:pt idx="99">
                  <c:v>774.20035840000003</c:v>
                </c:pt>
                <c:pt idx="100">
                  <c:v>637.70632319999993</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lvl="0">
                  <a:defRPr sz="1100" b="1" i="0">
                    <a:solidFill>
                      <a:srgbClr val="000000"/>
                    </a:solidFill>
                    <a:latin typeface="Calibri"/>
                  </a:defRPr>
                </a:pPr>
                <a:r>
                  <a:rPr lang="es-AR" sz="1100" b="1" i="0">
                    <a:solidFill>
                      <a:srgbClr val="000000"/>
                    </a:solidFill>
                    <a:latin typeface="Calibri"/>
                  </a:rP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lvl="0">
              <a:defRPr sz="1000" b="0" i="0">
                <a:solidFill>
                  <a:srgbClr val="000000"/>
                </a:solidFill>
                <a:latin typeface="Calibri"/>
              </a:defRPr>
            </a:pPr>
            <a:endParaRPr lang="en-US"/>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lvl="0">
                  <a:defRPr sz="1100" b="1" i="0">
                    <a:solidFill>
                      <a:srgbClr val="000000"/>
                    </a:solidFill>
                    <a:latin typeface="Calibri"/>
                  </a:defRPr>
                </a:pPr>
                <a:r>
                  <a:rPr lang="es-AR" sz="1100" b="1" i="0">
                    <a:solidFill>
                      <a:srgbClr val="000000"/>
                    </a:solidFill>
                    <a:latin typeface="Calibri"/>
                  </a:rP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362189008"/>
        <c:crosses val="autoZero"/>
        <c:crossBetween val="midCat"/>
      </c:valAx>
      <c:spPr>
        <a:solidFill>
          <a:srgbClr val="FFFFFF"/>
        </a:solidFill>
      </c:spPr>
    </c:plotArea>
    <c:legend>
      <c:legendPos val="r"/>
      <c:legendEntry>
        <c:idx val="0"/>
        <c:txPr>
          <a:bodyPr/>
          <a:lstStyle/>
          <a:p>
            <a:pPr lvl="0">
              <a:defRPr sz="1200" b="0" i="0">
                <a:solidFill>
                  <a:srgbClr val="000000"/>
                </a:solidFill>
                <a:latin typeface="Calibri"/>
              </a:defRPr>
            </a:pPr>
            <a:endParaRPr lang="en-US"/>
          </a:p>
        </c:txPr>
      </c:legendEntry>
      <c:legendEntry>
        <c:idx val="1"/>
        <c:txPr>
          <a:bodyPr/>
          <a:lstStyle/>
          <a:p>
            <a:pPr lvl="0">
              <a:defRPr sz="1200" b="0" i="0">
                <a:solidFill>
                  <a:srgbClr val="000000"/>
                </a:solidFill>
                <a:latin typeface="Calibri"/>
              </a:defRPr>
            </a:pPr>
            <a:endParaRPr lang="en-US"/>
          </a:p>
        </c:txPr>
      </c:legendEntry>
      <c:layout>
        <c:manualLayout>
          <c:xMode val="edge"/>
          <c:yMode val="edge"/>
          <c:x val="0.20162601626016263"/>
          <c:y val="8.3145370517446124E-2"/>
        </c:manualLayout>
      </c:layout>
      <c:overlay val="0"/>
      <c:txPr>
        <a:bodyPr/>
        <a:lstStyle/>
        <a:p>
          <a:pPr lvl="0">
            <a:defRPr sz="1200" b="0" i="0">
              <a:solidFill>
                <a:srgbClr val="0000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5" sqref="E5"/>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108</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selection'!$E$5,Parameters!$A$2:$V$9,G8,FALSE)</f>
        <v>BRAZIL</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selection'!$E$5,Parameters!$A$2:$V$9,G9,FALSE)</f>
        <v>1472216.7999999998</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00">
        <f>HLOOKUP('Country selection'!$E$5,EDAD_VACUNA!$B$1:$I$9,G10,FALSE)</f>
        <v>1484984</v>
      </c>
      <c r="F10" s="1"/>
      <c r="G10" s="101">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selection'!$E$5,Parameters!$A$2:$V$9,G11,FALSE)</f>
        <v>0.66</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selection'!$E$5,Parameters!$A$2:$V$9,G12,FALSE)</f>
        <v>0.88</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selection'!$E$5,Parameters!$A$2:$V$9,G14,FALSE)</f>
        <v>23.48</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selection'!$E$5,Parameters!$A$2:$V$9,G15,FALSE)</f>
        <v>8.69</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32.17</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selection'!$E$5,Parameters!$A$2:$V$9,G17,FALSE)</f>
        <v>1717.4</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0.28799999999999998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26">
        <f>VLOOKUP('Country selection'!$E$5,Parameters!$A$2:$V$9,G19,FALSE)</f>
        <v>4.9000000000000002E-2</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0.54</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selection'!$E$5,Parameters!$A$2:$V$9,G21,FALSE)</f>
        <v>0.05</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selection'!$E$5,Parameters!$A$2:$V$9,G22,FALSE)</f>
        <v>0.71</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selection'!$E$5,Parameters!$A$2:$V$9,G23,FALSE)</f>
        <v>7507.16</v>
      </c>
      <c r="F23" s="1"/>
      <c r="G23" s="10">
        <v>20</v>
      </c>
      <c r="H23" s="1"/>
      <c r="I23" s="1"/>
      <c r="J23" s="1"/>
      <c r="K23" s="1"/>
      <c r="L23" s="1"/>
      <c r="M23" s="17"/>
      <c r="N23" s="1"/>
      <c r="O23" s="1"/>
      <c r="P23" s="1"/>
      <c r="Q23" s="1"/>
      <c r="R23" s="1"/>
      <c r="S23" s="1"/>
      <c r="T23" s="1"/>
      <c r="U23" s="1"/>
      <c r="V23" s="1"/>
      <c r="W23" s="1"/>
      <c r="X23" s="1"/>
      <c r="Y23" s="1"/>
      <c r="Z23" s="1"/>
    </row>
    <row r="24" spans="1:26" ht="14.25" customHeight="1" thickBot="1" x14ac:dyDescent="0.35">
      <c r="A24" s="1"/>
      <c r="B24" s="1"/>
      <c r="C24" s="1"/>
      <c r="D24" s="111" t="s">
        <v>135</v>
      </c>
      <c r="E24" s="112">
        <f>VLOOKUP('Country selection'!$E$5,Parameters!$A$2:$W$9,G24,FALSE)</f>
        <v>0.73</v>
      </c>
      <c r="F24" s="1"/>
      <c r="G24" s="10">
        <v>23</v>
      </c>
      <c r="H24" s="1"/>
      <c r="I24" s="1"/>
      <c r="J24" s="1"/>
      <c r="K24" s="1"/>
      <c r="L24" s="1"/>
      <c r="M24" s="1"/>
      <c r="N24" s="1"/>
      <c r="O24" s="1"/>
      <c r="P24" s="1"/>
      <c r="Q24" s="1"/>
      <c r="R24" s="1"/>
      <c r="S24" s="1"/>
      <c r="T24" s="1"/>
      <c r="U24" s="1"/>
      <c r="V24" s="1"/>
      <c r="W24" s="1"/>
      <c r="X24" s="1"/>
      <c r="Y24" s="1"/>
      <c r="Z24" s="1"/>
    </row>
    <row r="25" spans="1:26" ht="14.25" customHeight="1" thickBot="1" x14ac:dyDescent="0.35">
      <c r="A25" s="1"/>
      <c r="B25" s="1"/>
      <c r="C25" s="1"/>
      <c r="D25" s="118" t="s">
        <v>160</v>
      </c>
      <c r="E25" s="119">
        <v>0</v>
      </c>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9"/>
  <sheetViews>
    <sheetView workbookViewId="0"/>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120" t="s">
        <v>123</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1">
        <v>8.8400000000000006E-3</v>
      </c>
      <c r="C2" s="121">
        <v>5.4000000000000001E-4</v>
      </c>
      <c r="D2" s="121">
        <v>4.0000000000000002E-4</v>
      </c>
      <c r="E2" s="121">
        <v>2.7999999999999998E-4</v>
      </c>
      <c r="F2" s="121">
        <v>2.1000000000000001E-4</v>
      </c>
      <c r="G2" s="121">
        <v>1.6000000000000001E-4</v>
      </c>
      <c r="H2" s="121">
        <v>1.2999999999999999E-4</v>
      </c>
      <c r="I2" s="121">
        <v>1.1E-4</v>
      </c>
      <c r="J2" s="121">
        <v>1E-4</v>
      </c>
      <c r="K2" s="121">
        <v>1.1E-4</v>
      </c>
      <c r="L2" s="121">
        <v>1.1E-4</v>
      </c>
      <c r="M2" s="121">
        <v>1.2E-4</v>
      </c>
      <c r="N2" s="121">
        <v>1.3999999999999999E-4</v>
      </c>
      <c r="O2" s="121">
        <v>1.8000000000000001E-4</v>
      </c>
      <c r="P2" s="121">
        <v>2.2000000000000001E-4</v>
      </c>
      <c r="Q2" s="121">
        <v>2.7E-4</v>
      </c>
      <c r="R2" s="121">
        <v>3.2000000000000003E-4</v>
      </c>
      <c r="S2" s="121">
        <v>3.6999999999999999E-4</v>
      </c>
      <c r="T2" s="121">
        <v>4.0999999999999999E-4</v>
      </c>
      <c r="U2" s="121">
        <v>4.4000000000000002E-4</v>
      </c>
      <c r="V2" s="121">
        <v>4.4999999999999999E-4</v>
      </c>
      <c r="W2" s="121">
        <v>4.6000000000000001E-4</v>
      </c>
      <c r="X2" s="121">
        <v>4.6000000000000001E-4</v>
      </c>
      <c r="Y2" s="121">
        <v>4.8000000000000001E-4</v>
      </c>
      <c r="Z2" s="121">
        <v>5.1000000000000004E-4</v>
      </c>
      <c r="AA2" s="121">
        <v>5.4000000000000001E-4</v>
      </c>
      <c r="AB2" s="121">
        <v>5.8E-4</v>
      </c>
      <c r="AC2" s="121">
        <v>6.0999999999999997E-4</v>
      </c>
      <c r="AD2" s="121">
        <v>6.4999999999999997E-4</v>
      </c>
      <c r="AE2" s="121">
        <v>6.8000000000000005E-4</v>
      </c>
      <c r="AF2" s="121">
        <v>6.9999999999999999E-4</v>
      </c>
      <c r="AG2" s="121">
        <v>7.2999999999999996E-4</v>
      </c>
      <c r="AH2" s="121">
        <v>7.6999999999999996E-4</v>
      </c>
      <c r="AI2" s="121">
        <v>8.3000000000000001E-4</v>
      </c>
      <c r="AJ2" s="121">
        <v>8.9999999999999998E-4</v>
      </c>
      <c r="AK2" s="121">
        <v>9.7999999999999997E-4</v>
      </c>
      <c r="AL2" s="121">
        <v>1.08E-3</v>
      </c>
      <c r="AM2" s="121">
        <v>1.1900000000000001E-3</v>
      </c>
      <c r="AN2" s="121">
        <v>1.2999999999999999E-3</v>
      </c>
      <c r="AO2" s="121">
        <v>1.41E-3</v>
      </c>
      <c r="AP2" s="121">
        <v>1.5100000000000001E-3</v>
      </c>
      <c r="AQ2" s="121">
        <v>1.6199999999999999E-3</v>
      </c>
      <c r="AR2" s="121">
        <v>1.75E-3</v>
      </c>
      <c r="AS2" s="121">
        <v>1.89E-3</v>
      </c>
      <c r="AT2" s="121">
        <v>2.0500000000000002E-3</v>
      </c>
      <c r="AU2" s="121">
        <v>2.2399999999999998E-3</v>
      </c>
      <c r="AV2" s="121">
        <v>2.4499999999999999E-3</v>
      </c>
      <c r="AW2" s="121">
        <v>2.6700000000000001E-3</v>
      </c>
      <c r="AX2" s="121">
        <v>2.8999999999999998E-3</v>
      </c>
      <c r="AY2" s="121">
        <v>3.15E-3</v>
      </c>
      <c r="AZ2" s="121">
        <v>3.3999999999999998E-3</v>
      </c>
      <c r="BA2" s="121">
        <v>3.6800000000000001E-3</v>
      </c>
      <c r="BB2" s="121">
        <v>3.98E-3</v>
      </c>
      <c r="BC2" s="121">
        <v>4.3200000000000001E-3</v>
      </c>
      <c r="BD2" s="121">
        <v>4.7200000000000002E-3</v>
      </c>
      <c r="BE2" s="121">
        <v>5.1700000000000001E-3</v>
      </c>
      <c r="BF2" s="121">
        <v>5.7099999999999998E-3</v>
      </c>
      <c r="BG2" s="121">
        <v>6.3299999999999997E-3</v>
      </c>
      <c r="BH2" s="121">
        <v>7.0400000000000003E-3</v>
      </c>
      <c r="BI2" s="121">
        <v>7.8399999999999997E-3</v>
      </c>
      <c r="BJ2" s="121">
        <v>8.7100000000000007E-3</v>
      </c>
      <c r="BK2" s="121">
        <v>9.6399999999999993E-3</v>
      </c>
      <c r="BL2" s="121">
        <v>1.059E-2</v>
      </c>
      <c r="BM2" s="121">
        <v>1.155E-2</v>
      </c>
      <c r="BN2" s="121">
        <v>1.251E-2</v>
      </c>
      <c r="BO2" s="121">
        <v>1.349E-2</v>
      </c>
      <c r="BP2" s="121">
        <v>1.4540000000000001E-2</v>
      </c>
      <c r="BQ2" s="121">
        <v>1.5709999999999998E-2</v>
      </c>
      <c r="BR2" s="121">
        <v>1.7049999999999999E-2</v>
      </c>
      <c r="BS2" s="121">
        <v>1.8599999999999998E-2</v>
      </c>
      <c r="BT2" s="121">
        <v>2.0369999999999999E-2</v>
      </c>
      <c r="BU2" s="121">
        <v>2.2360000000000001E-2</v>
      </c>
      <c r="BV2" s="121">
        <v>2.4539999999999999E-2</v>
      </c>
      <c r="BW2" s="121">
        <v>2.691E-2</v>
      </c>
      <c r="BX2" s="121">
        <v>2.9440000000000001E-2</v>
      </c>
      <c r="BY2" s="121">
        <v>3.2149999999999998E-2</v>
      </c>
      <c r="BZ2" s="121">
        <v>3.5090000000000003E-2</v>
      </c>
      <c r="CA2" s="121">
        <v>3.8280000000000002E-2</v>
      </c>
      <c r="CB2" s="121">
        <v>4.1790000000000001E-2</v>
      </c>
      <c r="CC2" s="121">
        <v>4.5650000000000003E-2</v>
      </c>
      <c r="CD2" s="121">
        <v>4.9910000000000003E-2</v>
      </c>
      <c r="CE2" s="121">
        <v>5.457E-2</v>
      </c>
      <c r="CF2" s="121">
        <v>5.9650000000000002E-2</v>
      </c>
      <c r="CG2" s="121">
        <v>6.5180000000000002E-2</v>
      </c>
      <c r="CH2" s="121">
        <v>7.1179999999999993E-2</v>
      </c>
      <c r="CI2" s="121">
        <v>7.7700000000000005E-2</v>
      </c>
      <c r="CJ2" s="121">
        <v>8.48E-2</v>
      </c>
      <c r="CK2" s="121">
        <v>9.2530000000000001E-2</v>
      </c>
      <c r="CL2" s="121">
        <v>0.10097</v>
      </c>
      <c r="CM2" s="121">
        <v>0.11015</v>
      </c>
      <c r="CN2" s="121">
        <v>0.12014</v>
      </c>
      <c r="CO2" s="121">
        <v>0.13095999999999999</v>
      </c>
      <c r="CP2" s="121">
        <v>0.14266000000000001</v>
      </c>
      <c r="CQ2" s="121">
        <v>0.15532000000000001</v>
      </c>
      <c r="CR2" s="121">
        <v>0.16905999999999999</v>
      </c>
      <c r="CS2" s="121">
        <v>0.18426000000000001</v>
      </c>
      <c r="CT2" s="121">
        <v>0.20061999999999999</v>
      </c>
      <c r="CU2" s="121">
        <v>0.21831</v>
      </c>
      <c r="CV2" s="121">
        <v>0.23741999999999999</v>
      </c>
      <c r="CW2" s="121">
        <v>0.25802000000000003</v>
      </c>
      <c r="CX2" s="123">
        <v>1</v>
      </c>
    </row>
    <row r="3" spans="1:102" s="122" customFormat="1" ht="14.25" customHeight="1" x14ac:dyDescent="0.3">
      <c r="A3" s="121" t="s">
        <v>108</v>
      </c>
      <c r="B3" s="122">
        <v>1.154E-2</v>
      </c>
      <c r="C3" s="122">
        <v>5.1999999999999995E-4</v>
      </c>
      <c r="D3" s="122">
        <v>3.8999999999999999E-4</v>
      </c>
      <c r="E3" s="122">
        <v>2.9E-4</v>
      </c>
      <c r="F3" s="122">
        <v>2.3000000000000001E-4</v>
      </c>
      <c r="G3" s="122">
        <v>1.8000000000000001E-4</v>
      </c>
      <c r="H3" s="122">
        <v>1.4999999999999999E-4</v>
      </c>
      <c r="I3" s="122">
        <v>1.3999999999999999E-4</v>
      </c>
      <c r="J3" s="122">
        <v>1.3999999999999999E-4</v>
      </c>
      <c r="K3" s="122">
        <v>1.3999999999999999E-4</v>
      </c>
      <c r="L3" s="122">
        <v>1.6000000000000001E-4</v>
      </c>
      <c r="M3" s="122">
        <v>1.8000000000000001E-4</v>
      </c>
      <c r="N3" s="122">
        <v>2.1000000000000001E-4</v>
      </c>
      <c r="O3" s="122">
        <v>2.4000000000000001E-4</v>
      </c>
      <c r="P3" s="122">
        <v>2.9E-4</v>
      </c>
      <c r="Q3" s="122">
        <v>3.4000000000000002E-4</v>
      </c>
      <c r="R3" s="122">
        <v>3.8999999999999999E-4</v>
      </c>
      <c r="S3" s="122">
        <v>4.4000000000000002E-4</v>
      </c>
      <c r="T3" s="122">
        <v>4.8000000000000001E-4</v>
      </c>
      <c r="U3" s="122">
        <v>5.1999999999999995E-4</v>
      </c>
      <c r="V3" s="122">
        <v>5.5999999999999995E-4</v>
      </c>
      <c r="W3" s="122">
        <v>5.8E-4</v>
      </c>
      <c r="X3" s="122">
        <v>5.9999999999999995E-4</v>
      </c>
      <c r="Y3" s="122">
        <v>6.2E-4</v>
      </c>
      <c r="Z3" s="122">
        <v>6.4000000000000005E-4</v>
      </c>
      <c r="AA3" s="122">
        <v>6.4999999999999997E-4</v>
      </c>
      <c r="AB3" s="122">
        <v>6.7000000000000002E-4</v>
      </c>
      <c r="AC3" s="122">
        <v>6.9999999999999999E-4</v>
      </c>
      <c r="AD3" s="122">
        <v>7.3999999999999999E-4</v>
      </c>
      <c r="AE3" s="122">
        <v>7.7999999999999999E-4</v>
      </c>
      <c r="AF3" s="122">
        <v>8.3000000000000001E-4</v>
      </c>
      <c r="AG3" s="122">
        <v>8.8999999999999995E-4</v>
      </c>
      <c r="AH3" s="122">
        <v>9.5E-4</v>
      </c>
      <c r="AI3" s="122">
        <v>1.0300000000000001E-3</v>
      </c>
      <c r="AJ3" s="122">
        <v>1.1100000000000001E-3</v>
      </c>
      <c r="AK3" s="122">
        <v>1.1900000000000001E-3</v>
      </c>
      <c r="AL3" s="122">
        <v>1.2899999999999999E-3</v>
      </c>
      <c r="AM3" s="122">
        <v>1.39E-3</v>
      </c>
      <c r="AN3" s="122">
        <v>1.5100000000000001E-3</v>
      </c>
      <c r="AO3" s="122">
        <v>1.6299999999999999E-3</v>
      </c>
      <c r="AP3" s="122">
        <v>1.7700000000000001E-3</v>
      </c>
      <c r="AQ3" s="122">
        <v>1.92E-3</v>
      </c>
      <c r="AR3" s="122">
        <v>2.0799999999999998E-3</v>
      </c>
      <c r="AS3" s="122">
        <v>2.2399999999999998E-3</v>
      </c>
      <c r="AT3" s="122">
        <v>2.4199999999999998E-3</v>
      </c>
      <c r="AU3" s="122">
        <v>2.5999999999999999E-3</v>
      </c>
      <c r="AV3" s="122">
        <v>2.7899999999999999E-3</v>
      </c>
      <c r="AW3" s="122">
        <v>3.0000000000000001E-3</v>
      </c>
      <c r="AX3" s="122">
        <v>3.2200000000000002E-3</v>
      </c>
      <c r="AY3" s="122">
        <v>3.47E-3</v>
      </c>
      <c r="AZ3" s="122">
        <v>3.7299999999999998E-3</v>
      </c>
      <c r="BA3" s="122">
        <v>4.0099999999999997E-3</v>
      </c>
      <c r="BB3" s="122">
        <v>4.3200000000000001E-3</v>
      </c>
      <c r="BC3" s="122">
        <v>4.6499999999999996E-3</v>
      </c>
      <c r="BD3" s="122">
        <v>5.0000000000000001E-3</v>
      </c>
      <c r="BE3" s="122">
        <v>5.4000000000000003E-3</v>
      </c>
      <c r="BF3" s="122">
        <v>5.8599999999999998E-3</v>
      </c>
      <c r="BG3" s="122">
        <v>6.3899999999999998E-3</v>
      </c>
      <c r="BH3" s="122">
        <v>7.0099999999999997E-3</v>
      </c>
      <c r="BI3" s="122">
        <v>7.7200000000000003E-3</v>
      </c>
      <c r="BJ3" s="122">
        <v>8.5100000000000002E-3</v>
      </c>
      <c r="BK3" s="122">
        <v>9.3699999999999999E-3</v>
      </c>
      <c r="BL3" s="122">
        <v>1.0290000000000001E-2</v>
      </c>
      <c r="BM3" s="122">
        <v>1.123E-2</v>
      </c>
      <c r="BN3" s="122">
        <v>1.2189999999999999E-2</v>
      </c>
      <c r="BO3" s="122">
        <v>1.319E-2</v>
      </c>
      <c r="BP3" s="122">
        <v>1.4250000000000001E-2</v>
      </c>
      <c r="BQ3" s="122">
        <v>1.54E-2</v>
      </c>
      <c r="BR3" s="122">
        <v>1.67E-2</v>
      </c>
      <c r="BS3" s="122">
        <v>1.8169999999999999E-2</v>
      </c>
      <c r="BT3" s="122">
        <v>1.9859999999999999E-2</v>
      </c>
      <c r="BU3" s="122">
        <v>2.1780000000000001E-2</v>
      </c>
      <c r="BV3" s="122">
        <v>2.3959999999999999E-2</v>
      </c>
      <c r="BW3" s="122">
        <v>2.64E-2</v>
      </c>
      <c r="BX3" s="122">
        <v>2.912E-2</v>
      </c>
      <c r="BY3" s="122">
        <v>3.2099999999999997E-2</v>
      </c>
      <c r="BZ3" s="122">
        <v>3.5340000000000003E-2</v>
      </c>
      <c r="CA3" s="122">
        <v>3.8800000000000001E-2</v>
      </c>
      <c r="CB3" s="122">
        <v>4.2500000000000003E-2</v>
      </c>
      <c r="CC3" s="122">
        <v>4.6420000000000003E-2</v>
      </c>
      <c r="CD3" s="122">
        <v>5.926E-2</v>
      </c>
      <c r="CE3" s="122">
        <v>6.9250000000000006E-2</v>
      </c>
      <c r="CF3" s="122">
        <v>8.1369999999999998E-2</v>
      </c>
      <c r="CG3" s="122">
        <v>9.5710000000000003E-2</v>
      </c>
      <c r="CH3" s="122">
        <v>0.11212</v>
      </c>
      <c r="CI3" s="122">
        <v>0.13017999999999999</v>
      </c>
      <c r="CJ3" s="122">
        <v>0.14918000000000001</v>
      </c>
      <c r="CK3" s="122">
        <v>0.16825999999999999</v>
      </c>
      <c r="CL3" s="122">
        <v>0.18665000000000001</v>
      </c>
      <c r="CM3" s="122">
        <v>0.20386000000000001</v>
      </c>
      <c r="CN3" s="122">
        <v>0.21984999999999999</v>
      </c>
      <c r="CO3" s="122">
        <v>0.23504</v>
      </c>
      <c r="CP3" s="122">
        <v>0.25030999999999998</v>
      </c>
      <c r="CQ3" s="122">
        <v>0.26689000000000002</v>
      </c>
      <c r="CR3" s="122">
        <v>0.28643000000000002</v>
      </c>
      <c r="CS3" s="122">
        <v>0.31217</v>
      </c>
      <c r="CT3" s="122">
        <v>0.33260000000000001</v>
      </c>
      <c r="CU3" s="122">
        <v>0.35303000000000001</v>
      </c>
      <c r="CV3" s="122">
        <v>0.37331999999999999</v>
      </c>
      <c r="CW3" s="122">
        <v>0.39330999999999999</v>
      </c>
      <c r="CX3" s="124">
        <v>1</v>
      </c>
    </row>
    <row r="4" spans="1:102" ht="14.25" customHeight="1" x14ac:dyDescent="0.3">
      <c r="A4" s="121" t="s">
        <v>111</v>
      </c>
      <c r="B4" s="122">
        <v>4.3400000000000001E-3</v>
      </c>
      <c r="C4" s="122">
        <v>2.7E-4</v>
      </c>
      <c r="D4" s="122">
        <v>2.1000000000000001E-4</v>
      </c>
      <c r="E4" s="122">
        <v>1.6000000000000001E-4</v>
      </c>
      <c r="F4" s="122">
        <v>1.2999999999999999E-4</v>
      </c>
      <c r="G4" s="122">
        <v>1E-4</v>
      </c>
      <c r="H4" s="122">
        <v>9.0000000000000006E-5</v>
      </c>
      <c r="I4" s="122">
        <v>8.0000000000000007E-5</v>
      </c>
      <c r="J4" s="122">
        <v>8.0000000000000007E-5</v>
      </c>
      <c r="K4" s="122">
        <v>8.0000000000000007E-5</v>
      </c>
      <c r="L4" s="122">
        <v>9.0000000000000006E-5</v>
      </c>
      <c r="M4" s="122">
        <v>1E-4</v>
      </c>
      <c r="N4" s="122">
        <v>1.2E-4</v>
      </c>
      <c r="O4" s="122">
        <v>1.3999999999999999E-4</v>
      </c>
      <c r="P4" s="122">
        <v>1.7000000000000001E-4</v>
      </c>
      <c r="Q4" s="122">
        <v>2.1000000000000001E-4</v>
      </c>
      <c r="R4" s="122">
        <v>2.4000000000000001E-4</v>
      </c>
      <c r="S4" s="122">
        <v>2.7999999999999998E-4</v>
      </c>
      <c r="T4" s="122">
        <v>3.1E-4</v>
      </c>
      <c r="U4" s="122">
        <v>3.3E-4</v>
      </c>
      <c r="V4" s="122">
        <v>3.5E-4</v>
      </c>
      <c r="W4" s="122">
        <v>3.6000000000000002E-4</v>
      </c>
      <c r="X4" s="122">
        <v>3.6000000000000002E-4</v>
      </c>
      <c r="Y4" s="122">
        <v>3.6000000000000002E-4</v>
      </c>
      <c r="Z4" s="122">
        <v>3.6000000000000002E-4</v>
      </c>
      <c r="AA4" s="122">
        <v>3.6000000000000002E-4</v>
      </c>
      <c r="AB4" s="122">
        <v>3.6999999999999999E-4</v>
      </c>
      <c r="AC4" s="122">
        <v>3.8999999999999999E-4</v>
      </c>
      <c r="AD4" s="122">
        <v>4.0999999999999999E-4</v>
      </c>
      <c r="AE4" s="122">
        <v>4.4000000000000002E-4</v>
      </c>
      <c r="AF4" s="122">
        <v>4.8000000000000001E-4</v>
      </c>
      <c r="AG4" s="122">
        <v>5.1000000000000004E-4</v>
      </c>
      <c r="AH4" s="122">
        <v>5.5000000000000003E-4</v>
      </c>
      <c r="AI4" s="122">
        <v>5.9000000000000003E-4</v>
      </c>
      <c r="AJ4" s="122">
        <v>6.2E-4</v>
      </c>
      <c r="AK4" s="122">
        <v>6.4999999999999997E-4</v>
      </c>
      <c r="AL4" s="122">
        <v>6.8000000000000005E-4</v>
      </c>
      <c r="AM4" s="122">
        <v>7.2000000000000005E-4</v>
      </c>
      <c r="AN4" s="122">
        <v>7.7999999999999999E-4</v>
      </c>
      <c r="AO4" s="122">
        <v>8.5999999999999998E-4</v>
      </c>
      <c r="AP4" s="122">
        <v>9.5E-4</v>
      </c>
      <c r="AQ4" s="122">
        <v>1.06E-3</v>
      </c>
      <c r="AR4" s="122">
        <v>1.1800000000000001E-3</v>
      </c>
      <c r="AS4" s="122">
        <v>1.31E-3</v>
      </c>
      <c r="AT4" s="122">
        <v>1.4400000000000001E-3</v>
      </c>
      <c r="AU4" s="122">
        <v>1.57E-3</v>
      </c>
      <c r="AV4" s="122">
        <v>1.6999999999999999E-3</v>
      </c>
      <c r="AW4" s="122">
        <v>1.8400000000000001E-3</v>
      </c>
      <c r="AX4" s="122">
        <v>1.98E-3</v>
      </c>
      <c r="AY4" s="122">
        <v>2.14E-3</v>
      </c>
      <c r="AZ4" s="122">
        <v>2.32E-3</v>
      </c>
      <c r="BA4" s="122">
        <v>2.5200000000000001E-3</v>
      </c>
      <c r="BB4" s="122">
        <v>2.7599999999999999E-3</v>
      </c>
      <c r="BC4" s="122">
        <v>3.0300000000000001E-3</v>
      </c>
      <c r="BD4" s="122">
        <v>3.3600000000000001E-3</v>
      </c>
      <c r="BE4" s="122">
        <v>3.7299999999999998E-3</v>
      </c>
      <c r="BF4" s="122">
        <v>4.15E-3</v>
      </c>
      <c r="BG4" s="122">
        <v>4.6299999999999996E-3</v>
      </c>
      <c r="BH4" s="122">
        <v>5.1500000000000001E-3</v>
      </c>
      <c r="BI4" s="122">
        <v>5.7000000000000002E-3</v>
      </c>
      <c r="BJ4" s="122">
        <v>6.2700000000000004E-3</v>
      </c>
      <c r="BK4" s="122">
        <v>6.8500000000000002E-3</v>
      </c>
      <c r="BL4" s="122">
        <v>7.4099999999999999E-3</v>
      </c>
      <c r="BM4" s="122">
        <v>7.9699999999999997E-3</v>
      </c>
      <c r="BN4" s="122">
        <v>8.5299999999999994E-3</v>
      </c>
      <c r="BO4" s="122">
        <v>9.1400000000000006E-3</v>
      </c>
      <c r="BP4" s="122">
        <v>9.8499999999999994E-3</v>
      </c>
      <c r="BQ4" s="122">
        <v>1.0710000000000001E-2</v>
      </c>
      <c r="BR4" s="122">
        <v>1.18E-2</v>
      </c>
      <c r="BS4" s="122">
        <v>1.3129999999999999E-2</v>
      </c>
      <c r="BT4" s="122">
        <v>1.472E-2</v>
      </c>
      <c r="BU4" s="122">
        <v>1.6559999999999998E-2</v>
      </c>
      <c r="BV4" s="122">
        <v>1.8589999999999999E-2</v>
      </c>
      <c r="BW4" s="122">
        <v>2.078E-2</v>
      </c>
      <c r="BX4" s="122">
        <v>2.307E-2</v>
      </c>
      <c r="BY4" s="122">
        <v>2.5489999999999999E-2</v>
      </c>
      <c r="BZ4" s="122">
        <v>2.8070000000000001E-2</v>
      </c>
      <c r="CA4" s="122">
        <v>3.0890000000000001E-2</v>
      </c>
      <c r="CB4" s="122">
        <v>3.4049999999999997E-2</v>
      </c>
      <c r="CC4" s="122">
        <v>3.7670000000000002E-2</v>
      </c>
      <c r="CD4" s="122">
        <v>4.1840000000000002E-2</v>
      </c>
      <c r="CE4" s="122">
        <v>4.6679999999999999E-2</v>
      </c>
      <c r="CF4" s="122">
        <v>5.2260000000000001E-2</v>
      </c>
      <c r="CG4" s="122">
        <v>5.8630000000000002E-2</v>
      </c>
      <c r="CH4" s="122">
        <v>6.5780000000000005E-2</v>
      </c>
      <c r="CI4" s="122">
        <v>7.3639999999999997E-2</v>
      </c>
      <c r="CJ4" s="122">
        <v>8.2070000000000004E-2</v>
      </c>
      <c r="CK4" s="122">
        <v>9.1009999999999994E-2</v>
      </c>
      <c r="CL4" s="122">
        <v>0.10055</v>
      </c>
      <c r="CM4" s="122">
        <v>0.11106000000000001</v>
      </c>
      <c r="CN4" s="122">
        <v>0.12330000000000001</v>
      </c>
      <c r="CO4" s="122">
        <v>0.1381</v>
      </c>
      <c r="CP4" s="122">
        <v>0.15629999999999999</v>
      </c>
      <c r="CQ4" s="122">
        <v>0.17821999999999999</v>
      </c>
      <c r="CR4" s="122">
        <v>0.20302000000000001</v>
      </c>
      <c r="CS4" s="122">
        <v>0.21687999999999999</v>
      </c>
      <c r="CT4" s="122">
        <v>0.23788999999999999</v>
      </c>
      <c r="CU4" s="122">
        <v>0.25974999999999998</v>
      </c>
      <c r="CV4" s="122">
        <v>0.28231000000000001</v>
      </c>
      <c r="CW4" s="122">
        <v>0.30535000000000001</v>
      </c>
      <c r="CX4" s="124">
        <v>1</v>
      </c>
    </row>
    <row r="5" spans="1:102" ht="14.25" customHeight="1" x14ac:dyDescent="0.3">
      <c r="A5" s="121" t="s">
        <v>113</v>
      </c>
      <c r="B5" s="122">
        <v>1.001E-2</v>
      </c>
      <c r="C5" s="122">
        <v>5.9999999999999995E-4</v>
      </c>
      <c r="D5" s="122">
        <v>4.6999999999999999E-4</v>
      </c>
      <c r="E5" s="122">
        <v>3.6999999999999999E-4</v>
      </c>
      <c r="F5" s="122">
        <v>2.9999999999999997E-4</v>
      </c>
      <c r="G5" s="122">
        <v>2.5000000000000001E-4</v>
      </c>
      <c r="H5" s="122">
        <v>2.2000000000000001E-4</v>
      </c>
      <c r="I5" s="122">
        <v>2.0000000000000001E-4</v>
      </c>
      <c r="J5" s="122">
        <v>1.9000000000000001E-4</v>
      </c>
      <c r="K5" s="122">
        <v>2.0000000000000001E-4</v>
      </c>
      <c r="L5" s="122">
        <v>2.1000000000000001E-4</v>
      </c>
      <c r="M5" s="122">
        <v>2.3000000000000001E-4</v>
      </c>
      <c r="N5" s="122">
        <v>2.5999999999999998E-4</v>
      </c>
      <c r="O5" s="122">
        <v>2.9999999999999997E-4</v>
      </c>
      <c r="P5" s="122">
        <v>3.5E-4</v>
      </c>
      <c r="Q5" s="122">
        <v>4.0000000000000002E-4</v>
      </c>
      <c r="R5" s="122">
        <v>4.4999999999999999E-4</v>
      </c>
      <c r="S5" s="122">
        <v>5.0000000000000001E-4</v>
      </c>
      <c r="T5" s="122">
        <v>5.4000000000000001E-4</v>
      </c>
      <c r="U5" s="122">
        <v>5.6999999999999998E-4</v>
      </c>
      <c r="V5" s="122">
        <v>5.9999999999999995E-4</v>
      </c>
      <c r="W5" s="122">
        <v>6.2E-4</v>
      </c>
      <c r="X5" s="122">
        <v>6.4000000000000005E-4</v>
      </c>
      <c r="Y5" s="122">
        <v>6.6E-4</v>
      </c>
      <c r="Z5" s="122">
        <v>6.8999999999999997E-4</v>
      </c>
      <c r="AA5" s="122">
        <v>7.1000000000000002E-4</v>
      </c>
      <c r="AB5" s="122">
        <v>7.3999999999999999E-4</v>
      </c>
      <c r="AC5" s="122">
        <v>7.6000000000000004E-4</v>
      </c>
      <c r="AD5" s="122">
        <v>7.9000000000000001E-4</v>
      </c>
      <c r="AE5" s="122">
        <v>8.0999999999999996E-4</v>
      </c>
      <c r="AF5" s="122">
        <v>8.3000000000000001E-4</v>
      </c>
      <c r="AG5" s="122">
        <v>8.7000000000000001E-4</v>
      </c>
      <c r="AH5" s="122">
        <v>9.1E-4</v>
      </c>
      <c r="AI5" s="122">
        <v>9.7999999999999997E-4</v>
      </c>
      <c r="AJ5" s="122">
        <v>1.06E-3</v>
      </c>
      <c r="AK5" s="122">
        <v>1.15E-3</v>
      </c>
      <c r="AL5" s="122">
        <v>1.25E-3</v>
      </c>
      <c r="AM5" s="122">
        <v>1.3500000000000001E-3</v>
      </c>
      <c r="AN5" s="122">
        <v>1.4400000000000001E-3</v>
      </c>
      <c r="AO5" s="122">
        <v>1.5200000000000001E-3</v>
      </c>
      <c r="AP5" s="122">
        <v>1.5900000000000001E-3</v>
      </c>
      <c r="AQ5" s="122">
        <v>1.66E-3</v>
      </c>
      <c r="AR5" s="122">
        <v>1.74E-3</v>
      </c>
      <c r="AS5" s="122">
        <v>1.8400000000000001E-3</v>
      </c>
      <c r="AT5" s="122">
        <v>1.9599999999999999E-3</v>
      </c>
      <c r="AU5" s="122">
        <v>2.1199999999999999E-3</v>
      </c>
      <c r="AV5" s="122">
        <v>2.3E-3</v>
      </c>
      <c r="AW5" s="122">
        <v>2.5100000000000001E-3</v>
      </c>
      <c r="AX5" s="122">
        <v>2.7499999999999998E-3</v>
      </c>
      <c r="AY5" s="122">
        <v>3.0100000000000001E-3</v>
      </c>
      <c r="AZ5" s="122">
        <v>3.2799999999999999E-3</v>
      </c>
      <c r="BA5" s="122">
        <v>3.5699999999999998E-3</v>
      </c>
      <c r="BB5" s="122">
        <v>3.8600000000000001E-3</v>
      </c>
      <c r="BC5" s="122">
        <v>4.1700000000000001E-3</v>
      </c>
      <c r="BD5" s="122">
        <v>4.4900000000000001E-3</v>
      </c>
      <c r="BE5" s="122">
        <v>4.8500000000000001E-3</v>
      </c>
      <c r="BF5" s="122">
        <v>5.2700000000000004E-3</v>
      </c>
      <c r="BG5" s="122">
        <v>5.77E-3</v>
      </c>
      <c r="BH5" s="122">
        <v>6.3699999999999998E-3</v>
      </c>
      <c r="BI5" s="122">
        <v>7.0899999999999999E-3</v>
      </c>
      <c r="BJ5" s="122">
        <v>7.8899999999999994E-3</v>
      </c>
      <c r="BK5" s="122">
        <v>8.7500000000000008E-3</v>
      </c>
      <c r="BL5" s="122">
        <v>9.6299999999999997E-3</v>
      </c>
      <c r="BM5" s="122">
        <v>1.048E-2</v>
      </c>
      <c r="BN5" s="122">
        <v>1.1299999999999999E-2</v>
      </c>
      <c r="BO5" s="122">
        <v>1.214E-2</v>
      </c>
      <c r="BP5" s="122">
        <v>1.3050000000000001E-2</v>
      </c>
      <c r="BQ5" s="122">
        <v>1.4109999999999999E-2</v>
      </c>
      <c r="BR5" s="122">
        <v>1.54E-2</v>
      </c>
      <c r="BS5" s="122">
        <v>1.695E-2</v>
      </c>
      <c r="BT5" s="122">
        <v>1.8759999999999999E-2</v>
      </c>
      <c r="BU5" s="122">
        <v>2.077E-2</v>
      </c>
      <c r="BV5" s="122">
        <v>2.291E-2</v>
      </c>
      <c r="BW5" s="122">
        <v>2.5149999999999999E-2</v>
      </c>
      <c r="BX5" s="122">
        <v>2.751E-2</v>
      </c>
      <c r="BY5" s="122">
        <v>3.0120000000000001E-2</v>
      </c>
      <c r="BZ5" s="122">
        <v>3.322E-2</v>
      </c>
      <c r="CA5" s="122">
        <v>3.703E-2</v>
      </c>
      <c r="CB5" s="122">
        <v>4.1820000000000003E-2</v>
      </c>
      <c r="CC5" s="122">
        <v>4.7730000000000002E-2</v>
      </c>
      <c r="CD5" s="122">
        <v>5.9479999999999998E-2</v>
      </c>
      <c r="CE5" s="122">
        <v>6.9070000000000006E-2</v>
      </c>
      <c r="CF5" s="122">
        <v>7.9949999999999993E-2</v>
      </c>
      <c r="CG5" s="122">
        <v>9.1829999999999995E-2</v>
      </c>
      <c r="CH5" s="122">
        <v>0.10441</v>
      </c>
      <c r="CI5" s="122">
        <v>0.11742</v>
      </c>
      <c r="CJ5" s="122">
        <v>0.13078000000000001</v>
      </c>
      <c r="CK5" s="122">
        <v>0.14448</v>
      </c>
      <c r="CL5" s="122">
        <v>0.15859999999999999</v>
      </c>
      <c r="CM5" s="122">
        <v>0.17324999999999999</v>
      </c>
      <c r="CN5" s="122">
        <v>0.18859000000000001</v>
      </c>
      <c r="CO5" s="122">
        <v>0.20483000000000001</v>
      </c>
      <c r="CP5" s="122">
        <v>0.22231999999999999</v>
      </c>
      <c r="CQ5" s="122">
        <v>0.24159</v>
      </c>
      <c r="CR5" s="122">
        <v>0.26341999999999999</v>
      </c>
      <c r="CS5" s="122">
        <v>0.28293000000000001</v>
      </c>
      <c r="CT5" s="122">
        <v>0.30321999999999999</v>
      </c>
      <c r="CU5" s="122">
        <v>0.32374999999999998</v>
      </c>
      <c r="CV5" s="122">
        <v>0.34434999999999999</v>
      </c>
      <c r="CW5" s="122">
        <v>0.36487000000000003</v>
      </c>
      <c r="CX5" s="123">
        <v>1</v>
      </c>
    </row>
    <row r="6" spans="1:102" ht="14.25" customHeight="1" x14ac:dyDescent="0.3">
      <c r="A6" s="121" t="s">
        <v>115</v>
      </c>
      <c r="B6" s="122">
        <v>6.2899999999999996E-3</v>
      </c>
      <c r="C6" s="122">
        <v>4.0999999999999999E-4</v>
      </c>
      <c r="D6" s="122">
        <v>2.9E-4</v>
      </c>
      <c r="E6" s="122">
        <v>2.1000000000000001E-4</v>
      </c>
      <c r="F6" s="122">
        <v>1.4999999999999999E-4</v>
      </c>
      <c r="G6" s="122">
        <v>1.2E-4</v>
      </c>
      <c r="H6" s="122">
        <v>1E-4</v>
      </c>
      <c r="I6" s="122">
        <v>9.0000000000000006E-5</v>
      </c>
      <c r="J6" s="122">
        <v>9.0000000000000006E-5</v>
      </c>
      <c r="K6" s="122">
        <v>1E-4</v>
      </c>
      <c r="L6" s="122">
        <v>1.2E-4</v>
      </c>
      <c r="M6" s="122">
        <v>1.3999999999999999E-4</v>
      </c>
      <c r="N6" s="122">
        <v>1.6000000000000001E-4</v>
      </c>
      <c r="O6" s="122">
        <v>1.9000000000000001E-4</v>
      </c>
      <c r="P6" s="122">
        <v>2.1000000000000001E-4</v>
      </c>
      <c r="Q6" s="122">
        <v>2.4000000000000001E-4</v>
      </c>
      <c r="R6" s="122">
        <v>2.5000000000000001E-4</v>
      </c>
      <c r="S6" s="122">
        <v>2.7E-4</v>
      </c>
      <c r="T6" s="122">
        <v>2.7999999999999998E-4</v>
      </c>
      <c r="U6" s="122">
        <v>2.9E-4</v>
      </c>
      <c r="V6" s="122">
        <v>2.9999999999999997E-4</v>
      </c>
      <c r="W6" s="122">
        <v>3.1E-4</v>
      </c>
      <c r="X6" s="122">
        <v>3.1E-4</v>
      </c>
      <c r="Y6" s="122">
        <v>3.1E-4</v>
      </c>
      <c r="Z6" s="122">
        <v>3.1E-4</v>
      </c>
      <c r="AA6" s="122">
        <v>3.1E-4</v>
      </c>
      <c r="AB6" s="122">
        <v>3.1E-4</v>
      </c>
      <c r="AC6" s="122">
        <v>3.2000000000000003E-4</v>
      </c>
      <c r="AD6" s="122">
        <v>3.4000000000000002E-4</v>
      </c>
      <c r="AE6" s="122">
        <v>3.6000000000000002E-4</v>
      </c>
      <c r="AF6" s="122">
        <v>4.0000000000000002E-4</v>
      </c>
      <c r="AG6" s="122">
        <v>4.2999999999999999E-4</v>
      </c>
      <c r="AH6" s="122">
        <v>4.6999999999999999E-4</v>
      </c>
      <c r="AI6" s="122">
        <v>5.1000000000000004E-4</v>
      </c>
      <c r="AJ6" s="122">
        <v>5.5000000000000003E-4</v>
      </c>
      <c r="AK6" s="122">
        <v>5.9000000000000003E-4</v>
      </c>
      <c r="AL6" s="122">
        <v>6.2E-4</v>
      </c>
      <c r="AM6" s="122">
        <v>6.4999999999999997E-4</v>
      </c>
      <c r="AN6" s="122">
        <v>6.8999999999999997E-4</v>
      </c>
      <c r="AO6" s="122">
        <v>7.2999999999999996E-4</v>
      </c>
      <c r="AP6" s="122">
        <v>7.7999999999999999E-4</v>
      </c>
      <c r="AQ6" s="122">
        <v>8.4999999999999995E-4</v>
      </c>
      <c r="AR6" s="122">
        <v>9.3000000000000005E-4</v>
      </c>
      <c r="AS6" s="122">
        <v>1.0200000000000001E-3</v>
      </c>
      <c r="AT6" s="122">
        <v>1.1299999999999999E-3</v>
      </c>
      <c r="AU6" s="122">
        <v>1.2600000000000001E-3</v>
      </c>
      <c r="AV6" s="122">
        <v>1.4E-3</v>
      </c>
      <c r="AW6" s="122">
        <v>1.5399999999999999E-3</v>
      </c>
      <c r="AX6" s="122">
        <v>1.6800000000000001E-3</v>
      </c>
      <c r="AY6" s="122">
        <v>1.82E-3</v>
      </c>
      <c r="AZ6" s="122">
        <v>1.9599999999999999E-3</v>
      </c>
      <c r="BA6" s="122">
        <v>2.1299999999999999E-3</v>
      </c>
      <c r="BB6" s="122">
        <v>2.32E-3</v>
      </c>
      <c r="BC6" s="122">
        <v>2.5500000000000002E-3</v>
      </c>
      <c r="BD6" s="122">
        <v>2.8300000000000001E-3</v>
      </c>
      <c r="BE6" s="122">
        <v>3.16E-3</v>
      </c>
      <c r="BF6" s="122">
        <v>3.5200000000000001E-3</v>
      </c>
      <c r="BG6" s="122">
        <v>3.8999999999999998E-3</v>
      </c>
      <c r="BH6" s="122">
        <v>4.3E-3</v>
      </c>
      <c r="BI6" s="122">
        <v>4.7099999999999998E-3</v>
      </c>
      <c r="BJ6" s="122">
        <v>5.13E-3</v>
      </c>
      <c r="BK6" s="122">
        <v>5.5900000000000004E-3</v>
      </c>
      <c r="BL6" s="122">
        <v>6.11E-3</v>
      </c>
      <c r="BM6" s="122">
        <v>6.7299999999999999E-3</v>
      </c>
      <c r="BN6" s="122">
        <v>7.45E-3</v>
      </c>
      <c r="BO6" s="122">
        <v>8.2699999999999996E-3</v>
      </c>
      <c r="BP6" s="122">
        <v>9.1800000000000007E-3</v>
      </c>
      <c r="BQ6" s="122">
        <v>1.0149999999999999E-2</v>
      </c>
      <c r="BR6" s="122">
        <v>1.116E-2</v>
      </c>
      <c r="BS6" s="122">
        <v>1.222E-2</v>
      </c>
      <c r="BT6" s="122">
        <v>1.338E-2</v>
      </c>
      <c r="BU6" s="122">
        <v>1.47E-2</v>
      </c>
      <c r="BV6" s="122">
        <v>1.6289999999999999E-2</v>
      </c>
      <c r="BW6" s="122">
        <v>1.8239999999999999E-2</v>
      </c>
      <c r="BX6" s="122">
        <v>2.06E-2</v>
      </c>
      <c r="BY6" s="122">
        <v>2.3390000000000001E-2</v>
      </c>
      <c r="BZ6" s="122">
        <v>2.6579999999999999E-2</v>
      </c>
      <c r="CA6" s="122">
        <v>3.0079999999999999E-2</v>
      </c>
      <c r="CB6" s="122">
        <v>3.381E-2</v>
      </c>
      <c r="CC6" s="122">
        <v>3.771E-2</v>
      </c>
      <c r="CD6" s="122">
        <v>4.5400000000000003E-2</v>
      </c>
      <c r="CE6" s="122">
        <v>5.0750000000000003E-2</v>
      </c>
      <c r="CF6" s="122">
        <v>5.7090000000000002E-2</v>
      </c>
      <c r="CG6" s="122">
        <v>6.479E-2</v>
      </c>
      <c r="CH6" s="122">
        <v>7.4149999999999994E-2</v>
      </c>
      <c r="CI6" s="122">
        <v>8.5389999999999994E-2</v>
      </c>
      <c r="CJ6" s="122">
        <v>9.8530000000000006E-2</v>
      </c>
      <c r="CK6" s="122">
        <v>0.1134</v>
      </c>
      <c r="CL6" s="122">
        <v>0.12964999999999999</v>
      </c>
      <c r="CM6" s="122">
        <v>0.14680000000000001</v>
      </c>
      <c r="CN6" s="122">
        <v>0.16425999999999999</v>
      </c>
      <c r="CO6" s="122">
        <v>0.18154999999999999</v>
      </c>
      <c r="CP6" s="122">
        <v>0.19847999999999999</v>
      </c>
      <c r="CQ6" s="122">
        <v>0.21535000000000001</v>
      </c>
      <c r="CR6" s="122">
        <v>0.23322000000000001</v>
      </c>
      <c r="CS6" s="122">
        <v>0.26090000000000002</v>
      </c>
      <c r="CT6" s="122">
        <v>0.28398000000000001</v>
      </c>
      <c r="CU6" s="122">
        <v>0.30754999999999999</v>
      </c>
      <c r="CV6" s="122">
        <v>0.33138000000000001</v>
      </c>
      <c r="CW6" s="122">
        <v>0.35524</v>
      </c>
      <c r="CX6" s="123">
        <v>1</v>
      </c>
    </row>
    <row r="7" spans="1:102" ht="14.25" customHeight="1" x14ac:dyDescent="0.3">
      <c r="A7" s="121" t="s">
        <v>117</v>
      </c>
      <c r="B7" s="122">
        <v>9.7400000000000004E-3</v>
      </c>
      <c r="C7" s="122">
        <v>5.2999999999999998E-4</v>
      </c>
      <c r="D7" s="122">
        <v>4.6000000000000001E-4</v>
      </c>
      <c r="E7" s="122">
        <v>3.8999999999999999E-4</v>
      </c>
      <c r="F7" s="122">
        <v>3.4000000000000002E-4</v>
      </c>
      <c r="G7" s="122">
        <v>2.9999999999999997E-4</v>
      </c>
      <c r="H7" s="122">
        <v>2.7E-4</v>
      </c>
      <c r="I7" s="122">
        <v>2.5000000000000001E-4</v>
      </c>
      <c r="J7" s="122">
        <v>2.4000000000000001E-4</v>
      </c>
      <c r="K7" s="122">
        <v>2.4000000000000001E-4</v>
      </c>
      <c r="L7" s="122">
        <v>2.4000000000000001E-4</v>
      </c>
      <c r="M7" s="122">
        <v>2.5999999999999998E-4</v>
      </c>
      <c r="N7" s="122">
        <v>2.9E-4</v>
      </c>
      <c r="O7" s="122">
        <v>3.3E-4</v>
      </c>
      <c r="P7" s="122">
        <v>3.8000000000000002E-4</v>
      </c>
      <c r="Q7" s="122">
        <v>4.4000000000000002E-4</v>
      </c>
      <c r="R7" s="122">
        <v>5.0000000000000001E-4</v>
      </c>
      <c r="S7" s="122">
        <v>5.5000000000000003E-4</v>
      </c>
      <c r="T7" s="122">
        <v>5.9999999999999995E-4</v>
      </c>
      <c r="U7" s="122">
        <v>6.2E-4</v>
      </c>
      <c r="V7" s="122">
        <v>6.4000000000000005E-4</v>
      </c>
      <c r="W7" s="122">
        <v>6.4000000000000005E-4</v>
      </c>
      <c r="X7" s="122">
        <v>6.4999999999999997E-4</v>
      </c>
      <c r="Y7" s="122">
        <v>6.7000000000000002E-4</v>
      </c>
      <c r="Z7" s="122">
        <v>6.9999999999999999E-4</v>
      </c>
      <c r="AA7" s="122">
        <v>7.2999999999999996E-4</v>
      </c>
      <c r="AB7" s="122">
        <v>7.6999999999999996E-4</v>
      </c>
      <c r="AC7" s="122">
        <v>8.0999999999999996E-4</v>
      </c>
      <c r="AD7" s="122">
        <v>8.4999999999999995E-4</v>
      </c>
      <c r="AE7" s="122">
        <v>8.8000000000000003E-4</v>
      </c>
      <c r="AF7" s="122">
        <v>9.2000000000000003E-4</v>
      </c>
      <c r="AG7" s="122">
        <v>9.6000000000000002E-4</v>
      </c>
      <c r="AH7" s="122">
        <v>1.0200000000000001E-3</v>
      </c>
      <c r="AI7" s="122">
        <v>1.09E-3</v>
      </c>
      <c r="AJ7" s="122">
        <v>1.1900000000000001E-3</v>
      </c>
      <c r="AK7" s="122">
        <v>1.31E-3</v>
      </c>
      <c r="AL7" s="122">
        <v>1.4499999999999999E-3</v>
      </c>
      <c r="AM7" s="122">
        <v>1.5900000000000001E-3</v>
      </c>
      <c r="AN7" s="122">
        <v>1.72E-3</v>
      </c>
      <c r="AO7" s="122">
        <v>1.8500000000000001E-3</v>
      </c>
      <c r="AP7" s="122">
        <v>1.97E-3</v>
      </c>
      <c r="AQ7" s="122">
        <v>2.0999999999999999E-3</v>
      </c>
      <c r="AR7" s="122">
        <v>2.2399999999999998E-3</v>
      </c>
      <c r="AS7" s="122">
        <v>2.4099999999999998E-3</v>
      </c>
      <c r="AT7" s="122">
        <v>2.6199999999999999E-3</v>
      </c>
      <c r="AU7" s="122">
        <v>2.8500000000000001E-3</v>
      </c>
      <c r="AV7" s="122">
        <v>3.1099999999999999E-3</v>
      </c>
      <c r="AW7" s="122">
        <v>3.3800000000000002E-3</v>
      </c>
      <c r="AX7" s="122">
        <v>3.65E-3</v>
      </c>
      <c r="AY7" s="122">
        <v>3.9399999999999999E-3</v>
      </c>
      <c r="AZ7" s="122">
        <v>4.2500000000000003E-3</v>
      </c>
      <c r="BA7" s="122">
        <v>4.5999999999999999E-3</v>
      </c>
      <c r="BB7" s="122">
        <v>5.0299999999999997E-3</v>
      </c>
      <c r="BC7" s="122">
        <v>5.5500000000000002E-3</v>
      </c>
      <c r="BD7" s="122">
        <v>6.1799999999999997E-3</v>
      </c>
      <c r="BE7" s="122">
        <v>6.94E-3</v>
      </c>
      <c r="BF7" s="122">
        <v>7.8100000000000001E-3</v>
      </c>
      <c r="BG7" s="122">
        <v>8.7799999999999996E-3</v>
      </c>
      <c r="BH7" s="122">
        <v>9.8099999999999993E-3</v>
      </c>
      <c r="BI7" s="122">
        <v>1.0880000000000001E-2</v>
      </c>
      <c r="BJ7" s="122">
        <v>1.196E-2</v>
      </c>
      <c r="BK7" s="122">
        <v>1.304E-2</v>
      </c>
      <c r="BL7" s="122">
        <v>1.4120000000000001E-2</v>
      </c>
      <c r="BM7" s="122">
        <v>1.5219999999999999E-2</v>
      </c>
      <c r="BN7" s="122">
        <v>1.6379999999999999E-2</v>
      </c>
      <c r="BO7" s="122">
        <v>1.7670000000000002E-2</v>
      </c>
      <c r="BP7" s="122">
        <v>1.9179999999999999E-2</v>
      </c>
      <c r="BQ7" s="122">
        <v>2.0990000000000002E-2</v>
      </c>
      <c r="BR7" s="122">
        <v>2.315E-2</v>
      </c>
      <c r="BS7" s="122">
        <v>2.564E-2</v>
      </c>
      <c r="BT7" s="122">
        <v>2.8379999999999999E-2</v>
      </c>
      <c r="BU7" s="122">
        <v>3.1199999999999999E-2</v>
      </c>
      <c r="BV7" s="122">
        <v>3.3890000000000003E-2</v>
      </c>
      <c r="BW7" s="122">
        <v>3.6360000000000003E-2</v>
      </c>
      <c r="BX7" s="122">
        <v>3.8609999999999998E-2</v>
      </c>
      <c r="BY7" s="122">
        <v>4.0840000000000001E-2</v>
      </c>
      <c r="BZ7" s="122">
        <v>4.3389999999999998E-2</v>
      </c>
      <c r="CA7" s="122">
        <v>4.6559999999999997E-2</v>
      </c>
      <c r="CB7" s="122">
        <v>5.0680000000000003E-2</v>
      </c>
      <c r="CC7" s="122">
        <v>5.5890000000000002E-2</v>
      </c>
      <c r="CD7" s="122">
        <v>6.2190000000000002E-2</v>
      </c>
      <c r="CE7" s="122">
        <v>6.9430000000000006E-2</v>
      </c>
      <c r="CF7" s="122">
        <v>7.7259999999999995E-2</v>
      </c>
      <c r="CG7" s="122">
        <v>8.5379999999999998E-2</v>
      </c>
      <c r="CH7" s="122">
        <v>9.3520000000000006E-2</v>
      </c>
      <c r="CI7" s="122">
        <v>0.10163</v>
      </c>
      <c r="CJ7" s="122">
        <v>0.10986</v>
      </c>
      <c r="CK7" s="122">
        <v>0.11848</v>
      </c>
      <c r="CL7" s="122">
        <v>0.12790000000000001</v>
      </c>
      <c r="CM7" s="122">
        <v>0.13861000000000001</v>
      </c>
      <c r="CN7" s="122">
        <v>0.15112999999999999</v>
      </c>
      <c r="CO7" s="122">
        <v>0.16591</v>
      </c>
      <c r="CP7" s="122">
        <v>0.18318999999999999</v>
      </c>
      <c r="CQ7" s="122">
        <v>0.20277000000000001</v>
      </c>
      <c r="CR7" s="122">
        <v>0.22370000000000001</v>
      </c>
      <c r="CS7" s="122">
        <v>0.23573</v>
      </c>
      <c r="CT7" s="122">
        <v>0.25368000000000002</v>
      </c>
      <c r="CU7" s="122">
        <v>0.27213999999999999</v>
      </c>
      <c r="CV7" s="122">
        <v>0.29099999999999998</v>
      </c>
      <c r="CW7" s="122">
        <v>0.31014000000000003</v>
      </c>
      <c r="CX7" s="123">
        <v>1</v>
      </c>
    </row>
    <row r="8" spans="1:102" ht="14.25" customHeight="1" x14ac:dyDescent="0.3">
      <c r="A8" s="121" t="s">
        <v>119</v>
      </c>
      <c r="B8" s="122">
        <v>1.051E-2</v>
      </c>
      <c r="C8" s="122">
        <v>6.4000000000000005E-4</v>
      </c>
      <c r="D8" s="122">
        <v>5.0000000000000001E-4</v>
      </c>
      <c r="E8" s="122">
        <v>4.0000000000000002E-4</v>
      </c>
      <c r="F8" s="122">
        <v>3.2000000000000003E-4</v>
      </c>
      <c r="G8" s="122">
        <v>2.5999999999999998E-4</v>
      </c>
      <c r="H8" s="122">
        <v>2.3000000000000001E-4</v>
      </c>
      <c r="I8" s="122">
        <v>2.0000000000000001E-4</v>
      </c>
      <c r="J8" s="122">
        <v>2.0000000000000001E-4</v>
      </c>
      <c r="K8" s="122">
        <v>2.0000000000000001E-4</v>
      </c>
      <c r="L8" s="122">
        <v>2.1000000000000001E-4</v>
      </c>
      <c r="M8" s="122">
        <v>2.2000000000000001E-4</v>
      </c>
      <c r="N8" s="122">
        <v>2.5000000000000001E-4</v>
      </c>
      <c r="O8" s="122">
        <v>2.9E-4</v>
      </c>
      <c r="P8" s="122">
        <v>3.4000000000000002E-4</v>
      </c>
      <c r="Q8" s="122">
        <v>3.8999999999999999E-4</v>
      </c>
      <c r="R8" s="122">
        <v>4.4999999999999999E-4</v>
      </c>
      <c r="S8" s="122">
        <v>5.1999999999999995E-4</v>
      </c>
      <c r="T8" s="122">
        <v>5.6999999999999998E-4</v>
      </c>
      <c r="U8" s="122">
        <v>6.3000000000000003E-4</v>
      </c>
      <c r="V8" s="122">
        <v>6.7000000000000002E-4</v>
      </c>
      <c r="W8" s="122">
        <v>7.1000000000000002E-4</v>
      </c>
      <c r="X8" s="122">
        <v>7.3999999999999999E-4</v>
      </c>
      <c r="Y8" s="122">
        <v>7.7999999999999999E-4</v>
      </c>
      <c r="Z8" s="122">
        <v>8.1999999999999998E-4</v>
      </c>
      <c r="AA8" s="122">
        <v>8.5999999999999998E-4</v>
      </c>
      <c r="AB8" s="122">
        <v>9.1E-4</v>
      </c>
      <c r="AC8" s="122">
        <v>9.6000000000000002E-4</v>
      </c>
      <c r="AD8" s="122">
        <v>1E-3</v>
      </c>
      <c r="AE8" s="122">
        <v>1.0499999999999999E-3</v>
      </c>
      <c r="AF8" s="122">
        <v>1.1000000000000001E-3</v>
      </c>
      <c r="AG8" s="122">
        <v>1.15E-3</v>
      </c>
      <c r="AH8" s="122">
        <v>1.2199999999999999E-3</v>
      </c>
      <c r="AI8" s="122">
        <v>1.2999999999999999E-3</v>
      </c>
      <c r="AJ8" s="122">
        <v>1.39E-3</v>
      </c>
      <c r="AK8" s="122">
        <v>1.49E-3</v>
      </c>
      <c r="AL8" s="122">
        <v>1.6199999999999999E-3</v>
      </c>
      <c r="AM8" s="122">
        <v>1.75E-3</v>
      </c>
      <c r="AN8" s="122">
        <v>1.9E-3</v>
      </c>
      <c r="AO8" s="122">
        <v>2.0699999999999998E-3</v>
      </c>
      <c r="AP8" s="122">
        <v>2.2499999999999998E-3</v>
      </c>
      <c r="AQ8" s="122">
        <v>2.4599999999999999E-3</v>
      </c>
      <c r="AR8" s="122">
        <v>2.7000000000000001E-3</v>
      </c>
      <c r="AS8" s="122">
        <v>2.98E-3</v>
      </c>
      <c r="AT8" s="122">
        <v>3.29E-3</v>
      </c>
      <c r="AU8" s="122">
        <v>3.65E-3</v>
      </c>
      <c r="AV8" s="122">
        <v>4.0299999999999997E-3</v>
      </c>
      <c r="AW8" s="122">
        <v>4.4400000000000004E-3</v>
      </c>
      <c r="AX8" s="122">
        <v>4.8500000000000001E-3</v>
      </c>
      <c r="AY8" s="122">
        <v>5.28E-3</v>
      </c>
      <c r="AZ8" s="122">
        <v>5.7299999999999999E-3</v>
      </c>
      <c r="BA8" s="122">
        <v>6.2300000000000003E-3</v>
      </c>
      <c r="BB8" s="122">
        <v>6.7799999999999996E-3</v>
      </c>
      <c r="BC8" s="122">
        <v>7.4099999999999999E-3</v>
      </c>
      <c r="BD8" s="122">
        <v>8.1499999999999993E-3</v>
      </c>
      <c r="BE8" s="122">
        <v>8.9999999999999993E-3</v>
      </c>
      <c r="BF8" s="122">
        <v>9.9600000000000001E-3</v>
      </c>
      <c r="BG8" s="122">
        <v>1.103E-2</v>
      </c>
      <c r="BH8" s="122">
        <v>1.2189999999999999E-2</v>
      </c>
      <c r="BI8" s="122">
        <v>1.341E-2</v>
      </c>
      <c r="BJ8" s="122">
        <v>1.4659999999999999E-2</v>
      </c>
      <c r="BK8" s="122">
        <v>1.592E-2</v>
      </c>
      <c r="BL8" s="122">
        <v>1.7170000000000001E-2</v>
      </c>
      <c r="BM8" s="122">
        <v>1.839E-2</v>
      </c>
      <c r="BN8" s="122">
        <v>1.9630000000000002E-2</v>
      </c>
      <c r="BO8" s="122">
        <v>2.095E-2</v>
      </c>
      <c r="BP8" s="122">
        <v>2.2440000000000002E-2</v>
      </c>
      <c r="BQ8" s="122">
        <v>2.4170000000000001E-2</v>
      </c>
      <c r="BR8" s="122">
        <v>2.6210000000000001E-2</v>
      </c>
      <c r="BS8" s="122">
        <v>2.8580000000000001E-2</v>
      </c>
      <c r="BT8" s="122">
        <v>3.1230000000000001E-2</v>
      </c>
      <c r="BU8" s="122">
        <v>3.406E-2</v>
      </c>
      <c r="BV8" s="122">
        <v>3.6940000000000001E-2</v>
      </c>
      <c r="BW8" s="122">
        <v>3.9800000000000002E-2</v>
      </c>
      <c r="BX8" s="122">
        <v>4.2639999999999997E-2</v>
      </c>
      <c r="BY8" s="122">
        <v>4.5600000000000002E-2</v>
      </c>
      <c r="BZ8" s="122">
        <v>4.888E-2</v>
      </c>
      <c r="CA8" s="122">
        <v>5.2699999999999997E-2</v>
      </c>
      <c r="CB8" s="122">
        <v>5.7279999999999998E-2</v>
      </c>
      <c r="CC8" s="122">
        <v>6.2719999999999998E-2</v>
      </c>
      <c r="CD8" s="122">
        <v>6.9029999999999994E-2</v>
      </c>
      <c r="CE8" s="122">
        <v>7.6079999999999995E-2</v>
      </c>
      <c r="CF8" s="122">
        <v>8.3690000000000001E-2</v>
      </c>
      <c r="CG8" s="122">
        <v>9.171E-2</v>
      </c>
      <c r="CH8" s="122">
        <v>0.10007000000000001</v>
      </c>
      <c r="CI8" s="122">
        <v>0.10886999999999999</v>
      </c>
      <c r="CJ8" s="122">
        <v>0.11829000000000001</v>
      </c>
      <c r="CK8" s="122">
        <v>0.12859999999999999</v>
      </c>
      <c r="CL8" s="122">
        <v>0.14005999999999999</v>
      </c>
      <c r="CM8" s="122">
        <v>0.15279000000000001</v>
      </c>
      <c r="CN8" s="122">
        <v>0.16688</v>
      </c>
      <c r="CO8" s="122">
        <v>0.18229000000000001</v>
      </c>
      <c r="CP8" s="122">
        <v>0.19896</v>
      </c>
      <c r="CQ8" s="122">
        <v>0.21690999999999999</v>
      </c>
      <c r="CR8" s="122">
        <v>0.23622000000000001</v>
      </c>
      <c r="CS8" s="122">
        <v>0.25795000000000001</v>
      </c>
      <c r="CT8" s="122">
        <v>0.28128999999999998</v>
      </c>
      <c r="CU8" s="122">
        <v>0.30654999999999999</v>
      </c>
      <c r="CV8" s="122">
        <v>0.33383000000000002</v>
      </c>
      <c r="CW8" s="122">
        <v>0.36318</v>
      </c>
      <c r="CX8" s="123">
        <v>1</v>
      </c>
    </row>
    <row r="9" spans="1:102" ht="14.25" customHeight="1" x14ac:dyDescent="0.3">
      <c r="A9" s="121" t="s">
        <v>121</v>
      </c>
      <c r="B9" s="122">
        <v>9.3500000000000007E-3</v>
      </c>
      <c r="C9" s="122">
        <v>7.3999999999999999E-4</v>
      </c>
      <c r="D9" s="122">
        <v>5.9999999999999995E-4</v>
      </c>
      <c r="E9" s="122">
        <v>5.0000000000000001E-4</v>
      </c>
      <c r="F9" s="122">
        <v>4.2000000000000002E-4</v>
      </c>
      <c r="G9" s="122">
        <v>3.6000000000000002E-4</v>
      </c>
      <c r="H9" s="122">
        <v>3.2000000000000003E-4</v>
      </c>
      <c r="I9" s="122">
        <v>2.9E-4</v>
      </c>
      <c r="J9" s="122">
        <v>2.9E-4</v>
      </c>
      <c r="K9" s="122">
        <v>2.9E-4</v>
      </c>
      <c r="L9" s="122">
        <v>2.9999999999999997E-4</v>
      </c>
      <c r="M9" s="122">
        <v>3.1E-4</v>
      </c>
      <c r="N9" s="122">
        <v>3.4000000000000002E-4</v>
      </c>
      <c r="O9" s="122">
        <v>3.6999999999999999E-4</v>
      </c>
      <c r="P9" s="122">
        <v>4.0999999999999999E-4</v>
      </c>
      <c r="Q9" s="122">
        <v>4.4000000000000002E-4</v>
      </c>
      <c r="R9" s="122">
        <v>4.8000000000000001E-4</v>
      </c>
      <c r="S9" s="122">
        <v>5.1000000000000004E-4</v>
      </c>
      <c r="T9" s="122">
        <v>5.4000000000000001E-4</v>
      </c>
      <c r="U9" s="122">
        <v>5.5000000000000003E-4</v>
      </c>
      <c r="V9" s="122">
        <v>5.6999999999999998E-4</v>
      </c>
      <c r="W9" s="122">
        <v>5.6999999999999998E-4</v>
      </c>
      <c r="X9" s="122">
        <v>5.8E-4</v>
      </c>
      <c r="Y9" s="122">
        <v>5.8E-4</v>
      </c>
      <c r="Z9" s="122">
        <v>5.9000000000000003E-4</v>
      </c>
      <c r="AA9" s="122">
        <v>6.0999999999999997E-4</v>
      </c>
      <c r="AB9" s="122">
        <v>6.3000000000000003E-4</v>
      </c>
      <c r="AC9" s="122">
        <v>6.6E-4</v>
      </c>
      <c r="AD9" s="122">
        <v>6.9999999999999999E-4</v>
      </c>
      <c r="AE9" s="122">
        <v>7.5000000000000002E-4</v>
      </c>
      <c r="AF9" s="122">
        <v>8.0999999999999996E-4</v>
      </c>
      <c r="AG9" s="122">
        <v>8.8000000000000003E-4</v>
      </c>
      <c r="AH9" s="122">
        <v>9.3999999999999997E-4</v>
      </c>
      <c r="AI9" s="122">
        <v>1.01E-3</v>
      </c>
      <c r="AJ9" s="122">
        <v>1.07E-3</v>
      </c>
      <c r="AK9" s="122">
        <v>1.14E-3</v>
      </c>
      <c r="AL9" s="122">
        <v>1.23E-3</v>
      </c>
      <c r="AM9" s="122">
        <v>1.33E-3</v>
      </c>
      <c r="AN9" s="122">
        <v>1.4599999999999999E-3</v>
      </c>
      <c r="AO9" s="122">
        <v>1.6100000000000001E-3</v>
      </c>
      <c r="AP9" s="122">
        <v>1.7899999999999999E-3</v>
      </c>
      <c r="AQ9" s="122">
        <v>1.98E-3</v>
      </c>
      <c r="AR9" s="122">
        <v>2.1700000000000001E-3</v>
      </c>
      <c r="AS9" s="122">
        <v>2.3600000000000001E-3</v>
      </c>
      <c r="AT9" s="122">
        <v>2.5400000000000002E-3</v>
      </c>
      <c r="AU9" s="122">
        <v>2.7100000000000002E-3</v>
      </c>
      <c r="AV9" s="122">
        <v>2.8900000000000002E-3</v>
      </c>
      <c r="AW9" s="122">
        <v>3.0999999999999999E-3</v>
      </c>
      <c r="AX9" s="122">
        <v>3.3500000000000001E-3</v>
      </c>
      <c r="AY9" s="122">
        <v>3.65E-3</v>
      </c>
      <c r="AZ9" s="122">
        <v>4.0000000000000001E-3</v>
      </c>
      <c r="BA9" s="122">
        <v>4.3899999999999998E-3</v>
      </c>
      <c r="BB9" s="122">
        <v>4.81E-3</v>
      </c>
      <c r="BC9" s="122">
        <v>5.2500000000000003E-3</v>
      </c>
      <c r="BD9" s="122">
        <v>5.7200000000000003E-3</v>
      </c>
      <c r="BE9" s="122">
        <v>6.2300000000000003E-3</v>
      </c>
      <c r="BF9" s="122">
        <v>6.8100000000000001E-3</v>
      </c>
      <c r="BG9" s="122">
        <v>7.4799999999999997E-3</v>
      </c>
      <c r="BH9" s="122">
        <v>8.2699999999999996E-3</v>
      </c>
      <c r="BI9" s="122">
        <v>9.1800000000000007E-3</v>
      </c>
      <c r="BJ9" s="122">
        <v>1.018E-2</v>
      </c>
      <c r="BK9" s="122">
        <v>1.1220000000000001E-2</v>
      </c>
      <c r="BL9" s="122">
        <v>1.223E-2</v>
      </c>
      <c r="BM9" s="122">
        <v>1.3180000000000001E-2</v>
      </c>
      <c r="BN9" s="122">
        <v>1.405E-2</v>
      </c>
      <c r="BO9" s="122">
        <v>1.494E-2</v>
      </c>
      <c r="BP9" s="122">
        <v>1.592E-2</v>
      </c>
      <c r="BQ9" s="122">
        <v>1.711E-2</v>
      </c>
      <c r="BR9" s="122">
        <v>1.8610000000000002E-2</v>
      </c>
      <c r="BS9" s="122">
        <v>2.043E-2</v>
      </c>
      <c r="BT9" s="122">
        <v>2.2540000000000001E-2</v>
      </c>
      <c r="BU9" s="122">
        <v>2.479E-2</v>
      </c>
      <c r="BV9" s="122">
        <v>2.7040000000000002E-2</v>
      </c>
      <c r="BW9" s="122">
        <v>2.9159999999999998E-2</v>
      </c>
      <c r="BX9" s="122">
        <v>3.1140000000000001E-2</v>
      </c>
      <c r="BY9" s="122">
        <v>3.3160000000000002E-2</v>
      </c>
      <c r="BZ9" s="122">
        <v>3.542E-2</v>
      </c>
      <c r="CA9" s="122">
        <v>3.8219999999999997E-2</v>
      </c>
      <c r="CB9" s="122">
        <v>4.181E-2</v>
      </c>
      <c r="CC9" s="122">
        <v>4.6330000000000003E-2</v>
      </c>
      <c r="CD9" s="122">
        <v>5.9339999999999997E-2</v>
      </c>
      <c r="CE9" s="122">
        <v>7.0129999999999998E-2</v>
      </c>
      <c r="CF9" s="122">
        <v>8.2820000000000005E-2</v>
      </c>
      <c r="CG9" s="122">
        <v>9.7000000000000003E-2</v>
      </c>
      <c r="CH9" s="122">
        <v>0.11214</v>
      </c>
      <c r="CI9" s="122">
        <v>0.12778</v>
      </c>
      <c r="CJ9" s="122">
        <v>0.14371999999999999</v>
      </c>
      <c r="CK9" s="122">
        <v>0.15981999999999999</v>
      </c>
      <c r="CL9" s="122">
        <v>0.17607999999999999</v>
      </c>
      <c r="CM9" s="122">
        <v>0.19245999999999999</v>
      </c>
      <c r="CN9" s="122">
        <v>0.20893</v>
      </c>
      <c r="CO9" s="122">
        <v>0.22558</v>
      </c>
      <c r="CP9" s="122">
        <v>0.24271000000000001</v>
      </c>
      <c r="CQ9" s="122">
        <v>0.26099</v>
      </c>
      <c r="CR9" s="122">
        <v>0.28161000000000003</v>
      </c>
      <c r="CS9" s="122">
        <v>0.30989</v>
      </c>
      <c r="CT9" s="122">
        <v>0.33550000000000002</v>
      </c>
      <c r="CU9" s="122">
        <v>0.36277999999999999</v>
      </c>
      <c r="CV9" s="122">
        <v>0.39176</v>
      </c>
      <c r="CW9" s="122">
        <v>0.42246</v>
      </c>
      <c r="CX9" s="123">
        <v>1</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9"/>
  <sheetViews>
    <sheetView workbookViewId="0"/>
  </sheetViews>
  <sheetFormatPr baseColWidth="10" defaultColWidth="14.44140625" defaultRowHeight="15" customHeight="1" x14ac:dyDescent="0.3"/>
  <cols>
    <col min="1" max="1" width="16.21875" bestFit="1" customWidth="1"/>
    <col min="2" max="102" width="8.6640625" customWidth="1"/>
  </cols>
  <sheetData>
    <row r="1" spans="1:102" ht="14.25" customHeight="1" x14ac:dyDescent="0.3">
      <c r="A1" s="120" t="s">
        <v>124</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7.9999999999999996E-6</v>
      </c>
      <c r="W2" s="123">
        <v>7.9999999999999996E-6</v>
      </c>
      <c r="X2" s="123">
        <v>7.9999999999999996E-6</v>
      </c>
      <c r="Y2" s="123">
        <v>7.9999999999999996E-6</v>
      </c>
      <c r="Z2" s="123">
        <v>7.9999999999999996E-6</v>
      </c>
      <c r="AA2" s="123">
        <v>4.1999999999999998E-5</v>
      </c>
      <c r="AB2" s="123">
        <v>4.1999999999999998E-5</v>
      </c>
      <c r="AC2" s="123">
        <v>4.1999999999999998E-5</v>
      </c>
      <c r="AD2" s="123">
        <v>4.3000000000000002E-5</v>
      </c>
      <c r="AE2" s="123">
        <v>4.3000000000000002E-5</v>
      </c>
      <c r="AF2" s="123">
        <v>8.2999999999999998E-5</v>
      </c>
      <c r="AG2" s="123">
        <v>8.3999999999999995E-5</v>
      </c>
      <c r="AH2" s="123">
        <v>8.5000000000000006E-5</v>
      </c>
      <c r="AI2" s="123">
        <v>8.6000000000000003E-5</v>
      </c>
      <c r="AJ2" s="123">
        <v>8.7000000000000001E-5</v>
      </c>
      <c r="AK2" s="123">
        <v>1.21E-4</v>
      </c>
      <c r="AL2" s="123">
        <v>1.22E-4</v>
      </c>
      <c r="AM2" s="123">
        <v>1.22E-4</v>
      </c>
      <c r="AN2" s="123">
        <v>1.22E-4</v>
      </c>
      <c r="AO2" s="123">
        <v>1.22E-4</v>
      </c>
      <c r="AP2" s="123">
        <v>1.6100000000000001E-4</v>
      </c>
      <c r="AQ2" s="123">
        <v>1.63E-4</v>
      </c>
      <c r="AR2" s="123">
        <v>1.65E-4</v>
      </c>
      <c r="AS2" s="123">
        <v>1.6799999999999999E-4</v>
      </c>
      <c r="AT2" s="123">
        <v>1.7200000000000001E-4</v>
      </c>
      <c r="AU2" s="123">
        <v>1.8599999999999999E-4</v>
      </c>
      <c r="AV2" s="123">
        <v>1.9100000000000001E-4</v>
      </c>
      <c r="AW2" s="123">
        <v>1.9799999999999999E-4</v>
      </c>
      <c r="AX2" s="123">
        <v>2.04E-4</v>
      </c>
      <c r="AY2" s="123">
        <v>2.12E-4</v>
      </c>
      <c r="AZ2" s="123">
        <v>2.1800000000000001E-4</v>
      </c>
      <c r="BA2" s="123">
        <v>2.24E-4</v>
      </c>
      <c r="BB2" s="123">
        <v>2.2900000000000001E-4</v>
      </c>
      <c r="BC2" s="123">
        <v>2.33E-4</v>
      </c>
      <c r="BD2" s="123">
        <v>2.3599999999999999E-4</v>
      </c>
      <c r="BE2" s="123">
        <v>2.3699999999999999E-4</v>
      </c>
      <c r="BF2" s="123">
        <v>2.3900000000000001E-4</v>
      </c>
      <c r="BG2" s="123">
        <v>2.43E-4</v>
      </c>
      <c r="BH2" s="123">
        <v>2.4800000000000001E-4</v>
      </c>
      <c r="BI2" s="123">
        <v>2.5300000000000002E-4</v>
      </c>
      <c r="BJ2" s="123">
        <v>2.3900000000000001E-4</v>
      </c>
      <c r="BK2" s="123">
        <v>2.42E-4</v>
      </c>
      <c r="BL2" s="123">
        <v>2.4399999999999999E-4</v>
      </c>
      <c r="BM2" s="123">
        <v>2.4699999999999999E-4</v>
      </c>
      <c r="BN2" s="123">
        <v>2.5399999999999999E-4</v>
      </c>
      <c r="BO2" s="123">
        <v>2.3499999999999999E-4</v>
      </c>
      <c r="BP2" s="123">
        <v>2.4000000000000001E-4</v>
      </c>
      <c r="BQ2" s="123">
        <v>2.4600000000000002E-4</v>
      </c>
      <c r="BR2" s="123">
        <v>2.5399999999999999E-4</v>
      </c>
      <c r="BS2" s="123">
        <v>2.6200000000000003E-4</v>
      </c>
      <c r="BT2" s="123">
        <v>2.3599999999999999E-4</v>
      </c>
      <c r="BU2" s="123">
        <v>2.4399999999999999E-4</v>
      </c>
      <c r="BV2" s="123">
        <v>2.5099999999999998E-4</v>
      </c>
      <c r="BW2" s="123">
        <v>2.6200000000000003E-4</v>
      </c>
      <c r="BX2" s="123">
        <v>2.7500000000000002E-4</v>
      </c>
      <c r="BY2" s="123">
        <v>2.43E-4</v>
      </c>
      <c r="BZ2" s="123">
        <v>2.5799999999999998E-4</v>
      </c>
      <c r="CA2" s="123">
        <v>2.7399999999999999E-4</v>
      </c>
      <c r="CB2" s="123">
        <v>2.9300000000000002E-4</v>
      </c>
      <c r="CC2" s="123">
        <v>3.1399999999999999E-4</v>
      </c>
      <c r="CD2" s="123">
        <v>2.6699999999999998E-4</v>
      </c>
      <c r="CE2" s="123">
        <v>2.8699999999999998E-4</v>
      </c>
      <c r="CF2" s="123">
        <v>3.1E-4</v>
      </c>
      <c r="CG2" s="123">
        <v>3.3399999999999999E-4</v>
      </c>
      <c r="CH2" s="123">
        <v>3.6099999999999999E-4</v>
      </c>
      <c r="CI2" s="123">
        <v>1.4799999999999999E-4</v>
      </c>
      <c r="CJ2" s="123">
        <v>1.6200000000000001E-4</v>
      </c>
      <c r="CK2" s="123">
        <v>1.7899999999999999E-4</v>
      </c>
      <c r="CL2" s="123">
        <v>1.9900000000000001E-4</v>
      </c>
      <c r="CM2" s="123">
        <v>2.22E-4</v>
      </c>
      <c r="CN2" s="123">
        <v>2.5000000000000001E-4</v>
      </c>
      <c r="CO2" s="123">
        <v>2.8600000000000001E-4</v>
      </c>
      <c r="CP2" s="123">
        <v>3.3300000000000002E-4</v>
      </c>
      <c r="CQ2" s="123">
        <v>4.0000000000000002E-4</v>
      </c>
      <c r="CR2" s="123">
        <v>4.9200000000000003E-4</v>
      </c>
      <c r="CS2" s="123">
        <v>6.1899999999999998E-4</v>
      </c>
      <c r="CT2" s="123">
        <v>7.9500000000000003E-4</v>
      </c>
      <c r="CU2" s="123">
        <v>1.0510000000000001E-3</v>
      </c>
      <c r="CV2" s="123">
        <v>1.4319999999999999E-3</v>
      </c>
      <c r="CW2" s="123">
        <v>2.0179999999999998E-3</v>
      </c>
      <c r="CX2" s="123">
        <v>1.1410000000000001E-3</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9.9999999999999995E-7</v>
      </c>
      <c r="R3" s="124">
        <v>9.9999999999999995E-7</v>
      </c>
      <c r="S3" s="124">
        <v>9.9999999999999995E-7</v>
      </c>
      <c r="T3" s="124">
        <v>9.9999999999999995E-7</v>
      </c>
      <c r="U3" s="124">
        <v>9.9999999999999995E-7</v>
      </c>
      <c r="V3" s="124">
        <v>5.0000000000000004E-6</v>
      </c>
      <c r="W3" s="124">
        <v>5.0000000000000004E-6</v>
      </c>
      <c r="X3" s="124">
        <v>5.0000000000000004E-6</v>
      </c>
      <c r="Y3" s="124">
        <v>5.0000000000000004E-6</v>
      </c>
      <c r="Z3" s="124">
        <v>5.0000000000000004E-6</v>
      </c>
      <c r="AA3" s="124">
        <v>2.8E-5</v>
      </c>
      <c r="AB3" s="124">
        <v>2.8E-5</v>
      </c>
      <c r="AC3" s="124">
        <v>2.8E-5</v>
      </c>
      <c r="AD3" s="124">
        <v>2.8E-5</v>
      </c>
      <c r="AE3" s="124">
        <v>2.8E-5</v>
      </c>
      <c r="AF3" s="124">
        <v>5.5000000000000002E-5</v>
      </c>
      <c r="AG3" s="124">
        <v>5.3999999999999998E-5</v>
      </c>
      <c r="AH3" s="124">
        <v>5.3999999999999998E-5</v>
      </c>
      <c r="AI3" s="124">
        <v>5.3999999999999998E-5</v>
      </c>
      <c r="AJ3" s="124">
        <v>5.3000000000000001E-5</v>
      </c>
      <c r="AK3" s="124">
        <v>7.8999999999999996E-5</v>
      </c>
      <c r="AL3" s="124">
        <v>7.8999999999999996E-5</v>
      </c>
      <c r="AM3" s="124">
        <v>7.8999999999999996E-5</v>
      </c>
      <c r="AN3" s="124">
        <v>8.0000000000000007E-5</v>
      </c>
      <c r="AO3" s="124">
        <v>8.1000000000000004E-5</v>
      </c>
      <c r="AP3" s="124">
        <v>9.7999999999999997E-5</v>
      </c>
      <c r="AQ3" s="124">
        <v>1E-4</v>
      </c>
      <c r="AR3" s="124">
        <v>1.02E-4</v>
      </c>
      <c r="AS3" s="124">
        <v>1.05E-4</v>
      </c>
      <c r="AT3" s="124">
        <v>1.08E-4</v>
      </c>
      <c r="AU3" s="124">
        <v>1.1900000000000001E-4</v>
      </c>
      <c r="AV3" s="124">
        <v>1.21E-4</v>
      </c>
      <c r="AW3" s="124">
        <v>1.2300000000000001E-4</v>
      </c>
      <c r="AX3" s="124">
        <v>1.26E-4</v>
      </c>
      <c r="AY3" s="124">
        <v>1.2799999999999999E-4</v>
      </c>
      <c r="AZ3" s="124">
        <v>1.3999999999999999E-4</v>
      </c>
      <c r="BA3" s="124">
        <v>1.4200000000000001E-4</v>
      </c>
      <c r="BB3" s="124">
        <v>1.44E-4</v>
      </c>
      <c r="BC3" s="124">
        <v>1.45E-4</v>
      </c>
      <c r="BD3" s="124">
        <v>1.46E-4</v>
      </c>
      <c r="BE3" s="124">
        <v>1.5300000000000001E-4</v>
      </c>
      <c r="BF3" s="124">
        <v>1.56E-4</v>
      </c>
      <c r="BG3" s="124">
        <v>1.5899999999999999E-4</v>
      </c>
      <c r="BH3" s="124">
        <v>1.64E-4</v>
      </c>
      <c r="BI3" s="124">
        <v>1.6899999999999999E-4</v>
      </c>
      <c r="BJ3" s="124">
        <v>1.65E-4</v>
      </c>
      <c r="BK3" s="124">
        <v>1.7200000000000001E-4</v>
      </c>
      <c r="BL3" s="124">
        <v>1.7899999999999999E-4</v>
      </c>
      <c r="BM3" s="124">
        <v>1.8699999999999999E-4</v>
      </c>
      <c r="BN3" s="124">
        <v>1.95E-4</v>
      </c>
      <c r="BO3" s="124">
        <v>1.8699999999999999E-4</v>
      </c>
      <c r="BP3" s="124">
        <v>1.9599999999999999E-4</v>
      </c>
      <c r="BQ3" s="124">
        <v>2.0599999999999999E-4</v>
      </c>
      <c r="BR3" s="124">
        <v>2.1599999999999999E-4</v>
      </c>
      <c r="BS3" s="124">
        <v>2.2699999999999999E-4</v>
      </c>
      <c r="BT3" s="124">
        <v>2.05E-4</v>
      </c>
      <c r="BU3" s="124">
        <v>2.23E-4</v>
      </c>
      <c r="BV3" s="124">
        <v>2.4499999999999999E-4</v>
      </c>
      <c r="BW3" s="124">
        <v>2.6600000000000001E-4</v>
      </c>
      <c r="BX3" s="124">
        <v>2.8800000000000001E-4</v>
      </c>
      <c r="BY3" s="124">
        <v>2.5099999999999998E-4</v>
      </c>
      <c r="BZ3" s="124">
        <v>2.6800000000000001E-4</v>
      </c>
      <c r="CA3" s="124">
        <v>2.8600000000000001E-4</v>
      </c>
      <c r="CB3" s="124">
        <v>3.0600000000000001E-4</v>
      </c>
      <c r="CC3" s="124">
        <v>3.3E-4</v>
      </c>
      <c r="CD3" s="124">
        <v>2.9799999999999998E-4</v>
      </c>
      <c r="CE3" s="124">
        <v>3.2699999999999998E-4</v>
      </c>
      <c r="CF3" s="124">
        <v>3.6600000000000001E-4</v>
      </c>
      <c r="CG3" s="124">
        <v>4.1599999999999997E-4</v>
      </c>
      <c r="CH3" s="124">
        <v>4.8000000000000001E-4</v>
      </c>
      <c r="CI3" s="124">
        <v>1.9599999999999999E-4</v>
      </c>
      <c r="CJ3" s="124">
        <v>2.32E-4</v>
      </c>
      <c r="CK3" s="124">
        <v>2.8200000000000002E-4</v>
      </c>
      <c r="CL3" s="124">
        <v>3.5199999999999999E-4</v>
      </c>
      <c r="CM3" s="124">
        <v>4.5100000000000001E-4</v>
      </c>
      <c r="CN3" s="124">
        <v>5.9000000000000003E-4</v>
      </c>
      <c r="CO3" s="124">
        <v>7.9000000000000001E-4</v>
      </c>
      <c r="CP3" s="124">
        <v>1.0870000000000001E-3</v>
      </c>
      <c r="CQ3" s="124">
        <v>1.542E-3</v>
      </c>
      <c r="CR3" s="124">
        <v>2.248E-3</v>
      </c>
      <c r="CS3" s="124">
        <v>3.3700000000000002E-3</v>
      </c>
      <c r="CT3" s="124">
        <v>5.2230000000000002E-3</v>
      </c>
      <c r="CU3" s="124">
        <v>8.3909999999999992E-3</v>
      </c>
      <c r="CV3" s="124">
        <v>1.3950000000000001E-2</v>
      </c>
      <c r="CW3" s="124">
        <v>2.3906E-2</v>
      </c>
      <c r="CX3" s="124">
        <v>1.9692000000000001E-2</v>
      </c>
    </row>
    <row r="4" spans="1:102" ht="14.25" customHeight="1" x14ac:dyDescent="0.3">
      <c r="A4" s="121" t="s">
        <v>111</v>
      </c>
      <c r="B4" s="123">
        <v>0</v>
      </c>
      <c r="C4" s="123">
        <v>0</v>
      </c>
      <c r="D4" s="123">
        <v>0</v>
      </c>
      <c r="E4" s="123">
        <v>0</v>
      </c>
      <c r="F4" s="123">
        <v>0</v>
      </c>
      <c r="G4" s="123">
        <v>0</v>
      </c>
      <c r="H4" s="123">
        <v>0</v>
      </c>
      <c r="I4" s="123">
        <v>0</v>
      </c>
      <c r="J4" s="123">
        <v>0</v>
      </c>
      <c r="K4" s="123">
        <v>0</v>
      </c>
      <c r="L4" s="123">
        <v>0</v>
      </c>
      <c r="M4" s="123">
        <v>0</v>
      </c>
      <c r="N4" s="123">
        <v>0</v>
      </c>
      <c r="O4" s="123">
        <v>0</v>
      </c>
      <c r="P4" s="123">
        <v>0</v>
      </c>
      <c r="Q4" s="123">
        <v>0</v>
      </c>
      <c r="R4" s="123">
        <v>0</v>
      </c>
      <c r="S4" s="123">
        <v>0</v>
      </c>
      <c r="T4" s="123">
        <v>0</v>
      </c>
      <c r="U4" s="123">
        <v>0</v>
      </c>
      <c r="V4" s="123">
        <v>3.0000000000000001E-6</v>
      </c>
      <c r="W4" s="123">
        <v>3.0000000000000001E-6</v>
      </c>
      <c r="X4" s="123">
        <v>3.0000000000000001E-6</v>
      </c>
      <c r="Y4" s="123">
        <v>3.0000000000000001E-6</v>
      </c>
      <c r="Z4" s="123">
        <v>3.0000000000000001E-6</v>
      </c>
      <c r="AA4" s="123">
        <v>1.8E-5</v>
      </c>
      <c r="AB4" s="123">
        <v>1.8E-5</v>
      </c>
      <c r="AC4" s="123">
        <v>1.7E-5</v>
      </c>
      <c r="AD4" s="123">
        <v>1.7E-5</v>
      </c>
      <c r="AE4" s="123">
        <v>1.7E-5</v>
      </c>
      <c r="AF4" s="123">
        <v>3.4999999999999997E-5</v>
      </c>
      <c r="AG4" s="123">
        <v>3.4999999999999997E-5</v>
      </c>
      <c r="AH4" s="123">
        <v>3.6000000000000001E-5</v>
      </c>
      <c r="AI4" s="123">
        <v>3.6000000000000001E-5</v>
      </c>
      <c r="AJ4" s="123">
        <v>3.6999999999999998E-5</v>
      </c>
      <c r="AK4" s="123">
        <v>5.3000000000000001E-5</v>
      </c>
      <c r="AL4" s="123">
        <v>5.3999999999999998E-5</v>
      </c>
      <c r="AM4" s="123">
        <v>5.5000000000000002E-5</v>
      </c>
      <c r="AN4" s="123">
        <v>5.5999999999999999E-5</v>
      </c>
      <c r="AO4" s="123">
        <v>5.7000000000000003E-5</v>
      </c>
      <c r="AP4" s="123">
        <v>7.2000000000000002E-5</v>
      </c>
      <c r="AQ4" s="123">
        <v>7.2999999999999999E-5</v>
      </c>
      <c r="AR4" s="123">
        <v>7.2999999999999999E-5</v>
      </c>
      <c r="AS4" s="123">
        <v>7.3999999999999996E-5</v>
      </c>
      <c r="AT4" s="123">
        <v>7.4999999999999993E-5</v>
      </c>
      <c r="AU4" s="123">
        <v>8.8999999999999995E-5</v>
      </c>
      <c r="AV4" s="123">
        <v>9.0000000000000006E-5</v>
      </c>
      <c r="AW4" s="123">
        <v>9.0000000000000006E-5</v>
      </c>
      <c r="AX4" s="123">
        <v>9.1000000000000003E-5</v>
      </c>
      <c r="AY4" s="123">
        <v>9.1000000000000003E-5</v>
      </c>
      <c r="AZ4" s="123">
        <v>1.03E-4</v>
      </c>
      <c r="BA4" s="123">
        <v>1.03E-4</v>
      </c>
      <c r="BB4" s="123">
        <v>1.0399999999999999E-4</v>
      </c>
      <c r="BC4" s="123">
        <v>1.06E-4</v>
      </c>
      <c r="BD4" s="123">
        <v>1.07E-4</v>
      </c>
      <c r="BE4" s="123">
        <v>1.18E-4</v>
      </c>
      <c r="BF4" s="123">
        <v>1.2E-4</v>
      </c>
      <c r="BG4" s="123">
        <v>1.2300000000000001E-4</v>
      </c>
      <c r="BH4" s="123">
        <v>1.26E-4</v>
      </c>
      <c r="BI4" s="123">
        <v>1.2899999999999999E-4</v>
      </c>
      <c r="BJ4" s="123">
        <v>1.3799999999999999E-4</v>
      </c>
      <c r="BK4" s="123">
        <v>1.4200000000000001E-4</v>
      </c>
      <c r="BL4" s="123">
        <v>1.46E-4</v>
      </c>
      <c r="BM4" s="123">
        <v>1.5100000000000001E-4</v>
      </c>
      <c r="BN4" s="123">
        <v>1.56E-4</v>
      </c>
      <c r="BO4" s="123">
        <v>1.7799999999999999E-4</v>
      </c>
      <c r="BP4" s="123">
        <v>1.85E-4</v>
      </c>
      <c r="BQ4" s="123">
        <v>1.93E-4</v>
      </c>
      <c r="BR4" s="123">
        <v>2.0100000000000001E-4</v>
      </c>
      <c r="BS4" s="123">
        <v>2.1000000000000001E-4</v>
      </c>
      <c r="BT4" s="123">
        <v>2.14E-4</v>
      </c>
      <c r="BU4" s="123">
        <v>2.2599999999999999E-4</v>
      </c>
      <c r="BV4" s="123">
        <v>2.4000000000000001E-4</v>
      </c>
      <c r="BW4" s="123">
        <v>2.5999999999999998E-4</v>
      </c>
      <c r="BX4" s="123">
        <v>2.81E-4</v>
      </c>
      <c r="BY4" s="123">
        <v>2.9500000000000001E-4</v>
      </c>
      <c r="BZ4" s="123">
        <v>3.1500000000000001E-4</v>
      </c>
      <c r="CA4" s="123">
        <v>3.3599999999999998E-4</v>
      </c>
      <c r="CB4" s="123">
        <v>3.59E-4</v>
      </c>
      <c r="CC4" s="123">
        <v>3.8200000000000002E-4</v>
      </c>
      <c r="CD4" s="123">
        <v>3.7399999999999998E-4</v>
      </c>
      <c r="CE4" s="123">
        <v>3.9800000000000002E-4</v>
      </c>
      <c r="CF4" s="123">
        <v>4.2499999999999998E-4</v>
      </c>
      <c r="CG4" s="123">
        <v>4.55E-4</v>
      </c>
      <c r="CH4" s="123">
        <v>4.8999999999999998E-4</v>
      </c>
      <c r="CI4" s="123">
        <v>2.3800000000000001E-4</v>
      </c>
      <c r="CJ4" s="123">
        <v>2.61E-4</v>
      </c>
      <c r="CK4" s="123">
        <v>2.8800000000000001E-4</v>
      </c>
      <c r="CL4" s="123">
        <v>3.1799999999999998E-4</v>
      </c>
      <c r="CM4" s="123">
        <v>3.5399999999999999E-4</v>
      </c>
      <c r="CN4" s="123">
        <v>3.9800000000000002E-4</v>
      </c>
      <c r="CO4" s="123">
        <v>4.5100000000000001E-4</v>
      </c>
      <c r="CP4" s="123">
        <v>5.2599999999999999E-4</v>
      </c>
      <c r="CQ4" s="123">
        <v>6.4000000000000005E-4</v>
      </c>
      <c r="CR4" s="123">
        <v>8.12E-4</v>
      </c>
      <c r="CS4" s="123">
        <v>1.0510000000000001E-3</v>
      </c>
      <c r="CT4" s="123">
        <v>1.3979999999999999E-3</v>
      </c>
      <c r="CU4" s="123">
        <v>1.926E-3</v>
      </c>
      <c r="CV4" s="123">
        <v>2.6919999999999999E-3</v>
      </c>
      <c r="CW4" s="123">
        <v>3.8449999999999999E-3</v>
      </c>
      <c r="CX4" s="123">
        <v>2.2469999999999999E-3</v>
      </c>
    </row>
    <row r="5" spans="1:102"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0</v>
      </c>
      <c r="R5" s="124">
        <v>0</v>
      </c>
      <c r="S5" s="124">
        <v>0</v>
      </c>
      <c r="T5" s="124">
        <v>0</v>
      </c>
      <c r="U5" s="124">
        <v>0</v>
      </c>
      <c r="V5" s="124">
        <v>3.9999999999999998E-6</v>
      </c>
      <c r="W5" s="124">
        <v>3.9999999999999998E-6</v>
      </c>
      <c r="X5" s="124">
        <v>3.9999999999999998E-6</v>
      </c>
      <c r="Y5" s="124">
        <v>3.9999999999999998E-6</v>
      </c>
      <c r="Z5" s="124">
        <v>3.9999999999999998E-6</v>
      </c>
      <c r="AA5" s="124">
        <v>2.0999999999999999E-5</v>
      </c>
      <c r="AB5" s="124">
        <v>2.0999999999999999E-5</v>
      </c>
      <c r="AC5" s="124">
        <v>2.0999999999999999E-5</v>
      </c>
      <c r="AD5" s="124">
        <v>2.0999999999999999E-5</v>
      </c>
      <c r="AE5" s="124">
        <v>2.0999999999999999E-5</v>
      </c>
      <c r="AF5" s="124">
        <v>4.1E-5</v>
      </c>
      <c r="AG5" s="124">
        <v>4.1999999999999998E-5</v>
      </c>
      <c r="AH5" s="124">
        <v>4.1999999999999998E-5</v>
      </c>
      <c r="AI5" s="124">
        <v>4.3000000000000002E-5</v>
      </c>
      <c r="AJ5" s="124">
        <v>4.3999999999999999E-5</v>
      </c>
      <c r="AK5" s="124">
        <v>6.6000000000000005E-5</v>
      </c>
      <c r="AL5" s="124">
        <v>6.7000000000000002E-5</v>
      </c>
      <c r="AM5" s="124">
        <v>6.7999999999999999E-5</v>
      </c>
      <c r="AN5" s="124">
        <v>6.8999999999999997E-5</v>
      </c>
      <c r="AO5" s="124">
        <v>7.1000000000000005E-5</v>
      </c>
      <c r="AP5" s="124">
        <v>9.5000000000000005E-5</v>
      </c>
      <c r="AQ5" s="124">
        <v>9.7E-5</v>
      </c>
      <c r="AR5" s="124">
        <v>1E-4</v>
      </c>
      <c r="AS5" s="124">
        <v>1.03E-4</v>
      </c>
      <c r="AT5" s="124">
        <v>1.05E-4</v>
      </c>
      <c r="AU5" s="124">
        <v>1.2899999999999999E-4</v>
      </c>
      <c r="AV5" s="124">
        <v>1.3200000000000001E-4</v>
      </c>
      <c r="AW5" s="124">
        <v>1.34E-4</v>
      </c>
      <c r="AX5" s="124">
        <v>1.35E-4</v>
      </c>
      <c r="AY5" s="124">
        <v>1.35E-4</v>
      </c>
      <c r="AZ5" s="124">
        <v>1.6000000000000001E-4</v>
      </c>
      <c r="BA5" s="124">
        <v>1.6100000000000001E-4</v>
      </c>
      <c r="BB5" s="124">
        <v>1.6100000000000001E-4</v>
      </c>
      <c r="BC5" s="124">
        <v>1.6200000000000001E-4</v>
      </c>
      <c r="BD5" s="124">
        <v>1.63E-4</v>
      </c>
      <c r="BE5" s="124">
        <v>1.7899999999999999E-4</v>
      </c>
      <c r="BF5" s="124">
        <v>1.83E-4</v>
      </c>
      <c r="BG5" s="124">
        <v>1.8799999999999999E-4</v>
      </c>
      <c r="BH5" s="124">
        <v>1.94E-4</v>
      </c>
      <c r="BI5" s="124">
        <v>2.02E-4</v>
      </c>
      <c r="BJ5" s="124">
        <v>2.05E-4</v>
      </c>
      <c r="BK5" s="124">
        <v>2.1499999999999999E-4</v>
      </c>
      <c r="BL5" s="124">
        <v>2.2499999999999999E-4</v>
      </c>
      <c r="BM5" s="124">
        <v>2.3699999999999999E-4</v>
      </c>
      <c r="BN5" s="124">
        <v>2.5000000000000001E-4</v>
      </c>
      <c r="BO5" s="124">
        <v>2.6699999999999998E-4</v>
      </c>
      <c r="BP5" s="124">
        <v>2.8200000000000002E-4</v>
      </c>
      <c r="BQ5" s="124">
        <v>2.99E-4</v>
      </c>
      <c r="BR5" s="124">
        <v>3.1799999999999998E-4</v>
      </c>
      <c r="BS5" s="124">
        <v>3.3799999999999998E-4</v>
      </c>
      <c r="BT5" s="124">
        <v>3.2200000000000002E-4</v>
      </c>
      <c r="BU5" s="124">
        <v>3.4900000000000003E-4</v>
      </c>
      <c r="BV5" s="124">
        <v>3.77E-4</v>
      </c>
      <c r="BW5" s="124">
        <v>4.0200000000000001E-4</v>
      </c>
      <c r="BX5" s="124">
        <v>4.3199999999999998E-4</v>
      </c>
      <c r="BY5" s="124">
        <v>4.0200000000000001E-4</v>
      </c>
      <c r="BZ5" s="124">
        <v>4.35E-4</v>
      </c>
      <c r="CA5" s="124">
        <v>4.73E-4</v>
      </c>
      <c r="CB5" s="124">
        <v>5.1500000000000005E-4</v>
      </c>
      <c r="CC5" s="124">
        <v>5.6400000000000005E-4</v>
      </c>
      <c r="CD5" s="124">
        <v>5.1800000000000001E-4</v>
      </c>
      <c r="CE5" s="124">
        <v>5.7600000000000001E-4</v>
      </c>
      <c r="CF5" s="124">
        <v>6.4300000000000002E-4</v>
      </c>
      <c r="CG5" s="124">
        <v>7.2199999999999999E-4</v>
      </c>
      <c r="CH5" s="124">
        <v>8.1899999999999996E-4</v>
      </c>
      <c r="CI5" s="124">
        <v>3.3500000000000001E-4</v>
      </c>
      <c r="CJ5" s="124">
        <v>3.9300000000000001E-4</v>
      </c>
      <c r="CK5" s="124">
        <v>4.6999999999999999E-4</v>
      </c>
      <c r="CL5" s="124">
        <v>5.7700000000000004E-4</v>
      </c>
      <c r="CM5" s="124">
        <v>7.2599999999999997E-4</v>
      </c>
      <c r="CN5" s="124">
        <v>9.2500000000000004E-4</v>
      </c>
      <c r="CO5" s="124">
        <v>1.194E-3</v>
      </c>
      <c r="CP5" s="124">
        <v>1.565E-3</v>
      </c>
      <c r="CQ5" s="124">
        <v>2.0830000000000002E-3</v>
      </c>
      <c r="CR5" s="124">
        <v>2.8140000000000001E-3</v>
      </c>
      <c r="CS5" s="124">
        <v>3.875E-3</v>
      </c>
      <c r="CT5" s="124">
        <v>5.4770000000000001E-3</v>
      </c>
      <c r="CU5" s="124">
        <v>7.9489999999999995E-3</v>
      </c>
      <c r="CV5" s="124">
        <v>1.1749000000000001E-2</v>
      </c>
      <c r="CW5" s="124">
        <v>1.7616E-2</v>
      </c>
      <c r="CX5" s="124">
        <v>1.1924000000000001E-2</v>
      </c>
    </row>
    <row r="6" spans="1:102" s="122" customFormat="1" ht="14.25" customHeight="1" x14ac:dyDescent="0.3">
      <c r="A6" s="125" t="s">
        <v>115</v>
      </c>
      <c r="B6" s="124">
        <v>0</v>
      </c>
      <c r="C6" s="124">
        <v>0</v>
      </c>
      <c r="D6" s="124">
        <v>0</v>
      </c>
      <c r="E6" s="124">
        <v>0</v>
      </c>
      <c r="F6" s="124">
        <v>0</v>
      </c>
      <c r="G6" s="124">
        <v>0</v>
      </c>
      <c r="H6" s="124">
        <v>0</v>
      </c>
      <c r="I6" s="124">
        <v>0</v>
      </c>
      <c r="J6" s="124">
        <v>0</v>
      </c>
      <c r="K6" s="124">
        <v>0</v>
      </c>
      <c r="L6" s="124">
        <v>0</v>
      </c>
      <c r="M6" s="124">
        <v>0</v>
      </c>
      <c r="N6" s="124">
        <v>0</v>
      </c>
      <c r="O6" s="124">
        <v>0</v>
      </c>
      <c r="P6" s="124">
        <v>0</v>
      </c>
      <c r="Q6" s="124">
        <v>0</v>
      </c>
      <c r="R6" s="124">
        <v>0</v>
      </c>
      <c r="S6" s="124">
        <v>0</v>
      </c>
      <c r="T6" s="124">
        <v>0</v>
      </c>
      <c r="U6" s="124">
        <v>0</v>
      </c>
      <c r="V6" s="124">
        <v>1.0000000000000001E-5</v>
      </c>
      <c r="W6" s="124">
        <v>1.0000000000000001E-5</v>
      </c>
      <c r="X6" s="124">
        <v>1.0000000000000001E-5</v>
      </c>
      <c r="Y6" s="124">
        <v>1.0000000000000001E-5</v>
      </c>
      <c r="Z6" s="124">
        <v>0</v>
      </c>
      <c r="AA6" s="124">
        <v>2.0000000000000002E-5</v>
      </c>
      <c r="AB6" s="124">
        <v>2.0000000000000002E-5</v>
      </c>
      <c r="AC6" s="124">
        <v>2.0000000000000002E-5</v>
      </c>
      <c r="AD6" s="124">
        <v>2.0000000000000002E-5</v>
      </c>
      <c r="AE6" s="124">
        <v>2.0000000000000002E-5</v>
      </c>
      <c r="AF6" s="124">
        <v>5.0000000000000002E-5</v>
      </c>
      <c r="AG6" s="124">
        <v>5.0000000000000002E-5</v>
      </c>
      <c r="AH6" s="124">
        <v>5.0000000000000002E-5</v>
      </c>
      <c r="AI6" s="124">
        <v>5.0000000000000002E-5</v>
      </c>
      <c r="AJ6" s="124">
        <v>5.0000000000000002E-5</v>
      </c>
      <c r="AK6" s="124">
        <v>6.9999999999999994E-5</v>
      </c>
      <c r="AL6" s="124">
        <v>6.9999999999999994E-5</v>
      </c>
      <c r="AM6" s="124">
        <v>6.9999999999999994E-5</v>
      </c>
      <c r="AN6" s="124">
        <v>6.9999999999999994E-5</v>
      </c>
      <c r="AO6" s="124">
        <v>6.9999999999999994E-5</v>
      </c>
      <c r="AP6" s="124">
        <v>9.0000000000000006E-5</v>
      </c>
      <c r="AQ6" s="124">
        <v>9.0000000000000006E-5</v>
      </c>
      <c r="AR6" s="124">
        <v>9.0000000000000006E-5</v>
      </c>
      <c r="AS6" s="124">
        <v>9.0000000000000006E-5</v>
      </c>
      <c r="AT6" s="124">
        <v>1E-4</v>
      </c>
      <c r="AU6" s="124">
        <v>1E-4</v>
      </c>
      <c r="AV6" s="124">
        <v>1E-4</v>
      </c>
      <c r="AW6" s="124">
        <v>1E-4</v>
      </c>
      <c r="AX6" s="124">
        <v>1E-4</v>
      </c>
      <c r="AY6" s="124">
        <v>1E-4</v>
      </c>
      <c r="AZ6" s="124">
        <v>1.2E-4</v>
      </c>
      <c r="BA6" s="124">
        <v>1.2E-4</v>
      </c>
      <c r="BB6" s="124">
        <v>1.2E-4</v>
      </c>
      <c r="BC6" s="124">
        <v>1.2E-4</v>
      </c>
      <c r="BD6" s="124">
        <v>1.2E-4</v>
      </c>
      <c r="BE6" s="124">
        <v>1.2E-4</v>
      </c>
      <c r="BF6" s="124">
        <v>1.2E-4</v>
      </c>
      <c r="BG6" s="124">
        <v>1.2E-4</v>
      </c>
      <c r="BH6" s="124">
        <v>1.2E-4</v>
      </c>
      <c r="BI6" s="124">
        <v>1.2999999999999999E-4</v>
      </c>
      <c r="BJ6" s="124">
        <v>1.2999999999999999E-4</v>
      </c>
      <c r="BK6" s="124">
        <v>1.2999999999999999E-4</v>
      </c>
      <c r="BL6" s="124">
        <v>1.3999999999999999E-4</v>
      </c>
      <c r="BM6" s="124">
        <v>1.4999999999999999E-4</v>
      </c>
      <c r="BN6" s="124">
        <v>1.4999999999999999E-4</v>
      </c>
      <c r="BO6" s="124">
        <v>1.2999999999999999E-4</v>
      </c>
      <c r="BP6" s="124">
        <v>1.3999999999999999E-4</v>
      </c>
      <c r="BQ6" s="124">
        <v>1.4999999999999999E-4</v>
      </c>
      <c r="BR6" s="124">
        <v>1.4999999999999999E-4</v>
      </c>
      <c r="BS6" s="124">
        <v>1.6000000000000001E-4</v>
      </c>
      <c r="BT6" s="124">
        <v>1.8000000000000001E-4</v>
      </c>
      <c r="BU6" s="124">
        <v>1.9000000000000001E-4</v>
      </c>
      <c r="BV6" s="124">
        <v>2.1000000000000001E-4</v>
      </c>
      <c r="BW6" s="124">
        <v>2.2000000000000001E-4</v>
      </c>
      <c r="BX6" s="124">
        <v>2.4000000000000001E-4</v>
      </c>
      <c r="BY6" s="124">
        <v>2.5000000000000001E-4</v>
      </c>
      <c r="BZ6" s="124">
        <v>2.7E-4</v>
      </c>
      <c r="CA6" s="124">
        <v>2.9E-4</v>
      </c>
      <c r="CB6" s="124">
        <v>3.2000000000000003E-4</v>
      </c>
      <c r="CC6" s="124">
        <v>3.4000000000000002E-4</v>
      </c>
      <c r="CD6" s="124">
        <v>3.4000000000000002E-4</v>
      </c>
      <c r="CE6" s="124">
        <v>3.6999999999999999E-4</v>
      </c>
      <c r="CF6" s="124">
        <v>4.0000000000000002E-4</v>
      </c>
      <c r="CG6" s="124">
        <v>4.4999999999999999E-4</v>
      </c>
      <c r="CH6" s="124">
        <v>5.0000000000000001E-4</v>
      </c>
      <c r="CI6" s="124">
        <v>2.5000000000000001E-4</v>
      </c>
      <c r="CJ6" s="124">
        <v>2.9E-4</v>
      </c>
      <c r="CK6" s="124">
        <v>3.4000000000000002E-4</v>
      </c>
      <c r="CL6" s="124">
        <v>4.0000000000000002E-4</v>
      </c>
      <c r="CM6" s="124">
        <v>4.8999999999999998E-4</v>
      </c>
      <c r="CN6" s="124">
        <v>6.0999999999999997E-4</v>
      </c>
      <c r="CO6" s="124">
        <v>7.6000000000000004E-4</v>
      </c>
      <c r="CP6" s="124">
        <v>9.8999999999999999E-4</v>
      </c>
      <c r="CQ6" s="124">
        <v>1.32E-3</v>
      </c>
      <c r="CR6" s="124">
        <v>1.8E-3</v>
      </c>
      <c r="CS6" s="124">
        <v>2.5300000000000001E-3</v>
      </c>
      <c r="CT6" s="124">
        <v>3.6800000000000001E-3</v>
      </c>
      <c r="CU6" s="124">
        <v>5.5100000000000001E-3</v>
      </c>
      <c r="CV6" s="124">
        <v>8.5599999999999999E-3</v>
      </c>
      <c r="CW6" s="124">
        <v>1.3769999999999999E-2</v>
      </c>
      <c r="CX6" s="124">
        <v>1.022E-2</v>
      </c>
    </row>
    <row r="7" spans="1:102" s="122" customFormat="1"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0</v>
      </c>
      <c r="R7" s="124">
        <v>0</v>
      </c>
      <c r="S7" s="124">
        <v>0</v>
      </c>
      <c r="T7" s="124">
        <v>0</v>
      </c>
      <c r="U7" s="124">
        <v>0</v>
      </c>
      <c r="V7" s="124">
        <v>9.9999999999999995E-7</v>
      </c>
      <c r="W7" s="124">
        <v>9.9999999999999995E-7</v>
      </c>
      <c r="X7" s="124">
        <v>9.9999999999999995E-7</v>
      </c>
      <c r="Y7" s="124">
        <v>9.9999999999999995E-7</v>
      </c>
      <c r="Z7" s="124">
        <v>9.9999999999999995E-7</v>
      </c>
      <c r="AA7" s="124">
        <v>7.9999999999999996E-6</v>
      </c>
      <c r="AB7" s="124">
        <v>7.9999999999999996E-6</v>
      </c>
      <c r="AC7" s="124">
        <v>7.9999999999999996E-6</v>
      </c>
      <c r="AD7" s="124">
        <v>7.9999999999999996E-6</v>
      </c>
      <c r="AE7" s="124">
        <v>7.9999999999999996E-6</v>
      </c>
      <c r="AF7" s="124">
        <v>3.0000000000000001E-5</v>
      </c>
      <c r="AG7" s="124">
        <v>3.1000000000000001E-5</v>
      </c>
      <c r="AH7" s="124">
        <v>3.1000000000000001E-5</v>
      </c>
      <c r="AI7" s="124">
        <v>3.1999999999999999E-5</v>
      </c>
      <c r="AJ7" s="124">
        <v>3.1999999999999999E-5</v>
      </c>
      <c r="AK7" s="124">
        <v>5.8999999999999998E-5</v>
      </c>
      <c r="AL7" s="124">
        <v>6.0000000000000002E-5</v>
      </c>
      <c r="AM7" s="124">
        <v>6.0999999999999999E-5</v>
      </c>
      <c r="AN7" s="124">
        <v>6.3E-5</v>
      </c>
      <c r="AO7" s="124">
        <v>6.4999999999999994E-5</v>
      </c>
      <c r="AP7" s="124">
        <v>9.2E-5</v>
      </c>
      <c r="AQ7" s="124">
        <v>9.5000000000000005E-5</v>
      </c>
      <c r="AR7" s="124">
        <v>9.7E-5</v>
      </c>
      <c r="AS7" s="124">
        <v>1E-4</v>
      </c>
      <c r="AT7" s="124">
        <v>1.03E-4</v>
      </c>
      <c r="AU7" s="124">
        <v>1.3200000000000001E-4</v>
      </c>
      <c r="AV7" s="124">
        <v>1.36E-4</v>
      </c>
      <c r="AW7" s="124">
        <v>1.3899999999999999E-4</v>
      </c>
      <c r="AX7" s="124">
        <v>1.4300000000000001E-4</v>
      </c>
      <c r="AY7" s="124">
        <v>1.46E-4</v>
      </c>
      <c r="AZ7" s="124">
        <v>1.65E-4</v>
      </c>
      <c r="BA7" s="124">
        <v>1.6899999999999999E-4</v>
      </c>
      <c r="BB7" s="124">
        <v>1.74E-4</v>
      </c>
      <c r="BC7" s="124">
        <v>1.7899999999999999E-4</v>
      </c>
      <c r="BD7" s="124">
        <v>1.84E-4</v>
      </c>
      <c r="BE7" s="124">
        <v>1.9900000000000001E-4</v>
      </c>
      <c r="BF7" s="124">
        <v>2.0599999999999999E-4</v>
      </c>
      <c r="BG7" s="124">
        <v>2.13E-4</v>
      </c>
      <c r="BH7" s="124">
        <v>2.2100000000000001E-4</v>
      </c>
      <c r="BI7" s="124">
        <v>2.3000000000000001E-4</v>
      </c>
      <c r="BJ7" s="124">
        <v>2.42E-4</v>
      </c>
      <c r="BK7" s="124">
        <v>2.52E-4</v>
      </c>
      <c r="BL7" s="124">
        <v>2.61E-4</v>
      </c>
      <c r="BM7" s="124">
        <v>2.7E-4</v>
      </c>
      <c r="BN7" s="124">
        <v>2.81E-4</v>
      </c>
      <c r="BO7" s="124">
        <v>2.9999999999999997E-4</v>
      </c>
      <c r="BP7" s="124">
        <v>3.1300000000000002E-4</v>
      </c>
      <c r="BQ7" s="124">
        <v>3.2699999999999998E-4</v>
      </c>
      <c r="BR7" s="124">
        <v>3.4299999999999999E-4</v>
      </c>
      <c r="BS7" s="124">
        <v>3.6000000000000002E-4</v>
      </c>
      <c r="BT7" s="124">
        <v>3.3700000000000001E-4</v>
      </c>
      <c r="BU7" s="124">
        <v>3.6000000000000002E-4</v>
      </c>
      <c r="BV7" s="124">
        <v>3.9599999999999998E-4</v>
      </c>
      <c r="BW7" s="124">
        <v>4.3399999999999998E-4</v>
      </c>
      <c r="BX7" s="124">
        <v>4.6299999999999998E-4</v>
      </c>
      <c r="BY7" s="124">
        <v>5.1599999999999997E-4</v>
      </c>
      <c r="BZ7" s="124">
        <v>5.4799999999999998E-4</v>
      </c>
      <c r="CA7" s="124">
        <v>5.8600000000000004E-4</v>
      </c>
      <c r="CB7" s="124">
        <v>6.3100000000000005E-4</v>
      </c>
      <c r="CC7" s="124">
        <v>6.8099999999999996E-4</v>
      </c>
      <c r="CD7" s="124">
        <v>6.6399999999999999E-4</v>
      </c>
      <c r="CE7" s="124">
        <v>7.3200000000000001E-4</v>
      </c>
      <c r="CF7" s="124">
        <v>8.1400000000000005E-4</v>
      </c>
      <c r="CG7" s="124">
        <v>9.1E-4</v>
      </c>
      <c r="CH7" s="124">
        <v>1.024E-3</v>
      </c>
      <c r="CI7" s="124">
        <v>1.4840000000000001E-3</v>
      </c>
      <c r="CJ7" s="124">
        <v>1.6999999999999999E-3</v>
      </c>
      <c r="CK7" s="124">
        <v>1.9620000000000002E-3</v>
      </c>
      <c r="CL7" s="124">
        <v>2.287E-3</v>
      </c>
      <c r="CM7" s="124">
        <v>2.6940000000000002E-3</v>
      </c>
      <c r="CN7" s="124">
        <v>3.2070000000000002E-3</v>
      </c>
      <c r="CO7" s="124">
        <v>3.8700000000000002E-3</v>
      </c>
      <c r="CP7" s="124">
        <v>4.7720000000000002E-3</v>
      </c>
      <c r="CQ7" s="124">
        <v>6.0480000000000004E-3</v>
      </c>
      <c r="CR7" s="124">
        <v>7.8849999999999996E-3</v>
      </c>
      <c r="CS7" s="124">
        <v>1.0475999999999999E-2</v>
      </c>
      <c r="CT7" s="124">
        <v>1.4102999999999999E-2</v>
      </c>
      <c r="CU7" s="124">
        <v>1.9383000000000001E-2</v>
      </c>
      <c r="CV7" s="124">
        <v>2.7244999999999998E-2</v>
      </c>
      <c r="CW7" s="124">
        <v>3.9111E-2</v>
      </c>
      <c r="CX7" s="124">
        <v>2.1999999999999999E-2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0</v>
      </c>
      <c r="R8" s="124">
        <v>0</v>
      </c>
      <c r="S8" s="124">
        <v>0</v>
      </c>
      <c r="T8" s="124">
        <v>0</v>
      </c>
      <c r="U8" s="124">
        <v>0</v>
      </c>
      <c r="V8" s="124">
        <v>1.9999999999999999E-6</v>
      </c>
      <c r="W8" s="124">
        <v>1.9999999999999999E-6</v>
      </c>
      <c r="X8" s="124">
        <v>1.9999999999999999E-6</v>
      </c>
      <c r="Y8" s="124">
        <v>1.9999999999999999E-6</v>
      </c>
      <c r="Z8" s="124">
        <v>1.9999999999999999E-6</v>
      </c>
      <c r="AA8" s="124">
        <v>1.7E-5</v>
      </c>
      <c r="AB8" s="124">
        <v>1.7E-5</v>
      </c>
      <c r="AC8" s="124">
        <v>1.7E-5</v>
      </c>
      <c r="AD8" s="124">
        <v>1.7E-5</v>
      </c>
      <c r="AE8" s="124">
        <v>1.7E-5</v>
      </c>
      <c r="AF8" s="124">
        <v>3.4999999999999997E-5</v>
      </c>
      <c r="AG8" s="124">
        <v>3.6000000000000001E-5</v>
      </c>
      <c r="AH8" s="124">
        <v>3.6000000000000001E-5</v>
      </c>
      <c r="AI8" s="124">
        <v>3.6000000000000001E-5</v>
      </c>
      <c r="AJ8" s="124">
        <v>3.6999999999999998E-5</v>
      </c>
      <c r="AK8" s="124">
        <v>5.5999999999999999E-5</v>
      </c>
      <c r="AL8" s="124">
        <v>5.7000000000000003E-5</v>
      </c>
      <c r="AM8" s="124">
        <v>5.7000000000000003E-5</v>
      </c>
      <c r="AN8" s="124">
        <v>5.8E-5</v>
      </c>
      <c r="AO8" s="124">
        <v>5.8999999999999998E-5</v>
      </c>
      <c r="AP8" s="124">
        <v>7.8999999999999996E-5</v>
      </c>
      <c r="AQ8" s="124">
        <v>8.0000000000000007E-5</v>
      </c>
      <c r="AR8" s="124">
        <v>8.1000000000000004E-5</v>
      </c>
      <c r="AS8" s="124">
        <v>8.2000000000000001E-5</v>
      </c>
      <c r="AT8" s="124">
        <v>8.2999999999999998E-5</v>
      </c>
      <c r="AU8" s="124">
        <v>1.05E-4</v>
      </c>
      <c r="AV8" s="124">
        <v>1.07E-4</v>
      </c>
      <c r="AW8" s="124">
        <v>1.08E-4</v>
      </c>
      <c r="AX8" s="124">
        <v>1.11E-4</v>
      </c>
      <c r="AY8" s="124">
        <v>1.13E-4</v>
      </c>
      <c r="AZ8" s="124">
        <v>1.26E-4</v>
      </c>
      <c r="BA8" s="124">
        <v>1.2899999999999999E-4</v>
      </c>
      <c r="BB8" s="124">
        <v>1.3300000000000001E-4</v>
      </c>
      <c r="BC8" s="124">
        <v>1.37E-4</v>
      </c>
      <c r="BD8" s="124">
        <v>1.4200000000000001E-4</v>
      </c>
      <c r="BE8" s="124">
        <v>1.45E-4</v>
      </c>
      <c r="BF8" s="124">
        <v>1.4999999999999999E-4</v>
      </c>
      <c r="BG8" s="124">
        <v>1.56E-4</v>
      </c>
      <c r="BH8" s="124">
        <v>1.6200000000000001E-4</v>
      </c>
      <c r="BI8" s="124">
        <v>1.6899999999999999E-4</v>
      </c>
      <c r="BJ8" s="124">
        <v>1.6799999999999999E-4</v>
      </c>
      <c r="BK8" s="124">
        <v>1.75E-4</v>
      </c>
      <c r="BL8" s="124">
        <v>1.83E-4</v>
      </c>
      <c r="BM8" s="124">
        <v>1.9100000000000001E-4</v>
      </c>
      <c r="BN8" s="124">
        <v>2.0000000000000001E-4</v>
      </c>
      <c r="BO8" s="124">
        <v>2.04E-4</v>
      </c>
      <c r="BP8" s="124">
        <v>2.1599999999999999E-4</v>
      </c>
      <c r="BQ8" s="124">
        <v>2.2800000000000001E-4</v>
      </c>
      <c r="BR8" s="124">
        <v>2.41E-4</v>
      </c>
      <c r="BS8" s="124">
        <v>2.5700000000000001E-4</v>
      </c>
      <c r="BT8" s="124">
        <v>2.34E-4</v>
      </c>
      <c r="BU8" s="124">
        <v>2.5300000000000002E-4</v>
      </c>
      <c r="BV8" s="124">
        <v>2.7E-4</v>
      </c>
      <c r="BW8" s="124">
        <v>2.9E-4</v>
      </c>
      <c r="BX8" s="124">
        <v>3.1199999999999999E-4</v>
      </c>
      <c r="BY8" s="124">
        <v>2.7700000000000001E-4</v>
      </c>
      <c r="BZ8" s="124">
        <v>2.9799999999999998E-4</v>
      </c>
      <c r="CA8" s="124">
        <v>3.2000000000000003E-4</v>
      </c>
      <c r="CB8" s="124">
        <v>3.4499999999999998E-4</v>
      </c>
      <c r="CC8" s="124">
        <v>3.6999999999999999E-4</v>
      </c>
      <c r="CD8" s="124">
        <v>2.9100000000000003E-4</v>
      </c>
      <c r="CE8" s="124">
        <v>3.1599999999999998E-4</v>
      </c>
      <c r="CF8" s="124">
        <v>3.4400000000000001E-4</v>
      </c>
      <c r="CG8" s="124">
        <v>3.79E-4</v>
      </c>
      <c r="CH8" s="124">
        <v>4.2200000000000001E-4</v>
      </c>
      <c r="CI8" s="124">
        <v>1.7200000000000001E-4</v>
      </c>
      <c r="CJ8" s="124">
        <v>1.94E-4</v>
      </c>
      <c r="CK8" s="124">
        <v>2.1699999999999999E-4</v>
      </c>
      <c r="CL8" s="124">
        <v>2.4699999999999999E-4</v>
      </c>
      <c r="CM8" s="124">
        <v>2.8800000000000001E-4</v>
      </c>
      <c r="CN8" s="124">
        <v>3.4099999999999999E-4</v>
      </c>
      <c r="CO8" s="124">
        <v>4.0900000000000002E-4</v>
      </c>
      <c r="CP8" s="124">
        <v>4.9299999999999995E-4</v>
      </c>
      <c r="CQ8" s="124">
        <v>5.9900000000000003E-4</v>
      </c>
      <c r="CR8" s="124">
        <v>7.4200000000000004E-4</v>
      </c>
      <c r="CS8" s="124">
        <v>9.4399999999999996E-4</v>
      </c>
      <c r="CT8" s="124">
        <v>1.238E-3</v>
      </c>
      <c r="CU8" s="124">
        <v>1.6639999999999999E-3</v>
      </c>
      <c r="CV8" s="124">
        <v>2.3019999999999998E-3</v>
      </c>
      <c r="CW8" s="124">
        <v>3.3679999999999999E-3</v>
      </c>
      <c r="CX8" s="124">
        <v>2.4759999999999999E-3</v>
      </c>
    </row>
    <row r="9" spans="1:102" s="122" customFormat="1" ht="1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9.9999999999999995E-7</v>
      </c>
      <c r="R9" s="124">
        <v>9.9999999999999995E-7</v>
      </c>
      <c r="S9" s="124">
        <v>9.9999999999999995E-7</v>
      </c>
      <c r="T9" s="124">
        <v>9.9999999999999995E-7</v>
      </c>
      <c r="U9" s="124">
        <v>9.9999999999999995E-7</v>
      </c>
      <c r="V9" s="124">
        <v>3.0000000000000001E-6</v>
      </c>
      <c r="W9" s="124">
        <v>3.0000000000000001E-6</v>
      </c>
      <c r="X9" s="124">
        <v>3.0000000000000001E-6</v>
      </c>
      <c r="Y9" s="124">
        <v>3.0000000000000001E-6</v>
      </c>
      <c r="Z9" s="124">
        <v>3.0000000000000001E-6</v>
      </c>
      <c r="AA9" s="124">
        <v>1.5999999999999999E-5</v>
      </c>
      <c r="AB9" s="124">
        <v>1.5999999999999999E-5</v>
      </c>
      <c r="AC9" s="124">
        <v>1.5999999999999999E-5</v>
      </c>
      <c r="AD9" s="124">
        <v>1.7E-5</v>
      </c>
      <c r="AE9" s="124">
        <v>1.7E-5</v>
      </c>
      <c r="AF9" s="124">
        <v>4.8000000000000001E-5</v>
      </c>
      <c r="AG9" s="124">
        <v>4.8999999999999998E-5</v>
      </c>
      <c r="AH9" s="124">
        <v>4.8999999999999998E-5</v>
      </c>
      <c r="AI9" s="124">
        <v>5.0000000000000002E-5</v>
      </c>
      <c r="AJ9" s="124">
        <v>5.1E-5</v>
      </c>
      <c r="AK9" s="124">
        <v>9.1000000000000003E-5</v>
      </c>
      <c r="AL9" s="124">
        <v>9.2999999999999997E-5</v>
      </c>
      <c r="AM9" s="124">
        <v>9.5000000000000005E-5</v>
      </c>
      <c r="AN9" s="124">
        <v>9.7999999999999997E-5</v>
      </c>
      <c r="AO9" s="124">
        <v>1E-4</v>
      </c>
      <c r="AP9" s="124">
        <v>1.5300000000000001E-4</v>
      </c>
      <c r="AQ9" s="124">
        <v>1.56E-4</v>
      </c>
      <c r="AR9" s="124">
        <v>1.5899999999999999E-4</v>
      </c>
      <c r="AS9" s="124">
        <v>1.6200000000000001E-4</v>
      </c>
      <c r="AT9" s="124">
        <v>1.64E-4</v>
      </c>
      <c r="AU9" s="124">
        <v>2.12E-4</v>
      </c>
      <c r="AV9" s="124">
        <v>2.1699999999999999E-4</v>
      </c>
      <c r="AW9" s="124">
        <v>2.22E-4</v>
      </c>
      <c r="AX9" s="124">
        <v>2.2800000000000001E-4</v>
      </c>
      <c r="AY9" s="124">
        <v>2.3599999999999999E-4</v>
      </c>
      <c r="AZ9" s="124">
        <v>2.7900000000000001E-4</v>
      </c>
      <c r="BA9" s="124">
        <v>2.8899999999999998E-4</v>
      </c>
      <c r="BB9" s="124">
        <v>2.99E-4</v>
      </c>
      <c r="BC9" s="124">
        <v>3.1E-4</v>
      </c>
      <c r="BD9" s="124">
        <v>3.2000000000000003E-4</v>
      </c>
      <c r="BE9" s="124">
        <v>3.2600000000000001E-4</v>
      </c>
      <c r="BF9" s="124">
        <v>3.3399999999999999E-4</v>
      </c>
      <c r="BG9" s="124">
        <v>3.4299999999999999E-4</v>
      </c>
      <c r="BH9" s="124">
        <v>3.5100000000000002E-4</v>
      </c>
      <c r="BI9" s="124">
        <v>3.6000000000000002E-4</v>
      </c>
      <c r="BJ9" s="124">
        <v>3.5100000000000002E-4</v>
      </c>
      <c r="BK9" s="124">
        <v>3.6299999999999999E-4</v>
      </c>
      <c r="BL9" s="124">
        <v>3.7599999999999998E-4</v>
      </c>
      <c r="BM9" s="124">
        <v>3.9100000000000002E-4</v>
      </c>
      <c r="BN9" s="124">
        <v>4.06E-4</v>
      </c>
      <c r="BO9" s="124">
        <v>4.1199999999999999E-4</v>
      </c>
      <c r="BP9" s="124">
        <v>4.2999999999999999E-4</v>
      </c>
      <c r="BQ9" s="124">
        <v>4.4900000000000002E-4</v>
      </c>
      <c r="BR9" s="124">
        <v>4.6999999999999999E-4</v>
      </c>
      <c r="BS9" s="124">
        <v>4.9399999999999997E-4</v>
      </c>
      <c r="BT9" s="124">
        <v>4.57E-4</v>
      </c>
      <c r="BU9" s="124">
        <v>4.8299999999999998E-4</v>
      </c>
      <c r="BV9" s="124">
        <v>5.1400000000000003E-4</v>
      </c>
      <c r="BW9" s="124">
        <v>5.5199999999999997E-4</v>
      </c>
      <c r="BX9" s="124">
        <v>5.9400000000000002E-4</v>
      </c>
      <c r="BY9" s="124">
        <v>6.2E-4</v>
      </c>
      <c r="BZ9" s="124">
        <v>6.6399999999999999E-4</v>
      </c>
      <c r="CA9" s="124">
        <v>7.0699999999999995E-4</v>
      </c>
      <c r="CB9" s="124">
        <v>7.5500000000000003E-4</v>
      </c>
      <c r="CC9" s="124">
        <v>8.0800000000000002E-4</v>
      </c>
      <c r="CD9" s="124">
        <v>7.5299999999999998E-4</v>
      </c>
      <c r="CE9" s="124">
        <v>8.1599999999999999E-4</v>
      </c>
      <c r="CF9" s="124">
        <v>8.9599999999999999E-4</v>
      </c>
      <c r="CG9" s="124">
        <v>1.0059999999999999E-3</v>
      </c>
      <c r="CH9" s="124">
        <v>1.1529999999999999E-3</v>
      </c>
      <c r="CI9" s="124">
        <v>1.4139999999999999E-3</v>
      </c>
      <c r="CJ9" s="124">
        <v>1.673E-3</v>
      </c>
      <c r="CK9" s="124">
        <v>2.029E-3</v>
      </c>
      <c r="CL9" s="124">
        <v>2.5209999999999998E-3</v>
      </c>
      <c r="CM9" s="124">
        <v>3.189E-3</v>
      </c>
      <c r="CN9" s="124">
        <v>4.0740000000000004E-3</v>
      </c>
      <c r="CO9" s="124">
        <v>5.2360000000000002E-3</v>
      </c>
      <c r="CP9" s="124">
        <v>6.7450000000000001E-3</v>
      </c>
      <c r="CQ9" s="124">
        <v>8.6789999999999992E-3</v>
      </c>
      <c r="CR9" s="124">
        <v>1.1202999999999999E-2</v>
      </c>
      <c r="CS9" s="124">
        <v>1.4678999999999999E-2</v>
      </c>
      <c r="CT9" s="124">
        <v>1.9730999999999999E-2</v>
      </c>
      <c r="CU9" s="124">
        <v>2.7372E-2</v>
      </c>
      <c r="CV9" s="124">
        <v>3.9640000000000002E-2</v>
      </c>
      <c r="CW9" s="124">
        <v>5.9965999999999998E-2</v>
      </c>
      <c r="CX9" s="124">
        <v>4.4443999999999997E-2</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9"/>
  <sheetViews>
    <sheetView workbookViewId="0"/>
  </sheetViews>
  <sheetFormatPr baseColWidth="10" defaultColWidth="14.44140625" defaultRowHeight="15" customHeight="1" x14ac:dyDescent="0.3"/>
  <cols>
    <col min="1" max="1" width="27" customWidth="1"/>
    <col min="2" max="102" width="8.6640625" customWidth="1"/>
  </cols>
  <sheetData>
    <row r="1" spans="1:102" ht="14.25" customHeight="1" x14ac:dyDescent="0.3">
      <c r="A1" s="120" t="s">
        <v>125</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5.3999999999999998E-5</v>
      </c>
      <c r="W2" s="123">
        <v>5.5000000000000002E-5</v>
      </c>
      <c r="X2" s="123">
        <v>5.5000000000000002E-5</v>
      </c>
      <c r="Y2" s="123">
        <v>5.3999999999999998E-5</v>
      </c>
      <c r="Z2" s="123">
        <v>5.3999999999999998E-5</v>
      </c>
      <c r="AA2" s="123">
        <v>1.3799999999999999E-4</v>
      </c>
      <c r="AB2" s="123">
        <v>1.3799999999999999E-4</v>
      </c>
      <c r="AC2" s="123">
        <v>1.3999999999999999E-4</v>
      </c>
      <c r="AD2" s="123">
        <v>1.4100000000000001E-4</v>
      </c>
      <c r="AE2" s="123">
        <v>1.4200000000000001E-4</v>
      </c>
      <c r="AF2" s="123">
        <v>2.13E-4</v>
      </c>
      <c r="AG2" s="123">
        <v>2.1599999999999999E-4</v>
      </c>
      <c r="AH2" s="123">
        <v>2.1800000000000001E-4</v>
      </c>
      <c r="AI2" s="123">
        <v>2.2100000000000001E-4</v>
      </c>
      <c r="AJ2" s="123">
        <v>2.23E-4</v>
      </c>
      <c r="AK2" s="123">
        <v>2.8699999999999998E-4</v>
      </c>
      <c r="AL2" s="123">
        <v>2.8800000000000001E-4</v>
      </c>
      <c r="AM2" s="123">
        <v>2.8899999999999998E-4</v>
      </c>
      <c r="AN2" s="123">
        <v>2.8899999999999998E-4</v>
      </c>
      <c r="AO2" s="123">
        <v>2.8899999999999998E-4</v>
      </c>
      <c r="AP2" s="123">
        <v>3.5500000000000001E-4</v>
      </c>
      <c r="AQ2" s="123">
        <v>3.5799999999999997E-4</v>
      </c>
      <c r="AR2" s="123">
        <v>3.6299999999999999E-4</v>
      </c>
      <c r="AS2" s="123">
        <v>3.6999999999999999E-4</v>
      </c>
      <c r="AT2" s="123">
        <v>3.79E-4</v>
      </c>
      <c r="AU2" s="123">
        <v>3.6999999999999999E-4</v>
      </c>
      <c r="AV2" s="123">
        <v>3.8099999999999999E-4</v>
      </c>
      <c r="AW2" s="123">
        <v>3.9399999999999998E-4</v>
      </c>
      <c r="AX2" s="123">
        <v>4.0700000000000003E-4</v>
      </c>
      <c r="AY2" s="123">
        <v>4.2099999999999999E-4</v>
      </c>
      <c r="AZ2" s="123">
        <v>4.0000000000000002E-4</v>
      </c>
      <c r="BA2" s="123">
        <v>4.1199999999999999E-4</v>
      </c>
      <c r="BB2" s="123">
        <v>4.2099999999999999E-4</v>
      </c>
      <c r="BC2" s="123">
        <v>4.2700000000000002E-4</v>
      </c>
      <c r="BD2" s="123">
        <v>4.3300000000000001E-4</v>
      </c>
      <c r="BE2" s="123">
        <v>4.0900000000000002E-4</v>
      </c>
      <c r="BF2" s="123">
        <v>4.1300000000000001E-4</v>
      </c>
      <c r="BG2" s="123">
        <v>4.1899999999999999E-4</v>
      </c>
      <c r="BH2" s="123">
        <v>4.28E-4</v>
      </c>
      <c r="BI2" s="123">
        <v>4.3800000000000002E-4</v>
      </c>
      <c r="BJ2" s="123">
        <v>3.88E-4</v>
      </c>
      <c r="BK2" s="123">
        <v>3.9199999999999999E-4</v>
      </c>
      <c r="BL2" s="123">
        <v>3.9500000000000001E-4</v>
      </c>
      <c r="BM2" s="123">
        <v>4.0099999999999999E-4</v>
      </c>
      <c r="BN2" s="123">
        <v>4.1199999999999999E-4</v>
      </c>
      <c r="BO2" s="123">
        <v>3.6600000000000001E-4</v>
      </c>
      <c r="BP2" s="123">
        <v>3.7500000000000001E-4</v>
      </c>
      <c r="BQ2" s="123">
        <v>3.8499999999999998E-4</v>
      </c>
      <c r="BR2" s="123">
        <v>3.9599999999999998E-4</v>
      </c>
      <c r="BS2" s="123">
        <v>4.08E-4</v>
      </c>
      <c r="BT2" s="123">
        <v>3.3799999999999998E-4</v>
      </c>
      <c r="BU2" s="123">
        <v>3.5E-4</v>
      </c>
      <c r="BV2" s="123">
        <v>3.6000000000000002E-4</v>
      </c>
      <c r="BW2" s="123">
        <v>3.7500000000000001E-4</v>
      </c>
      <c r="BX2" s="123">
        <v>3.9399999999999998E-4</v>
      </c>
      <c r="BY2" s="123">
        <v>2.8800000000000001E-4</v>
      </c>
      <c r="BZ2" s="123">
        <v>3.0600000000000001E-4</v>
      </c>
      <c r="CA2" s="123">
        <v>3.2600000000000001E-4</v>
      </c>
      <c r="CB2" s="123">
        <v>3.48E-4</v>
      </c>
      <c r="CC2" s="123">
        <v>3.7199999999999999E-4</v>
      </c>
      <c r="CD2" s="123">
        <v>2.42E-4</v>
      </c>
      <c r="CE2" s="123">
        <v>2.5999999999999998E-4</v>
      </c>
      <c r="CF2" s="123">
        <v>2.7999999999999998E-4</v>
      </c>
      <c r="CG2" s="123">
        <v>3.0200000000000002E-4</v>
      </c>
      <c r="CH2" s="123">
        <v>3.2699999999999998E-4</v>
      </c>
      <c r="CI2" s="123">
        <v>9.2E-5</v>
      </c>
      <c r="CJ2" s="123">
        <v>1.01E-4</v>
      </c>
      <c r="CK2" s="123">
        <v>1.12E-4</v>
      </c>
      <c r="CL2" s="123">
        <v>1.2400000000000001E-4</v>
      </c>
      <c r="CM2" s="123">
        <v>1.3799999999999999E-4</v>
      </c>
      <c r="CN2" s="123">
        <v>1.56E-4</v>
      </c>
      <c r="CO2" s="123">
        <v>1.7799999999999999E-4</v>
      </c>
      <c r="CP2" s="123">
        <v>2.0699999999999999E-4</v>
      </c>
      <c r="CQ2" s="123">
        <v>2.4899999999999998E-4</v>
      </c>
      <c r="CR2" s="123">
        <v>3.0600000000000001E-4</v>
      </c>
      <c r="CS2" s="123">
        <v>3.8499999999999998E-4</v>
      </c>
      <c r="CT2" s="123">
        <v>4.95E-4</v>
      </c>
      <c r="CU2" s="123">
        <v>6.5399999999999996E-4</v>
      </c>
      <c r="CV2" s="123">
        <v>8.9099999999999997E-4</v>
      </c>
      <c r="CW2" s="123">
        <v>1.256E-3</v>
      </c>
      <c r="CX2" s="123">
        <v>7.1000000000000002E-4</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3.0000000000000001E-6</v>
      </c>
      <c r="R3" s="124">
        <v>3.0000000000000001E-6</v>
      </c>
      <c r="S3" s="124">
        <v>3.0000000000000001E-6</v>
      </c>
      <c r="T3" s="124">
        <v>3.0000000000000001E-6</v>
      </c>
      <c r="U3" s="124">
        <v>3.0000000000000001E-6</v>
      </c>
      <c r="V3" s="124">
        <v>3.6999999999999998E-5</v>
      </c>
      <c r="W3" s="124">
        <v>3.6999999999999998E-5</v>
      </c>
      <c r="X3" s="124">
        <v>3.6999999999999998E-5</v>
      </c>
      <c r="Y3" s="124">
        <v>3.6999999999999998E-5</v>
      </c>
      <c r="Z3" s="124">
        <v>3.6999999999999998E-5</v>
      </c>
      <c r="AA3" s="124">
        <v>8.2999999999999998E-5</v>
      </c>
      <c r="AB3" s="124">
        <v>8.2999999999999998E-5</v>
      </c>
      <c r="AC3" s="124">
        <v>8.2999999999999998E-5</v>
      </c>
      <c r="AD3" s="124">
        <v>8.2999999999999998E-5</v>
      </c>
      <c r="AE3" s="124">
        <v>8.2000000000000001E-5</v>
      </c>
      <c r="AF3" s="124">
        <v>1.2799999999999999E-4</v>
      </c>
      <c r="AG3" s="124">
        <v>1.27E-4</v>
      </c>
      <c r="AH3" s="124">
        <v>1.26E-4</v>
      </c>
      <c r="AI3" s="124">
        <v>1.26E-4</v>
      </c>
      <c r="AJ3" s="124">
        <v>1.25E-4</v>
      </c>
      <c r="AK3" s="124">
        <v>1.7200000000000001E-4</v>
      </c>
      <c r="AL3" s="124">
        <v>1.73E-4</v>
      </c>
      <c r="AM3" s="124">
        <v>1.73E-4</v>
      </c>
      <c r="AN3" s="124">
        <v>1.75E-4</v>
      </c>
      <c r="AO3" s="124">
        <v>1.7799999999999999E-4</v>
      </c>
      <c r="AP3" s="124">
        <v>2.0699999999999999E-4</v>
      </c>
      <c r="AQ3" s="124">
        <v>2.1100000000000001E-4</v>
      </c>
      <c r="AR3" s="124">
        <v>2.1599999999999999E-4</v>
      </c>
      <c r="AS3" s="124">
        <v>2.22E-4</v>
      </c>
      <c r="AT3" s="124">
        <v>2.2800000000000001E-4</v>
      </c>
      <c r="AU3" s="124">
        <v>2.4000000000000001E-4</v>
      </c>
      <c r="AV3" s="124">
        <v>2.4499999999999999E-4</v>
      </c>
      <c r="AW3" s="124">
        <v>2.4899999999999998E-4</v>
      </c>
      <c r="AX3" s="124">
        <v>2.5399999999999999E-4</v>
      </c>
      <c r="AY3" s="124">
        <v>2.5900000000000001E-4</v>
      </c>
      <c r="AZ3" s="124">
        <v>2.7999999999999998E-4</v>
      </c>
      <c r="BA3" s="124">
        <v>2.8499999999999999E-4</v>
      </c>
      <c r="BB3" s="124">
        <v>2.8899999999999998E-4</v>
      </c>
      <c r="BC3" s="124">
        <v>2.9100000000000003E-4</v>
      </c>
      <c r="BD3" s="124">
        <v>2.9300000000000002E-4</v>
      </c>
      <c r="BE3" s="124">
        <v>3.0600000000000001E-4</v>
      </c>
      <c r="BF3" s="124">
        <v>3.1100000000000002E-4</v>
      </c>
      <c r="BG3" s="124">
        <v>3.1799999999999998E-4</v>
      </c>
      <c r="BH3" s="124">
        <v>3.2699999999999998E-4</v>
      </c>
      <c r="BI3" s="124">
        <v>3.3799999999999998E-4</v>
      </c>
      <c r="BJ3" s="124">
        <v>3.2299999999999999E-4</v>
      </c>
      <c r="BK3" s="124">
        <v>3.3500000000000001E-4</v>
      </c>
      <c r="BL3" s="124">
        <v>3.4900000000000003E-4</v>
      </c>
      <c r="BM3" s="124">
        <v>3.6499999999999998E-4</v>
      </c>
      <c r="BN3" s="124">
        <v>3.8099999999999999E-4</v>
      </c>
      <c r="BO3" s="124">
        <v>3.5E-4</v>
      </c>
      <c r="BP3" s="124">
        <v>3.6699999999999998E-4</v>
      </c>
      <c r="BQ3" s="124">
        <v>3.8499999999999998E-4</v>
      </c>
      <c r="BR3" s="124">
        <v>4.0299999999999998E-4</v>
      </c>
      <c r="BS3" s="124">
        <v>4.2400000000000001E-4</v>
      </c>
      <c r="BT3" s="124">
        <v>3.5199999999999999E-4</v>
      </c>
      <c r="BU3" s="124">
        <v>3.8299999999999999E-4</v>
      </c>
      <c r="BV3" s="124">
        <v>4.2099999999999999E-4</v>
      </c>
      <c r="BW3" s="124">
        <v>4.57E-4</v>
      </c>
      <c r="BX3" s="124">
        <v>4.95E-4</v>
      </c>
      <c r="BY3" s="124">
        <v>3.7800000000000003E-4</v>
      </c>
      <c r="BZ3" s="124">
        <v>4.0299999999999998E-4</v>
      </c>
      <c r="CA3" s="124">
        <v>4.2999999999999999E-4</v>
      </c>
      <c r="CB3" s="124">
        <v>4.6000000000000001E-4</v>
      </c>
      <c r="CC3" s="124">
        <v>4.9600000000000002E-4</v>
      </c>
      <c r="CD3" s="124">
        <v>3.8499999999999998E-4</v>
      </c>
      <c r="CE3" s="124">
        <v>4.2200000000000001E-4</v>
      </c>
      <c r="CF3" s="124">
        <v>4.7199999999999998E-4</v>
      </c>
      <c r="CG3" s="124">
        <v>5.3600000000000002E-4</v>
      </c>
      <c r="CH3" s="124">
        <v>6.1899999999999998E-4</v>
      </c>
      <c r="CI3" s="124">
        <v>2.13E-4</v>
      </c>
      <c r="CJ3" s="124">
        <v>2.5300000000000002E-4</v>
      </c>
      <c r="CK3" s="124">
        <v>3.0699999999999998E-4</v>
      </c>
      <c r="CL3" s="124">
        <v>3.8299999999999999E-4</v>
      </c>
      <c r="CM3" s="124">
        <v>4.9100000000000001E-4</v>
      </c>
      <c r="CN3" s="124">
        <v>6.4199999999999999E-4</v>
      </c>
      <c r="CO3" s="124">
        <v>8.5899999999999995E-4</v>
      </c>
      <c r="CP3" s="124">
        <v>1.183E-3</v>
      </c>
      <c r="CQ3" s="124">
        <v>1.678E-3</v>
      </c>
      <c r="CR3" s="124">
        <v>2.4459999999999998E-3</v>
      </c>
      <c r="CS3" s="124">
        <v>3.6670000000000001E-3</v>
      </c>
      <c r="CT3" s="124">
        <v>5.6829999999999997E-3</v>
      </c>
      <c r="CU3" s="124">
        <v>9.1299999999999992E-3</v>
      </c>
      <c r="CV3" s="124">
        <v>1.5179E-2</v>
      </c>
      <c r="CW3" s="124">
        <v>2.6012E-2</v>
      </c>
      <c r="CX3" s="124">
        <v>2.1426000000000001E-2</v>
      </c>
    </row>
    <row r="4" spans="1:102" ht="14.25" customHeight="1" x14ac:dyDescent="0.3">
      <c r="A4" s="121" t="s">
        <v>111</v>
      </c>
      <c r="B4" s="124">
        <v>0</v>
      </c>
      <c r="C4" s="124">
        <v>0</v>
      </c>
      <c r="D4" s="124">
        <v>0</v>
      </c>
      <c r="E4" s="124">
        <v>0</v>
      </c>
      <c r="F4" s="124">
        <v>0</v>
      </c>
      <c r="G4" s="124">
        <v>0</v>
      </c>
      <c r="H4" s="124">
        <v>0</v>
      </c>
      <c r="I4" s="124">
        <v>0</v>
      </c>
      <c r="J4" s="124">
        <v>0</v>
      </c>
      <c r="K4" s="124">
        <v>0</v>
      </c>
      <c r="L4" s="124">
        <v>0</v>
      </c>
      <c r="M4" s="124">
        <v>0</v>
      </c>
      <c r="N4" s="124">
        <v>0</v>
      </c>
      <c r="O4" s="124">
        <v>0</v>
      </c>
      <c r="P4" s="124">
        <v>0</v>
      </c>
      <c r="Q4" s="124">
        <v>5.0000000000000004E-6</v>
      </c>
      <c r="R4" s="124">
        <v>5.0000000000000004E-6</v>
      </c>
      <c r="S4" s="124">
        <v>5.0000000000000004E-6</v>
      </c>
      <c r="T4" s="124">
        <v>5.0000000000000004E-6</v>
      </c>
      <c r="U4" s="124">
        <v>5.0000000000000004E-6</v>
      </c>
      <c r="V4" s="124">
        <v>5.1E-5</v>
      </c>
      <c r="W4" s="124">
        <v>4.8999999999999998E-5</v>
      </c>
      <c r="X4" s="124">
        <v>4.6999999999999997E-5</v>
      </c>
      <c r="Y4" s="124">
        <v>4.6E-5</v>
      </c>
      <c r="Z4" s="124">
        <v>4.5000000000000003E-5</v>
      </c>
      <c r="AA4" s="124">
        <v>1.07E-4</v>
      </c>
      <c r="AB4" s="124">
        <v>1.05E-4</v>
      </c>
      <c r="AC4" s="124">
        <v>1.0399999999999999E-4</v>
      </c>
      <c r="AD4" s="124">
        <v>1.02E-4</v>
      </c>
      <c r="AE4" s="124">
        <v>1.02E-4</v>
      </c>
      <c r="AF4" s="124">
        <v>1.44E-4</v>
      </c>
      <c r="AG4" s="124">
        <v>1.46E-4</v>
      </c>
      <c r="AH4" s="124">
        <v>1.4799999999999999E-4</v>
      </c>
      <c r="AI4" s="124">
        <v>1.5100000000000001E-4</v>
      </c>
      <c r="AJ4" s="124">
        <v>1.54E-4</v>
      </c>
      <c r="AK4" s="124">
        <v>1.8000000000000001E-4</v>
      </c>
      <c r="AL4" s="124">
        <v>1.84E-4</v>
      </c>
      <c r="AM4" s="124">
        <v>1.8699999999999999E-4</v>
      </c>
      <c r="AN4" s="124">
        <v>1.9000000000000001E-4</v>
      </c>
      <c r="AO4" s="124">
        <v>1.93E-4</v>
      </c>
      <c r="AP4" s="124">
        <v>2.13E-4</v>
      </c>
      <c r="AQ4" s="124">
        <v>2.1499999999999999E-4</v>
      </c>
      <c r="AR4" s="124">
        <v>2.1699999999999999E-4</v>
      </c>
      <c r="AS4" s="124">
        <v>2.1900000000000001E-4</v>
      </c>
      <c r="AT4" s="124">
        <v>2.2100000000000001E-4</v>
      </c>
      <c r="AU4" s="124">
        <v>2.1100000000000001E-4</v>
      </c>
      <c r="AV4" s="124">
        <v>2.12E-4</v>
      </c>
      <c r="AW4" s="124">
        <v>2.13E-4</v>
      </c>
      <c r="AX4" s="124">
        <v>2.14E-4</v>
      </c>
      <c r="AY4" s="124">
        <v>2.1499999999999999E-4</v>
      </c>
      <c r="AZ4" s="124">
        <v>2.03E-4</v>
      </c>
      <c r="BA4" s="124">
        <v>2.05E-4</v>
      </c>
      <c r="BB4" s="124">
        <v>2.0699999999999999E-4</v>
      </c>
      <c r="BC4" s="124">
        <v>2.1000000000000001E-4</v>
      </c>
      <c r="BD4" s="124">
        <v>2.12E-4</v>
      </c>
      <c r="BE4" s="124">
        <v>2.1100000000000001E-4</v>
      </c>
      <c r="BF4" s="124">
        <v>2.1499999999999999E-4</v>
      </c>
      <c r="BG4" s="124">
        <v>2.2000000000000001E-4</v>
      </c>
      <c r="BH4" s="124">
        <v>2.2499999999999999E-4</v>
      </c>
      <c r="BI4" s="124">
        <v>2.31E-4</v>
      </c>
      <c r="BJ4" s="124">
        <v>2.2800000000000001E-4</v>
      </c>
      <c r="BK4" s="124">
        <v>2.3499999999999999E-4</v>
      </c>
      <c r="BL4" s="124">
        <v>2.41E-4</v>
      </c>
      <c r="BM4" s="124">
        <v>2.4899999999999998E-4</v>
      </c>
      <c r="BN4" s="124">
        <v>2.5799999999999998E-4</v>
      </c>
      <c r="BO4" s="124">
        <v>2.5999999999999998E-4</v>
      </c>
      <c r="BP4" s="124">
        <v>2.7E-4</v>
      </c>
      <c r="BQ4" s="124">
        <v>2.81E-4</v>
      </c>
      <c r="BR4" s="124">
        <v>2.9300000000000002E-4</v>
      </c>
      <c r="BS4" s="124">
        <v>3.0600000000000001E-4</v>
      </c>
      <c r="BT4" s="124">
        <v>2.7900000000000001E-4</v>
      </c>
      <c r="BU4" s="124">
        <v>2.9500000000000001E-4</v>
      </c>
      <c r="BV4" s="124">
        <v>3.1399999999999999E-4</v>
      </c>
      <c r="BW4" s="124">
        <v>3.4000000000000002E-4</v>
      </c>
      <c r="BX4" s="124">
        <v>3.68E-4</v>
      </c>
      <c r="BY4" s="124">
        <v>3.4499999999999998E-4</v>
      </c>
      <c r="BZ4" s="124">
        <v>3.6900000000000002E-4</v>
      </c>
      <c r="CA4" s="124">
        <v>3.9399999999999998E-4</v>
      </c>
      <c r="CB4" s="124">
        <v>4.2000000000000002E-4</v>
      </c>
      <c r="CC4" s="124">
        <v>4.4700000000000002E-4</v>
      </c>
      <c r="CD4" s="124">
        <v>3.9500000000000001E-4</v>
      </c>
      <c r="CE4" s="124">
        <v>4.2099999999999999E-4</v>
      </c>
      <c r="CF4" s="124">
        <v>4.4900000000000002E-4</v>
      </c>
      <c r="CG4" s="124">
        <v>4.8099999999999998E-4</v>
      </c>
      <c r="CH4" s="124">
        <v>5.1800000000000001E-4</v>
      </c>
      <c r="CI4" s="124">
        <v>2.3000000000000001E-4</v>
      </c>
      <c r="CJ4" s="124">
        <v>2.5300000000000002E-4</v>
      </c>
      <c r="CK4" s="124">
        <v>2.7900000000000001E-4</v>
      </c>
      <c r="CL4" s="124">
        <v>3.0800000000000001E-4</v>
      </c>
      <c r="CM4" s="124">
        <v>3.4299999999999999E-4</v>
      </c>
      <c r="CN4" s="124">
        <v>3.8499999999999998E-4</v>
      </c>
      <c r="CO4" s="124">
        <v>4.37E-4</v>
      </c>
      <c r="CP4" s="124">
        <v>5.0900000000000001E-4</v>
      </c>
      <c r="CQ4" s="124">
        <v>6.2E-4</v>
      </c>
      <c r="CR4" s="124">
        <v>7.8600000000000002E-4</v>
      </c>
      <c r="CS4" s="124">
        <v>1.018E-3</v>
      </c>
      <c r="CT4" s="124">
        <v>1.354E-3</v>
      </c>
      <c r="CU4" s="124">
        <v>1.864E-3</v>
      </c>
      <c r="CV4" s="124">
        <v>2.6059999999999998E-3</v>
      </c>
      <c r="CW4" s="124">
        <v>3.722E-3</v>
      </c>
      <c r="CX4" s="124">
        <v>2.1749999999999999E-3</v>
      </c>
    </row>
    <row r="5" spans="1:102" s="122" customFormat="1"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9.9999999999999995E-7</v>
      </c>
      <c r="R5" s="124">
        <v>9.9999999999999995E-7</v>
      </c>
      <c r="S5" s="124">
        <v>9.9999999999999995E-7</v>
      </c>
      <c r="T5" s="124">
        <v>9.9999999999999995E-7</v>
      </c>
      <c r="U5" s="124">
        <v>9.9999999999999995E-7</v>
      </c>
      <c r="V5" s="124">
        <v>3.8000000000000002E-5</v>
      </c>
      <c r="W5" s="124">
        <v>3.6999999999999998E-5</v>
      </c>
      <c r="X5" s="124">
        <v>3.6999999999999998E-5</v>
      </c>
      <c r="Y5" s="124">
        <v>3.6000000000000001E-5</v>
      </c>
      <c r="Z5" s="124">
        <v>3.6000000000000001E-5</v>
      </c>
      <c r="AA5" s="124">
        <v>9.6000000000000002E-5</v>
      </c>
      <c r="AB5" s="124">
        <v>9.6000000000000002E-5</v>
      </c>
      <c r="AC5" s="124">
        <v>9.6000000000000002E-5</v>
      </c>
      <c r="AD5" s="124">
        <v>9.7E-5</v>
      </c>
      <c r="AE5" s="124">
        <v>9.7999999999999997E-5</v>
      </c>
      <c r="AF5" s="124">
        <v>1.46E-4</v>
      </c>
      <c r="AG5" s="124">
        <v>1.4799999999999999E-4</v>
      </c>
      <c r="AH5" s="124">
        <v>1.5100000000000001E-4</v>
      </c>
      <c r="AI5" s="124">
        <v>1.5300000000000001E-4</v>
      </c>
      <c r="AJ5" s="124">
        <v>1.56E-4</v>
      </c>
      <c r="AK5" s="124">
        <v>2.0599999999999999E-4</v>
      </c>
      <c r="AL5" s="124">
        <v>2.0900000000000001E-4</v>
      </c>
      <c r="AM5" s="124">
        <v>2.12E-4</v>
      </c>
      <c r="AN5" s="124">
        <v>2.1599999999999999E-4</v>
      </c>
      <c r="AO5" s="124">
        <v>2.2000000000000001E-4</v>
      </c>
      <c r="AP5" s="124">
        <v>2.63E-4</v>
      </c>
      <c r="AQ5" s="124">
        <v>2.6899999999999998E-4</v>
      </c>
      <c r="AR5" s="124">
        <v>2.7599999999999999E-4</v>
      </c>
      <c r="AS5" s="124">
        <v>2.8299999999999999E-4</v>
      </c>
      <c r="AT5" s="124">
        <v>2.9100000000000003E-4</v>
      </c>
      <c r="AU5" s="124">
        <v>3.0299999999999999E-4</v>
      </c>
      <c r="AV5" s="124">
        <v>3.0800000000000001E-4</v>
      </c>
      <c r="AW5" s="124">
        <v>3.1199999999999999E-4</v>
      </c>
      <c r="AX5" s="124">
        <v>3.1500000000000001E-4</v>
      </c>
      <c r="AY5" s="124">
        <v>3.1700000000000001E-4</v>
      </c>
      <c r="AZ5" s="124">
        <v>3.3100000000000002E-4</v>
      </c>
      <c r="BA5" s="124">
        <v>3.3100000000000002E-4</v>
      </c>
      <c r="BB5" s="124">
        <v>3.3199999999999999E-4</v>
      </c>
      <c r="BC5" s="124">
        <v>3.3399999999999999E-4</v>
      </c>
      <c r="BD5" s="124">
        <v>3.3700000000000001E-4</v>
      </c>
      <c r="BE5" s="124">
        <v>3.3500000000000001E-4</v>
      </c>
      <c r="BF5" s="124">
        <v>3.4200000000000002E-4</v>
      </c>
      <c r="BG5" s="124">
        <v>3.5100000000000002E-4</v>
      </c>
      <c r="BH5" s="124">
        <v>3.6299999999999999E-4</v>
      </c>
      <c r="BI5" s="124">
        <v>3.77E-4</v>
      </c>
      <c r="BJ5" s="124">
        <v>3.4600000000000001E-4</v>
      </c>
      <c r="BK5" s="124">
        <v>3.6099999999999999E-4</v>
      </c>
      <c r="BL5" s="124">
        <v>3.79E-4</v>
      </c>
      <c r="BM5" s="124">
        <v>3.9899999999999999E-4</v>
      </c>
      <c r="BN5" s="124">
        <v>4.2000000000000002E-4</v>
      </c>
      <c r="BO5" s="124">
        <v>4.15E-4</v>
      </c>
      <c r="BP5" s="124">
        <v>4.3800000000000002E-4</v>
      </c>
      <c r="BQ5" s="124">
        <v>4.6500000000000003E-4</v>
      </c>
      <c r="BR5" s="124">
        <v>4.9399999999999997E-4</v>
      </c>
      <c r="BS5" s="124">
        <v>5.2499999999999997E-4</v>
      </c>
      <c r="BT5" s="124">
        <v>4.28E-4</v>
      </c>
      <c r="BU5" s="124">
        <v>4.64E-4</v>
      </c>
      <c r="BV5" s="124">
        <v>5.0199999999999995E-4</v>
      </c>
      <c r="BW5" s="124">
        <v>5.3499999999999999E-4</v>
      </c>
      <c r="BX5" s="124">
        <v>5.7499999999999999E-4</v>
      </c>
      <c r="BY5" s="124">
        <v>4.73E-4</v>
      </c>
      <c r="BZ5" s="124">
        <v>5.1199999999999998E-4</v>
      </c>
      <c r="CA5" s="124">
        <v>5.5599999999999996E-4</v>
      </c>
      <c r="CB5" s="124">
        <v>6.0599999999999998E-4</v>
      </c>
      <c r="CC5" s="124">
        <v>6.6399999999999999E-4</v>
      </c>
      <c r="CD5" s="124">
        <v>5.4600000000000004E-4</v>
      </c>
      <c r="CE5" s="124">
        <v>6.0599999999999998E-4</v>
      </c>
      <c r="CF5" s="124">
        <v>6.7699999999999998E-4</v>
      </c>
      <c r="CG5" s="124">
        <v>7.6000000000000004E-4</v>
      </c>
      <c r="CH5" s="124">
        <v>8.6200000000000003E-4</v>
      </c>
      <c r="CI5" s="124">
        <v>3.2000000000000003E-4</v>
      </c>
      <c r="CJ5" s="124">
        <v>3.7500000000000001E-4</v>
      </c>
      <c r="CK5" s="124">
        <v>4.4900000000000002E-4</v>
      </c>
      <c r="CL5" s="124">
        <v>5.5199999999999997E-4</v>
      </c>
      <c r="CM5" s="124">
        <v>6.9399999999999996E-4</v>
      </c>
      <c r="CN5" s="124">
        <v>8.8400000000000002E-4</v>
      </c>
      <c r="CO5" s="124">
        <v>1.1410000000000001E-3</v>
      </c>
      <c r="CP5" s="124">
        <v>1.4959999999999999E-3</v>
      </c>
      <c r="CQ5" s="124">
        <v>1.9910000000000001E-3</v>
      </c>
      <c r="CR5" s="124">
        <v>2.6900000000000001E-3</v>
      </c>
      <c r="CS5" s="124">
        <v>3.7039999999999998E-3</v>
      </c>
      <c r="CT5" s="124">
        <v>5.2350000000000001E-3</v>
      </c>
      <c r="CU5" s="124">
        <v>7.5979999999999997E-3</v>
      </c>
      <c r="CV5" s="124">
        <v>1.123E-2</v>
      </c>
      <c r="CW5" s="124">
        <v>1.6837000000000001E-2</v>
      </c>
      <c r="CX5" s="124">
        <v>1.1396999999999999E-2</v>
      </c>
    </row>
    <row r="6" spans="1:102" s="122" customFormat="1" ht="14.25" customHeight="1" x14ac:dyDescent="0.3">
      <c r="A6" s="121" t="s">
        <v>115</v>
      </c>
      <c r="B6" s="124">
        <v>0</v>
      </c>
      <c r="C6" s="124">
        <v>0</v>
      </c>
      <c r="D6" s="124">
        <v>0</v>
      </c>
      <c r="E6" s="124">
        <v>0</v>
      </c>
      <c r="F6" s="124">
        <v>0</v>
      </c>
      <c r="G6" s="124">
        <v>0</v>
      </c>
      <c r="H6" s="124">
        <v>0</v>
      </c>
      <c r="I6" s="124">
        <v>0</v>
      </c>
      <c r="J6" s="124">
        <v>0</v>
      </c>
      <c r="K6" s="124">
        <v>0</v>
      </c>
      <c r="L6" s="124">
        <v>0</v>
      </c>
      <c r="M6" s="124">
        <v>0</v>
      </c>
      <c r="N6" s="124">
        <v>0</v>
      </c>
      <c r="O6" s="124">
        <v>0</v>
      </c>
      <c r="P6" s="124">
        <v>0</v>
      </c>
      <c r="Q6" s="124">
        <v>1.0000000000000001E-5</v>
      </c>
      <c r="R6" s="124">
        <v>1.0000000000000001E-5</v>
      </c>
      <c r="S6" s="124">
        <v>1.0000000000000001E-5</v>
      </c>
      <c r="T6" s="124">
        <v>1.0000000000000001E-5</v>
      </c>
      <c r="U6" s="124">
        <v>1.0000000000000001E-5</v>
      </c>
      <c r="V6" s="124">
        <v>6.9999999999999994E-5</v>
      </c>
      <c r="W6" s="124">
        <v>6.9999999999999994E-5</v>
      </c>
      <c r="X6" s="124">
        <v>6.9999999999999994E-5</v>
      </c>
      <c r="Y6" s="124">
        <v>6.9999999999999994E-5</v>
      </c>
      <c r="Z6" s="124">
        <v>6.9999999999999994E-5</v>
      </c>
      <c r="AA6" s="124">
        <v>1.4999999999999999E-4</v>
      </c>
      <c r="AB6" s="124">
        <v>1.4999999999999999E-4</v>
      </c>
      <c r="AC6" s="124">
        <v>1.4999999999999999E-4</v>
      </c>
      <c r="AD6" s="124">
        <v>1.4999999999999999E-4</v>
      </c>
      <c r="AE6" s="124">
        <v>1.4999999999999999E-4</v>
      </c>
      <c r="AF6" s="124">
        <v>2.1000000000000001E-4</v>
      </c>
      <c r="AG6" s="124">
        <v>2.1000000000000001E-4</v>
      </c>
      <c r="AH6" s="124">
        <v>2.1000000000000001E-4</v>
      </c>
      <c r="AI6" s="124">
        <v>2.1000000000000001E-4</v>
      </c>
      <c r="AJ6" s="124">
        <v>2.1000000000000001E-4</v>
      </c>
      <c r="AK6" s="124">
        <v>2.4000000000000001E-4</v>
      </c>
      <c r="AL6" s="124">
        <v>2.5000000000000001E-4</v>
      </c>
      <c r="AM6" s="124">
        <v>2.5000000000000001E-4</v>
      </c>
      <c r="AN6" s="124">
        <v>2.5999999999999998E-4</v>
      </c>
      <c r="AO6" s="124">
        <v>2.5999999999999998E-4</v>
      </c>
      <c r="AP6" s="124">
        <v>2.5999999999999998E-4</v>
      </c>
      <c r="AQ6" s="124">
        <v>2.7E-4</v>
      </c>
      <c r="AR6" s="124">
        <v>2.7E-4</v>
      </c>
      <c r="AS6" s="124">
        <v>2.7999999999999998E-4</v>
      </c>
      <c r="AT6" s="124">
        <v>2.9E-4</v>
      </c>
      <c r="AU6" s="124">
        <v>2.4000000000000001E-4</v>
      </c>
      <c r="AV6" s="124">
        <v>2.4000000000000001E-4</v>
      </c>
      <c r="AW6" s="124">
        <v>2.5000000000000001E-4</v>
      </c>
      <c r="AX6" s="124">
        <v>2.5000000000000001E-4</v>
      </c>
      <c r="AY6" s="124">
        <v>2.5000000000000001E-4</v>
      </c>
      <c r="AZ6" s="124">
        <v>2.3000000000000001E-4</v>
      </c>
      <c r="BA6" s="124">
        <v>2.3000000000000001E-4</v>
      </c>
      <c r="BB6" s="124">
        <v>2.3000000000000001E-4</v>
      </c>
      <c r="BC6" s="124">
        <v>2.3000000000000001E-4</v>
      </c>
      <c r="BD6" s="124">
        <v>2.3000000000000001E-4</v>
      </c>
      <c r="BE6" s="124">
        <v>2.0000000000000001E-4</v>
      </c>
      <c r="BF6" s="124">
        <v>2.0000000000000001E-4</v>
      </c>
      <c r="BG6" s="124">
        <v>2.0000000000000001E-4</v>
      </c>
      <c r="BH6" s="124">
        <v>2.1000000000000001E-4</v>
      </c>
      <c r="BI6" s="124">
        <v>2.1000000000000001E-4</v>
      </c>
      <c r="BJ6" s="124">
        <v>1.6000000000000001E-4</v>
      </c>
      <c r="BK6" s="124">
        <v>1.7000000000000001E-4</v>
      </c>
      <c r="BL6" s="124">
        <v>1.8000000000000001E-4</v>
      </c>
      <c r="BM6" s="124">
        <v>1.9000000000000001E-4</v>
      </c>
      <c r="BN6" s="124">
        <v>2.0000000000000001E-4</v>
      </c>
      <c r="BO6" s="124">
        <v>1.3999999999999999E-4</v>
      </c>
      <c r="BP6" s="124">
        <v>1.4999999999999999E-4</v>
      </c>
      <c r="BQ6" s="124">
        <v>1.6000000000000001E-4</v>
      </c>
      <c r="BR6" s="124">
        <v>1.7000000000000001E-4</v>
      </c>
      <c r="BS6" s="124">
        <v>1.8000000000000001E-4</v>
      </c>
      <c r="BT6" s="124">
        <v>1.4999999999999999E-4</v>
      </c>
      <c r="BU6" s="124">
        <v>1.4999999999999999E-4</v>
      </c>
      <c r="BV6" s="124">
        <v>1.7000000000000001E-4</v>
      </c>
      <c r="BW6" s="124">
        <v>1.8000000000000001E-4</v>
      </c>
      <c r="BX6" s="124">
        <v>1.9000000000000001E-4</v>
      </c>
      <c r="BY6" s="124">
        <v>1.4999999999999999E-4</v>
      </c>
      <c r="BZ6" s="124">
        <v>1.6000000000000001E-4</v>
      </c>
      <c r="CA6" s="124">
        <v>1.8000000000000001E-4</v>
      </c>
      <c r="CB6" s="124">
        <v>1.9000000000000001E-4</v>
      </c>
      <c r="CC6" s="124">
        <v>2.0000000000000001E-4</v>
      </c>
      <c r="CD6" s="124">
        <v>1.7000000000000001E-4</v>
      </c>
      <c r="CE6" s="124">
        <v>1.9000000000000001E-4</v>
      </c>
      <c r="CF6" s="124">
        <v>2.0000000000000001E-4</v>
      </c>
      <c r="CG6" s="124">
        <v>2.2000000000000001E-4</v>
      </c>
      <c r="CH6" s="124">
        <v>2.5000000000000001E-4</v>
      </c>
      <c r="CI6" s="124">
        <v>1.2E-4</v>
      </c>
      <c r="CJ6" s="124">
        <v>1.3999999999999999E-4</v>
      </c>
      <c r="CK6" s="124">
        <v>1.6000000000000001E-4</v>
      </c>
      <c r="CL6" s="124">
        <v>1.9000000000000001E-4</v>
      </c>
      <c r="CM6" s="124">
        <v>2.3000000000000001E-4</v>
      </c>
      <c r="CN6" s="124">
        <v>2.9E-4</v>
      </c>
      <c r="CO6" s="124">
        <v>3.6000000000000002E-4</v>
      </c>
      <c r="CP6" s="124">
        <v>4.6999999999999999E-4</v>
      </c>
      <c r="CQ6" s="124">
        <v>6.2E-4</v>
      </c>
      <c r="CR6" s="124">
        <v>8.4999999999999995E-4</v>
      </c>
      <c r="CS6" s="124">
        <v>1.1999999999999999E-3</v>
      </c>
      <c r="CT6" s="124">
        <v>1.74E-3</v>
      </c>
      <c r="CU6" s="124">
        <v>2.6099999999999999E-3</v>
      </c>
      <c r="CV6" s="124">
        <v>4.0499999999999998E-3</v>
      </c>
      <c r="CW6" s="124">
        <v>6.5199999999999998E-3</v>
      </c>
      <c r="CX6" s="124">
        <v>4.8399999999999997E-3</v>
      </c>
    </row>
    <row r="7" spans="1:102"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3.0000000000000001E-6</v>
      </c>
      <c r="R7" s="124">
        <v>3.0000000000000001E-6</v>
      </c>
      <c r="S7" s="124">
        <v>3.0000000000000001E-6</v>
      </c>
      <c r="T7" s="124">
        <v>3.0000000000000001E-6</v>
      </c>
      <c r="U7" s="124">
        <v>3.0000000000000001E-6</v>
      </c>
      <c r="V7" s="124">
        <v>7.9999999999999996E-6</v>
      </c>
      <c r="W7" s="124">
        <v>7.9999999999999996E-6</v>
      </c>
      <c r="X7" s="124">
        <v>7.9999999999999996E-6</v>
      </c>
      <c r="Y7" s="124">
        <v>7.9999999999999996E-6</v>
      </c>
      <c r="Z7" s="124">
        <v>7.9999999999999996E-6</v>
      </c>
      <c r="AA7" s="124">
        <v>6.0999999999999999E-5</v>
      </c>
      <c r="AB7" s="124">
        <v>6.2000000000000003E-5</v>
      </c>
      <c r="AC7" s="124">
        <v>6.2000000000000003E-5</v>
      </c>
      <c r="AD7" s="124">
        <v>6.3E-5</v>
      </c>
      <c r="AE7" s="124">
        <v>6.3999999999999997E-5</v>
      </c>
      <c r="AF7" s="124">
        <v>1.25E-4</v>
      </c>
      <c r="AG7" s="124">
        <v>1.27E-4</v>
      </c>
      <c r="AH7" s="124">
        <v>1.2899999999999999E-4</v>
      </c>
      <c r="AI7" s="124">
        <v>1.3100000000000001E-4</v>
      </c>
      <c r="AJ7" s="124">
        <v>1.34E-4</v>
      </c>
      <c r="AK7" s="124">
        <v>1.8599999999999999E-4</v>
      </c>
      <c r="AL7" s="124">
        <v>1.9000000000000001E-4</v>
      </c>
      <c r="AM7" s="124">
        <v>1.95E-4</v>
      </c>
      <c r="AN7" s="124">
        <v>2.0000000000000001E-4</v>
      </c>
      <c r="AO7" s="124">
        <v>2.05E-4</v>
      </c>
      <c r="AP7" s="124">
        <v>2.52E-4</v>
      </c>
      <c r="AQ7" s="124">
        <v>2.5900000000000001E-4</v>
      </c>
      <c r="AR7" s="124">
        <v>2.6699999999999998E-4</v>
      </c>
      <c r="AS7" s="124">
        <v>2.7399999999999999E-4</v>
      </c>
      <c r="AT7" s="124">
        <v>2.81E-4</v>
      </c>
      <c r="AU7" s="124">
        <v>3.19E-4</v>
      </c>
      <c r="AV7" s="124">
        <v>3.28E-4</v>
      </c>
      <c r="AW7" s="124">
        <v>3.3599999999999998E-4</v>
      </c>
      <c r="AX7" s="124">
        <v>3.4400000000000001E-4</v>
      </c>
      <c r="AY7" s="124">
        <v>3.5300000000000002E-4</v>
      </c>
      <c r="AZ7" s="124">
        <v>3.5799999999999997E-4</v>
      </c>
      <c r="BA7" s="124">
        <v>3.6699999999999998E-4</v>
      </c>
      <c r="BB7" s="124">
        <v>3.77E-4</v>
      </c>
      <c r="BC7" s="124">
        <v>3.88E-4</v>
      </c>
      <c r="BD7" s="124">
        <v>3.9899999999999999E-4</v>
      </c>
      <c r="BE7" s="124">
        <v>3.7800000000000003E-4</v>
      </c>
      <c r="BF7" s="124">
        <v>3.9100000000000002E-4</v>
      </c>
      <c r="BG7" s="124">
        <v>4.0400000000000001E-4</v>
      </c>
      <c r="BH7" s="124">
        <v>4.1899999999999999E-4</v>
      </c>
      <c r="BI7" s="124">
        <v>4.3600000000000003E-4</v>
      </c>
      <c r="BJ7" s="124">
        <v>4.1800000000000002E-4</v>
      </c>
      <c r="BK7" s="124">
        <v>4.3399999999999998E-4</v>
      </c>
      <c r="BL7" s="124">
        <v>4.4999999999999999E-4</v>
      </c>
      <c r="BM7" s="124">
        <v>4.66E-4</v>
      </c>
      <c r="BN7" s="124">
        <v>4.8500000000000003E-4</v>
      </c>
      <c r="BO7" s="124">
        <v>4.75E-4</v>
      </c>
      <c r="BP7" s="124">
        <v>4.9600000000000002E-4</v>
      </c>
      <c r="BQ7" s="124">
        <v>5.1800000000000001E-4</v>
      </c>
      <c r="BR7" s="124">
        <v>5.4299999999999997E-4</v>
      </c>
      <c r="BS7" s="124">
        <v>5.71E-4</v>
      </c>
      <c r="BT7" s="124">
        <v>4.8999999999999998E-4</v>
      </c>
      <c r="BU7" s="124">
        <v>5.2300000000000003E-4</v>
      </c>
      <c r="BV7" s="124">
        <v>5.7499999999999999E-4</v>
      </c>
      <c r="BW7" s="124">
        <v>6.3100000000000005E-4</v>
      </c>
      <c r="BX7" s="124">
        <v>6.7199999999999996E-4</v>
      </c>
      <c r="BY7" s="124">
        <v>6.5600000000000001E-4</v>
      </c>
      <c r="BZ7" s="124">
        <v>6.9700000000000003E-4</v>
      </c>
      <c r="CA7" s="124">
        <v>7.4600000000000003E-4</v>
      </c>
      <c r="CB7" s="124">
        <v>8.0199999999999998E-4</v>
      </c>
      <c r="CC7" s="124">
        <v>8.6700000000000004E-4</v>
      </c>
      <c r="CD7" s="124">
        <v>7.5100000000000004E-4</v>
      </c>
      <c r="CE7" s="124">
        <v>8.2799999999999996E-4</v>
      </c>
      <c r="CF7" s="124">
        <v>9.2100000000000005E-4</v>
      </c>
      <c r="CG7" s="124">
        <v>1.029E-3</v>
      </c>
      <c r="CH7" s="124">
        <v>1.157E-3</v>
      </c>
      <c r="CI7" s="124">
        <v>1.5E-3</v>
      </c>
      <c r="CJ7" s="124">
        <v>1.719E-3</v>
      </c>
      <c r="CK7" s="124">
        <v>1.9840000000000001E-3</v>
      </c>
      <c r="CL7" s="124">
        <v>2.313E-3</v>
      </c>
      <c r="CM7" s="124">
        <v>2.725E-3</v>
      </c>
      <c r="CN7" s="124">
        <v>3.2429999999999998E-3</v>
      </c>
      <c r="CO7" s="124">
        <v>3.9139999999999999E-3</v>
      </c>
      <c r="CP7" s="124">
        <v>4.8260000000000004E-3</v>
      </c>
      <c r="CQ7" s="124">
        <v>6.117E-3</v>
      </c>
      <c r="CR7" s="124">
        <v>7.9749999999999995E-3</v>
      </c>
      <c r="CS7" s="124">
        <v>1.0595E-2</v>
      </c>
      <c r="CT7" s="124">
        <v>1.4263E-2</v>
      </c>
      <c r="CU7" s="124">
        <v>1.9604E-2</v>
      </c>
      <c r="CV7" s="124">
        <v>2.7553999999999999E-2</v>
      </c>
      <c r="CW7" s="124">
        <v>3.9556000000000001E-2</v>
      </c>
      <c r="CX7" s="124">
        <v>2.2249999999999999E-2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1.9999999999999999E-6</v>
      </c>
      <c r="R8" s="124">
        <v>1.9999999999999999E-6</v>
      </c>
      <c r="S8" s="124">
        <v>1.9999999999999999E-6</v>
      </c>
      <c r="T8" s="124">
        <v>1.9999999999999999E-6</v>
      </c>
      <c r="U8" s="124">
        <v>1.9999999999999999E-6</v>
      </c>
      <c r="V8" s="124">
        <v>3.6999999999999998E-5</v>
      </c>
      <c r="W8" s="124">
        <v>3.6999999999999998E-5</v>
      </c>
      <c r="X8" s="124">
        <v>3.6999999999999998E-5</v>
      </c>
      <c r="Y8" s="124">
        <v>3.6999999999999998E-5</v>
      </c>
      <c r="Z8" s="124">
        <v>3.6999999999999998E-5</v>
      </c>
      <c r="AA8" s="124">
        <v>9.2999999999999997E-5</v>
      </c>
      <c r="AB8" s="124">
        <v>9.2999999999999997E-5</v>
      </c>
      <c r="AC8" s="124">
        <v>9.3999999999999994E-5</v>
      </c>
      <c r="AD8" s="124">
        <v>9.3999999999999994E-5</v>
      </c>
      <c r="AE8" s="124">
        <v>9.5000000000000005E-5</v>
      </c>
      <c r="AF8" s="124">
        <v>1.3999999999999999E-4</v>
      </c>
      <c r="AG8" s="124">
        <v>1.4200000000000001E-4</v>
      </c>
      <c r="AH8" s="124">
        <v>1.4300000000000001E-4</v>
      </c>
      <c r="AI8" s="124">
        <v>1.45E-4</v>
      </c>
      <c r="AJ8" s="124">
        <v>1.46E-4</v>
      </c>
      <c r="AK8" s="124">
        <v>1.8900000000000001E-4</v>
      </c>
      <c r="AL8" s="124">
        <v>1.9100000000000001E-4</v>
      </c>
      <c r="AM8" s="124">
        <v>1.93E-4</v>
      </c>
      <c r="AN8" s="124">
        <v>1.94E-4</v>
      </c>
      <c r="AO8" s="124">
        <v>1.9699999999999999E-4</v>
      </c>
      <c r="AP8" s="124">
        <v>2.33E-4</v>
      </c>
      <c r="AQ8" s="124">
        <v>2.3499999999999999E-4</v>
      </c>
      <c r="AR8" s="124">
        <v>2.3800000000000001E-4</v>
      </c>
      <c r="AS8" s="124">
        <v>2.41E-4</v>
      </c>
      <c r="AT8" s="124">
        <v>2.4499999999999999E-4</v>
      </c>
      <c r="AU8" s="124">
        <v>2.5900000000000001E-4</v>
      </c>
      <c r="AV8" s="124">
        <v>2.63E-4</v>
      </c>
      <c r="AW8" s="124">
        <v>2.6800000000000001E-4</v>
      </c>
      <c r="AX8" s="124">
        <v>2.7300000000000002E-4</v>
      </c>
      <c r="AY8" s="124">
        <v>2.7999999999999998E-4</v>
      </c>
      <c r="AZ8" s="124">
        <v>2.6800000000000001E-4</v>
      </c>
      <c r="BA8" s="124">
        <v>2.7500000000000002E-4</v>
      </c>
      <c r="BB8" s="124">
        <v>2.8299999999999999E-4</v>
      </c>
      <c r="BC8" s="124">
        <v>2.92E-4</v>
      </c>
      <c r="BD8" s="124">
        <v>3.0200000000000002E-4</v>
      </c>
      <c r="BE8" s="124">
        <v>2.8299999999999999E-4</v>
      </c>
      <c r="BF8" s="124">
        <v>2.9300000000000002E-4</v>
      </c>
      <c r="BG8" s="124">
        <v>3.0400000000000002E-4</v>
      </c>
      <c r="BH8" s="124">
        <v>3.1599999999999998E-4</v>
      </c>
      <c r="BI8" s="124">
        <v>3.28E-4</v>
      </c>
      <c r="BJ8" s="124">
        <v>2.9799999999999998E-4</v>
      </c>
      <c r="BK8" s="124">
        <v>3.1100000000000002E-4</v>
      </c>
      <c r="BL8" s="124">
        <v>3.2499999999999999E-4</v>
      </c>
      <c r="BM8" s="124">
        <v>3.39E-4</v>
      </c>
      <c r="BN8" s="124">
        <v>3.5599999999999998E-4</v>
      </c>
      <c r="BO8" s="124">
        <v>3.1700000000000001E-4</v>
      </c>
      <c r="BP8" s="124">
        <v>3.3500000000000001E-4</v>
      </c>
      <c r="BQ8" s="124">
        <v>3.5399999999999999E-4</v>
      </c>
      <c r="BR8" s="124">
        <v>3.7399999999999998E-4</v>
      </c>
      <c r="BS8" s="124">
        <v>3.9899999999999999E-4</v>
      </c>
      <c r="BT8" s="124">
        <v>3.28E-4</v>
      </c>
      <c r="BU8" s="124">
        <v>3.5399999999999999E-4</v>
      </c>
      <c r="BV8" s="124">
        <v>3.79E-4</v>
      </c>
      <c r="BW8" s="124">
        <v>4.06E-4</v>
      </c>
      <c r="BX8" s="124">
        <v>4.37E-4</v>
      </c>
      <c r="BY8" s="124">
        <v>3.7300000000000001E-4</v>
      </c>
      <c r="BZ8" s="124">
        <v>4.0000000000000002E-4</v>
      </c>
      <c r="CA8" s="124">
        <v>4.2999999999999999E-4</v>
      </c>
      <c r="CB8" s="124">
        <v>4.6299999999999998E-4</v>
      </c>
      <c r="CC8" s="124">
        <v>4.9799999999999996E-4</v>
      </c>
      <c r="CD8" s="124">
        <v>3.8499999999999998E-4</v>
      </c>
      <c r="CE8" s="124">
        <v>4.1800000000000002E-4</v>
      </c>
      <c r="CF8" s="124">
        <v>4.5600000000000003E-4</v>
      </c>
      <c r="CG8" s="124">
        <v>5.0199999999999995E-4</v>
      </c>
      <c r="CH8" s="124">
        <v>5.5800000000000001E-4</v>
      </c>
      <c r="CI8" s="124">
        <v>2.31E-4</v>
      </c>
      <c r="CJ8" s="124">
        <v>2.5999999999999998E-4</v>
      </c>
      <c r="CK8" s="124">
        <v>2.92E-4</v>
      </c>
      <c r="CL8" s="124">
        <v>3.3199999999999999E-4</v>
      </c>
      <c r="CM8" s="124">
        <v>3.86E-4</v>
      </c>
      <c r="CN8" s="124">
        <v>4.5800000000000002E-4</v>
      </c>
      <c r="CO8" s="124">
        <v>5.4900000000000001E-4</v>
      </c>
      <c r="CP8" s="124">
        <v>6.6100000000000002E-4</v>
      </c>
      <c r="CQ8" s="124">
        <v>8.0400000000000003E-4</v>
      </c>
      <c r="CR8" s="124">
        <v>9.9599999999999992E-4</v>
      </c>
      <c r="CS8" s="124">
        <v>1.268E-3</v>
      </c>
      <c r="CT8" s="124">
        <v>1.663E-3</v>
      </c>
      <c r="CU8" s="124">
        <v>2.2339999999999999E-3</v>
      </c>
      <c r="CV8" s="124">
        <v>3.0920000000000001E-3</v>
      </c>
      <c r="CW8" s="124">
        <v>4.5230000000000001E-3</v>
      </c>
      <c r="CX8" s="124">
        <v>3.3249999999999998E-3</v>
      </c>
    </row>
    <row r="9" spans="1:102" ht="14.2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0</v>
      </c>
      <c r="R9" s="124">
        <v>0</v>
      </c>
      <c r="S9" s="124">
        <v>0</v>
      </c>
      <c r="T9" s="124">
        <v>0</v>
      </c>
      <c r="U9" s="124">
        <v>0</v>
      </c>
      <c r="V9" s="124">
        <v>2.5999999999999998E-5</v>
      </c>
      <c r="W9" s="124">
        <v>2.6999999999999999E-5</v>
      </c>
      <c r="X9" s="124">
        <v>2.5999999999999998E-5</v>
      </c>
      <c r="Y9" s="124">
        <v>2.5999999999999998E-5</v>
      </c>
      <c r="Z9" s="124">
        <v>2.5999999999999998E-5</v>
      </c>
      <c r="AA9" s="124">
        <v>1.12E-4</v>
      </c>
      <c r="AB9" s="124">
        <v>1.12E-4</v>
      </c>
      <c r="AC9" s="124">
        <v>1.12E-4</v>
      </c>
      <c r="AD9" s="124">
        <v>1.13E-4</v>
      </c>
      <c r="AE9" s="124">
        <v>1.13E-4</v>
      </c>
      <c r="AF9" s="124">
        <v>1.95E-4</v>
      </c>
      <c r="AG9" s="124">
        <v>1.9699999999999999E-4</v>
      </c>
      <c r="AH9" s="124">
        <v>1.9900000000000001E-4</v>
      </c>
      <c r="AI9" s="124">
        <v>2.03E-4</v>
      </c>
      <c r="AJ9" s="124">
        <v>2.0599999999999999E-4</v>
      </c>
      <c r="AK9" s="124">
        <v>3.0299999999999999E-4</v>
      </c>
      <c r="AL9" s="124">
        <v>3.1100000000000002E-4</v>
      </c>
      <c r="AM9" s="124">
        <v>3.1799999999999998E-4</v>
      </c>
      <c r="AN9" s="124">
        <v>3.2600000000000001E-4</v>
      </c>
      <c r="AO9" s="124">
        <v>3.3399999999999999E-4</v>
      </c>
      <c r="AP9" s="124">
        <v>4.2000000000000002E-4</v>
      </c>
      <c r="AQ9" s="124">
        <v>4.2900000000000002E-4</v>
      </c>
      <c r="AR9" s="124">
        <v>4.37E-4</v>
      </c>
      <c r="AS9" s="124">
        <v>4.44E-4</v>
      </c>
      <c r="AT9" s="124">
        <v>4.5199999999999998E-4</v>
      </c>
      <c r="AU9" s="124">
        <v>4.84E-4</v>
      </c>
      <c r="AV9" s="124">
        <v>4.9399999999999997E-4</v>
      </c>
      <c r="AW9" s="124">
        <v>5.0600000000000005E-4</v>
      </c>
      <c r="AX9" s="124">
        <v>5.1999999999999995E-4</v>
      </c>
      <c r="AY9" s="124">
        <v>5.3799999999999996E-4</v>
      </c>
      <c r="AZ9" s="124">
        <v>5.53E-4</v>
      </c>
      <c r="BA9" s="124">
        <v>5.7300000000000005E-4</v>
      </c>
      <c r="BB9" s="124">
        <v>5.9400000000000002E-4</v>
      </c>
      <c r="BC9" s="124">
        <v>6.1499999999999999E-4</v>
      </c>
      <c r="BD9" s="124">
        <v>6.3599999999999996E-4</v>
      </c>
      <c r="BE9" s="124">
        <v>5.8100000000000003E-4</v>
      </c>
      <c r="BF9" s="124">
        <v>5.9599999999999996E-4</v>
      </c>
      <c r="BG9" s="124">
        <v>6.11E-4</v>
      </c>
      <c r="BH9" s="124">
        <v>6.2600000000000004E-4</v>
      </c>
      <c r="BI9" s="124">
        <v>6.4300000000000002E-4</v>
      </c>
      <c r="BJ9" s="124">
        <v>5.6400000000000005E-4</v>
      </c>
      <c r="BK9" s="124">
        <v>5.8200000000000005E-4</v>
      </c>
      <c r="BL9" s="124">
        <v>6.0300000000000002E-4</v>
      </c>
      <c r="BM9" s="124">
        <v>6.2600000000000004E-4</v>
      </c>
      <c r="BN9" s="124">
        <v>6.5099999999999999E-4</v>
      </c>
      <c r="BO9" s="124">
        <v>6.1300000000000005E-4</v>
      </c>
      <c r="BP9" s="124">
        <v>6.3900000000000003E-4</v>
      </c>
      <c r="BQ9" s="124">
        <v>6.6699999999999995E-4</v>
      </c>
      <c r="BR9" s="124">
        <v>6.9899999999999997E-4</v>
      </c>
      <c r="BS9" s="124">
        <v>7.3399999999999995E-4</v>
      </c>
      <c r="BT9" s="124">
        <v>6.1300000000000005E-4</v>
      </c>
      <c r="BU9" s="124">
        <v>6.4800000000000003E-4</v>
      </c>
      <c r="BV9" s="124">
        <v>6.8999999999999997E-4</v>
      </c>
      <c r="BW9" s="124">
        <v>7.3999999999999999E-4</v>
      </c>
      <c r="BX9" s="124">
        <v>7.9699999999999997E-4</v>
      </c>
      <c r="BY9" s="124">
        <v>7.1599999999999995E-4</v>
      </c>
      <c r="BZ9" s="124">
        <v>7.67E-4</v>
      </c>
      <c r="CA9" s="124">
        <v>8.1700000000000002E-4</v>
      </c>
      <c r="CB9" s="124">
        <v>8.7200000000000005E-4</v>
      </c>
      <c r="CC9" s="124">
        <v>9.3400000000000004E-4</v>
      </c>
      <c r="CD9" s="124">
        <v>7.6199999999999998E-4</v>
      </c>
      <c r="CE9" s="124">
        <v>8.2600000000000002E-4</v>
      </c>
      <c r="CF9" s="124">
        <v>9.0700000000000004E-4</v>
      </c>
      <c r="CG9" s="124">
        <v>1.018E-3</v>
      </c>
      <c r="CH9" s="124">
        <v>1.1659999999999999E-3</v>
      </c>
      <c r="CI9" s="124">
        <v>1.2769999999999999E-3</v>
      </c>
      <c r="CJ9" s="124">
        <v>1.5120000000000001E-3</v>
      </c>
      <c r="CK9" s="124">
        <v>1.833E-3</v>
      </c>
      <c r="CL9" s="124">
        <v>2.2769999999999999E-3</v>
      </c>
      <c r="CM9" s="124">
        <v>2.8809999999999999E-3</v>
      </c>
      <c r="CN9" s="124">
        <v>3.6809999999999998E-3</v>
      </c>
      <c r="CO9" s="124">
        <v>4.7299999999999998E-3</v>
      </c>
      <c r="CP9" s="124">
        <v>6.0930000000000003E-3</v>
      </c>
      <c r="CQ9" s="124">
        <v>7.8399999999999997E-3</v>
      </c>
      <c r="CR9" s="124">
        <v>1.0121E-2</v>
      </c>
      <c r="CS9" s="124">
        <v>1.3261E-2</v>
      </c>
      <c r="CT9" s="124">
        <v>1.7825000000000001E-2</v>
      </c>
      <c r="CU9" s="124">
        <v>2.4728E-2</v>
      </c>
      <c r="CV9" s="124">
        <v>3.5811000000000003E-2</v>
      </c>
      <c r="CW9" s="124">
        <v>5.4174E-2</v>
      </c>
      <c r="CX9" s="124">
        <v>4.0152E-2</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4" t="s">
        <v>126</v>
      </c>
    </row>
    <row r="2" spans="1:1" ht="14.25" customHeight="1" x14ac:dyDescent="0.3">
      <c r="A2" s="69" t="s">
        <v>127</v>
      </c>
    </row>
    <row r="3" spans="1:1" ht="14.25" customHeight="1" x14ac:dyDescent="0.3"/>
    <row r="4" spans="1:1" ht="14.25" customHeight="1" x14ac:dyDescent="0.3">
      <c r="A4" s="44" t="s">
        <v>128</v>
      </c>
    </row>
    <row r="5" spans="1:1" ht="14.25" customHeight="1" x14ac:dyDescent="0.3">
      <c r="A5" s="44" t="s">
        <v>129</v>
      </c>
    </row>
    <row r="6" spans="1:1" ht="14.25" customHeight="1" x14ac:dyDescent="0.3">
      <c r="A6" s="44" t="s">
        <v>130</v>
      </c>
    </row>
    <row r="7" spans="1:1" ht="14.25" customHeight="1" x14ac:dyDescent="0.3">
      <c r="A7" s="44" t="s">
        <v>131</v>
      </c>
    </row>
    <row r="8" spans="1:1" ht="14.25" customHeight="1" x14ac:dyDescent="0.3">
      <c r="A8" s="44" t="s">
        <v>132</v>
      </c>
    </row>
    <row r="9" spans="1:1" ht="14.25" customHeight="1" x14ac:dyDescent="0.3">
      <c r="A9" s="44" t="s">
        <v>133</v>
      </c>
    </row>
    <row r="10" spans="1:1" ht="14.25" customHeight="1" x14ac:dyDescent="0.3">
      <c r="A10" s="44" t="s">
        <v>134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32"/>
  <sheetViews>
    <sheetView topLeftCell="A11" workbookViewId="0">
      <selection activeCell="A29" sqref="A29:J29"/>
    </sheetView>
  </sheetViews>
  <sheetFormatPr baseColWidth="10" defaultRowHeight="14.4" x14ac:dyDescent="0.3"/>
  <cols>
    <col min="2" max="2" width="11.88671875" bestFit="1" customWidth="1"/>
  </cols>
  <sheetData>
    <row r="1" spans="1:19" x14ac:dyDescent="0.3">
      <c r="A1" s="138" t="s">
        <v>136</v>
      </c>
      <c r="B1" s="138"/>
      <c r="C1" s="138"/>
      <c r="D1" s="138"/>
    </row>
    <row r="2" spans="1:19" x14ac:dyDescent="0.3">
      <c r="A2" s="140" t="s">
        <v>155</v>
      </c>
      <c r="B2" s="140"/>
      <c r="C2" s="140"/>
      <c r="D2" s="140"/>
      <c r="E2" s="140"/>
      <c r="F2" s="140"/>
      <c r="G2" s="140"/>
      <c r="H2" s="140"/>
      <c r="I2" s="140"/>
      <c r="J2" s="140"/>
      <c r="K2" s="140"/>
      <c r="L2" s="140"/>
      <c r="M2" s="140"/>
      <c r="N2" s="140"/>
      <c r="O2" s="140"/>
      <c r="P2" s="140"/>
      <c r="Q2" s="140"/>
    </row>
    <row r="3" spans="1:19" x14ac:dyDescent="0.3">
      <c r="A3" s="140"/>
      <c r="B3" s="140"/>
      <c r="C3" s="140"/>
      <c r="D3" s="140"/>
      <c r="E3" s="140"/>
      <c r="F3" s="140"/>
      <c r="G3" s="140"/>
      <c r="H3" s="140"/>
      <c r="I3" s="140"/>
      <c r="J3" s="140"/>
      <c r="K3" s="140"/>
      <c r="L3" s="140"/>
      <c r="M3" s="140"/>
      <c r="N3" s="140"/>
      <c r="O3" s="140"/>
      <c r="P3" s="140"/>
      <c r="Q3" s="140"/>
    </row>
    <row r="4" spans="1:19" x14ac:dyDescent="0.3">
      <c r="A4" t="s">
        <v>152</v>
      </c>
    </row>
    <row r="5" spans="1:19" x14ac:dyDescent="0.3">
      <c r="A5" t="s">
        <v>153</v>
      </c>
    </row>
    <row r="6" spans="1:19" x14ac:dyDescent="0.3">
      <c r="A6" s="92" t="s">
        <v>137</v>
      </c>
      <c r="B6" s="92"/>
      <c r="C6" s="92"/>
      <c r="D6" s="92"/>
      <c r="E6" s="92"/>
      <c r="F6" s="92"/>
      <c r="G6" s="70"/>
      <c r="H6" s="70"/>
      <c r="I6" s="70"/>
      <c r="J6" s="70"/>
      <c r="K6" s="70"/>
      <c r="L6" s="70"/>
    </row>
    <row r="7" spans="1:19" x14ac:dyDescent="0.3">
      <c r="A7" s="92" t="s">
        <v>138</v>
      </c>
      <c r="B7" s="92"/>
      <c r="C7" s="92"/>
      <c r="D7" s="92"/>
      <c r="E7" s="92"/>
      <c r="F7" s="92"/>
      <c r="G7" s="70"/>
      <c r="H7" s="70"/>
      <c r="I7" s="70"/>
      <c r="J7" s="70"/>
      <c r="K7" s="70"/>
      <c r="L7" s="70"/>
    </row>
    <row r="8" spans="1:19" x14ac:dyDescent="0.3">
      <c r="A8" s="93" t="s">
        <v>139</v>
      </c>
      <c r="B8" s="92"/>
      <c r="C8" s="92"/>
      <c r="D8" s="92"/>
      <c r="E8" s="92"/>
      <c r="F8" s="92"/>
      <c r="G8" s="70"/>
      <c r="H8" s="70"/>
      <c r="I8" s="70"/>
      <c r="J8" s="70"/>
      <c r="K8" s="70"/>
      <c r="L8" s="70"/>
    </row>
    <row r="9" spans="1:19" x14ac:dyDescent="0.3">
      <c r="A9" s="94" t="s">
        <v>144</v>
      </c>
      <c r="B9" s="95"/>
      <c r="C9" s="95"/>
      <c r="D9" s="95"/>
      <c r="E9" s="95"/>
      <c r="F9" s="95"/>
      <c r="G9" s="95"/>
      <c r="H9" s="95"/>
      <c r="I9" s="95"/>
      <c r="J9" s="95"/>
      <c r="K9" s="95"/>
      <c r="L9" s="95"/>
      <c r="M9" s="96"/>
      <c r="N9" s="96"/>
      <c r="O9" s="96"/>
      <c r="P9" s="96"/>
      <c r="Q9" s="96"/>
      <c r="R9" s="96"/>
      <c r="S9" s="96"/>
    </row>
    <row r="10" spans="1:19" x14ac:dyDescent="0.3">
      <c r="A10" s="94" t="s">
        <v>145</v>
      </c>
      <c r="B10" s="95"/>
      <c r="C10" s="95"/>
      <c r="D10" s="95"/>
      <c r="E10" s="95"/>
      <c r="F10" s="95"/>
      <c r="G10" s="95"/>
      <c r="H10" s="95"/>
      <c r="I10" s="95"/>
      <c r="J10" s="95"/>
      <c r="K10" s="95"/>
      <c r="L10" s="95"/>
      <c r="M10" s="96"/>
      <c r="N10" s="96"/>
      <c r="O10" s="96"/>
      <c r="P10" s="96"/>
      <c r="Q10" s="96"/>
      <c r="R10" s="96"/>
      <c r="S10" s="96"/>
    </row>
    <row r="11" spans="1:19" x14ac:dyDescent="0.3">
      <c r="A11" s="95"/>
      <c r="B11" s="94" t="s">
        <v>146</v>
      </c>
      <c r="C11" s="95"/>
      <c r="D11" s="95"/>
      <c r="E11" s="95"/>
      <c r="F11" s="95"/>
      <c r="G11" s="95"/>
      <c r="H11" s="95"/>
      <c r="I11" s="95"/>
      <c r="J11" s="95"/>
      <c r="K11" s="95"/>
      <c r="L11" s="95"/>
      <c r="M11" s="96"/>
      <c r="N11" s="96"/>
      <c r="O11" s="96"/>
      <c r="P11" s="96"/>
      <c r="Q11" s="96"/>
      <c r="R11" s="96"/>
      <c r="S11" s="96"/>
    </row>
    <row r="12" spans="1:19" x14ac:dyDescent="0.3">
      <c r="A12" s="95"/>
      <c r="B12" s="94" t="s">
        <v>147</v>
      </c>
      <c r="C12" s="95"/>
      <c r="D12" s="95"/>
      <c r="E12" s="95"/>
      <c r="F12" s="95"/>
      <c r="G12" s="95"/>
      <c r="H12" s="95"/>
      <c r="I12" s="95"/>
      <c r="J12" s="95"/>
      <c r="K12" s="95"/>
      <c r="L12" s="95"/>
      <c r="M12" s="96"/>
      <c r="N12" s="96"/>
      <c r="O12" s="96"/>
      <c r="P12" s="96"/>
      <c r="Q12" s="96"/>
      <c r="R12" s="96"/>
      <c r="S12" s="96"/>
    </row>
    <row r="13" spans="1:19" x14ac:dyDescent="0.3">
      <c r="A13" s="95"/>
      <c r="B13" s="94" t="s">
        <v>148</v>
      </c>
      <c r="C13" s="95"/>
      <c r="D13" s="95"/>
      <c r="E13" s="95"/>
      <c r="F13" s="95"/>
      <c r="G13" s="95"/>
      <c r="H13" s="95"/>
      <c r="I13" s="95"/>
      <c r="J13" s="95"/>
      <c r="K13" s="95"/>
      <c r="L13" s="95"/>
      <c r="M13" s="96"/>
      <c r="N13" s="96"/>
      <c r="O13" s="96"/>
      <c r="P13" s="96"/>
      <c r="Q13" s="96"/>
      <c r="R13" s="96"/>
      <c r="S13" s="96"/>
    </row>
    <row r="14" spans="1:19" x14ac:dyDescent="0.3">
      <c r="A14" s="95"/>
      <c r="B14" s="94" t="s">
        <v>149</v>
      </c>
      <c r="C14" s="95"/>
      <c r="D14" s="95"/>
      <c r="E14" s="95"/>
      <c r="F14" s="95"/>
      <c r="G14" s="95"/>
      <c r="H14" s="95"/>
      <c r="I14" s="95"/>
      <c r="J14" s="95"/>
      <c r="K14" s="95"/>
      <c r="L14" s="95"/>
      <c r="M14" s="96"/>
      <c r="N14" s="96"/>
      <c r="O14" s="96"/>
      <c r="P14" s="96"/>
      <c r="Q14" s="96"/>
      <c r="R14" s="96"/>
      <c r="S14" s="96"/>
    </row>
    <row r="15" spans="1:19" x14ac:dyDescent="0.3">
      <c r="A15" s="139" t="s">
        <v>154</v>
      </c>
      <c r="B15" s="139"/>
      <c r="C15" s="139"/>
      <c r="D15" s="139"/>
      <c r="E15" s="139"/>
      <c r="F15" s="139"/>
      <c r="G15" s="139"/>
      <c r="H15" s="139"/>
      <c r="I15" s="139"/>
      <c r="J15" s="139"/>
      <c r="K15" s="139"/>
      <c r="L15" s="139"/>
      <c r="M15" s="139"/>
      <c r="N15" s="139"/>
      <c r="O15" s="139"/>
      <c r="P15" s="139"/>
      <c r="Q15" s="139"/>
      <c r="R15" s="139"/>
      <c r="S15" s="139"/>
    </row>
    <row r="16" spans="1:19" x14ac:dyDescent="0.3">
      <c r="A16" s="139"/>
      <c r="B16" s="139"/>
      <c r="C16" s="139"/>
      <c r="D16" s="139"/>
      <c r="E16" s="139"/>
      <c r="F16" s="139"/>
      <c r="G16" s="139"/>
      <c r="H16" s="139"/>
      <c r="I16" s="139"/>
      <c r="J16" s="139"/>
      <c r="K16" s="139"/>
      <c r="L16" s="139"/>
      <c r="M16" s="139"/>
      <c r="N16" s="139"/>
      <c r="O16" s="139"/>
      <c r="P16" s="139"/>
      <c r="Q16" s="139"/>
      <c r="R16" s="139"/>
      <c r="S16" s="139"/>
    </row>
    <row r="18" spans="1:19" x14ac:dyDescent="0.3">
      <c r="A18" s="141" t="s">
        <v>156</v>
      </c>
      <c r="B18" s="141"/>
      <c r="C18" s="141"/>
      <c r="D18" s="141"/>
      <c r="E18" s="141"/>
      <c r="F18" s="141"/>
      <c r="G18" s="141"/>
      <c r="H18" s="141"/>
      <c r="I18" s="141"/>
      <c r="J18" s="141"/>
      <c r="K18" s="141"/>
      <c r="L18" s="141"/>
      <c r="M18" s="141"/>
      <c r="N18" s="141"/>
      <c r="O18" s="141"/>
      <c r="P18" s="141"/>
      <c r="Q18" s="141"/>
      <c r="R18" s="141"/>
      <c r="S18" s="141"/>
    </row>
    <row r="19" spans="1:19" x14ac:dyDescent="0.3">
      <c r="A19" s="141"/>
      <c r="B19" s="141"/>
      <c r="C19" s="141"/>
      <c r="D19" s="141"/>
      <c r="E19" s="141"/>
      <c r="F19" s="141"/>
      <c r="G19" s="141"/>
      <c r="H19" s="141"/>
      <c r="I19" s="141"/>
      <c r="J19" s="141"/>
      <c r="K19" s="141"/>
      <c r="L19" s="141"/>
      <c r="M19" s="141"/>
      <c r="N19" s="141"/>
      <c r="O19" s="141"/>
      <c r="P19" s="141"/>
      <c r="Q19" s="141"/>
      <c r="R19" s="141"/>
      <c r="S19" s="141"/>
    </row>
    <row r="22" spans="1:19" x14ac:dyDescent="0.3">
      <c r="A22" s="104" t="s">
        <v>157</v>
      </c>
      <c r="B22" s="105"/>
      <c r="C22" s="105"/>
      <c r="D22" s="105"/>
      <c r="E22" s="105"/>
      <c r="F22" s="105"/>
      <c r="G22" s="105"/>
      <c r="H22" s="105"/>
      <c r="I22" s="105"/>
      <c r="J22" s="105"/>
    </row>
    <row r="23" spans="1:19" x14ac:dyDescent="0.3">
      <c r="A23" s="104" t="s">
        <v>158</v>
      </c>
      <c r="B23" s="105"/>
      <c r="C23" s="105"/>
      <c r="D23" s="105"/>
      <c r="E23" s="105"/>
      <c r="F23" s="105"/>
      <c r="G23" s="105"/>
      <c r="H23" s="105"/>
      <c r="I23" s="105"/>
      <c r="J23" s="105"/>
    </row>
    <row r="24" spans="1:19" x14ac:dyDescent="0.3">
      <c r="A24" s="104" t="s">
        <v>159</v>
      </c>
      <c r="B24" s="105"/>
      <c r="C24" s="105"/>
      <c r="D24" s="105"/>
      <c r="E24" s="105"/>
      <c r="F24" s="105"/>
      <c r="G24" s="105"/>
      <c r="H24" s="105"/>
      <c r="I24" s="105"/>
      <c r="J24" s="105"/>
    </row>
    <row r="25" spans="1:19" x14ac:dyDescent="0.3">
      <c r="A25" s="105"/>
      <c r="B25" s="105"/>
      <c r="C25" s="105"/>
      <c r="D25" s="105"/>
      <c r="E25" s="105"/>
      <c r="F25" s="105"/>
      <c r="G25" s="105"/>
      <c r="H25" s="105"/>
      <c r="I25" s="105"/>
      <c r="J25" s="105"/>
    </row>
    <row r="29" spans="1:19" ht="77.25" customHeight="1" x14ac:dyDescent="0.3">
      <c r="A29" s="142" t="s">
        <v>161</v>
      </c>
      <c r="B29" s="142"/>
      <c r="C29" s="142"/>
      <c r="D29" s="142"/>
      <c r="E29" s="142"/>
      <c r="F29" s="142"/>
      <c r="G29" s="142"/>
      <c r="H29" s="142"/>
      <c r="I29" s="142"/>
      <c r="J29" s="142"/>
    </row>
    <row r="30" spans="1:19" x14ac:dyDescent="0.3">
      <c r="A30" s="113"/>
      <c r="B30" s="113"/>
      <c r="C30" s="113"/>
      <c r="D30" s="113"/>
      <c r="E30" s="113"/>
      <c r="F30" s="113"/>
      <c r="G30" s="113"/>
      <c r="H30" s="113"/>
      <c r="I30" s="113"/>
      <c r="J30" s="113"/>
    </row>
    <row r="31" spans="1:19" x14ac:dyDescent="0.3">
      <c r="A31" s="113"/>
      <c r="B31" s="113"/>
      <c r="C31" s="113"/>
      <c r="D31" s="113"/>
      <c r="E31" s="113"/>
      <c r="F31" s="113"/>
      <c r="G31" s="113"/>
      <c r="H31" s="113"/>
      <c r="I31" s="113"/>
      <c r="J31" s="113"/>
    </row>
    <row r="32" spans="1:19" x14ac:dyDescent="0.3">
      <c r="A32" s="113"/>
      <c r="B32" s="113"/>
      <c r="C32" s="113"/>
      <c r="D32" s="113"/>
      <c r="E32" s="113"/>
      <c r="F32" s="113"/>
      <c r="G32" s="113"/>
      <c r="H32" s="113"/>
      <c r="I32" s="113"/>
      <c r="J32" s="113"/>
    </row>
  </sheetData>
  <mergeCells count="5">
    <mergeCell ref="A1:D1"/>
    <mergeCell ref="A15:S16"/>
    <mergeCell ref="A2:Q3"/>
    <mergeCell ref="A18:S19"/>
    <mergeCell ref="A29:J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C2" sqref="C2"/>
    </sheetView>
  </sheetViews>
  <sheetFormatPr baseColWidth="10" defaultRowHeight="14.4" x14ac:dyDescent="0.3"/>
  <sheetData>
    <row r="1" spans="1:9" ht="15.75" customHeight="1" thickBot="1" x14ac:dyDescent="0.35">
      <c r="B1" s="99" t="s">
        <v>2</v>
      </c>
      <c r="C1" s="99" t="s">
        <v>108</v>
      </c>
      <c r="D1" s="99" t="s">
        <v>111</v>
      </c>
      <c r="E1" s="99" t="s">
        <v>113</v>
      </c>
      <c r="F1" s="99" t="s">
        <v>115</v>
      </c>
      <c r="G1" s="99" t="s">
        <v>117</v>
      </c>
      <c r="H1" s="99" t="s">
        <v>119</v>
      </c>
      <c r="I1" s="99" t="s">
        <v>121</v>
      </c>
    </row>
    <row r="2" spans="1:9" ht="15" thickBot="1" x14ac:dyDescent="0.35">
      <c r="A2">
        <v>8</v>
      </c>
      <c r="B2" s="97">
        <v>354962</v>
      </c>
      <c r="C2" s="102">
        <v>1450222</v>
      </c>
      <c r="D2" s="102">
        <v>120695</v>
      </c>
      <c r="E2" s="102">
        <v>361594</v>
      </c>
      <c r="F2" s="102">
        <v>35771</v>
      </c>
      <c r="G2" s="102">
        <v>158455</v>
      </c>
      <c r="H2" s="102">
        <v>1076800</v>
      </c>
      <c r="I2" s="102">
        <v>294382</v>
      </c>
    </row>
    <row r="3" spans="1:9" ht="15" thickBot="1" x14ac:dyDescent="0.35">
      <c r="A3">
        <v>9</v>
      </c>
      <c r="B3" s="98">
        <v>352556</v>
      </c>
      <c r="C3" s="103">
        <v>1462180</v>
      </c>
      <c r="D3" s="103">
        <v>121165</v>
      </c>
      <c r="E3" s="103">
        <v>362674</v>
      </c>
      <c r="F3" s="103">
        <v>35937</v>
      </c>
      <c r="G3" s="103">
        <v>158820</v>
      </c>
      <c r="H3" s="103">
        <v>1079486</v>
      </c>
      <c r="I3" s="103">
        <v>297428</v>
      </c>
    </row>
    <row r="4" spans="1:9" ht="15" thickBot="1" x14ac:dyDescent="0.35">
      <c r="A4">
        <v>10</v>
      </c>
      <c r="B4" s="97">
        <v>349262</v>
      </c>
      <c r="C4" s="102">
        <v>1466062</v>
      </c>
      <c r="D4" s="102">
        <v>121226</v>
      </c>
      <c r="E4" s="102">
        <v>364589</v>
      </c>
      <c r="F4" s="102">
        <v>36323</v>
      </c>
      <c r="G4" s="102">
        <v>157472</v>
      </c>
      <c r="H4" s="102">
        <v>1080436</v>
      </c>
      <c r="I4" s="102">
        <v>298752</v>
      </c>
    </row>
    <row r="5" spans="1:9" ht="15" thickBot="1" x14ac:dyDescent="0.35">
      <c r="A5">
        <v>11</v>
      </c>
      <c r="B5" s="98">
        <v>344850</v>
      </c>
      <c r="C5" s="103">
        <v>1471202</v>
      </c>
      <c r="D5" s="103">
        <v>120282</v>
      </c>
      <c r="E5" s="103">
        <v>367449</v>
      </c>
      <c r="F5" s="103">
        <v>36799</v>
      </c>
      <c r="G5" s="103">
        <v>156284</v>
      </c>
      <c r="H5" s="103">
        <v>1079966</v>
      </c>
      <c r="I5" s="103">
        <v>299119</v>
      </c>
    </row>
    <row r="6" spans="1:9" ht="15" thickBot="1" x14ac:dyDescent="0.35">
      <c r="A6">
        <v>12</v>
      </c>
      <c r="B6" s="97">
        <v>342367</v>
      </c>
      <c r="C6" s="102">
        <v>1484984</v>
      </c>
      <c r="D6" s="102">
        <v>118294</v>
      </c>
      <c r="E6" s="102">
        <v>371718</v>
      </c>
      <c r="F6" s="102">
        <v>36634</v>
      </c>
      <c r="G6" s="102">
        <v>155124</v>
      </c>
      <c r="H6" s="102">
        <v>1077972</v>
      </c>
      <c r="I6" s="102">
        <v>299039</v>
      </c>
    </row>
    <row r="7" spans="1:9" ht="15" thickBot="1" x14ac:dyDescent="0.35">
      <c r="A7">
        <v>13</v>
      </c>
      <c r="B7" s="98">
        <v>342237</v>
      </c>
      <c r="C7" s="103">
        <v>1509083</v>
      </c>
      <c r="D7" s="103">
        <v>115968</v>
      </c>
      <c r="E7" s="103">
        <v>377278</v>
      </c>
      <c r="F7" s="103">
        <v>36048</v>
      </c>
      <c r="G7" s="103">
        <v>154089</v>
      </c>
      <c r="H7" s="103">
        <v>1076459</v>
      </c>
      <c r="I7" s="103">
        <v>298502</v>
      </c>
    </row>
    <row r="8" spans="1:9" ht="15" thickBot="1" x14ac:dyDescent="0.35">
      <c r="A8">
        <v>14</v>
      </c>
      <c r="B8" s="97">
        <v>342072</v>
      </c>
      <c r="C8" s="102">
        <v>1534063</v>
      </c>
      <c r="D8" s="102">
        <v>114671</v>
      </c>
      <c r="E8" s="102">
        <v>384452</v>
      </c>
      <c r="F8" s="102">
        <v>35740</v>
      </c>
      <c r="G8" s="102">
        <v>153288</v>
      </c>
      <c r="H8" s="102">
        <v>1075722</v>
      </c>
      <c r="I8" s="102">
        <v>295453</v>
      </c>
    </row>
    <row r="9" spans="1:9" ht="15" thickBot="1" x14ac:dyDescent="0.35">
      <c r="A9">
        <v>15</v>
      </c>
      <c r="B9" s="98">
        <v>340182</v>
      </c>
      <c r="C9" s="103">
        <v>1549470</v>
      </c>
      <c r="D9" s="103">
        <v>115318</v>
      </c>
      <c r="E9" s="103">
        <v>392626</v>
      </c>
      <c r="F9" s="103">
        <v>35698</v>
      </c>
      <c r="G9" s="103">
        <v>153031</v>
      </c>
      <c r="H9" s="103">
        <v>1076916</v>
      </c>
      <c r="I9" s="103">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E16" sqref="E16"/>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BRAZIL</v>
      </c>
      <c r="F8" s="9"/>
      <c r="H8" s="22" t="str">
        <f t="shared" ref="H8:H24" si="0">IF(F8="",E8,F8)</f>
        <v>BRAZIL</v>
      </c>
    </row>
    <row r="9" spans="1:8" ht="14.25" customHeight="1" x14ac:dyDescent="0.3">
      <c r="A9" s="1"/>
      <c r="D9" s="4" t="s">
        <v>7</v>
      </c>
      <c r="E9" s="23">
        <f>'Country selection'!E9</f>
        <v>1472216.7999999998</v>
      </c>
      <c r="F9" s="23">
        <v>500000</v>
      </c>
      <c r="H9" s="24">
        <f t="shared" si="0"/>
        <v>500000</v>
      </c>
    </row>
    <row r="10" spans="1:8" ht="14.25" customHeight="1" x14ac:dyDescent="0.3">
      <c r="A10" s="1"/>
      <c r="D10" s="4" t="s">
        <v>8</v>
      </c>
      <c r="E10" s="23">
        <f>'Country selection'!E10</f>
        <v>1484984</v>
      </c>
      <c r="F10" s="9"/>
      <c r="H10" s="24">
        <f t="shared" si="0"/>
        <v>1484984</v>
      </c>
    </row>
    <row r="11" spans="1:8" ht="14.25" customHeight="1" x14ac:dyDescent="0.3">
      <c r="A11" s="1"/>
      <c r="D11" s="4" t="str">
        <f>'Country selection'!D11</f>
        <v>Coverage (all doses)</v>
      </c>
      <c r="E11" s="25">
        <f>'Country selection'!E11</f>
        <v>0.66</v>
      </c>
      <c r="F11" s="13"/>
      <c r="H11" s="26">
        <f t="shared" si="0"/>
        <v>0.66</v>
      </c>
    </row>
    <row r="12" spans="1:8" ht="14.25" customHeight="1" x14ac:dyDescent="0.3">
      <c r="A12" s="1"/>
      <c r="D12" s="4" t="str">
        <f>'Country selection'!D12</f>
        <v>Vaccine efficacy vs HPV 16/18</v>
      </c>
      <c r="E12" s="25">
        <f>'Country selection'!E12</f>
        <v>0.88</v>
      </c>
      <c r="F12" s="13"/>
      <c r="H12" s="26">
        <f t="shared" si="0"/>
        <v>0.88</v>
      </c>
    </row>
    <row r="13" spans="1:8" ht="14.25" customHeight="1" x14ac:dyDescent="0.3">
      <c r="A13" s="1"/>
      <c r="D13" s="4" t="str">
        <f>'Country selection'!D13</f>
        <v>Target age group</v>
      </c>
      <c r="E13" s="110">
        <f>'Country selection'!E13</f>
        <v>12</v>
      </c>
      <c r="F13" s="9"/>
      <c r="H13" s="22">
        <f t="shared" si="0"/>
        <v>12</v>
      </c>
    </row>
    <row r="14" spans="1:8" ht="14.25" customHeight="1" x14ac:dyDescent="0.3">
      <c r="A14" s="1"/>
      <c r="D14" s="4" t="str">
        <f>'Country selection'!D14</f>
        <v>Vaccine price per FIG</v>
      </c>
      <c r="E14" s="132">
        <f>'Country selection'!E14</f>
        <v>23.48</v>
      </c>
      <c r="F14" s="15"/>
      <c r="H14" s="28">
        <f t="shared" si="0"/>
        <v>23.48</v>
      </c>
    </row>
    <row r="15" spans="1:8" ht="14.25" customHeight="1" x14ac:dyDescent="0.3">
      <c r="A15" s="1"/>
      <c r="D15" s="4" t="str">
        <f>'Country selection'!D15</f>
        <v>Vaccine delivery cost per FIG</v>
      </c>
      <c r="E15" s="27">
        <f>'Country selection'!E15</f>
        <v>8.69</v>
      </c>
      <c r="F15" s="15"/>
      <c r="H15" s="28">
        <f t="shared" si="0"/>
        <v>8.69</v>
      </c>
    </row>
    <row r="16" spans="1:8" ht="14.25" customHeight="1" x14ac:dyDescent="0.3">
      <c r="A16" s="1"/>
      <c r="D16" s="4" t="str">
        <f>'Country selection'!D16</f>
        <v>Total vaccine cost per FIG</v>
      </c>
      <c r="E16" s="133">
        <f>'Country selection'!E16</f>
        <v>32.17</v>
      </c>
      <c r="F16" s="27">
        <f>H14+H15</f>
        <v>32.17</v>
      </c>
      <c r="H16" s="28">
        <f t="shared" si="0"/>
        <v>32.17</v>
      </c>
    </row>
    <row r="17" spans="1:8" ht="14.25" customHeight="1" x14ac:dyDescent="0.3">
      <c r="A17" s="1"/>
      <c r="D17" s="4" t="str">
        <f>'Country selection'!D17</f>
        <v>Cancer treatment cost (per episode, over lifetime)</v>
      </c>
      <c r="E17" s="27">
        <f>'Country selection'!E17</f>
        <v>1717.4</v>
      </c>
      <c r="F17" s="15"/>
      <c r="H17" s="28">
        <f t="shared" si="0"/>
        <v>1717.4</v>
      </c>
    </row>
    <row r="18" spans="1:8" ht="14.25" customHeight="1" x14ac:dyDescent="0.3">
      <c r="A18" s="1"/>
      <c r="D18" s="4" t="s">
        <v>16</v>
      </c>
      <c r="E18" s="134">
        <f>'Country selection'!E18</f>
        <v>0.28799999999999998</v>
      </c>
      <c r="F18" s="9"/>
      <c r="H18" s="29">
        <f t="shared" si="0"/>
        <v>0.28799999999999998</v>
      </c>
    </row>
    <row r="19" spans="1:8" ht="14.25" customHeight="1" x14ac:dyDescent="0.3">
      <c r="A19" s="1"/>
      <c r="D19" s="4" t="s">
        <v>17</v>
      </c>
      <c r="E19" s="134">
        <f>'Country selection'!E19</f>
        <v>4.9000000000000002E-2</v>
      </c>
      <c r="F19" s="9"/>
      <c r="H19" s="29">
        <f t="shared" si="0"/>
        <v>4.9000000000000002E-2</v>
      </c>
    </row>
    <row r="20" spans="1:8" ht="14.25" customHeight="1" x14ac:dyDescent="0.3">
      <c r="A20" s="1"/>
      <c r="D20" s="4" t="s">
        <v>18</v>
      </c>
      <c r="E20" s="134">
        <f>'Country selection'!E20</f>
        <v>0.54</v>
      </c>
      <c r="F20" s="9"/>
      <c r="H20" s="29">
        <f t="shared" si="0"/>
        <v>0.54</v>
      </c>
    </row>
    <row r="21" spans="1:8" ht="14.25" customHeight="1" x14ac:dyDescent="0.3">
      <c r="A21" s="1"/>
      <c r="D21" s="4" t="str">
        <f>'Country selection'!D21</f>
        <v>Discount rate</v>
      </c>
      <c r="E21" s="19">
        <f>'Country selection'!E21</f>
        <v>0.05</v>
      </c>
      <c r="F21" s="18"/>
      <c r="H21" s="30">
        <f t="shared" si="0"/>
        <v>0.05</v>
      </c>
    </row>
    <row r="22" spans="1:8" ht="14.25" customHeight="1" x14ac:dyDescent="0.3">
      <c r="A22" s="1"/>
      <c r="D22" s="4" t="str">
        <f>'Country selection'!D22</f>
        <v>Proportion of cervical cancer cases that are due to HPV 16/18</v>
      </c>
      <c r="E22" s="19">
        <f>'Country selection'!E22</f>
        <v>0.71</v>
      </c>
      <c r="F22" s="18"/>
      <c r="H22" s="30">
        <f t="shared" si="0"/>
        <v>0.71</v>
      </c>
    </row>
    <row r="23" spans="1:8" ht="14.25" customHeight="1" x14ac:dyDescent="0.3">
      <c r="A23" s="1"/>
      <c r="D23" s="4" t="str">
        <f>'Country selection'!D23</f>
        <v>GDP per capita</v>
      </c>
      <c r="E23" s="27">
        <f>'Country selection'!E23</f>
        <v>7507.16</v>
      </c>
      <c r="F23" s="15"/>
      <c r="H23" s="28">
        <f t="shared" si="0"/>
        <v>7507.16</v>
      </c>
    </row>
    <row r="24" spans="1:8" ht="14.25" customHeight="1" x14ac:dyDescent="0.3">
      <c r="A24" s="1"/>
      <c r="D24" s="4" t="s">
        <v>135</v>
      </c>
      <c r="E24" s="71">
        <f>'Country selection'!E24</f>
        <v>0.73</v>
      </c>
      <c r="F24" s="13"/>
      <c r="H24" s="74">
        <f t="shared" si="0"/>
        <v>0.73</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topLeftCell="A61" workbookViewId="0">
      <selection activeCell="D23" sqref="D23"/>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43" t="s">
        <v>25</v>
      </c>
      <c r="E6" s="144"/>
      <c r="F6" s="144"/>
      <c r="G6" s="31"/>
      <c r="H6" s="21"/>
      <c r="I6" s="143" t="s">
        <v>26</v>
      </c>
      <c r="J6" s="144"/>
      <c r="K6" s="144"/>
      <c r="M6" s="10" t="s">
        <v>27</v>
      </c>
      <c r="N6" s="10"/>
      <c r="O6" s="10"/>
    </row>
    <row r="7" spans="1:26" ht="14.25" customHeight="1" x14ac:dyDescent="0.3">
      <c r="A7" s="32"/>
      <c r="B7" s="32"/>
      <c r="C7" s="33" t="s">
        <v>28</v>
      </c>
      <c r="D7" s="33" t="s">
        <v>29</v>
      </c>
      <c r="E7" s="33" t="s">
        <v>30</v>
      </c>
      <c r="F7" s="33" t="s">
        <v>31</v>
      </c>
      <c r="G7" s="33"/>
      <c r="H7" s="33" t="s">
        <v>28</v>
      </c>
      <c r="I7" s="33" t="s">
        <v>29</v>
      </c>
      <c r="J7" s="33" t="s">
        <v>30</v>
      </c>
      <c r="K7" s="33" t="s">
        <v>31</v>
      </c>
      <c r="L7" s="32"/>
      <c r="M7" s="34" t="s">
        <v>29</v>
      </c>
      <c r="N7" s="34" t="s">
        <v>30</v>
      </c>
      <c r="O7" s="34" t="s">
        <v>31</v>
      </c>
      <c r="P7" s="32"/>
      <c r="Q7" s="32"/>
      <c r="R7" s="32"/>
      <c r="S7" s="32"/>
      <c r="T7" s="32"/>
      <c r="U7" s="32"/>
      <c r="V7" s="32"/>
      <c r="W7" s="32"/>
      <c r="X7" s="32"/>
      <c r="Y7" s="32"/>
      <c r="Z7" s="32"/>
    </row>
    <row r="8" spans="1:26" ht="14.25" customHeight="1" x14ac:dyDescent="0.3">
      <c r="A8" s="1"/>
      <c r="C8" s="21">
        <v>0</v>
      </c>
      <c r="D8" s="1">
        <f>IF(ISNUMBER(VLOOKUP('Country selection'!$E$5,incidence!$A$2:$CX$9,$C8+2,FALSE)),VLOOKUP('Country selection'!$E$5,incidence!$A$2:$CX$9,$C8+2,FALSE),0)</f>
        <v>0</v>
      </c>
      <c r="E8" s="1">
        <f>IF(ISNUMBER(VLOOKUP('Country selection'!$E$5,mortcecx!$A$2:$CX$9,$C8+2,FALSE)),VLOOKUP('Country selection'!$E$5,mortcecx!$A$2:$CX$9,$C8+2,FALSE),0)</f>
        <v>0</v>
      </c>
      <c r="F8" s="1">
        <f>IF(ISNUMBER(VLOOKUP('Country selection'!$E$5,mortall!$A$2:$CX$9,$C8+2,FALSE)),VLOOKUP('Country selection'!$E$5,mortall!$A$2:$CX$9,$C8+2,FALSE),0)</f>
        <v>1.154E-2</v>
      </c>
      <c r="G8" s="1"/>
      <c r="H8" s="21">
        <v>0</v>
      </c>
      <c r="I8" s="35"/>
      <c r="J8" s="35"/>
      <c r="K8" s="35"/>
      <c r="M8" s="10">
        <f t="shared" ref="M8:O8" si="0">IF(I8="",D8,I8)</f>
        <v>0</v>
      </c>
      <c r="N8" s="10">
        <f t="shared" si="0"/>
        <v>0</v>
      </c>
      <c r="O8" s="10">
        <f t="shared" si="0"/>
        <v>1.154E-2</v>
      </c>
    </row>
    <row r="9" spans="1:26" ht="14.25" customHeight="1" x14ac:dyDescent="0.3">
      <c r="A9" s="1"/>
      <c r="C9" s="21">
        <f t="shared" ref="C9:C108" si="1">C8+1</f>
        <v>1</v>
      </c>
      <c r="D9" s="1">
        <f>IF(ISNUMBER(VLOOKUP('Country selection'!$E$5,incidence!$A$2:$CX$9,$C9+2,FALSE)),VLOOKUP('Country selection'!$E$5,incidence!$A$2:$CX$9,$C9+2,FALSE),0)</f>
        <v>0</v>
      </c>
      <c r="E9" s="1">
        <f>IF(ISNUMBER(VLOOKUP('Country selection'!$E$5,mortcecx!$A$2:$CX$9,$C9+2,FALSE)),VLOOKUP('Country selection'!$E$5,mortcecx!$A$2:$CX$9,$C9+2,FALSE),0)</f>
        <v>0</v>
      </c>
      <c r="F9" s="1">
        <f>IF(ISNUMBER(VLOOKUP('Country selection'!$E$5,mortall!$A$2:$CX$9,$C9+2,FALSE)),VLOOKUP('Country selection'!$E$5,mortall!$A$2:$CX$9,$C9+2,FALSE),0)</f>
        <v>5.1999999999999995E-4</v>
      </c>
      <c r="G9" s="1"/>
      <c r="H9" s="21">
        <f t="shared" ref="H9:H108" si="2">H8+1</f>
        <v>1</v>
      </c>
      <c r="I9" s="35"/>
      <c r="J9" s="35"/>
      <c r="K9" s="35"/>
      <c r="M9" s="10">
        <f t="shared" ref="M9:O9" si="3">IF(I9="",D9,I9)</f>
        <v>0</v>
      </c>
      <c r="N9" s="10">
        <f t="shared" si="3"/>
        <v>0</v>
      </c>
      <c r="O9" s="10">
        <f t="shared" si="3"/>
        <v>5.1999999999999995E-4</v>
      </c>
    </row>
    <row r="10" spans="1:26" ht="14.25" customHeight="1" x14ac:dyDescent="0.3">
      <c r="A10" s="1"/>
      <c r="C10" s="21">
        <f t="shared" si="1"/>
        <v>2</v>
      </c>
      <c r="D10" s="1">
        <f>IF(ISNUMBER(VLOOKUP('Country selection'!$E$5,incidence!$A$2:$CX$9,$C10+2,FALSE)),VLOOKUP('Country selection'!$E$5,incidence!$A$2:$CX$9,$C10+2,FALSE),0)</f>
        <v>0</v>
      </c>
      <c r="E10" s="1">
        <f>IF(ISNUMBER(VLOOKUP('Country selection'!$E$5,mortcecx!$A$2:$CX$9,$C10+2,FALSE)),VLOOKUP('Country selection'!$E$5,mortcecx!$A$2:$CX$9,$C10+2,FALSE),0)</f>
        <v>0</v>
      </c>
      <c r="F10" s="1">
        <f>IF(ISNUMBER(VLOOKUP('Country selection'!$E$5,mortall!$A$2:$CX$9,$C10+2,FALSE)),VLOOKUP('Country selection'!$E$5,mortall!$A$2:$CX$9,$C10+2,FALSE),0)</f>
        <v>3.8999999999999999E-4</v>
      </c>
      <c r="G10" s="1"/>
      <c r="H10" s="21">
        <f t="shared" si="2"/>
        <v>2</v>
      </c>
      <c r="I10" s="35"/>
      <c r="J10" s="35"/>
      <c r="K10" s="35"/>
      <c r="M10" s="10">
        <f t="shared" ref="M10:O10" si="4">IF(I10="",D10,I10)</f>
        <v>0</v>
      </c>
      <c r="N10" s="10">
        <f t="shared" si="4"/>
        <v>0</v>
      </c>
      <c r="O10" s="10">
        <f t="shared" si="4"/>
        <v>3.8999999999999999E-4</v>
      </c>
    </row>
    <row r="11" spans="1:26" ht="14.25" customHeight="1" x14ac:dyDescent="0.3">
      <c r="A11" s="1"/>
      <c r="C11" s="21">
        <f t="shared" si="1"/>
        <v>3</v>
      </c>
      <c r="D11" s="1">
        <f>IF(ISNUMBER(VLOOKUP('Country selection'!$E$5,incidence!$A$2:$CX$9,$C11+2,FALSE)),VLOOKUP('Country selection'!$E$5,incidence!$A$2:$CX$9,$C11+2,FALSE),0)</f>
        <v>0</v>
      </c>
      <c r="E11" s="1">
        <f>IF(ISNUMBER(VLOOKUP('Country selection'!$E$5,mortcecx!$A$2:$CX$9,$C11+2,FALSE)),VLOOKUP('Country selection'!$E$5,mortcecx!$A$2:$CX$9,$C11+2,FALSE),0)</f>
        <v>0</v>
      </c>
      <c r="F11" s="1">
        <f>IF(ISNUMBER(VLOOKUP('Country selection'!$E$5,mortall!$A$2:$CX$9,$C11+2,FALSE)),VLOOKUP('Country selection'!$E$5,mortall!$A$2:$CX$9,$C11+2,FALSE),0)</f>
        <v>2.9E-4</v>
      </c>
      <c r="G11" s="1"/>
      <c r="H11" s="21">
        <f t="shared" si="2"/>
        <v>3</v>
      </c>
      <c r="I11" s="35"/>
      <c r="J11" s="35"/>
      <c r="K11" s="35"/>
      <c r="M11" s="10">
        <f t="shared" ref="M11:O11" si="5">IF(I11="",D11,I11)</f>
        <v>0</v>
      </c>
      <c r="N11" s="10">
        <f t="shared" si="5"/>
        <v>0</v>
      </c>
      <c r="O11" s="10">
        <f t="shared" si="5"/>
        <v>2.9E-4</v>
      </c>
    </row>
    <row r="12" spans="1:26" ht="14.25" customHeight="1" x14ac:dyDescent="0.3">
      <c r="A12" s="1"/>
      <c r="C12" s="21">
        <f t="shared" si="1"/>
        <v>4</v>
      </c>
      <c r="D12" s="1">
        <f>IF(ISNUMBER(VLOOKUP('Country selection'!$E$5,incidence!$A$2:$CX$9,$C12+2,FALSE)),VLOOKUP('Country selection'!$E$5,incidence!$A$2:$CX$9,$C12+2,FALSE),0)</f>
        <v>0</v>
      </c>
      <c r="E12" s="1">
        <f>IF(ISNUMBER(VLOOKUP('Country selection'!$E$5,mortcecx!$A$2:$CX$9,$C12+2,FALSE)),VLOOKUP('Country selection'!$E$5,mortcecx!$A$2:$CX$9,$C12+2,FALSE),0)</f>
        <v>0</v>
      </c>
      <c r="F12" s="1">
        <f>IF(ISNUMBER(VLOOKUP('Country selection'!$E$5,mortall!$A$2:$CX$9,$C12+2,FALSE)),VLOOKUP('Country selection'!$E$5,mortall!$A$2:$CX$9,$C12+2,FALSE),0)</f>
        <v>2.3000000000000001E-4</v>
      </c>
      <c r="G12" s="1"/>
      <c r="H12" s="21">
        <f t="shared" si="2"/>
        <v>4</v>
      </c>
      <c r="I12" s="35"/>
      <c r="J12" s="35"/>
      <c r="K12" s="35"/>
      <c r="M12" s="10">
        <f t="shared" ref="M12:O12" si="6">IF(I12="",D12,I12)</f>
        <v>0</v>
      </c>
      <c r="N12" s="10">
        <f t="shared" si="6"/>
        <v>0</v>
      </c>
      <c r="O12" s="10">
        <f t="shared" si="6"/>
        <v>2.3000000000000001E-4</v>
      </c>
    </row>
    <row r="13" spans="1:26" ht="14.25" customHeight="1" x14ac:dyDescent="0.3">
      <c r="A13" s="1"/>
      <c r="C13" s="21">
        <f t="shared" si="1"/>
        <v>5</v>
      </c>
      <c r="D13" s="1">
        <f>IF(ISNUMBER(VLOOKUP('Country selection'!$E$5,incidence!$A$2:$CX$9,$C13+2,FALSE)),VLOOKUP('Country selection'!$E$5,incidence!$A$2:$CX$9,$C13+2,FALSE),0)</f>
        <v>0</v>
      </c>
      <c r="E13" s="1">
        <f>IF(ISNUMBER(VLOOKUP('Country selection'!$E$5,mortcecx!$A$2:$CX$9,$C13+2,FALSE)),VLOOKUP('Country selection'!$E$5,mortcecx!$A$2:$CX$9,$C13+2,FALSE),0)</f>
        <v>0</v>
      </c>
      <c r="F13" s="1">
        <f>IF(ISNUMBER(VLOOKUP('Country selection'!$E$5,mortall!$A$2:$CX$9,$C13+2,FALSE)),VLOOKUP('Country selection'!$E$5,mortall!$A$2:$CX$9,$C13+2,FALSE),0)</f>
        <v>1.8000000000000001E-4</v>
      </c>
      <c r="G13" s="1"/>
      <c r="H13" s="21">
        <f t="shared" si="2"/>
        <v>5</v>
      </c>
      <c r="I13" s="35"/>
      <c r="J13" s="35"/>
      <c r="K13" s="35"/>
      <c r="M13" s="10">
        <f t="shared" ref="M13:O13" si="7">IF(I13="",D13,I13)</f>
        <v>0</v>
      </c>
      <c r="N13" s="10">
        <f t="shared" si="7"/>
        <v>0</v>
      </c>
      <c r="O13" s="10">
        <f t="shared" si="7"/>
        <v>1.8000000000000001E-4</v>
      </c>
    </row>
    <row r="14" spans="1:26" ht="14.25" customHeight="1" x14ac:dyDescent="0.3">
      <c r="A14" s="1"/>
      <c r="C14" s="21">
        <f t="shared" si="1"/>
        <v>6</v>
      </c>
      <c r="D14" s="1">
        <f>IF(ISNUMBER(VLOOKUP('Country selection'!$E$5,incidence!$A$2:$CX$9,$C14+2,FALSE)),VLOOKUP('Country selection'!$E$5,incidence!$A$2:$CX$9,$C14+2,FALSE),0)</f>
        <v>0</v>
      </c>
      <c r="E14" s="1">
        <f>IF(ISNUMBER(VLOOKUP('Country selection'!$E$5,mortcecx!$A$2:$CX$9,$C14+2,FALSE)),VLOOKUP('Country selection'!$E$5,mortcecx!$A$2:$CX$9,$C14+2,FALSE),0)</f>
        <v>0</v>
      </c>
      <c r="F14" s="1">
        <f>IF(ISNUMBER(VLOOKUP('Country selection'!$E$5,mortall!$A$2:$CX$9,$C14+2,FALSE)),VLOOKUP('Country selection'!$E$5,mortall!$A$2:$CX$9,$C14+2,FALSE),0)</f>
        <v>1.4999999999999999E-4</v>
      </c>
      <c r="G14" s="1"/>
      <c r="H14" s="21">
        <f t="shared" si="2"/>
        <v>6</v>
      </c>
      <c r="I14" s="35"/>
      <c r="J14" s="35"/>
      <c r="K14" s="35"/>
      <c r="M14" s="10">
        <f t="shared" ref="M14:O14" si="8">IF(I14="",D14,I14)</f>
        <v>0</v>
      </c>
      <c r="N14" s="10">
        <f t="shared" si="8"/>
        <v>0</v>
      </c>
      <c r="O14" s="10">
        <f t="shared" si="8"/>
        <v>1.4999999999999999E-4</v>
      </c>
    </row>
    <row r="15" spans="1:26" ht="14.25" customHeight="1" x14ac:dyDescent="0.3">
      <c r="A15" s="1"/>
      <c r="C15" s="21">
        <f t="shared" si="1"/>
        <v>7</v>
      </c>
      <c r="D15" s="1">
        <f>IF(ISNUMBER(VLOOKUP('Country selection'!$E$5,incidence!$A$2:$CX$9,$C15+2,FALSE)),VLOOKUP('Country selection'!$E$5,incidence!$A$2:$CX$9,$C15+2,FALSE),0)</f>
        <v>0</v>
      </c>
      <c r="E15" s="1">
        <f>IF(ISNUMBER(VLOOKUP('Country selection'!$E$5,mortcecx!$A$2:$CX$9,$C15+2,FALSE)),VLOOKUP('Country selection'!$E$5,mortcecx!$A$2:$CX$9,$C15+2,FALSE),0)</f>
        <v>0</v>
      </c>
      <c r="F15" s="1">
        <f>IF(ISNUMBER(VLOOKUP('Country selection'!$E$5,mortall!$A$2:$CX$9,$C15+2,FALSE)),VLOOKUP('Country selection'!$E$5,mortall!$A$2:$CX$9,$C15+2,FALSE),0)</f>
        <v>1.3999999999999999E-4</v>
      </c>
      <c r="G15" s="1"/>
      <c r="H15" s="21">
        <f t="shared" si="2"/>
        <v>7</v>
      </c>
      <c r="I15" s="35"/>
      <c r="J15" s="35"/>
      <c r="K15" s="35"/>
      <c r="M15" s="10">
        <f t="shared" ref="M15:O15" si="9">IF(I15="",D15,I15)</f>
        <v>0</v>
      </c>
      <c r="N15" s="10">
        <f t="shared" si="9"/>
        <v>0</v>
      </c>
      <c r="O15" s="10">
        <f t="shared" si="9"/>
        <v>1.3999999999999999E-4</v>
      </c>
    </row>
    <row r="16" spans="1:26" ht="14.25" customHeight="1" x14ac:dyDescent="0.3">
      <c r="A16" s="1"/>
      <c r="C16" s="21">
        <f t="shared" si="1"/>
        <v>8</v>
      </c>
      <c r="D16" s="1">
        <f>IF(ISNUMBER(VLOOKUP('Country selection'!$E$5,incidence!$A$2:$CX$9,$C16+2,FALSE)),VLOOKUP('Country selection'!$E$5,incidence!$A$2:$CX$9,$C16+2,FALSE),0)</f>
        <v>0</v>
      </c>
      <c r="E16" s="1">
        <f>IF(ISNUMBER(VLOOKUP('Country selection'!$E$5,mortcecx!$A$2:$CX$9,$C16+2,FALSE)),VLOOKUP('Country selection'!$E$5,mortcecx!$A$2:$CX$9,$C16+2,FALSE),0)</f>
        <v>0</v>
      </c>
      <c r="F16" s="1">
        <f>IF(ISNUMBER(VLOOKUP('Country selection'!$E$5,mortall!$A$2:$CX$9,$C16+2,FALSE)),VLOOKUP('Country selection'!$E$5,mortall!$A$2:$CX$9,$C16+2,FALSE),0)</f>
        <v>1.3999999999999999E-4</v>
      </c>
      <c r="G16" s="1"/>
      <c r="H16" s="21">
        <f t="shared" si="2"/>
        <v>8</v>
      </c>
      <c r="I16" s="35"/>
      <c r="J16" s="35"/>
      <c r="K16" s="35"/>
      <c r="M16" s="10">
        <f t="shared" ref="M16:O16" si="10">IF(I16="",D16,I16)</f>
        <v>0</v>
      </c>
      <c r="N16" s="10">
        <f t="shared" si="10"/>
        <v>0</v>
      </c>
      <c r="O16" s="10">
        <f t="shared" si="10"/>
        <v>1.3999999999999999E-4</v>
      </c>
    </row>
    <row r="17" spans="1:15" ht="14.25" customHeight="1" x14ac:dyDescent="0.3">
      <c r="A17" s="1"/>
      <c r="C17" s="21">
        <f t="shared" si="1"/>
        <v>9</v>
      </c>
      <c r="D17" s="1">
        <f>IF(ISNUMBER(VLOOKUP('Country selection'!$E$5,incidence!$A$2:$CX$9,$C17+2,FALSE)),VLOOKUP('Country selection'!$E$5,incidence!$A$2:$CX$9,$C17+2,FALSE),0)</f>
        <v>0</v>
      </c>
      <c r="E17" s="1">
        <f>IF(ISNUMBER(VLOOKUP('Country selection'!$E$5,mortcecx!$A$2:$CX$9,$C17+2,FALSE)),VLOOKUP('Country selection'!$E$5,mortcecx!$A$2:$CX$9,$C17+2,FALSE),0)</f>
        <v>0</v>
      </c>
      <c r="F17" s="1">
        <f>IF(ISNUMBER(VLOOKUP('Country selection'!$E$5,mortall!$A$2:$CX$9,$C17+2,FALSE)),VLOOKUP('Country selection'!$E$5,mortall!$A$2:$CX$9,$C17+2,FALSE),0)</f>
        <v>1.3999999999999999E-4</v>
      </c>
      <c r="G17" s="1"/>
      <c r="H17" s="21">
        <f t="shared" si="2"/>
        <v>9</v>
      </c>
      <c r="I17" s="35"/>
      <c r="J17" s="35"/>
      <c r="K17" s="35"/>
      <c r="M17" s="10">
        <f t="shared" ref="M17:O17" si="11">IF(I17="",D17,I17)</f>
        <v>0</v>
      </c>
      <c r="N17" s="10">
        <f t="shared" si="11"/>
        <v>0</v>
      </c>
      <c r="O17" s="10">
        <f t="shared" si="11"/>
        <v>1.3999999999999999E-4</v>
      </c>
    </row>
    <row r="18" spans="1:15" ht="14.25" customHeight="1" x14ac:dyDescent="0.3">
      <c r="A18" s="1"/>
      <c r="C18" s="21">
        <f t="shared" si="1"/>
        <v>10</v>
      </c>
      <c r="D18" s="1">
        <f>IF(ISNUMBER(VLOOKUP('Country selection'!$E$5,incidence!$A$2:$CX$9,$C18+2,FALSE)),VLOOKUP('Country selection'!$E$5,incidence!$A$2:$CX$9,$C18+2,FALSE),0)</f>
        <v>0</v>
      </c>
      <c r="E18" s="1">
        <f>IF(ISNUMBER(VLOOKUP('Country selection'!$E$5,mortcecx!$A$2:$CX$9,$C18+2,FALSE)),VLOOKUP('Country selection'!$E$5,mortcecx!$A$2:$CX$9,$C18+2,FALSE),0)</f>
        <v>0</v>
      </c>
      <c r="F18" s="1">
        <f>IF(ISNUMBER(VLOOKUP('Country selection'!$E$5,mortall!$A$2:$CX$9,$C18+2,FALSE)),VLOOKUP('Country selection'!$E$5,mortall!$A$2:$CX$9,$C18+2,FALSE),0)</f>
        <v>1.6000000000000001E-4</v>
      </c>
      <c r="G18" s="1"/>
      <c r="H18" s="21">
        <f t="shared" si="2"/>
        <v>10</v>
      </c>
      <c r="I18" s="35"/>
      <c r="J18" s="35"/>
      <c r="K18" s="35"/>
      <c r="M18" s="10">
        <f t="shared" ref="M18:O18" si="12">IF(I18="",D18,I18)</f>
        <v>0</v>
      </c>
      <c r="N18" s="10">
        <f t="shared" si="12"/>
        <v>0</v>
      </c>
      <c r="O18" s="10">
        <f t="shared" si="12"/>
        <v>1.6000000000000001E-4</v>
      </c>
    </row>
    <row r="19" spans="1:15" ht="14.25" customHeight="1" x14ac:dyDescent="0.3">
      <c r="A19" s="1"/>
      <c r="C19" s="21">
        <f t="shared" si="1"/>
        <v>11</v>
      </c>
      <c r="D19" s="1">
        <f>IF(ISNUMBER(VLOOKUP('Country selection'!$E$5,incidence!$A$2:$CX$9,$C19+2,FALSE)),VLOOKUP('Country selection'!$E$5,incidence!$A$2:$CX$9,$C19+2,FALSE),0)</f>
        <v>0</v>
      </c>
      <c r="E19" s="1">
        <f>IF(ISNUMBER(VLOOKUP('Country selection'!$E$5,mortcecx!$A$2:$CX$9,$C19+2,FALSE)),VLOOKUP('Country selection'!$E$5,mortcecx!$A$2:$CX$9,$C19+2,FALSE),0)</f>
        <v>0</v>
      </c>
      <c r="F19" s="1">
        <f>IF(ISNUMBER(VLOOKUP('Country selection'!$E$5,mortall!$A$2:$CX$9,$C19+2,FALSE)),VLOOKUP('Country selection'!$E$5,mortall!$A$2:$CX$9,$C19+2,FALSE),0)</f>
        <v>1.8000000000000001E-4</v>
      </c>
      <c r="G19" s="1"/>
      <c r="H19" s="21">
        <f t="shared" si="2"/>
        <v>11</v>
      </c>
      <c r="I19" s="35"/>
      <c r="J19" s="35"/>
      <c r="K19" s="35"/>
      <c r="M19" s="10">
        <f t="shared" ref="M19:O19" si="13">IF(I19="",D19,I19)</f>
        <v>0</v>
      </c>
      <c r="N19" s="10">
        <f t="shared" si="13"/>
        <v>0</v>
      </c>
      <c r="O19" s="10">
        <f t="shared" si="13"/>
        <v>1.8000000000000001E-4</v>
      </c>
    </row>
    <row r="20" spans="1:15" ht="14.25" customHeight="1" x14ac:dyDescent="0.3">
      <c r="A20" s="1"/>
      <c r="C20" s="21">
        <f t="shared" si="1"/>
        <v>12</v>
      </c>
      <c r="D20" s="1">
        <f>IF(ISNUMBER(VLOOKUP('Country selection'!$E$5,incidence!$A$2:$CX$9,$C20+2,FALSE)),VLOOKUP('Country selection'!$E$5,incidence!$A$2:$CX$9,$C20+2,FALSE),0)</f>
        <v>0</v>
      </c>
      <c r="E20" s="1">
        <f>IF(ISNUMBER(VLOOKUP('Country selection'!$E$5,mortcecx!$A$2:$CX$9,$C20+2,FALSE)),VLOOKUP('Country selection'!$E$5,mortcecx!$A$2:$CX$9,$C20+2,FALSE),0)</f>
        <v>0</v>
      </c>
      <c r="F20" s="1">
        <f>IF(ISNUMBER(VLOOKUP('Country selection'!$E$5,mortall!$A$2:$CX$9,$C20+2,FALSE)),VLOOKUP('Country selection'!$E$5,mortall!$A$2:$CX$9,$C20+2,FALSE),0)</f>
        <v>2.1000000000000001E-4</v>
      </c>
      <c r="G20" s="1"/>
      <c r="H20" s="21">
        <f t="shared" si="2"/>
        <v>12</v>
      </c>
      <c r="I20" s="35"/>
      <c r="J20" s="35"/>
      <c r="K20" s="35"/>
      <c r="M20" s="10">
        <f t="shared" ref="M20:O20" si="14">IF(I20="",D20,I20)</f>
        <v>0</v>
      </c>
      <c r="N20" s="10">
        <f t="shared" si="14"/>
        <v>0</v>
      </c>
      <c r="O20" s="10">
        <f t="shared" si="14"/>
        <v>2.1000000000000001E-4</v>
      </c>
    </row>
    <row r="21" spans="1:15" ht="14.25" customHeight="1" x14ac:dyDescent="0.3">
      <c r="A21" s="1"/>
      <c r="C21" s="21">
        <f t="shared" si="1"/>
        <v>13</v>
      </c>
      <c r="D21" s="1">
        <f>IF(ISNUMBER(VLOOKUP('Country selection'!$E$5,incidence!$A$2:$CX$9,$C21+2,FALSE)),VLOOKUP('Country selection'!$E$5,incidence!$A$2:$CX$9,$C21+2,FALSE),0)</f>
        <v>0</v>
      </c>
      <c r="E21" s="1">
        <f>IF(ISNUMBER(VLOOKUP('Country selection'!$E$5,mortcecx!$A$2:$CX$9,$C21+2,FALSE)),VLOOKUP('Country selection'!$E$5,mortcecx!$A$2:$CX$9,$C21+2,FALSE),0)</f>
        <v>0</v>
      </c>
      <c r="F21" s="1">
        <f>IF(ISNUMBER(VLOOKUP('Country selection'!$E$5,mortall!$A$2:$CX$9,$C21+2,FALSE)),VLOOKUP('Country selection'!$E$5,mortall!$A$2:$CX$9,$C21+2,FALSE),0)</f>
        <v>2.4000000000000001E-4</v>
      </c>
      <c r="G21" s="1"/>
      <c r="H21" s="21">
        <f t="shared" si="2"/>
        <v>13</v>
      </c>
      <c r="I21" s="35"/>
      <c r="J21" s="35"/>
      <c r="K21" s="35"/>
      <c r="M21" s="10">
        <f t="shared" ref="M21:O21" si="15">IF(I21="",D21,I21)</f>
        <v>0</v>
      </c>
      <c r="N21" s="10">
        <f t="shared" si="15"/>
        <v>0</v>
      </c>
      <c r="O21" s="10">
        <f t="shared" si="15"/>
        <v>2.4000000000000001E-4</v>
      </c>
    </row>
    <row r="22" spans="1:15" ht="14.25" customHeight="1" x14ac:dyDescent="0.3">
      <c r="A22" s="1"/>
      <c r="C22" s="21">
        <f t="shared" si="1"/>
        <v>14</v>
      </c>
      <c r="D22" s="1">
        <f>IF(ISNUMBER(VLOOKUP('Country selection'!$E$5,incidence!$A$2:$CX$9,$C22+2,FALSE)),VLOOKUP('Country selection'!$E$5,incidence!$A$2:$CX$9,$C22+2,FALSE),0)</f>
        <v>0</v>
      </c>
      <c r="E22" s="1">
        <f>IF(ISNUMBER(VLOOKUP('Country selection'!$E$5,mortcecx!$A$2:$CX$9,$C22+2,FALSE)),VLOOKUP('Country selection'!$E$5,mortcecx!$A$2:$CX$9,$C22+2,FALSE),0)</f>
        <v>0</v>
      </c>
      <c r="F22" s="1">
        <f>IF(ISNUMBER(VLOOKUP('Country selection'!$E$5,mortall!$A$2:$CX$9,$C22+2,FALSE)),VLOOKUP('Country selection'!$E$5,mortall!$A$2:$CX$9,$C22+2,FALSE),0)</f>
        <v>2.9E-4</v>
      </c>
      <c r="G22" s="1"/>
      <c r="H22" s="21">
        <f t="shared" si="2"/>
        <v>14</v>
      </c>
      <c r="I22" s="35"/>
      <c r="J22" s="35"/>
      <c r="K22" s="35"/>
      <c r="M22" s="10">
        <f t="shared" ref="M22:O22" si="16">IF(I22="",D22,I22)</f>
        <v>0</v>
      </c>
      <c r="N22" s="10">
        <f t="shared" si="16"/>
        <v>0</v>
      </c>
      <c r="O22" s="10">
        <f t="shared" si="16"/>
        <v>2.9E-4</v>
      </c>
    </row>
    <row r="23" spans="1:15" ht="14.25" customHeight="1" x14ac:dyDescent="0.3">
      <c r="A23" s="1"/>
      <c r="C23" s="21">
        <f t="shared" si="1"/>
        <v>15</v>
      </c>
      <c r="D23" s="1">
        <f>IF(ISNUMBER(VLOOKUP('Country selection'!$E$5,incidence!$A$2:$CX$9,$C23+2,FALSE)),VLOOKUP('Country selection'!$E$5,incidence!$A$2:$CX$9,$C23+2,FALSE),0)</f>
        <v>3.0000000000000001E-6</v>
      </c>
      <c r="E23" s="1">
        <f>IF(ISNUMBER(VLOOKUP('Country selection'!$E$5,mortcecx!$A$2:$CX$9,$C23+2,FALSE)),VLOOKUP('Country selection'!$E$5,mortcecx!$A$2:$CX$9,$C23+2,FALSE),0)</f>
        <v>9.9999999999999995E-7</v>
      </c>
      <c r="F23" s="1">
        <f>IF(ISNUMBER(VLOOKUP('Country selection'!$E$5,mortall!$A$2:$CX$9,$C23+2,FALSE)),VLOOKUP('Country selection'!$E$5,mortall!$A$2:$CX$9,$C23+2,FALSE),0)</f>
        <v>3.4000000000000002E-4</v>
      </c>
      <c r="G23" s="1"/>
      <c r="H23" s="21">
        <f t="shared" si="2"/>
        <v>15</v>
      </c>
      <c r="I23" s="35"/>
      <c r="J23" s="35"/>
      <c r="K23" s="35"/>
      <c r="M23" s="10">
        <f t="shared" ref="M23:O23" si="17">IF(I23="",D23,I23)</f>
        <v>3.0000000000000001E-6</v>
      </c>
      <c r="N23" s="10">
        <f t="shared" si="17"/>
        <v>9.9999999999999995E-7</v>
      </c>
      <c r="O23" s="10">
        <f t="shared" si="17"/>
        <v>3.4000000000000002E-4</v>
      </c>
    </row>
    <row r="24" spans="1:15" ht="14.25" customHeight="1" x14ac:dyDescent="0.3">
      <c r="A24" s="1"/>
      <c r="C24" s="21">
        <f t="shared" si="1"/>
        <v>16</v>
      </c>
      <c r="D24" s="1">
        <f>IF(ISNUMBER(VLOOKUP('Country selection'!$E$5,incidence!$A$2:$CX$9,$C24+2,FALSE)),VLOOKUP('Country selection'!$E$5,incidence!$A$2:$CX$9,$C24+2,FALSE),0)</f>
        <v>3.0000000000000001E-6</v>
      </c>
      <c r="E24" s="1">
        <f>IF(ISNUMBER(VLOOKUP('Country selection'!$E$5,mortcecx!$A$2:$CX$9,$C24+2,FALSE)),VLOOKUP('Country selection'!$E$5,mortcecx!$A$2:$CX$9,$C24+2,FALSE),0)</f>
        <v>9.9999999999999995E-7</v>
      </c>
      <c r="F24" s="1">
        <f>IF(ISNUMBER(VLOOKUP('Country selection'!$E$5,mortall!$A$2:$CX$9,$C24+2,FALSE)),VLOOKUP('Country selection'!$E$5,mortall!$A$2:$CX$9,$C24+2,FALSE),0)</f>
        <v>3.8999999999999999E-4</v>
      </c>
      <c r="G24" s="1"/>
      <c r="H24" s="21">
        <f t="shared" si="2"/>
        <v>16</v>
      </c>
      <c r="I24" s="35"/>
      <c r="J24" s="35"/>
      <c r="K24" s="35"/>
      <c r="M24" s="10">
        <f t="shared" ref="M24:O24" si="18">IF(I24="",D24,I24)</f>
        <v>3.0000000000000001E-6</v>
      </c>
      <c r="N24" s="10">
        <f t="shared" si="18"/>
        <v>9.9999999999999995E-7</v>
      </c>
      <c r="O24" s="10">
        <f t="shared" si="18"/>
        <v>3.8999999999999999E-4</v>
      </c>
    </row>
    <row r="25" spans="1:15" ht="14.25" customHeight="1" x14ac:dyDescent="0.3">
      <c r="A25" s="1"/>
      <c r="C25" s="21">
        <f t="shared" si="1"/>
        <v>17</v>
      </c>
      <c r="D25" s="1">
        <f>IF(ISNUMBER(VLOOKUP('Country selection'!$E$5,incidence!$A$2:$CX$9,$C25+2,FALSE)),VLOOKUP('Country selection'!$E$5,incidence!$A$2:$CX$9,$C25+2,FALSE),0)</f>
        <v>3.0000000000000001E-6</v>
      </c>
      <c r="E25" s="1">
        <f>IF(ISNUMBER(VLOOKUP('Country selection'!$E$5,mortcecx!$A$2:$CX$9,$C25+2,FALSE)),VLOOKUP('Country selection'!$E$5,mortcecx!$A$2:$CX$9,$C25+2,FALSE),0)</f>
        <v>9.9999999999999995E-7</v>
      </c>
      <c r="F25" s="1">
        <f>IF(ISNUMBER(VLOOKUP('Country selection'!$E$5,mortall!$A$2:$CX$9,$C25+2,FALSE)),VLOOKUP('Country selection'!$E$5,mortall!$A$2:$CX$9,$C25+2,FALSE),0)</f>
        <v>4.4000000000000002E-4</v>
      </c>
      <c r="G25" s="1"/>
      <c r="H25" s="21">
        <f t="shared" si="2"/>
        <v>17</v>
      </c>
      <c r="I25" s="35"/>
      <c r="J25" s="35"/>
      <c r="K25" s="35"/>
      <c r="M25" s="10">
        <f t="shared" ref="M25:O25" si="19">IF(I25="",D25,I25)</f>
        <v>3.0000000000000001E-6</v>
      </c>
      <c r="N25" s="10">
        <f t="shared" si="19"/>
        <v>9.9999999999999995E-7</v>
      </c>
      <c r="O25" s="10">
        <f t="shared" si="19"/>
        <v>4.4000000000000002E-4</v>
      </c>
    </row>
    <row r="26" spans="1:15" ht="14.25" customHeight="1" x14ac:dyDescent="0.3">
      <c r="A26" s="1"/>
      <c r="C26" s="21">
        <f t="shared" si="1"/>
        <v>18</v>
      </c>
      <c r="D26" s="1">
        <f>IF(ISNUMBER(VLOOKUP('Country selection'!$E$5,incidence!$A$2:$CX$9,$C26+2,FALSE)),VLOOKUP('Country selection'!$E$5,incidence!$A$2:$CX$9,$C26+2,FALSE),0)</f>
        <v>3.0000000000000001E-6</v>
      </c>
      <c r="E26" s="1">
        <f>IF(ISNUMBER(VLOOKUP('Country selection'!$E$5,mortcecx!$A$2:$CX$9,$C26+2,FALSE)),VLOOKUP('Country selection'!$E$5,mortcecx!$A$2:$CX$9,$C26+2,FALSE),0)</f>
        <v>9.9999999999999995E-7</v>
      </c>
      <c r="F26" s="1">
        <f>IF(ISNUMBER(VLOOKUP('Country selection'!$E$5,mortall!$A$2:$CX$9,$C26+2,FALSE)),VLOOKUP('Country selection'!$E$5,mortall!$A$2:$CX$9,$C26+2,FALSE),0)</f>
        <v>4.8000000000000001E-4</v>
      </c>
      <c r="G26" s="1"/>
      <c r="H26" s="21">
        <f t="shared" si="2"/>
        <v>18</v>
      </c>
      <c r="I26" s="35"/>
      <c r="J26" s="35"/>
      <c r="K26" s="35"/>
      <c r="M26" s="10">
        <f t="shared" ref="M26:O26" si="20">IF(I26="",D26,I26)</f>
        <v>3.0000000000000001E-6</v>
      </c>
      <c r="N26" s="10">
        <f t="shared" si="20"/>
        <v>9.9999999999999995E-7</v>
      </c>
      <c r="O26" s="10">
        <f t="shared" si="20"/>
        <v>4.8000000000000001E-4</v>
      </c>
    </row>
    <row r="27" spans="1:15" ht="14.25" customHeight="1" x14ac:dyDescent="0.3">
      <c r="A27" s="1"/>
      <c r="C27" s="21">
        <f t="shared" si="1"/>
        <v>19</v>
      </c>
      <c r="D27" s="1">
        <f>IF(ISNUMBER(VLOOKUP('Country selection'!$E$5,incidence!$A$2:$CX$9,$C27+2,FALSE)),VLOOKUP('Country selection'!$E$5,incidence!$A$2:$CX$9,$C27+2,FALSE),0)</f>
        <v>3.0000000000000001E-6</v>
      </c>
      <c r="E27" s="1">
        <f>IF(ISNUMBER(VLOOKUP('Country selection'!$E$5,mortcecx!$A$2:$CX$9,$C27+2,FALSE)),VLOOKUP('Country selection'!$E$5,mortcecx!$A$2:$CX$9,$C27+2,FALSE),0)</f>
        <v>9.9999999999999995E-7</v>
      </c>
      <c r="F27" s="1">
        <f>IF(ISNUMBER(VLOOKUP('Country selection'!$E$5,mortall!$A$2:$CX$9,$C27+2,FALSE)),VLOOKUP('Country selection'!$E$5,mortall!$A$2:$CX$9,$C27+2,FALSE),0)</f>
        <v>5.1999999999999995E-4</v>
      </c>
      <c r="G27" s="1"/>
      <c r="H27" s="21">
        <f t="shared" si="2"/>
        <v>19</v>
      </c>
      <c r="I27" s="35"/>
      <c r="J27" s="35"/>
      <c r="K27" s="35"/>
      <c r="M27" s="10">
        <f t="shared" ref="M27:O27" si="21">IF(I27="",D27,I27)</f>
        <v>3.0000000000000001E-6</v>
      </c>
      <c r="N27" s="10">
        <f t="shared" si="21"/>
        <v>9.9999999999999995E-7</v>
      </c>
      <c r="O27" s="10">
        <f t="shared" si="21"/>
        <v>5.1999999999999995E-4</v>
      </c>
    </row>
    <row r="28" spans="1:15" ht="14.25" customHeight="1" x14ac:dyDescent="0.3">
      <c r="A28" s="1"/>
      <c r="C28" s="21">
        <f t="shared" si="1"/>
        <v>20</v>
      </c>
      <c r="D28" s="1">
        <f>IF(ISNUMBER(VLOOKUP('Country selection'!$E$5,incidence!$A$2:$CX$9,$C28+2,FALSE)),VLOOKUP('Country selection'!$E$5,incidence!$A$2:$CX$9,$C28+2,FALSE),0)</f>
        <v>3.6999999999999998E-5</v>
      </c>
      <c r="E28" s="1">
        <f>IF(ISNUMBER(VLOOKUP('Country selection'!$E$5,mortcecx!$A$2:$CX$9,$C28+2,FALSE)),VLOOKUP('Country selection'!$E$5,mortcecx!$A$2:$CX$9,$C28+2,FALSE),0)</f>
        <v>5.0000000000000004E-6</v>
      </c>
      <c r="F28" s="1">
        <f>IF(ISNUMBER(VLOOKUP('Country selection'!$E$5,mortall!$A$2:$CX$9,$C28+2,FALSE)),VLOOKUP('Country selection'!$E$5,mortall!$A$2:$CX$9,$C28+2,FALSE),0)</f>
        <v>5.5999999999999995E-4</v>
      </c>
      <c r="G28" s="1"/>
      <c r="H28" s="21">
        <f t="shared" si="2"/>
        <v>20</v>
      </c>
      <c r="I28" s="35"/>
      <c r="J28" s="35"/>
      <c r="K28" s="35"/>
      <c r="M28" s="10">
        <f t="shared" ref="M28:O28" si="22">IF(I28="",D28,I28)</f>
        <v>3.6999999999999998E-5</v>
      </c>
      <c r="N28" s="10">
        <f t="shared" si="22"/>
        <v>5.0000000000000004E-6</v>
      </c>
      <c r="O28" s="10">
        <f t="shared" si="22"/>
        <v>5.5999999999999995E-4</v>
      </c>
    </row>
    <row r="29" spans="1:15" ht="14.25" customHeight="1" x14ac:dyDescent="0.3">
      <c r="A29" s="1"/>
      <c r="C29" s="21">
        <f t="shared" si="1"/>
        <v>21</v>
      </c>
      <c r="D29" s="1">
        <f>IF(ISNUMBER(VLOOKUP('Country selection'!$E$5,incidence!$A$2:$CX$9,$C29+2,FALSE)),VLOOKUP('Country selection'!$E$5,incidence!$A$2:$CX$9,$C29+2,FALSE),0)</f>
        <v>3.6999999999999998E-5</v>
      </c>
      <c r="E29" s="1">
        <f>IF(ISNUMBER(VLOOKUP('Country selection'!$E$5,mortcecx!$A$2:$CX$9,$C29+2,FALSE)),VLOOKUP('Country selection'!$E$5,mortcecx!$A$2:$CX$9,$C29+2,FALSE),0)</f>
        <v>5.0000000000000004E-6</v>
      </c>
      <c r="F29" s="1">
        <f>IF(ISNUMBER(VLOOKUP('Country selection'!$E$5,mortall!$A$2:$CX$9,$C29+2,FALSE)),VLOOKUP('Country selection'!$E$5,mortall!$A$2:$CX$9,$C29+2,FALSE),0)</f>
        <v>5.8E-4</v>
      </c>
      <c r="G29" s="1"/>
      <c r="H29" s="21">
        <f t="shared" si="2"/>
        <v>21</v>
      </c>
      <c r="I29" s="35"/>
      <c r="J29" s="35"/>
      <c r="K29" s="35"/>
      <c r="M29" s="10">
        <f t="shared" ref="M29:O29" si="23">IF(I29="",D29,I29)</f>
        <v>3.6999999999999998E-5</v>
      </c>
      <c r="N29" s="10">
        <f t="shared" si="23"/>
        <v>5.0000000000000004E-6</v>
      </c>
      <c r="O29" s="10">
        <f t="shared" si="23"/>
        <v>5.8E-4</v>
      </c>
    </row>
    <row r="30" spans="1:15" ht="14.25" customHeight="1" x14ac:dyDescent="0.3">
      <c r="A30" s="1"/>
      <c r="C30" s="21">
        <f t="shared" si="1"/>
        <v>22</v>
      </c>
      <c r="D30" s="1">
        <f>IF(ISNUMBER(VLOOKUP('Country selection'!$E$5,incidence!$A$2:$CX$9,$C30+2,FALSE)),VLOOKUP('Country selection'!$E$5,incidence!$A$2:$CX$9,$C30+2,FALSE),0)</f>
        <v>3.6999999999999998E-5</v>
      </c>
      <c r="E30" s="1">
        <f>IF(ISNUMBER(VLOOKUP('Country selection'!$E$5,mortcecx!$A$2:$CX$9,$C30+2,FALSE)),VLOOKUP('Country selection'!$E$5,mortcecx!$A$2:$CX$9,$C30+2,FALSE),0)</f>
        <v>5.0000000000000004E-6</v>
      </c>
      <c r="F30" s="1">
        <f>IF(ISNUMBER(VLOOKUP('Country selection'!$E$5,mortall!$A$2:$CX$9,$C30+2,FALSE)),VLOOKUP('Country selection'!$E$5,mortall!$A$2:$CX$9,$C30+2,FALSE),0)</f>
        <v>5.9999999999999995E-4</v>
      </c>
      <c r="G30" s="1"/>
      <c r="H30" s="21">
        <f t="shared" si="2"/>
        <v>22</v>
      </c>
      <c r="I30" s="35"/>
      <c r="J30" s="35"/>
      <c r="K30" s="35"/>
      <c r="M30" s="10">
        <f t="shared" ref="M30:O30" si="24">IF(I30="",D30,I30)</f>
        <v>3.6999999999999998E-5</v>
      </c>
      <c r="N30" s="10">
        <f t="shared" si="24"/>
        <v>5.0000000000000004E-6</v>
      </c>
      <c r="O30" s="10">
        <f t="shared" si="24"/>
        <v>5.9999999999999995E-4</v>
      </c>
    </row>
    <row r="31" spans="1:15" ht="14.25" customHeight="1" x14ac:dyDescent="0.3">
      <c r="A31" s="1"/>
      <c r="C31" s="21">
        <f t="shared" si="1"/>
        <v>23</v>
      </c>
      <c r="D31" s="1">
        <f>IF(ISNUMBER(VLOOKUP('Country selection'!$E$5,incidence!$A$2:$CX$9,$C31+2,FALSE)),VLOOKUP('Country selection'!$E$5,incidence!$A$2:$CX$9,$C31+2,FALSE),0)</f>
        <v>3.6999999999999998E-5</v>
      </c>
      <c r="E31" s="1">
        <f>IF(ISNUMBER(VLOOKUP('Country selection'!$E$5,mortcecx!$A$2:$CX$9,$C31+2,FALSE)),VLOOKUP('Country selection'!$E$5,mortcecx!$A$2:$CX$9,$C31+2,FALSE),0)</f>
        <v>5.0000000000000004E-6</v>
      </c>
      <c r="F31" s="1">
        <f>IF(ISNUMBER(VLOOKUP('Country selection'!$E$5,mortall!$A$2:$CX$9,$C31+2,FALSE)),VLOOKUP('Country selection'!$E$5,mortall!$A$2:$CX$9,$C31+2,FALSE),0)</f>
        <v>6.2E-4</v>
      </c>
      <c r="G31" s="1"/>
      <c r="H31" s="21">
        <f t="shared" si="2"/>
        <v>23</v>
      </c>
      <c r="I31" s="35"/>
      <c r="J31" s="35"/>
      <c r="K31" s="35"/>
      <c r="M31" s="10">
        <f t="shared" ref="M31:O31" si="25">IF(I31="",D31,I31)</f>
        <v>3.6999999999999998E-5</v>
      </c>
      <c r="N31" s="10">
        <f t="shared" si="25"/>
        <v>5.0000000000000004E-6</v>
      </c>
      <c r="O31" s="10">
        <f t="shared" si="25"/>
        <v>6.2E-4</v>
      </c>
    </row>
    <row r="32" spans="1:15" ht="14.25" customHeight="1" x14ac:dyDescent="0.3">
      <c r="A32" s="1"/>
      <c r="C32" s="21">
        <f t="shared" si="1"/>
        <v>24</v>
      </c>
      <c r="D32" s="1">
        <f>IF(ISNUMBER(VLOOKUP('Country selection'!$E$5,incidence!$A$2:$CX$9,$C32+2,FALSE)),VLOOKUP('Country selection'!$E$5,incidence!$A$2:$CX$9,$C32+2,FALSE),0)</f>
        <v>3.6999999999999998E-5</v>
      </c>
      <c r="E32" s="1">
        <f>IF(ISNUMBER(VLOOKUP('Country selection'!$E$5,mortcecx!$A$2:$CX$9,$C32+2,FALSE)),VLOOKUP('Country selection'!$E$5,mortcecx!$A$2:$CX$9,$C32+2,FALSE),0)</f>
        <v>5.0000000000000004E-6</v>
      </c>
      <c r="F32" s="1">
        <f>IF(ISNUMBER(VLOOKUP('Country selection'!$E$5,mortall!$A$2:$CX$9,$C32+2,FALSE)),VLOOKUP('Country selection'!$E$5,mortall!$A$2:$CX$9,$C32+2,FALSE),0)</f>
        <v>6.4000000000000005E-4</v>
      </c>
      <c r="G32" s="1"/>
      <c r="H32" s="21">
        <f t="shared" si="2"/>
        <v>24</v>
      </c>
      <c r="I32" s="35"/>
      <c r="J32" s="35"/>
      <c r="K32" s="35"/>
      <c r="M32" s="10">
        <f t="shared" ref="M32:O32" si="26">IF(I32="",D32,I32)</f>
        <v>3.6999999999999998E-5</v>
      </c>
      <c r="N32" s="10">
        <f t="shared" si="26"/>
        <v>5.0000000000000004E-6</v>
      </c>
      <c r="O32" s="10">
        <f t="shared" si="26"/>
        <v>6.4000000000000005E-4</v>
      </c>
    </row>
    <row r="33" spans="1:15" ht="14.25" customHeight="1" x14ac:dyDescent="0.3">
      <c r="A33" s="1"/>
      <c r="C33" s="21">
        <f t="shared" si="1"/>
        <v>25</v>
      </c>
      <c r="D33" s="1">
        <f>IF(ISNUMBER(VLOOKUP('Country selection'!$E$5,incidence!$A$2:$CX$9,$C33+2,FALSE)),VLOOKUP('Country selection'!$E$5,incidence!$A$2:$CX$9,$C33+2,FALSE),0)</f>
        <v>8.2999999999999998E-5</v>
      </c>
      <c r="E33" s="1">
        <f>IF(ISNUMBER(VLOOKUP('Country selection'!$E$5,mortcecx!$A$2:$CX$9,$C33+2,FALSE)),VLOOKUP('Country selection'!$E$5,mortcecx!$A$2:$CX$9,$C33+2,FALSE),0)</f>
        <v>2.8E-5</v>
      </c>
      <c r="F33" s="1">
        <f>IF(ISNUMBER(VLOOKUP('Country selection'!$E$5,mortall!$A$2:$CX$9,$C33+2,FALSE)),VLOOKUP('Country selection'!$E$5,mortall!$A$2:$CX$9,$C33+2,FALSE),0)</f>
        <v>6.4999999999999997E-4</v>
      </c>
      <c r="G33" s="1"/>
      <c r="H33" s="21">
        <f t="shared" si="2"/>
        <v>25</v>
      </c>
      <c r="I33" s="35"/>
      <c r="J33" s="35"/>
      <c r="K33" s="35"/>
      <c r="M33" s="10">
        <f t="shared" ref="M33:O33" si="27">IF(I33="",D33,I33)</f>
        <v>8.2999999999999998E-5</v>
      </c>
      <c r="N33" s="10">
        <f t="shared" si="27"/>
        <v>2.8E-5</v>
      </c>
      <c r="O33" s="10">
        <f t="shared" si="27"/>
        <v>6.4999999999999997E-4</v>
      </c>
    </row>
    <row r="34" spans="1:15" ht="14.25" customHeight="1" x14ac:dyDescent="0.3">
      <c r="A34" s="1"/>
      <c r="C34" s="21">
        <f t="shared" si="1"/>
        <v>26</v>
      </c>
      <c r="D34" s="1">
        <f>IF(ISNUMBER(VLOOKUP('Country selection'!$E$5,incidence!$A$2:$CX$9,$C34+2,FALSE)),VLOOKUP('Country selection'!$E$5,incidence!$A$2:$CX$9,$C34+2,FALSE),0)</f>
        <v>8.2999999999999998E-5</v>
      </c>
      <c r="E34" s="1">
        <f>IF(ISNUMBER(VLOOKUP('Country selection'!$E$5,mortcecx!$A$2:$CX$9,$C34+2,FALSE)),VLOOKUP('Country selection'!$E$5,mortcecx!$A$2:$CX$9,$C34+2,FALSE),0)</f>
        <v>2.8E-5</v>
      </c>
      <c r="F34" s="1">
        <f>IF(ISNUMBER(VLOOKUP('Country selection'!$E$5,mortall!$A$2:$CX$9,$C34+2,FALSE)),VLOOKUP('Country selection'!$E$5,mortall!$A$2:$CX$9,$C34+2,FALSE),0)</f>
        <v>6.7000000000000002E-4</v>
      </c>
      <c r="G34" s="1"/>
      <c r="H34" s="21">
        <f t="shared" si="2"/>
        <v>26</v>
      </c>
      <c r="I34" s="35"/>
      <c r="J34" s="35"/>
      <c r="K34" s="35"/>
      <c r="M34" s="10">
        <f t="shared" ref="M34:O34" si="28">IF(I34="",D34,I34)</f>
        <v>8.2999999999999998E-5</v>
      </c>
      <c r="N34" s="10">
        <f t="shared" si="28"/>
        <v>2.8E-5</v>
      </c>
      <c r="O34" s="10">
        <f t="shared" si="28"/>
        <v>6.7000000000000002E-4</v>
      </c>
    </row>
    <row r="35" spans="1:15" ht="14.25" customHeight="1" x14ac:dyDescent="0.3">
      <c r="A35" s="1"/>
      <c r="C35" s="21">
        <f t="shared" si="1"/>
        <v>27</v>
      </c>
      <c r="D35" s="1">
        <f>IF(ISNUMBER(VLOOKUP('Country selection'!$E$5,incidence!$A$2:$CX$9,$C35+2,FALSE)),VLOOKUP('Country selection'!$E$5,incidence!$A$2:$CX$9,$C35+2,FALSE),0)</f>
        <v>8.2999999999999998E-5</v>
      </c>
      <c r="E35" s="1">
        <f>IF(ISNUMBER(VLOOKUP('Country selection'!$E$5,mortcecx!$A$2:$CX$9,$C35+2,FALSE)),VLOOKUP('Country selection'!$E$5,mortcecx!$A$2:$CX$9,$C35+2,FALSE),0)</f>
        <v>2.8E-5</v>
      </c>
      <c r="F35" s="1">
        <f>IF(ISNUMBER(VLOOKUP('Country selection'!$E$5,mortall!$A$2:$CX$9,$C35+2,FALSE)),VLOOKUP('Country selection'!$E$5,mortall!$A$2:$CX$9,$C35+2,FALSE),0)</f>
        <v>6.9999999999999999E-4</v>
      </c>
      <c r="G35" s="1"/>
      <c r="H35" s="21">
        <f t="shared" si="2"/>
        <v>27</v>
      </c>
      <c r="I35" s="35"/>
      <c r="J35" s="35"/>
      <c r="K35" s="35"/>
      <c r="M35" s="10">
        <f t="shared" ref="M35:O35" si="29">IF(I35="",D35,I35)</f>
        <v>8.2999999999999998E-5</v>
      </c>
      <c r="N35" s="10">
        <f t="shared" si="29"/>
        <v>2.8E-5</v>
      </c>
      <c r="O35" s="10">
        <f t="shared" si="29"/>
        <v>6.9999999999999999E-4</v>
      </c>
    </row>
    <row r="36" spans="1:15" ht="14.25" customHeight="1" x14ac:dyDescent="0.3">
      <c r="A36" s="1"/>
      <c r="C36" s="21">
        <f t="shared" si="1"/>
        <v>28</v>
      </c>
      <c r="D36" s="1">
        <f>IF(ISNUMBER(VLOOKUP('Country selection'!$E$5,incidence!$A$2:$CX$9,$C36+2,FALSE)),VLOOKUP('Country selection'!$E$5,incidence!$A$2:$CX$9,$C36+2,FALSE),0)</f>
        <v>8.2999999999999998E-5</v>
      </c>
      <c r="E36" s="1">
        <f>IF(ISNUMBER(VLOOKUP('Country selection'!$E$5,mortcecx!$A$2:$CX$9,$C36+2,FALSE)),VLOOKUP('Country selection'!$E$5,mortcecx!$A$2:$CX$9,$C36+2,FALSE),0)</f>
        <v>2.8E-5</v>
      </c>
      <c r="F36" s="1">
        <f>IF(ISNUMBER(VLOOKUP('Country selection'!$E$5,mortall!$A$2:$CX$9,$C36+2,FALSE)),VLOOKUP('Country selection'!$E$5,mortall!$A$2:$CX$9,$C36+2,FALSE),0)</f>
        <v>7.3999999999999999E-4</v>
      </c>
      <c r="G36" s="1"/>
      <c r="H36" s="21">
        <f t="shared" si="2"/>
        <v>28</v>
      </c>
      <c r="I36" s="35"/>
      <c r="J36" s="35"/>
      <c r="K36" s="35"/>
      <c r="M36" s="10">
        <f t="shared" ref="M36:O36" si="30">IF(I36="",D36,I36)</f>
        <v>8.2999999999999998E-5</v>
      </c>
      <c r="N36" s="10">
        <f t="shared" si="30"/>
        <v>2.8E-5</v>
      </c>
      <c r="O36" s="10">
        <f t="shared" si="30"/>
        <v>7.3999999999999999E-4</v>
      </c>
    </row>
    <row r="37" spans="1:15" ht="14.25" customHeight="1" x14ac:dyDescent="0.3">
      <c r="A37" s="1"/>
      <c r="C37" s="21">
        <f t="shared" si="1"/>
        <v>29</v>
      </c>
      <c r="D37" s="1">
        <f>IF(ISNUMBER(VLOOKUP('Country selection'!$E$5,incidence!$A$2:$CX$9,$C37+2,FALSE)),VLOOKUP('Country selection'!$E$5,incidence!$A$2:$CX$9,$C37+2,FALSE),0)</f>
        <v>8.2000000000000001E-5</v>
      </c>
      <c r="E37" s="1">
        <f>IF(ISNUMBER(VLOOKUP('Country selection'!$E$5,mortcecx!$A$2:$CX$9,$C37+2,FALSE)),VLOOKUP('Country selection'!$E$5,mortcecx!$A$2:$CX$9,$C37+2,FALSE),0)</f>
        <v>2.8E-5</v>
      </c>
      <c r="F37" s="1">
        <f>IF(ISNUMBER(VLOOKUP('Country selection'!$E$5,mortall!$A$2:$CX$9,$C37+2,FALSE)),VLOOKUP('Country selection'!$E$5,mortall!$A$2:$CX$9,$C37+2,FALSE),0)</f>
        <v>7.7999999999999999E-4</v>
      </c>
      <c r="G37" s="1"/>
      <c r="H37" s="21">
        <f t="shared" si="2"/>
        <v>29</v>
      </c>
      <c r="I37" s="35"/>
      <c r="J37" s="35"/>
      <c r="K37" s="35"/>
      <c r="M37" s="10">
        <f t="shared" ref="M37:O37" si="31">IF(I37="",D37,I37)</f>
        <v>8.2000000000000001E-5</v>
      </c>
      <c r="N37" s="10">
        <f t="shared" si="31"/>
        <v>2.8E-5</v>
      </c>
      <c r="O37" s="10">
        <f t="shared" si="31"/>
        <v>7.7999999999999999E-4</v>
      </c>
    </row>
    <row r="38" spans="1:15" ht="14.25" customHeight="1" x14ac:dyDescent="0.3">
      <c r="A38" s="1"/>
      <c r="C38" s="21">
        <f t="shared" si="1"/>
        <v>30</v>
      </c>
      <c r="D38" s="1">
        <f>IF(ISNUMBER(VLOOKUP('Country selection'!$E$5,incidence!$A$2:$CX$9,$C38+2,FALSE)),VLOOKUP('Country selection'!$E$5,incidence!$A$2:$CX$9,$C38+2,FALSE),0)</f>
        <v>1.2799999999999999E-4</v>
      </c>
      <c r="E38" s="1">
        <f>IF(ISNUMBER(VLOOKUP('Country selection'!$E$5,mortcecx!$A$2:$CX$9,$C38+2,FALSE)),VLOOKUP('Country selection'!$E$5,mortcecx!$A$2:$CX$9,$C38+2,FALSE),0)</f>
        <v>5.5000000000000002E-5</v>
      </c>
      <c r="F38" s="1">
        <f>IF(ISNUMBER(VLOOKUP('Country selection'!$E$5,mortall!$A$2:$CX$9,$C38+2,FALSE)),VLOOKUP('Country selection'!$E$5,mortall!$A$2:$CX$9,$C38+2,FALSE),0)</f>
        <v>8.3000000000000001E-4</v>
      </c>
      <c r="G38" s="1"/>
      <c r="H38" s="21">
        <f t="shared" si="2"/>
        <v>30</v>
      </c>
      <c r="I38" s="35"/>
      <c r="J38" s="35"/>
      <c r="K38" s="35"/>
      <c r="M38" s="10">
        <f t="shared" ref="M38:O38" si="32">IF(I38="",D38,I38)</f>
        <v>1.2799999999999999E-4</v>
      </c>
      <c r="N38" s="10">
        <f t="shared" si="32"/>
        <v>5.5000000000000002E-5</v>
      </c>
      <c r="O38" s="10">
        <f t="shared" si="32"/>
        <v>8.3000000000000001E-4</v>
      </c>
    </row>
    <row r="39" spans="1:15" ht="14.25" customHeight="1" x14ac:dyDescent="0.3">
      <c r="A39" s="1"/>
      <c r="C39" s="21">
        <f t="shared" si="1"/>
        <v>31</v>
      </c>
      <c r="D39" s="1">
        <f>IF(ISNUMBER(VLOOKUP('Country selection'!$E$5,incidence!$A$2:$CX$9,$C39+2,FALSE)),VLOOKUP('Country selection'!$E$5,incidence!$A$2:$CX$9,$C39+2,FALSE),0)</f>
        <v>1.27E-4</v>
      </c>
      <c r="E39" s="1">
        <f>IF(ISNUMBER(VLOOKUP('Country selection'!$E$5,mortcecx!$A$2:$CX$9,$C39+2,FALSE)),VLOOKUP('Country selection'!$E$5,mortcecx!$A$2:$CX$9,$C39+2,FALSE),0)</f>
        <v>5.3999999999999998E-5</v>
      </c>
      <c r="F39" s="1">
        <f>IF(ISNUMBER(VLOOKUP('Country selection'!$E$5,mortall!$A$2:$CX$9,$C39+2,FALSE)),VLOOKUP('Country selection'!$E$5,mortall!$A$2:$CX$9,$C39+2,FALSE),0)</f>
        <v>8.8999999999999995E-4</v>
      </c>
      <c r="G39" s="1"/>
      <c r="H39" s="21">
        <f t="shared" si="2"/>
        <v>31</v>
      </c>
      <c r="I39" s="35"/>
      <c r="J39" s="35"/>
      <c r="K39" s="35"/>
      <c r="M39" s="10">
        <f t="shared" ref="M39:O39" si="33">IF(I39="",D39,I39)</f>
        <v>1.27E-4</v>
      </c>
      <c r="N39" s="10">
        <f t="shared" si="33"/>
        <v>5.3999999999999998E-5</v>
      </c>
      <c r="O39" s="10">
        <f t="shared" si="33"/>
        <v>8.8999999999999995E-4</v>
      </c>
    </row>
    <row r="40" spans="1:15" ht="14.25" customHeight="1" x14ac:dyDescent="0.3">
      <c r="A40" s="1"/>
      <c r="C40" s="21">
        <f t="shared" si="1"/>
        <v>32</v>
      </c>
      <c r="D40" s="1">
        <f>IF(ISNUMBER(VLOOKUP('Country selection'!$E$5,incidence!$A$2:$CX$9,$C40+2,FALSE)),VLOOKUP('Country selection'!$E$5,incidence!$A$2:$CX$9,$C40+2,FALSE),0)</f>
        <v>1.26E-4</v>
      </c>
      <c r="E40" s="1">
        <f>IF(ISNUMBER(VLOOKUP('Country selection'!$E$5,mortcecx!$A$2:$CX$9,$C40+2,FALSE)),VLOOKUP('Country selection'!$E$5,mortcecx!$A$2:$CX$9,$C40+2,FALSE),0)</f>
        <v>5.3999999999999998E-5</v>
      </c>
      <c r="F40" s="1">
        <f>IF(ISNUMBER(VLOOKUP('Country selection'!$E$5,mortall!$A$2:$CX$9,$C40+2,FALSE)),VLOOKUP('Country selection'!$E$5,mortall!$A$2:$CX$9,$C40+2,FALSE),0)</f>
        <v>9.5E-4</v>
      </c>
      <c r="G40" s="1"/>
      <c r="H40" s="21">
        <f t="shared" si="2"/>
        <v>32</v>
      </c>
      <c r="I40" s="35"/>
      <c r="J40" s="35"/>
      <c r="K40" s="35"/>
      <c r="M40" s="10">
        <f t="shared" ref="M40:O40" si="34">IF(I40="",D40,I40)</f>
        <v>1.26E-4</v>
      </c>
      <c r="N40" s="10">
        <f t="shared" si="34"/>
        <v>5.3999999999999998E-5</v>
      </c>
      <c r="O40" s="10">
        <f t="shared" si="34"/>
        <v>9.5E-4</v>
      </c>
    </row>
    <row r="41" spans="1:15" ht="14.25" customHeight="1" x14ac:dyDescent="0.3">
      <c r="A41" s="1"/>
      <c r="C41" s="21">
        <f t="shared" si="1"/>
        <v>33</v>
      </c>
      <c r="D41" s="1">
        <f>IF(ISNUMBER(VLOOKUP('Country selection'!$E$5,incidence!$A$2:$CX$9,$C41+2,FALSE)),VLOOKUP('Country selection'!$E$5,incidence!$A$2:$CX$9,$C41+2,FALSE),0)</f>
        <v>1.26E-4</v>
      </c>
      <c r="E41" s="1">
        <f>IF(ISNUMBER(VLOOKUP('Country selection'!$E$5,mortcecx!$A$2:$CX$9,$C41+2,FALSE)),VLOOKUP('Country selection'!$E$5,mortcecx!$A$2:$CX$9,$C41+2,FALSE),0)</f>
        <v>5.3999999999999998E-5</v>
      </c>
      <c r="F41" s="1">
        <f>IF(ISNUMBER(VLOOKUP('Country selection'!$E$5,mortall!$A$2:$CX$9,$C41+2,FALSE)),VLOOKUP('Country selection'!$E$5,mortall!$A$2:$CX$9,$C41+2,FALSE),0)</f>
        <v>1.0300000000000001E-3</v>
      </c>
      <c r="G41" s="1"/>
      <c r="H41" s="21">
        <f t="shared" si="2"/>
        <v>33</v>
      </c>
      <c r="I41" s="35"/>
      <c r="J41" s="35"/>
      <c r="K41" s="35"/>
      <c r="M41" s="10">
        <f t="shared" ref="M41:O41" si="35">IF(I41="",D41,I41)</f>
        <v>1.26E-4</v>
      </c>
      <c r="N41" s="10">
        <f t="shared" si="35"/>
        <v>5.3999999999999998E-5</v>
      </c>
      <c r="O41" s="10">
        <f t="shared" si="35"/>
        <v>1.0300000000000001E-3</v>
      </c>
    </row>
    <row r="42" spans="1:15" ht="14.25" customHeight="1" x14ac:dyDescent="0.3">
      <c r="A42" s="1"/>
      <c r="C42" s="21">
        <f t="shared" si="1"/>
        <v>34</v>
      </c>
      <c r="D42" s="1">
        <f>IF(ISNUMBER(VLOOKUP('Country selection'!$E$5,incidence!$A$2:$CX$9,$C42+2,FALSE)),VLOOKUP('Country selection'!$E$5,incidence!$A$2:$CX$9,$C42+2,FALSE),0)</f>
        <v>1.25E-4</v>
      </c>
      <c r="E42" s="1">
        <f>IF(ISNUMBER(VLOOKUP('Country selection'!$E$5,mortcecx!$A$2:$CX$9,$C42+2,FALSE)),VLOOKUP('Country selection'!$E$5,mortcecx!$A$2:$CX$9,$C42+2,FALSE),0)</f>
        <v>5.3000000000000001E-5</v>
      </c>
      <c r="F42" s="1">
        <f>IF(ISNUMBER(VLOOKUP('Country selection'!$E$5,mortall!$A$2:$CX$9,$C42+2,FALSE)),VLOOKUP('Country selection'!$E$5,mortall!$A$2:$CX$9,$C42+2,FALSE),0)</f>
        <v>1.1100000000000001E-3</v>
      </c>
      <c r="G42" s="1"/>
      <c r="H42" s="21">
        <f t="shared" si="2"/>
        <v>34</v>
      </c>
      <c r="I42" s="35"/>
      <c r="J42" s="35"/>
      <c r="K42" s="35"/>
      <c r="M42" s="10">
        <f t="shared" ref="M42:O42" si="36">IF(I42="",D42,I42)</f>
        <v>1.25E-4</v>
      </c>
      <c r="N42" s="10">
        <f t="shared" si="36"/>
        <v>5.3000000000000001E-5</v>
      </c>
      <c r="O42" s="10">
        <f t="shared" si="36"/>
        <v>1.1100000000000001E-3</v>
      </c>
    </row>
    <row r="43" spans="1:15" ht="14.25" customHeight="1" x14ac:dyDescent="0.3">
      <c r="A43" s="1"/>
      <c r="C43" s="21">
        <f t="shared" si="1"/>
        <v>35</v>
      </c>
      <c r="D43" s="1">
        <f>IF(ISNUMBER(VLOOKUP('Country selection'!$E$5,incidence!$A$2:$CX$9,$C43+2,FALSE)),VLOOKUP('Country selection'!$E$5,incidence!$A$2:$CX$9,$C43+2,FALSE),0)</f>
        <v>1.7200000000000001E-4</v>
      </c>
      <c r="E43" s="1">
        <f>IF(ISNUMBER(VLOOKUP('Country selection'!$E$5,mortcecx!$A$2:$CX$9,$C43+2,FALSE)),VLOOKUP('Country selection'!$E$5,mortcecx!$A$2:$CX$9,$C43+2,FALSE),0)</f>
        <v>7.8999999999999996E-5</v>
      </c>
      <c r="F43" s="1">
        <f>IF(ISNUMBER(VLOOKUP('Country selection'!$E$5,mortall!$A$2:$CX$9,$C43+2,FALSE)),VLOOKUP('Country selection'!$E$5,mortall!$A$2:$CX$9,$C43+2,FALSE),0)</f>
        <v>1.1900000000000001E-3</v>
      </c>
      <c r="G43" s="1"/>
      <c r="H43" s="21">
        <f t="shared" si="2"/>
        <v>35</v>
      </c>
      <c r="I43" s="35"/>
      <c r="J43" s="35"/>
      <c r="K43" s="35"/>
      <c r="M43" s="10">
        <f t="shared" ref="M43:O43" si="37">IF(I43="",D43,I43)</f>
        <v>1.7200000000000001E-4</v>
      </c>
      <c r="N43" s="10">
        <f t="shared" si="37"/>
        <v>7.8999999999999996E-5</v>
      </c>
      <c r="O43" s="10">
        <f t="shared" si="37"/>
        <v>1.1900000000000001E-3</v>
      </c>
    </row>
    <row r="44" spans="1:15" ht="14.25" customHeight="1" x14ac:dyDescent="0.3">
      <c r="A44" s="1"/>
      <c r="C44" s="21">
        <f t="shared" si="1"/>
        <v>36</v>
      </c>
      <c r="D44" s="1">
        <f>IF(ISNUMBER(VLOOKUP('Country selection'!$E$5,incidence!$A$2:$CX$9,$C44+2,FALSE)),VLOOKUP('Country selection'!$E$5,incidence!$A$2:$CX$9,$C44+2,FALSE),0)</f>
        <v>1.73E-4</v>
      </c>
      <c r="E44" s="1">
        <f>IF(ISNUMBER(VLOOKUP('Country selection'!$E$5,mortcecx!$A$2:$CX$9,$C44+2,FALSE)),VLOOKUP('Country selection'!$E$5,mortcecx!$A$2:$CX$9,$C44+2,FALSE),0)</f>
        <v>7.8999999999999996E-5</v>
      </c>
      <c r="F44" s="1">
        <f>IF(ISNUMBER(VLOOKUP('Country selection'!$E$5,mortall!$A$2:$CX$9,$C44+2,FALSE)),VLOOKUP('Country selection'!$E$5,mortall!$A$2:$CX$9,$C44+2,FALSE),0)</f>
        <v>1.2899999999999999E-3</v>
      </c>
      <c r="G44" s="1"/>
      <c r="H44" s="21">
        <f t="shared" si="2"/>
        <v>36</v>
      </c>
      <c r="I44" s="35"/>
      <c r="J44" s="35"/>
      <c r="K44" s="35"/>
      <c r="M44" s="10">
        <f t="shared" ref="M44:O44" si="38">IF(I44="",D44,I44)</f>
        <v>1.73E-4</v>
      </c>
      <c r="N44" s="10">
        <f t="shared" si="38"/>
        <v>7.8999999999999996E-5</v>
      </c>
      <c r="O44" s="10">
        <f t="shared" si="38"/>
        <v>1.2899999999999999E-3</v>
      </c>
    </row>
    <row r="45" spans="1:15" ht="14.25" customHeight="1" x14ac:dyDescent="0.3">
      <c r="A45" s="1"/>
      <c r="C45" s="21">
        <f t="shared" si="1"/>
        <v>37</v>
      </c>
      <c r="D45" s="1">
        <f>IF(ISNUMBER(VLOOKUP('Country selection'!$E$5,incidence!$A$2:$CX$9,$C45+2,FALSE)),VLOOKUP('Country selection'!$E$5,incidence!$A$2:$CX$9,$C45+2,FALSE),0)</f>
        <v>1.73E-4</v>
      </c>
      <c r="E45" s="1">
        <f>IF(ISNUMBER(VLOOKUP('Country selection'!$E$5,mortcecx!$A$2:$CX$9,$C45+2,FALSE)),VLOOKUP('Country selection'!$E$5,mortcecx!$A$2:$CX$9,$C45+2,FALSE),0)</f>
        <v>7.8999999999999996E-5</v>
      </c>
      <c r="F45" s="1">
        <f>IF(ISNUMBER(VLOOKUP('Country selection'!$E$5,mortall!$A$2:$CX$9,$C45+2,FALSE)),VLOOKUP('Country selection'!$E$5,mortall!$A$2:$CX$9,$C45+2,FALSE),0)</f>
        <v>1.39E-3</v>
      </c>
      <c r="G45" s="1"/>
      <c r="H45" s="21">
        <f t="shared" si="2"/>
        <v>37</v>
      </c>
      <c r="I45" s="35"/>
      <c r="J45" s="35"/>
      <c r="K45" s="35"/>
      <c r="M45" s="10">
        <f t="shared" ref="M45:O45" si="39">IF(I45="",D45,I45)</f>
        <v>1.73E-4</v>
      </c>
      <c r="N45" s="10">
        <f t="shared" si="39"/>
        <v>7.8999999999999996E-5</v>
      </c>
      <c r="O45" s="10">
        <f t="shared" si="39"/>
        <v>1.39E-3</v>
      </c>
    </row>
    <row r="46" spans="1:15" ht="14.25" customHeight="1" x14ac:dyDescent="0.3">
      <c r="A46" s="1"/>
      <c r="C46" s="21">
        <f t="shared" si="1"/>
        <v>38</v>
      </c>
      <c r="D46" s="1">
        <f>IF(ISNUMBER(VLOOKUP('Country selection'!$E$5,incidence!$A$2:$CX$9,$C46+2,FALSE)),VLOOKUP('Country selection'!$E$5,incidence!$A$2:$CX$9,$C46+2,FALSE),0)</f>
        <v>1.75E-4</v>
      </c>
      <c r="E46" s="1">
        <f>IF(ISNUMBER(VLOOKUP('Country selection'!$E$5,mortcecx!$A$2:$CX$9,$C46+2,FALSE)),VLOOKUP('Country selection'!$E$5,mortcecx!$A$2:$CX$9,$C46+2,FALSE),0)</f>
        <v>8.0000000000000007E-5</v>
      </c>
      <c r="F46" s="1">
        <f>IF(ISNUMBER(VLOOKUP('Country selection'!$E$5,mortall!$A$2:$CX$9,$C46+2,FALSE)),VLOOKUP('Country selection'!$E$5,mortall!$A$2:$CX$9,$C46+2,FALSE),0)</f>
        <v>1.5100000000000001E-3</v>
      </c>
      <c r="G46" s="1"/>
      <c r="H46" s="21">
        <f t="shared" si="2"/>
        <v>38</v>
      </c>
      <c r="I46" s="35"/>
      <c r="J46" s="35"/>
      <c r="K46" s="35"/>
      <c r="M46" s="10">
        <f t="shared" ref="M46:O46" si="40">IF(I46="",D46,I46)</f>
        <v>1.75E-4</v>
      </c>
      <c r="N46" s="10">
        <f t="shared" si="40"/>
        <v>8.0000000000000007E-5</v>
      </c>
      <c r="O46" s="10">
        <f t="shared" si="40"/>
        <v>1.5100000000000001E-3</v>
      </c>
    </row>
    <row r="47" spans="1:15" ht="14.25" customHeight="1" x14ac:dyDescent="0.3">
      <c r="A47" s="1"/>
      <c r="C47" s="21">
        <f t="shared" si="1"/>
        <v>39</v>
      </c>
      <c r="D47" s="1">
        <f>IF(ISNUMBER(VLOOKUP('Country selection'!$E$5,incidence!$A$2:$CX$9,$C47+2,FALSE)),VLOOKUP('Country selection'!$E$5,incidence!$A$2:$CX$9,$C47+2,FALSE),0)</f>
        <v>1.7799999999999999E-4</v>
      </c>
      <c r="E47" s="1">
        <f>IF(ISNUMBER(VLOOKUP('Country selection'!$E$5,mortcecx!$A$2:$CX$9,$C47+2,FALSE)),VLOOKUP('Country selection'!$E$5,mortcecx!$A$2:$CX$9,$C47+2,FALSE),0)</f>
        <v>8.1000000000000004E-5</v>
      </c>
      <c r="F47" s="1">
        <f>IF(ISNUMBER(VLOOKUP('Country selection'!$E$5,mortall!$A$2:$CX$9,$C47+2,FALSE)),VLOOKUP('Country selection'!$E$5,mortall!$A$2:$CX$9,$C47+2,FALSE),0)</f>
        <v>1.6299999999999999E-3</v>
      </c>
      <c r="G47" s="1"/>
      <c r="H47" s="21">
        <f t="shared" si="2"/>
        <v>39</v>
      </c>
      <c r="I47" s="35"/>
      <c r="J47" s="35"/>
      <c r="K47" s="35"/>
      <c r="M47" s="10">
        <f t="shared" ref="M47:O47" si="41">IF(I47="",D47,I47)</f>
        <v>1.7799999999999999E-4</v>
      </c>
      <c r="N47" s="10">
        <f t="shared" si="41"/>
        <v>8.1000000000000004E-5</v>
      </c>
      <c r="O47" s="10">
        <f t="shared" si="41"/>
        <v>1.6299999999999999E-3</v>
      </c>
    </row>
    <row r="48" spans="1:15" ht="14.25" customHeight="1" x14ac:dyDescent="0.3">
      <c r="A48" s="1"/>
      <c r="C48" s="21">
        <f t="shared" si="1"/>
        <v>40</v>
      </c>
      <c r="D48" s="1">
        <f>IF(ISNUMBER(VLOOKUP('Country selection'!$E$5,incidence!$A$2:$CX$9,$C48+2,FALSE)),VLOOKUP('Country selection'!$E$5,incidence!$A$2:$CX$9,$C48+2,FALSE),0)</f>
        <v>2.0699999999999999E-4</v>
      </c>
      <c r="E48" s="1">
        <f>IF(ISNUMBER(VLOOKUP('Country selection'!$E$5,mortcecx!$A$2:$CX$9,$C48+2,FALSE)),VLOOKUP('Country selection'!$E$5,mortcecx!$A$2:$CX$9,$C48+2,FALSE),0)</f>
        <v>9.7999999999999997E-5</v>
      </c>
      <c r="F48" s="1">
        <f>IF(ISNUMBER(VLOOKUP('Country selection'!$E$5,mortall!$A$2:$CX$9,$C48+2,FALSE)),VLOOKUP('Country selection'!$E$5,mortall!$A$2:$CX$9,$C48+2,FALSE),0)</f>
        <v>1.7700000000000001E-3</v>
      </c>
      <c r="G48" s="1"/>
      <c r="H48" s="21">
        <f t="shared" si="2"/>
        <v>40</v>
      </c>
      <c r="I48" s="35"/>
      <c r="J48" s="35"/>
      <c r="K48" s="35"/>
      <c r="M48" s="10">
        <f t="shared" ref="M48:O48" si="42">IF(I48="",D48,I48)</f>
        <v>2.0699999999999999E-4</v>
      </c>
      <c r="N48" s="10">
        <f t="shared" si="42"/>
        <v>9.7999999999999997E-5</v>
      </c>
      <c r="O48" s="10">
        <f t="shared" si="42"/>
        <v>1.7700000000000001E-3</v>
      </c>
    </row>
    <row r="49" spans="1:15" ht="14.25" customHeight="1" x14ac:dyDescent="0.3">
      <c r="A49" s="1"/>
      <c r="C49" s="21">
        <f t="shared" si="1"/>
        <v>41</v>
      </c>
      <c r="D49" s="1">
        <f>IF(ISNUMBER(VLOOKUP('Country selection'!$E$5,incidence!$A$2:$CX$9,$C49+2,FALSE)),VLOOKUP('Country selection'!$E$5,incidence!$A$2:$CX$9,$C49+2,FALSE),0)</f>
        <v>2.1100000000000001E-4</v>
      </c>
      <c r="E49" s="1">
        <f>IF(ISNUMBER(VLOOKUP('Country selection'!$E$5,mortcecx!$A$2:$CX$9,$C49+2,FALSE)),VLOOKUP('Country selection'!$E$5,mortcecx!$A$2:$CX$9,$C49+2,FALSE),0)</f>
        <v>1E-4</v>
      </c>
      <c r="F49" s="1">
        <f>IF(ISNUMBER(VLOOKUP('Country selection'!$E$5,mortall!$A$2:$CX$9,$C49+2,FALSE)),VLOOKUP('Country selection'!$E$5,mortall!$A$2:$CX$9,$C49+2,FALSE),0)</f>
        <v>1.92E-3</v>
      </c>
      <c r="G49" s="1"/>
      <c r="H49" s="21">
        <f t="shared" si="2"/>
        <v>41</v>
      </c>
      <c r="I49" s="35"/>
      <c r="J49" s="35"/>
      <c r="K49" s="35"/>
      <c r="M49" s="10">
        <f t="shared" ref="M49:O49" si="43">IF(I49="",D49,I49)</f>
        <v>2.1100000000000001E-4</v>
      </c>
      <c r="N49" s="10">
        <f t="shared" si="43"/>
        <v>1E-4</v>
      </c>
      <c r="O49" s="10">
        <f t="shared" si="43"/>
        <v>1.92E-3</v>
      </c>
    </row>
    <row r="50" spans="1:15" ht="14.25" customHeight="1" x14ac:dyDescent="0.3">
      <c r="A50" s="1"/>
      <c r="C50" s="21">
        <f t="shared" si="1"/>
        <v>42</v>
      </c>
      <c r="D50" s="1">
        <f>IF(ISNUMBER(VLOOKUP('Country selection'!$E$5,incidence!$A$2:$CX$9,$C50+2,FALSE)),VLOOKUP('Country selection'!$E$5,incidence!$A$2:$CX$9,$C50+2,FALSE),0)</f>
        <v>2.1599999999999999E-4</v>
      </c>
      <c r="E50" s="1">
        <f>IF(ISNUMBER(VLOOKUP('Country selection'!$E$5,mortcecx!$A$2:$CX$9,$C50+2,FALSE)),VLOOKUP('Country selection'!$E$5,mortcecx!$A$2:$CX$9,$C50+2,FALSE),0)</f>
        <v>1.02E-4</v>
      </c>
      <c r="F50" s="1">
        <f>IF(ISNUMBER(VLOOKUP('Country selection'!$E$5,mortall!$A$2:$CX$9,$C50+2,FALSE)),VLOOKUP('Country selection'!$E$5,mortall!$A$2:$CX$9,$C50+2,FALSE),0)</f>
        <v>2.0799999999999998E-3</v>
      </c>
      <c r="G50" s="1"/>
      <c r="H50" s="21">
        <f t="shared" si="2"/>
        <v>42</v>
      </c>
      <c r="I50" s="35"/>
      <c r="J50" s="35"/>
      <c r="K50" s="35"/>
      <c r="M50" s="10">
        <f t="shared" ref="M50:O50" si="44">IF(I50="",D50,I50)</f>
        <v>2.1599999999999999E-4</v>
      </c>
      <c r="N50" s="10">
        <f t="shared" si="44"/>
        <v>1.02E-4</v>
      </c>
      <c r="O50" s="10">
        <f t="shared" si="44"/>
        <v>2.0799999999999998E-3</v>
      </c>
    </row>
    <row r="51" spans="1:15" ht="14.25" customHeight="1" x14ac:dyDescent="0.3">
      <c r="A51" s="1"/>
      <c r="C51" s="21">
        <f t="shared" si="1"/>
        <v>43</v>
      </c>
      <c r="D51" s="1">
        <f>IF(ISNUMBER(VLOOKUP('Country selection'!$E$5,incidence!$A$2:$CX$9,$C51+2,FALSE)),VLOOKUP('Country selection'!$E$5,incidence!$A$2:$CX$9,$C51+2,FALSE),0)</f>
        <v>2.22E-4</v>
      </c>
      <c r="E51" s="1">
        <f>IF(ISNUMBER(VLOOKUP('Country selection'!$E$5,mortcecx!$A$2:$CX$9,$C51+2,FALSE)),VLOOKUP('Country selection'!$E$5,mortcecx!$A$2:$CX$9,$C51+2,FALSE),0)</f>
        <v>1.05E-4</v>
      </c>
      <c r="F51" s="1">
        <f>IF(ISNUMBER(VLOOKUP('Country selection'!$E$5,mortall!$A$2:$CX$9,$C51+2,FALSE)),VLOOKUP('Country selection'!$E$5,mortall!$A$2:$CX$9,$C51+2,FALSE),0)</f>
        <v>2.2399999999999998E-3</v>
      </c>
      <c r="G51" s="1"/>
      <c r="H51" s="21">
        <f t="shared" si="2"/>
        <v>43</v>
      </c>
      <c r="I51" s="35"/>
      <c r="J51" s="35"/>
      <c r="K51" s="35"/>
      <c r="M51" s="10">
        <f t="shared" ref="M51:O51" si="45">IF(I51="",D51,I51)</f>
        <v>2.22E-4</v>
      </c>
      <c r="N51" s="10">
        <f t="shared" si="45"/>
        <v>1.05E-4</v>
      </c>
      <c r="O51" s="10">
        <f t="shared" si="45"/>
        <v>2.2399999999999998E-3</v>
      </c>
    </row>
    <row r="52" spans="1:15" ht="14.25" customHeight="1" x14ac:dyDescent="0.3">
      <c r="A52" s="1"/>
      <c r="C52" s="21">
        <f t="shared" si="1"/>
        <v>44</v>
      </c>
      <c r="D52" s="1">
        <f>IF(ISNUMBER(VLOOKUP('Country selection'!$E$5,incidence!$A$2:$CX$9,$C52+2,FALSE)),VLOOKUP('Country selection'!$E$5,incidence!$A$2:$CX$9,$C52+2,FALSE),0)</f>
        <v>2.2800000000000001E-4</v>
      </c>
      <c r="E52" s="1">
        <f>IF(ISNUMBER(VLOOKUP('Country selection'!$E$5,mortcecx!$A$2:$CX$9,$C52+2,FALSE)),VLOOKUP('Country selection'!$E$5,mortcecx!$A$2:$CX$9,$C52+2,FALSE),0)</f>
        <v>1.08E-4</v>
      </c>
      <c r="F52" s="1">
        <f>IF(ISNUMBER(VLOOKUP('Country selection'!$E$5,mortall!$A$2:$CX$9,$C52+2,FALSE)),VLOOKUP('Country selection'!$E$5,mortall!$A$2:$CX$9,$C52+2,FALSE),0)</f>
        <v>2.4199999999999998E-3</v>
      </c>
      <c r="G52" s="1"/>
      <c r="H52" s="21">
        <f t="shared" si="2"/>
        <v>44</v>
      </c>
      <c r="I52" s="35"/>
      <c r="J52" s="35"/>
      <c r="K52" s="35"/>
      <c r="M52" s="10">
        <f t="shared" ref="M52:O52" si="46">IF(I52="",D52,I52)</f>
        <v>2.2800000000000001E-4</v>
      </c>
      <c r="N52" s="10">
        <f t="shared" si="46"/>
        <v>1.08E-4</v>
      </c>
      <c r="O52" s="10">
        <f t="shared" si="46"/>
        <v>2.4199999999999998E-3</v>
      </c>
    </row>
    <row r="53" spans="1:15" ht="14.25" customHeight="1" x14ac:dyDescent="0.3">
      <c r="A53" s="1"/>
      <c r="C53" s="21">
        <f t="shared" si="1"/>
        <v>45</v>
      </c>
      <c r="D53" s="1">
        <f>IF(ISNUMBER(VLOOKUP('Country selection'!$E$5,incidence!$A$2:$CX$9,$C53+2,FALSE)),VLOOKUP('Country selection'!$E$5,incidence!$A$2:$CX$9,$C53+2,FALSE),0)</f>
        <v>2.4000000000000001E-4</v>
      </c>
      <c r="E53" s="1">
        <f>IF(ISNUMBER(VLOOKUP('Country selection'!$E$5,mortcecx!$A$2:$CX$9,$C53+2,FALSE)),VLOOKUP('Country selection'!$E$5,mortcecx!$A$2:$CX$9,$C53+2,FALSE),0)</f>
        <v>1.1900000000000001E-4</v>
      </c>
      <c r="F53" s="1">
        <f>IF(ISNUMBER(VLOOKUP('Country selection'!$E$5,mortall!$A$2:$CX$9,$C53+2,FALSE)),VLOOKUP('Country selection'!$E$5,mortall!$A$2:$CX$9,$C53+2,FALSE),0)</f>
        <v>2.5999999999999999E-3</v>
      </c>
      <c r="G53" s="1"/>
      <c r="H53" s="21">
        <f t="shared" si="2"/>
        <v>45</v>
      </c>
      <c r="I53" s="35"/>
      <c r="J53" s="35"/>
      <c r="K53" s="35"/>
      <c r="M53" s="10">
        <f t="shared" ref="M53:O53" si="47">IF(I53="",D53,I53)</f>
        <v>2.4000000000000001E-4</v>
      </c>
      <c r="N53" s="10">
        <f t="shared" si="47"/>
        <v>1.1900000000000001E-4</v>
      </c>
      <c r="O53" s="10">
        <f t="shared" si="47"/>
        <v>2.5999999999999999E-3</v>
      </c>
    </row>
    <row r="54" spans="1:15" ht="14.25" customHeight="1" x14ac:dyDescent="0.3">
      <c r="A54" s="1"/>
      <c r="C54" s="21">
        <f t="shared" si="1"/>
        <v>46</v>
      </c>
      <c r="D54" s="1">
        <f>IF(ISNUMBER(VLOOKUP('Country selection'!$E$5,incidence!$A$2:$CX$9,$C54+2,FALSE)),VLOOKUP('Country selection'!$E$5,incidence!$A$2:$CX$9,$C54+2,FALSE),0)</f>
        <v>2.4499999999999999E-4</v>
      </c>
      <c r="E54" s="1">
        <f>IF(ISNUMBER(VLOOKUP('Country selection'!$E$5,mortcecx!$A$2:$CX$9,$C54+2,FALSE)),VLOOKUP('Country selection'!$E$5,mortcecx!$A$2:$CX$9,$C54+2,FALSE),0)</f>
        <v>1.21E-4</v>
      </c>
      <c r="F54" s="1">
        <f>IF(ISNUMBER(VLOOKUP('Country selection'!$E$5,mortall!$A$2:$CX$9,$C54+2,FALSE)),VLOOKUP('Country selection'!$E$5,mortall!$A$2:$CX$9,$C54+2,FALSE),0)</f>
        <v>2.7899999999999999E-3</v>
      </c>
      <c r="G54" s="1"/>
      <c r="H54" s="21">
        <f t="shared" si="2"/>
        <v>46</v>
      </c>
      <c r="I54" s="35"/>
      <c r="J54" s="35"/>
      <c r="K54" s="35"/>
      <c r="M54" s="10">
        <f t="shared" ref="M54:O54" si="48">IF(I54="",D54,I54)</f>
        <v>2.4499999999999999E-4</v>
      </c>
      <c r="N54" s="10">
        <f t="shared" si="48"/>
        <v>1.21E-4</v>
      </c>
      <c r="O54" s="10">
        <f t="shared" si="48"/>
        <v>2.7899999999999999E-3</v>
      </c>
    </row>
    <row r="55" spans="1:15" ht="14.25" customHeight="1" x14ac:dyDescent="0.3">
      <c r="A55" s="1"/>
      <c r="C55" s="21">
        <f t="shared" si="1"/>
        <v>47</v>
      </c>
      <c r="D55" s="1">
        <f>IF(ISNUMBER(VLOOKUP('Country selection'!$E$5,incidence!$A$2:$CX$9,$C55+2,FALSE)),VLOOKUP('Country selection'!$E$5,incidence!$A$2:$CX$9,$C55+2,FALSE),0)</f>
        <v>2.4899999999999998E-4</v>
      </c>
      <c r="E55" s="1">
        <f>IF(ISNUMBER(VLOOKUP('Country selection'!$E$5,mortcecx!$A$2:$CX$9,$C55+2,FALSE)),VLOOKUP('Country selection'!$E$5,mortcecx!$A$2:$CX$9,$C55+2,FALSE),0)</f>
        <v>1.2300000000000001E-4</v>
      </c>
      <c r="F55" s="1">
        <f>IF(ISNUMBER(VLOOKUP('Country selection'!$E$5,mortall!$A$2:$CX$9,$C55+2,FALSE)),VLOOKUP('Country selection'!$E$5,mortall!$A$2:$CX$9,$C55+2,FALSE),0)</f>
        <v>3.0000000000000001E-3</v>
      </c>
      <c r="G55" s="1"/>
      <c r="H55" s="21">
        <f t="shared" si="2"/>
        <v>47</v>
      </c>
      <c r="I55" s="35"/>
      <c r="J55" s="35"/>
      <c r="K55" s="35"/>
      <c r="M55" s="10">
        <f t="shared" ref="M55:O55" si="49">IF(I55="",D55,I55)</f>
        <v>2.4899999999999998E-4</v>
      </c>
      <c r="N55" s="10">
        <f t="shared" si="49"/>
        <v>1.2300000000000001E-4</v>
      </c>
      <c r="O55" s="10">
        <f t="shared" si="49"/>
        <v>3.0000000000000001E-3</v>
      </c>
    </row>
    <row r="56" spans="1:15" ht="14.25" customHeight="1" x14ac:dyDescent="0.3">
      <c r="A56" s="1"/>
      <c r="C56" s="21">
        <f t="shared" si="1"/>
        <v>48</v>
      </c>
      <c r="D56" s="1">
        <f>IF(ISNUMBER(VLOOKUP('Country selection'!$E$5,incidence!$A$2:$CX$9,$C56+2,FALSE)),VLOOKUP('Country selection'!$E$5,incidence!$A$2:$CX$9,$C56+2,FALSE),0)</f>
        <v>2.5399999999999999E-4</v>
      </c>
      <c r="E56" s="1">
        <f>IF(ISNUMBER(VLOOKUP('Country selection'!$E$5,mortcecx!$A$2:$CX$9,$C56+2,FALSE)),VLOOKUP('Country selection'!$E$5,mortcecx!$A$2:$CX$9,$C56+2,FALSE),0)</f>
        <v>1.26E-4</v>
      </c>
      <c r="F56" s="1">
        <f>IF(ISNUMBER(VLOOKUP('Country selection'!$E$5,mortall!$A$2:$CX$9,$C56+2,FALSE)),VLOOKUP('Country selection'!$E$5,mortall!$A$2:$CX$9,$C56+2,FALSE),0)</f>
        <v>3.2200000000000002E-3</v>
      </c>
      <c r="G56" s="1"/>
      <c r="H56" s="21">
        <f t="shared" si="2"/>
        <v>48</v>
      </c>
      <c r="I56" s="35"/>
      <c r="J56" s="35"/>
      <c r="K56" s="35"/>
      <c r="M56" s="10">
        <f t="shared" ref="M56:O56" si="50">IF(I56="",D56,I56)</f>
        <v>2.5399999999999999E-4</v>
      </c>
      <c r="N56" s="10">
        <f t="shared" si="50"/>
        <v>1.26E-4</v>
      </c>
      <c r="O56" s="10">
        <f t="shared" si="50"/>
        <v>3.2200000000000002E-3</v>
      </c>
    </row>
    <row r="57" spans="1:15" ht="14.25" customHeight="1" x14ac:dyDescent="0.3">
      <c r="A57" s="1"/>
      <c r="C57" s="21">
        <f t="shared" si="1"/>
        <v>49</v>
      </c>
      <c r="D57" s="1">
        <f>IF(ISNUMBER(VLOOKUP('Country selection'!$E$5,incidence!$A$2:$CX$9,$C57+2,FALSE)),VLOOKUP('Country selection'!$E$5,incidence!$A$2:$CX$9,$C57+2,FALSE),0)</f>
        <v>2.5900000000000001E-4</v>
      </c>
      <c r="E57" s="1">
        <f>IF(ISNUMBER(VLOOKUP('Country selection'!$E$5,mortcecx!$A$2:$CX$9,$C57+2,FALSE)),VLOOKUP('Country selection'!$E$5,mortcecx!$A$2:$CX$9,$C57+2,FALSE),0)</f>
        <v>1.2799999999999999E-4</v>
      </c>
      <c r="F57" s="1">
        <f>IF(ISNUMBER(VLOOKUP('Country selection'!$E$5,mortall!$A$2:$CX$9,$C57+2,FALSE)),VLOOKUP('Country selection'!$E$5,mortall!$A$2:$CX$9,$C57+2,FALSE),0)</f>
        <v>3.47E-3</v>
      </c>
      <c r="G57" s="1"/>
      <c r="H57" s="21">
        <f t="shared" si="2"/>
        <v>49</v>
      </c>
      <c r="I57" s="35"/>
      <c r="J57" s="35"/>
      <c r="K57" s="35"/>
      <c r="M57" s="10">
        <f t="shared" ref="M57:O57" si="51">IF(I57="",D57,I57)</f>
        <v>2.5900000000000001E-4</v>
      </c>
      <c r="N57" s="10">
        <f t="shared" si="51"/>
        <v>1.2799999999999999E-4</v>
      </c>
      <c r="O57" s="10">
        <f t="shared" si="51"/>
        <v>3.47E-3</v>
      </c>
    </row>
    <row r="58" spans="1:15" ht="14.25" customHeight="1" x14ac:dyDescent="0.3">
      <c r="A58" s="1"/>
      <c r="C58" s="21">
        <f t="shared" si="1"/>
        <v>50</v>
      </c>
      <c r="D58" s="1">
        <f>IF(ISNUMBER(VLOOKUP('Country selection'!$E$5,incidence!$A$2:$CX$9,$C58+2,FALSE)),VLOOKUP('Country selection'!$E$5,incidence!$A$2:$CX$9,$C58+2,FALSE),0)</f>
        <v>2.7999999999999998E-4</v>
      </c>
      <c r="E58" s="1">
        <f>IF(ISNUMBER(VLOOKUP('Country selection'!$E$5,mortcecx!$A$2:$CX$9,$C58+2,FALSE)),VLOOKUP('Country selection'!$E$5,mortcecx!$A$2:$CX$9,$C58+2,FALSE),0)</f>
        <v>1.3999999999999999E-4</v>
      </c>
      <c r="F58" s="1">
        <f>IF(ISNUMBER(VLOOKUP('Country selection'!$E$5,mortall!$A$2:$CX$9,$C58+2,FALSE)),VLOOKUP('Country selection'!$E$5,mortall!$A$2:$CX$9,$C58+2,FALSE),0)</f>
        <v>3.7299999999999998E-3</v>
      </c>
      <c r="G58" s="1"/>
      <c r="H58" s="21">
        <f t="shared" si="2"/>
        <v>50</v>
      </c>
      <c r="I58" s="35"/>
      <c r="J58" s="35"/>
      <c r="K58" s="35"/>
      <c r="M58" s="10">
        <f t="shared" ref="M58:O58" si="52">IF(I58="",D58,I58)</f>
        <v>2.7999999999999998E-4</v>
      </c>
      <c r="N58" s="10">
        <f t="shared" si="52"/>
        <v>1.3999999999999999E-4</v>
      </c>
      <c r="O58" s="10">
        <f t="shared" si="52"/>
        <v>3.7299999999999998E-3</v>
      </c>
    </row>
    <row r="59" spans="1:15" ht="14.25" customHeight="1" x14ac:dyDescent="0.3">
      <c r="A59" s="1"/>
      <c r="C59" s="21">
        <f t="shared" si="1"/>
        <v>51</v>
      </c>
      <c r="D59" s="1">
        <f>IF(ISNUMBER(VLOOKUP('Country selection'!$E$5,incidence!$A$2:$CX$9,$C59+2,FALSE)),VLOOKUP('Country selection'!$E$5,incidence!$A$2:$CX$9,$C59+2,FALSE),0)</f>
        <v>2.8499999999999999E-4</v>
      </c>
      <c r="E59" s="1">
        <f>IF(ISNUMBER(VLOOKUP('Country selection'!$E$5,mortcecx!$A$2:$CX$9,$C59+2,FALSE)),VLOOKUP('Country selection'!$E$5,mortcecx!$A$2:$CX$9,$C59+2,FALSE),0)</f>
        <v>1.4200000000000001E-4</v>
      </c>
      <c r="F59" s="1">
        <f>IF(ISNUMBER(VLOOKUP('Country selection'!$E$5,mortall!$A$2:$CX$9,$C59+2,FALSE)),VLOOKUP('Country selection'!$E$5,mortall!$A$2:$CX$9,$C59+2,FALSE),0)</f>
        <v>4.0099999999999997E-3</v>
      </c>
      <c r="G59" s="1"/>
      <c r="H59" s="21">
        <f t="shared" si="2"/>
        <v>51</v>
      </c>
      <c r="I59" s="35"/>
      <c r="J59" s="35"/>
      <c r="K59" s="35"/>
      <c r="M59" s="10">
        <f t="shared" ref="M59:O59" si="53">IF(I59="",D59,I59)</f>
        <v>2.8499999999999999E-4</v>
      </c>
      <c r="N59" s="10">
        <f t="shared" si="53"/>
        <v>1.4200000000000001E-4</v>
      </c>
      <c r="O59" s="10">
        <f t="shared" si="53"/>
        <v>4.0099999999999997E-3</v>
      </c>
    </row>
    <row r="60" spans="1:15" ht="14.25" customHeight="1" x14ac:dyDescent="0.3">
      <c r="A60" s="1"/>
      <c r="C60" s="21">
        <f t="shared" si="1"/>
        <v>52</v>
      </c>
      <c r="D60" s="1">
        <f>IF(ISNUMBER(VLOOKUP('Country selection'!$E$5,incidence!$A$2:$CX$9,$C60+2,FALSE)),VLOOKUP('Country selection'!$E$5,incidence!$A$2:$CX$9,$C60+2,FALSE),0)</f>
        <v>2.8899999999999998E-4</v>
      </c>
      <c r="E60" s="1">
        <f>IF(ISNUMBER(VLOOKUP('Country selection'!$E$5,mortcecx!$A$2:$CX$9,$C60+2,FALSE)),VLOOKUP('Country selection'!$E$5,mortcecx!$A$2:$CX$9,$C60+2,FALSE),0)</f>
        <v>1.44E-4</v>
      </c>
      <c r="F60" s="1">
        <f>IF(ISNUMBER(VLOOKUP('Country selection'!$E$5,mortall!$A$2:$CX$9,$C60+2,FALSE)),VLOOKUP('Country selection'!$E$5,mortall!$A$2:$CX$9,$C60+2,FALSE),0)</f>
        <v>4.3200000000000001E-3</v>
      </c>
      <c r="G60" s="1"/>
      <c r="H60" s="21">
        <f t="shared" si="2"/>
        <v>52</v>
      </c>
      <c r="I60" s="35"/>
      <c r="J60" s="35"/>
      <c r="K60" s="35"/>
      <c r="M60" s="10">
        <f t="shared" ref="M60:O60" si="54">IF(I60="",D60,I60)</f>
        <v>2.8899999999999998E-4</v>
      </c>
      <c r="N60" s="10">
        <f t="shared" si="54"/>
        <v>1.44E-4</v>
      </c>
      <c r="O60" s="10">
        <f t="shared" si="54"/>
        <v>4.3200000000000001E-3</v>
      </c>
    </row>
    <row r="61" spans="1:15" ht="14.25" customHeight="1" x14ac:dyDescent="0.3">
      <c r="A61" s="1"/>
      <c r="C61" s="21">
        <f t="shared" si="1"/>
        <v>53</v>
      </c>
      <c r="D61" s="1">
        <f>IF(ISNUMBER(VLOOKUP('Country selection'!$E$5,incidence!$A$2:$CX$9,$C61+2,FALSE)),VLOOKUP('Country selection'!$E$5,incidence!$A$2:$CX$9,$C61+2,FALSE),0)</f>
        <v>2.9100000000000003E-4</v>
      </c>
      <c r="E61" s="1">
        <f>IF(ISNUMBER(VLOOKUP('Country selection'!$E$5,mortcecx!$A$2:$CX$9,$C61+2,FALSE)),VLOOKUP('Country selection'!$E$5,mortcecx!$A$2:$CX$9,$C61+2,FALSE),0)</f>
        <v>1.45E-4</v>
      </c>
      <c r="F61" s="1">
        <f>IF(ISNUMBER(VLOOKUP('Country selection'!$E$5,mortall!$A$2:$CX$9,$C61+2,FALSE)),VLOOKUP('Country selection'!$E$5,mortall!$A$2:$CX$9,$C61+2,FALSE),0)</f>
        <v>4.6499999999999996E-3</v>
      </c>
      <c r="G61" s="1"/>
      <c r="H61" s="21">
        <f t="shared" si="2"/>
        <v>53</v>
      </c>
      <c r="I61" s="35"/>
      <c r="J61" s="35"/>
      <c r="K61" s="35"/>
      <c r="M61" s="10">
        <f t="shared" ref="M61:O61" si="55">IF(I61="",D61,I61)</f>
        <v>2.9100000000000003E-4</v>
      </c>
      <c r="N61" s="10">
        <f t="shared" si="55"/>
        <v>1.45E-4</v>
      </c>
      <c r="O61" s="10">
        <f t="shared" si="55"/>
        <v>4.6499999999999996E-3</v>
      </c>
    </row>
    <row r="62" spans="1:15" ht="14.25" customHeight="1" x14ac:dyDescent="0.3">
      <c r="A62" s="1"/>
      <c r="C62" s="21">
        <f t="shared" si="1"/>
        <v>54</v>
      </c>
      <c r="D62" s="1">
        <f>IF(ISNUMBER(VLOOKUP('Country selection'!$E$5,incidence!$A$2:$CX$9,$C62+2,FALSE)),VLOOKUP('Country selection'!$E$5,incidence!$A$2:$CX$9,$C62+2,FALSE),0)</f>
        <v>2.9300000000000002E-4</v>
      </c>
      <c r="E62" s="1">
        <f>IF(ISNUMBER(VLOOKUP('Country selection'!$E$5,mortcecx!$A$2:$CX$9,$C62+2,FALSE)),VLOOKUP('Country selection'!$E$5,mortcecx!$A$2:$CX$9,$C62+2,FALSE),0)</f>
        <v>1.46E-4</v>
      </c>
      <c r="F62" s="1">
        <f>IF(ISNUMBER(VLOOKUP('Country selection'!$E$5,mortall!$A$2:$CX$9,$C62+2,FALSE)),VLOOKUP('Country selection'!$E$5,mortall!$A$2:$CX$9,$C62+2,FALSE),0)</f>
        <v>5.0000000000000001E-3</v>
      </c>
      <c r="G62" s="1"/>
      <c r="H62" s="21">
        <f t="shared" si="2"/>
        <v>54</v>
      </c>
      <c r="I62" s="35"/>
      <c r="J62" s="35"/>
      <c r="K62" s="35"/>
      <c r="M62" s="10">
        <f t="shared" ref="M62:O62" si="56">IF(I62="",D62,I62)</f>
        <v>2.9300000000000002E-4</v>
      </c>
      <c r="N62" s="10">
        <f t="shared" si="56"/>
        <v>1.46E-4</v>
      </c>
      <c r="O62" s="10">
        <f t="shared" si="56"/>
        <v>5.0000000000000001E-3</v>
      </c>
    </row>
    <row r="63" spans="1:15" ht="14.25" customHeight="1" x14ac:dyDescent="0.3">
      <c r="A63" s="1"/>
      <c r="C63" s="21">
        <f t="shared" si="1"/>
        <v>55</v>
      </c>
      <c r="D63" s="1">
        <f>IF(ISNUMBER(VLOOKUP('Country selection'!$E$5,incidence!$A$2:$CX$9,$C63+2,FALSE)),VLOOKUP('Country selection'!$E$5,incidence!$A$2:$CX$9,$C63+2,FALSE),0)</f>
        <v>3.0600000000000001E-4</v>
      </c>
      <c r="E63" s="1">
        <f>IF(ISNUMBER(VLOOKUP('Country selection'!$E$5,mortcecx!$A$2:$CX$9,$C63+2,FALSE)),VLOOKUP('Country selection'!$E$5,mortcecx!$A$2:$CX$9,$C63+2,FALSE),0)</f>
        <v>1.5300000000000001E-4</v>
      </c>
      <c r="F63" s="1">
        <f>IF(ISNUMBER(VLOOKUP('Country selection'!$E$5,mortall!$A$2:$CX$9,$C63+2,FALSE)),VLOOKUP('Country selection'!$E$5,mortall!$A$2:$CX$9,$C63+2,FALSE),0)</f>
        <v>5.4000000000000003E-3</v>
      </c>
      <c r="G63" s="1"/>
      <c r="H63" s="21">
        <f t="shared" si="2"/>
        <v>55</v>
      </c>
      <c r="I63" s="35"/>
      <c r="J63" s="35"/>
      <c r="K63" s="35"/>
      <c r="M63" s="10">
        <f t="shared" ref="M63:O63" si="57">IF(I63="",D63,I63)</f>
        <v>3.0600000000000001E-4</v>
      </c>
      <c r="N63" s="10">
        <f t="shared" si="57"/>
        <v>1.5300000000000001E-4</v>
      </c>
      <c r="O63" s="10">
        <f t="shared" si="57"/>
        <v>5.4000000000000003E-3</v>
      </c>
    </row>
    <row r="64" spans="1:15" ht="14.25" customHeight="1" x14ac:dyDescent="0.3">
      <c r="A64" s="1"/>
      <c r="C64" s="21">
        <f t="shared" si="1"/>
        <v>56</v>
      </c>
      <c r="D64" s="1">
        <f>IF(ISNUMBER(VLOOKUP('Country selection'!$E$5,incidence!$A$2:$CX$9,$C64+2,FALSE)),VLOOKUP('Country selection'!$E$5,incidence!$A$2:$CX$9,$C64+2,FALSE),0)</f>
        <v>3.1100000000000002E-4</v>
      </c>
      <c r="E64" s="1">
        <f>IF(ISNUMBER(VLOOKUP('Country selection'!$E$5,mortcecx!$A$2:$CX$9,$C64+2,FALSE)),VLOOKUP('Country selection'!$E$5,mortcecx!$A$2:$CX$9,$C64+2,FALSE),0)</f>
        <v>1.56E-4</v>
      </c>
      <c r="F64" s="1">
        <f>IF(ISNUMBER(VLOOKUP('Country selection'!$E$5,mortall!$A$2:$CX$9,$C64+2,FALSE)),VLOOKUP('Country selection'!$E$5,mortall!$A$2:$CX$9,$C64+2,FALSE),0)</f>
        <v>5.8599999999999998E-3</v>
      </c>
      <c r="G64" s="1"/>
      <c r="H64" s="21">
        <f t="shared" si="2"/>
        <v>56</v>
      </c>
      <c r="I64" s="35"/>
      <c r="J64" s="35"/>
      <c r="K64" s="35"/>
      <c r="M64" s="10">
        <f t="shared" ref="M64:O64" si="58">IF(I64="",D64,I64)</f>
        <v>3.1100000000000002E-4</v>
      </c>
      <c r="N64" s="10">
        <f t="shared" si="58"/>
        <v>1.56E-4</v>
      </c>
      <c r="O64" s="10">
        <f t="shared" si="58"/>
        <v>5.8599999999999998E-3</v>
      </c>
    </row>
    <row r="65" spans="1:15" ht="14.25" customHeight="1" x14ac:dyDescent="0.3">
      <c r="A65" s="1"/>
      <c r="C65" s="21">
        <f t="shared" si="1"/>
        <v>57</v>
      </c>
      <c r="D65" s="1">
        <f>IF(ISNUMBER(VLOOKUP('Country selection'!$E$5,incidence!$A$2:$CX$9,$C65+2,FALSE)),VLOOKUP('Country selection'!$E$5,incidence!$A$2:$CX$9,$C65+2,FALSE),0)</f>
        <v>3.1799999999999998E-4</v>
      </c>
      <c r="E65" s="1">
        <f>IF(ISNUMBER(VLOOKUP('Country selection'!$E$5,mortcecx!$A$2:$CX$9,$C65+2,FALSE)),VLOOKUP('Country selection'!$E$5,mortcecx!$A$2:$CX$9,$C65+2,FALSE),0)</f>
        <v>1.5899999999999999E-4</v>
      </c>
      <c r="F65" s="1">
        <f>IF(ISNUMBER(VLOOKUP('Country selection'!$E$5,mortall!$A$2:$CX$9,$C65+2,FALSE)),VLOOKUP('Country selection'!$E$5,mortall!$A$2:$CX$9,$C65+2,FALSE),0)</f>
        <v>6.3899999999999998E-3</v>
      </c>
      <c r="G65" s="1"/>
      <c r="H65" s="21">
        <f t="shared" si="2"/>
        <v>57</v>
      </c>
      <c r="I65" s="35"/>
      <c r="J65" s="35"/>
      <c r="K65" s="35"/>
      <c r="M65" s="10">
        <f t="shared" ref="M65:O65" si="59">IF(I65="",D65,I65)</f>
        <v>3.1799999999999998E-4</v>
      </c>
      <c r="N65" s="10">
        <f t="shared" si="59"/>
        <v>1.5899999999999999E-4</v>
      </c>
      <c r="O65" s="10">
        <f t="shared" si="59"/>
        <v>6.3899999999999998E-3</v>
      </c>
    </row>
    <row r="66" spans="1:15" ht="14.25" customHeight="1" x14ac:dyDescent="0.3">
      <c r="A66" s="1"/>
      <c r="C66" s="21">
        <f t="shared" si="1"/>
        <v>58</v>
      </c>
      <c r="D66" s="1">
        <f>IF(ISNUMBER(VLOOKUP('Country selection'!$E$5,incidence!$A$2:$CX$9,$C66+2,FALSE)),VLOOKUP('Country selection'!$E$5,incidence!$A$2:$CX$9,$C66+2,FALSE),0)</f>
        <v>3.2699999999999998E-4</v>
      </c>
      <c r="E66" s="1">
        <f>IF(ISNUMBER(VLOOKUP('Country selection'!$E$5,mortcecx!$A$2:$CX$9,$C66+2,FALSE)),VLOOKUP('Country selection'!$E$5,mortcecx!$A$2:$CX$9,$C66+2,FALSE),0)</f>
        <v>1.64E-4</v>
      </c>
      <c r="F66" s="1">
        <f>IF(ISNUMBER(VLOOKUP('Country selection'!$E$5,mortall!$A$2:$CX$9,$C66+2,FALSE)),VLOOKUP('Country selection'!$E$5,mortall!$A$2:$CX$9,$C66+2,FALSE),0)</f>
        <v>7.0099999999999997E-3</v>
      </c>
      <c r="G66" s="1"/>
      <c r="H66" s="21">
        <f t="shared" si="2"/>
        <v>58</v>
      </c>
      <c r="I66" s="35"/>
      <c r="J66" s="35"/>
      <c r="K66" s="35"/>
      <c r="M66" s="10">
        <f t="shared" ref="M66:O66" si="60">IF(I66="",D66,I66)</f>
        <v>3.2699999999999998E-4</v>
      </c>
      <c r="N66" s="10">
        <f t="shared" si="60"/>
        <v>1.64E-4</v>
      </c>
      <c r="O66" s="10">
        <f t="shared" si="60"/>
        <v>7.0099999999999997E-3</v>
      </c>
    </row>
    <row r="67" spans="1:15" ht="14.25" customHeight="1" x14ac:dyDescent="0.3">
      <c r="A67" s="1"/>
      <c r="C67" s="21">
        <f t="shared" si="1"/>
        <v>59</v>
      </c>
      <c r="D67" s="1">
        <f>IF(ISNUMBER(VLOOKUP('Country selection'!$E$5,incidence!$A$2:$CX$9,$C67+2,FALSE)),VLOOKUP('Country selection'!$E$5,incidence!$A$2:$CX$9,$C67+2,FALSE),0)</f>
        <v>3.3799999999999998E-4</v>
      </c>
      <c r="E67" s="1">
        <f>IF(ISNUMBER(VLOOKUP('Country selection'!$E$5,mortcecx!$A$2:$CX$9,$C67+2,FALSE)),VLOOKUP('Country selection'!$E$5,mortcecx!$A$2:$CX$9,$C67+2,FALSE),0)</f>
        <v>1.6899999999999999E-4</v>
      </c>
      <c r="F67" s="1">
        <f>IF(ISNUMBER(VLOOKUP('Country selection'!$E$5,mortall!$A$2:$CX$9,$C67+2,FALSE)),VLOOKUP('Country selection'!$E$5,mortall!$A$2:$CX$9,$C67+2,FALSE),0)</f>
        <v>7.7200000000000003E-3</v>
      </c>
      <c r="G67" s="1"/>
      <c r="H67" s="21">
        <f t="shared" si="2"/>
        <v>59</v>
      </c>
      <c r="I67" s="35"/>
      <c r="J67" s="35"/>
      <c r="K67" s="35"/>
      <c r="M67" s="10">
        <f t="shared" ref="M67:O67" si="61">IF(I67="",D67,I67)</f>
        <v>3.3799999999999998E-4</v>
      </c>
      <c r="N67" s="10">
        <f t="shared" si="61"/>
        <v>1.6899999999999999E-4</v>
      </c>
      <c r="O67" s="10">
        <f t="shared" si="61"/>
        <v>7.7200000000000003E-3</v>
      </c>
    </row>
    <row r="68" spans="1:15" ht="14.25" customHeight="1" x14ac:dyDescent="0.3">
      <c r="A68" s="1"/>
      <c r="C68" s="21">
        <f t="shared" si="1"/>
        <v>60</v>
      </c>
      <c r="D68" s="1">
        <f>IF(ISNUMBER(VLOOKUP('Country selection'!$E$5,incidence!$A$2:$CX$9,$C68+2,FALSE)),VLOOKUP('Country selection'!$E$5,incidence!$A$2:$CX$9,$C68+2,FALSE),0)</f>
        <v>3.2299999999999999E-4</v>
      </c>
      <c r="E68" s="1">
        <f>IF(ISNUMBER(VLOOKUP('Country selection'!$E$5,mortcecx!$A$2:$CX$9,$C68+2,FALSE)),VLOOKUP('Country selection'!$E$5,mortcecx!$A$2:$CX$9,$C68+2,FALSE),0)</f>
        <v>1.65E-4</v>
      </c>
      <c r="F68" s="1">
        <f>IF(ISNUMBER(VLOOKUP('Country selection'!$E$5,mortall!$A$2:$CX$9,$C68+2,FALSE)),VLOOKUP('Country selection'!$E$5,mortall!$A$2:$CX$9,$C68+2,FALSE),0)</f>
        <v>8.5100000000000002E-3</v>
      </c>
      <c r="G68" s="1"/>
      <c r="H68" s="21">
        <f t="shared" si="2"/>
        <v>60</v>
      </c>
      <c r="I68" s="35"/>
      <c r="J68" s="35"/>
      <c r="K68" s="35"/>
      <c r="M68" s="10">
        <f t="shared" ref="M68:O68" si="62">IF(I68="",D68,I68)</f>
        <v>3.2299999999999999E-4</v>
      </c>
      <c r="N68" s="10">
        <f t="shared" si="62"/>
        <v>1.65E-4</v>
      </c>
      <c r="O68" s="10">
        <f t="shared" si="62"/>
        <v>8.5100000000000002E-3</v>
      </c>
    </row>
    <row r="69" spans="1:15" ht="14.25" customHeight="1" x14ac:dyDescent="0.3">
      <c r="A69" s="1"/>
      <c r="C69" s="21">
        <f t="shared" si="1"/>
        <v>61</v>
      </c>
      <c r="D69" s="1">
        <f>IF(ISNUMBER(VLOOKUP('Country selection'!$E$5,incidence!$A$2:$CX$9,$C69+2,FALSE)),VLOOKUP('Country selection'!$E$5,incidence!$A$2:$CX$9,$C69+2,FALSE),0)</f>
        <v>3.3500000000000001E-4</v>
      </c>
      <c r="E69" s="1">
        <f>IF(ISNUMBER(VLOOKUP('Country selection'!$E$5,mortcecx!$A$2:$CX$9,$C69+2,FALSE)),VLOOKUP('Country selection'!$E$5,mortcecx!$A$2:$CX$9,$C69+2,FALSE),0)</f>
        <v>1.7200000000000001E-4</v>
      </c>
      <c r="F69" s="1">
        <f>IF(ISNUMBER(VLOOKUP('Country selection'!$E$5,mortall!$A$2:$CX$9,$C69+2,FALSE)),VLOOKUP('Country selection'!$E$5,mortall!$A$2:$CX$9,$C69+2,FALSE),0)</f>
        <v>9.3699999999999999E-3</v>
      </c>
      <c r="G69" s="1"/>
      <c r="H69" s="21">
        <f t="shared" si="2"/>
        <v>61</v>
      </c>
      <c r="I69" s="35"/>
      <c r="J69" s="35"/>
      <c r="K69" s="35"/>
      <c r="M69" s="10">
        <f t="shared" ref="M69:O69" si="63">IF(I69="",D69,I69)</f>
        <v>3.3500000000000001E-4</v>
      </c>
      <c r="N69" s="10">
        <f t="shared" si="63"/>
        <v>1.7200000000000001E-4</v>
      </c>
      <c r="O69" s="10">
        <f t="shared" si="63"/>
        <v>9.3699999999999999E-3</v>
      </c>
    </row>
    <row r="70" spans="1:15" ht="14.25" customHeight="1" x14ac:dyDescent="0.3">
      <c r="A70" s="1"/>
      <c r="C70" s="21">
        <f t="shared" si="1"/>
        <v>62</v>
      </c>
      <c r="D70" s="1">
        <f>IF(ISNUMBER(VLOOKUP('Country selection'!$E$5,incidence!$A$2:$CX$9,$C70+2,FALSE)),VLOOKUP('Country selection'!$E$5,incidence!$A$2:$CX$9,$C70+2,FALSE),0)</f>
        <v>3.4900000000000003E-4</v>
      </c>
      <c r="E70" s="1">
        <f>IF(ISNUMBER(VLOOKUP('Country selection'!$E$5,mortcecx!$A$2:$CX$9,$C70+2,FALSE)),VLOOKUP('Country selection'!$E$5,mortcecx!$A$2:$CX$9,$C70+2,FALSE),0)</f>
        <v>1.7899999999999999E-4</v>
      </c>
      <c r="F70" s="1">
        <f>IF(ISNUMBER(VLOOKUP('Country selection'!$E$5,mortall!$A$2:$CX$9,$C70+2,FALSE)),VLOOKUP('Country selection'!$E$5,mortall!$A$2:$CX$9,$C70+2,FALSE),0)</f>
        <v>1.0290000000000001E-2</v>
      </c>
      <c r="G70" s="1"/>
      <c r="H70" s="21">
        <f t="shared" si="2"/>
        <v>62</v>
      </c>
      <c r="I70" s="35"/>
      <c r="J70" s="35"/>
      <c r="K70" s="35"/>
      <c r="M70" s="10">
        <f t="shared" ref="M70:O70" si="64">IF(I70="",D70,I70)</f>
        <v>3.4900000000000003E-4</v>
      </c>
      <c r="N70" s="10">
        <f t="shared" si="64"/>
        <v>1.7899999999999999E-4</v>
      </c>
      <c r="O70" s="10">
        <f t="shared" si="64"/>
        <v>1.0290000000000001E-2</v>
      </c>
    </row>
    <row r="71" spans="1:15" ht="14.25" customHeight="1" x14ac:dyDescent="0.3">
      <c r="A71" s="1"/>
      <c r="C71" s="21">
        <f t="shared" si="1"/>
        <v>63</v>
      </c>
      <c r="D71" s="1">
        <f>IF(ISNUMBER(VLOOKUP('Country selection'!$E$5,incidence!$A$2:$CX$9,$C71+2,FALSE)),VLOOKUP('Country selection'!$E$5,incidence!$A$2:$CX$9,$C71+2,FALSE),0)</f>
        <v>3.6499999999999998E-4</v>
      </c>
      <c r="E71" s="1">
        <f>IF(ISNUMBER(VLOOKUP('Country selection'!$E$5,mortcecx!$A$2:$CX$9,$C71+2,FALSE)),VLOOKUP('Country selection'!$E$5,mortcecx!$A$2:$CX$9,$C71+2,FALSE),0)</f>
        <v>1.8699999999999999E-4</v>
      </c>
      <c r="F71" s="1">
        <f>IF(ISNUMBER(VLOOKUP('Country selection'!$E$5,mortall!$A$2:$CX$9,$C71+2,FALSE)),VLOOKUP('Country selection'!$E$5,mortall!$A$2:$CX$9,$C71+2,FALSE),0)</f>
        <v>1.123E-2</v>
      </c>
      <c r="G71" s="1"/>
      <c r="H71" s="21">
        <f t="shared" si="2"/>
        <v>63</v>
      </c>
      <c r="I71" s="35"/>
      <c r="J71" s="35"/>
      <c r="K71" s="35"/>
      <c r="M71" s="10">
        <f t="shared" ref="M71:O71" si="65">IF(I71="",D71,I71)</f>
        <v>3.6499999999999998E-4</v>
      </c>
      <c r="N71" s="10">
        <f t="shared" si="65"/>
        <v>1.8699999999999999E-4</v>
      </c>
      <c r="O71" s="10">
        <f t="shared" si="65"/>
        <v>1.123E-2</v>
      </c>
    </row>
    <row r="72" spans="1:15" ht="14.25" customHeight="1" x14ac:dyDescent="0.3">
      <c r="A72" s="1"/>
      <c r="C72" s="21">
        <f t="shared" si="1"/>
        <v>64</v>
      </c>
      <c r="D72" s="1">
        <f>IF(ISNUMBER(VLOOKUP('Country selection'!$E$5,incidence!$A$2:$CX$9,$C72+2,FALSE)),VLOOKUP('Country selection'!$E$5,incidence!$A$2:$CX$9,$C72+2,FALSE),0)</f>
        <v>3.8099999999999999E-4</v>
      </c>
      <c r="E72" s="1">
        <f>IF(ISNUMBER(VLOOKUP('Country selection'!$E$5,mortcecx!$A$2:$CX$9,$C72+2,FALSE)),VLOOKUP('Country selection'!$E$5,mortcecx!$A$2:$CX$9,$C72+2,FALSE),0)</f>
        <v>1.95E-4</v>
      </c>
      <c r="F72" s="1">
        <f>IF(ISNUMBER(VLOOKUP('Country selection'!$E$5,mortall!$A$2:$CX$9,$C72+2,FALSE)),VLOOKUP('Country selection'!$E$5,mortall!$A$2:$CX$9,$C72+2,FALSE),0)</f>
        <v>1.2189999999999999E-2</v>
      </c>
      <c r="G72" s="1"/>
      <c r="H72" s="21">
        <f t="shared" si="2"/>
        <v>64</v>
      </c>
      <c r="I72" s="35"/>
      <c r="J72" s="35"/>
      <c r="K72" s="35"/>
      <c r="M72" s="10">
        <f t="shared" ref="M72:O72" si="66">IF(I72="",D72,I72)</f>
        <v>3.8099999999999999E-4</v>
      </c>
      <c r="N72" s="10">
        <f t="shared" si="66"/>
        <v>1.95E-4</v>
      </c>
      <c r="O72" s="10">
        <f t="shared" si="66"/>
        <v>1.2189999999999999E-2</v>
      </c>
    </row>
    <row r="73" spans="1:15" ht="14.25" customHeight="1" x14ac:dyDescent="0.3">
      <c r="A73" s="1"/>
      <c r="C73" s="21">
        <f t="shared" si="1"/>
        <v>65</v>
      </c>
      <c r="D73" s="1">
        <f>IF(ISNUMBER(VLOOKUP('Country selection'!$E$5,incidence!$A$2:$CX$9,$C73+2,FALSE)),VLOOKUP('Country selection'!$E$5,incidence!$A$2:$CX$9,$C73+2,FALSE),0)</f>
        <v>3.5E-4</v>
      </c>
      <c r="E73" s="1">
        <f>IF(ISNUMBER(VLOOKUP('Country selection'!$E$5,mortcecx!$A$2:$CX$9,$C73+2,FALSE)),VLOOKUP('Country selection'!$E$5,mortcecx!$A$2:$CX$9,$C73+2,FALSE),0)</f>
        <v>1.8699999999999999E-4</v>
      </c>
      <c r="F73" s="1">
        <f>IF(ISNUMBER(VLOOKUP('Country selection'!$E$5,mortall!$A$2:$CX$9,$C73+2,FALSE)),VLOOKUP('Country selection'!$E$5,mortall!$A$2:$CX$9,$C73+2,FALSE),0)</f>
        <v>1.319E-2</v>
      </c>
      <c r="G73" s="1"/>
      <c r="H73" s="21">
        <f t="shared" si="2"/>
        <v>65</v>
      </c>
      <c r="I73" s="35"/>
      <c r="J73" s="35"/>
      <c r="K73" s="35"/>
      <c r="M73" s="10">
        <f t="shared" ref="M73:O73" si="67">IF(I73="",D73,I73)</f>
        <v>3.5E-4</v>
      </c>
      <c r="N73" s="10">
        <f t="shared" si="67"/>
        <v>1.8699999999999999E-4</v>
      </c>
      <c r="O73" s="10">
        <f t="shared" si="67"/>
        <v>1.319E-2</v>
      </c>
    </row>
    <row r="74" spans="1:15" ht="14.25" customHeight="1" x14ac:dyDescent="0.3">
      <c r="A74" s="1"/>
      <c r="C74" s="21">
        <f t="shared" si="1"/>
        <v>66</v>
      </c>
      <c r="D74" s="1">
        <f>IF(ISNUMBER(VLOOKUP('Country selection'!$E$5,incidence!$A$2:$CX$9,$C74+2,FALSE)),VLOOKUP('Country selection'!$E$5,incidence!$A$2:$CX$9,$C74+2,FALSE),0)</f>
        <v>3.6699999999999998E-4</v>
      </c>
      <c r="E74" s="1">
        <f>IF(ISNUMBER(VLOOKUP('Country selection'!$E$5,mortcecx!$A$2:$CX$9,$C74+2,FALSE)),VLOOKUP('Country selection'!$E$5,mortcecx!$A$2:$CX$9,$C74+2,FALSE),0)</f>
        <v>1.9599999999999999E-4</v>
      </c>
      <c r="F74" s="1">
        <f>IF(ISNUMBER(VLOOKUP('Country selection'!$E$5,mortall!$A$2:$CX$9,$C74+2,FALSE)),VLOOKUP('Country selection'!$E$5,mortall!$A$2:$CX$9,$C74+2,FALSE),0)</f>
        <v>1.4250000000000001E-2</v>
      </c>
      <c r="G74" s="1"/>
      <c r="H74" s="21">
        <f t="shared" si="2"/>
        <v>66</v>
      </c>
      <c r="I74" s="35"/>
      <c r="J74" s="35"/>
      <c r="K74" s="35"/>
      <c r="M74" s="10">
        <f t="shared" ref="M74:O74" si="68">IF(I74="",D74,I74)</f>
        <v>3.6699999999999998E-4</v>
      </c>
      <c r="N74" s="10">
        <f t="shared" si="68"/>
        <v>1.9599999999999999E-4</v>
      </c>
      <c r="O74" s="10">
        <f t="shared" si="68"/>
        <v>1.4250000000000001E-2</v>
      </c>
    </row>
    <row r="75" spans="1:15" ht="14.25" customHeight="1" x14ac:dyDescent="0.3">
      <c r="A75" s="1"/>
      <c r="C75" s="21">
        <f t="shared" si="1"/>
        <v>67</v>
      </c>
      <c r="D75" s="1">
        <f>IF(ISNUMBER(VLOOKUP('Country selection'!$E$5,incidence!$A$2:$CX$9,$C75+2,FALSE)),VLOOKUP('Country selection'!$E$5,incidence!$A$2:$CX$9,$C75+2,FALSE),0)</f>
        <v>3.8499999999999998E-4</v>
      </c>
      <c r="E75" s="1">
        <f>IF(ISNUMBER(VLOOKUP('Country selection'!$E$5,mortcecx!$A$2:$CX$9,$C75+2,FALSE)),VLOOKUP('Country selection'!$E$5,mortcecx!$A$2:$CX$9,$C75+2,FALSE),0)</f>
        <v>2.0599999999999999E-4</v>
      </c>
      <c r="F75" s="1">
        <f>IF(ISNUMBER(VLOOKUP('Country selection'!$E$5,mortall!$A$2:$CX$9,$C75+2,FALSE)),VLOOKUP('Country selection'!$E$5,mortall!$A$2:$CX$9,$C75+2,FALSE),0)</f>
        <v>1.54E-2</v>
      </c>
      <c r="G75" s="1"/>
      <c r="H75" s="21">
        <f t="shared" si="2"/>
        <v>67</v>
      </c>
      <c r="I75" s="35"/>
      <c r="J75" s="35"/>
      <c r="K75" s="35"/>
      <c r="M75" s="10">
        <f t="shared" ref="M75:O75" si="69">IF(I75="",D75,I75)</f>
        <v>3.8499999999999998E-4</v>
      </c>
      <c r="N75" s="10">
        <f t="shared" si="69"/>
        <v>2.0599999999999999E-4</v>
      </c>
      <c r="O75" s="10">
        <f t="shared" si="69"/>
        <v>1.54E-2</v>
      </c>
    </row>
    <row r="76" spans="1:15" ht="14.25" customHeight="1" x14ac:dyDescent="0.3">
      <c r="A76" s="1"/>
      <c r="C76" s="21">
        <f t="shared" si="1"/>
        <v>68</v>
      </c>
      <c r="D76" s="1">
        <f>IF(ISNUMBER(VLOOKUP('Country selection'!$E$5,incidence!$A$2:$CX$9,$C76+2,FALSE)),VLOOKUP('Country selection'!$E$5,incidence!$A$2:$CX$9,$C76+2,FALSE),0)</f>
        <v>4.0299999999999998E-4</v>
      </c>
      <c r="E76" s="1">
        <f>IF(ISNUMBER(VLOOKUP('Country selection'!$E$5,mortcecx!$A$2:$CX$9,$C76+2,FALSE)),VLOOKUP('Country selection'!$E$5,mortcecx!$A$2:$CX$9,$C76+2,FALSE),0)</f>
        <v>2.1599999999999999E-4</v>
      </c>
      <c r="F76" s="1">
        <f>IF(ISNUMBER(VLOOKUP('Country selection'!$E$5,mortall!$A$2:$CX$9,$C76+2,FALSE)),VLOOKUP('Country selection'!$E$5,mortall!$A$2:$CX$9,$C76+2,FALSE),0)</f>
        <v>1.67E-2</v>
      </c>
      <c r="G76" s="1"/>
      <c r="H76" s="21">
        <f t="shared" si="2"/>
        <v>68</v>
      </c>
      <c r="I76" s="35"/>
      <c r="J76" s="35"/>
      <c r="K76" s="35"/>
      <c r="M76" s="10">
        <f t="shared" ref="M76:O76" si="70">IF(I76="",D76,I76)</f>
        <v>4.0299999999999998E-4</v>
      </c>
      <c r="N76" s="10">
        <f t="shared" si="70"/>
        <v>2.1599999999999999E-4</v>
      </c>
      <c r="O76" s="10">
        <f t="shared" si="70"/>
        <v>1.67E-2</v>
      </c>
    </row>
    <row r="77" spans="1:15" ht="14.25" customHeight="1" x14ac:dyDescent="0.3">
      <c r="A77" s="1"/>
      <c r="C77" s="21">
        <f t="shared" si="1"/>
        <v>69</v>
      </c>
      <c r="D77" s="1">
        <f>IF(ISNUMBER(VLOOKUP('Country selection'!$E$5,incidence!$A$2:$CX$9,$C77+2,FALSE)),VLOOKUP('Country selection'!$E$5,incidence!$A$2:$CX$9,$C77+2,FALSE),0)</f>
        <v>4.2400000000000001E-4</v>
      </c>
      <c r="E77" s="1">
        <f>IF(ISNUMBER(VLOOKUP('Country selection'!$E$5,mortcecx!$A$2:$CX$9,$C77+2,FALSE)),VLOOKUP('Country selection'!$E$5,mortcecx!$A$2:$CX$9,$C77+2,FALSE),0)</f>
        <v>2.2699999999999999E-4</v>
      </c>
      <c r="F77" s="1">
        <f>IF(ISNUMBER(VLOOKUP('Country selection'!$E$5,mortall!$A$2:$CX$9,$C77+2,FALSE)),VLOOKUP('Country selection'!$E$5,mortall!$A$2:$CX$9,$C77+2,FALSE),0)</f>
        <v>1.8169999999999999E-2</v>
      </c>
      <c r="G77" s="1"/>
      <c r="H77" s="21">
        <f t="shared" si="2"/>
        <v>69</v>
      </c>
      <c r="I77" s="35"/>
      <c r="J77" s="35"/>
      <c r="K77" s="35"/>
      <c r="M77" s="10">
        <f t="shared" ref="M77:O77" si="71">IF(I77="",D77,I77)</f>
        <v>4.2400000000000001E-4</v>
      </c>
      <c r="N77" s="10">
        <f t="shared" si="71"/>
        <v>2.2699999999999999E-4</v>
      </c>
      <c r="O77" s="10">
        <f t="shared" si="71"/>
        <v>1.8169999999999999E-2</v>
      </c>
    </row>
    <row r="78" spans="1:15" ht="14.25" customHeight="1" x14ac:dyDescent="0.3">
      <c r="A78" s="1"/>
      <c r="C78" s="21">
        <f t="shared" si="1"/>
        <v>70</v>
      </c>
      <c r="D78" s="1">
        <f>IF(ISNUMBER(VLOOKUP('Country selection'!$E$5,incidence!$A$2:$CX$9,$C78+2,FALSE)),VLOOKUP('Country selection'!$E$5,incidence!$A$2:$CX$9,$C78+2,FALSE),0)</f>
        <v>3.5199999999999999E-4</v>
      </c>
      <c r="E78" s="1">
        <f>IF(ISNUMBER(VLOOKUP('Country selection'!$E$5,mortcecx!$A$2:$CX$9,$C78+2,FALSE)),VLOOKUP('Country selection'!$E$5,mortcecx!$A$2:$CX$9,$C78+2,FALSE),0)</f>
        <v>2.05E-4</v>
      </c>
      <c r="F78" s="1">
        <f>IF(ISNUMBER(VLOOKUP('Country selection'!$E$5,mortall!$A$2:$CX$9,$C78+2,FALSE)),VLOOKUP('Country selection'!$E$5,mortall!$A$2:$CX$9,$C78+2,FALSE),0)</f>
        <v>1.9859999999999999E-2</v>
      </c>
      <c r="G78" s="1"/>
      <c r="H78" s="21">
        <f t="shared" si="2"/>
        <v>70</v>
      </c>
      <c r="I78" s="35"/>
      <c r="J78" s="35"/>
      <c r="K78" s="35"/>
      <c r="M78" s="10">
        <f t="shared" ref="M78:O78" si="72">IF(I78="",D78,I78)</f>
        <v>3.5199999999999999E-4</v>
      </c>
      <c r="N78" s="10">
        <f t="shared" si="72"/>
        <v>2.05E-4</v>
      </c>
      <c r="O78" s="10">
        <f t="shared" si="72"/>
        <v>1.9859999999999999E-2</v>
      </c>
    </row>
    <row r="79" spans="1:15" ht="14.25" customHeight="1" x14ac:dyDescent="0.3">
      <c r="A79" s="1"/>
      <c r="C79" s="21">
        <f t="shared" si="1"/>
        <v>71</v>
      </c>
      <c r="D79" s="1">
        <f>IF(ISNUMBER(VLOOKUP('Country selection'!$E$5,incidence!$A$2:$CX$9,$C79+2,FALSE)),VLOOKUP('Country selection'!$E$5,incidence!$A$2:$CX$9,$C79+2,FALSE),0)</f>
        <v>3.8299999999999999E-4</v>
      </c>
      <c r="E79" s="1">
        <f>IF(ISNUMBER(VLOOKUP('Country selection'!$E$5,mortcecx!$A$2:$CX$9,$C79+2,FALSE)),VLOOKUP('Country selection'!$E$5,mortcecx!$A$2:$CX$9,$C79+2,FALSE),0)</f>
        <v>2.23E-4</v>
      </c>
      <c r="F79" s="1">
        <f>IF(ISNUMBER(VLOOKUP('Country selection'!$E$5,mortall!$A$2:$CX$9,$C79+2,FALSE)),VLOOKUP('Country selection'!$E$5,mortall!$A$2:$CX$9,$C79+2,FALSE),0)</f>
        <v>2.1780000000000001E-2</v>
      </c>
      <c r="G79" s="1"/>
      <c r="H79" s="21">
        <f t="shared" si="2"/>
        <v>71</v>
      </c>
      <c r="I79" s="35"/>
      <c r="J79" s="35"/>
      <c r="K79" s="35"/>
      <c r="M79" s="10">
        <f t="shared" ref="M79:O79" si="73">IF(I79="",D79,I79)</f>
        <v>3.8299999999999999E-4</v>
      </c>
      <c r="N79" s="10">
        <f t="shared" si="73"/>
        <v>2.23E-4</v>
      </c>
      <c r="O79" s="10">
        <f t="shared" si="73"/>
        <v>2.1780000000000001E-2</v>
      </c>
    </row>
    <row r="80" spans="1:15" ht="14.25" customHeight="1" x14ac:dyDescent="0.3">
      <c r="A80" s="1"/>
      <c r="C80" s="21">
        <f t="shared" si="1"/>
        <v>72</v>
      </c>
      <c r="D80" s="1">
        <f>IF(ISNUMBER(VLOOKUP('Country selection'!$E$5,incidence!$A$2:$CX$9,$C80+2,FALSE)),VLOOKUP('Country selection'!$E$5,incidence!$A$2:$CX$9,$C80+2,FALSE),0)</f>
        <v>4.2099999999999999E-4</v>
      </c>
      <c r="E80" s="1">
        <f>IF(ISNUMBER(VLOOKUP('Country selection'!$E$5,mortcecx!$A$2:$CX$9,$C80+2,FALSE)),VLOOKUP('Country selection'!$E$5,mortcecx!$A$2:$CX$9,$C80+2,FALSE),0)</f>
        <v>2.4499999999999999E-4</v>
      </c>
      <c r="F80" s="1">
        <f>IF(ISNUMBER(VLOOKUP('Country selection'!$E$5,mortall!$A$2:$CX$9,$C80+2,FALSE)),VLOOKUP('Country selection'!$E$5,mortall!$A$2:$CX$9,$C80+2,FALSE),0)</f>
        <v>2.3959999999999999E-2</v>
      </c>
      <c r="G80" s="1"/>
      <c r="H80" s="21">
        <f t="shared" si="2"/>
        <v>72</v>
      </c>
      <c r="I80" s="35"/>
      <c r="J80" s="35"/>
      <c r="K80" s="35"/>
      <c r="M80" s="10">
        <f t="shared" ref="M80:O80" si="74">IF(I80="",D80,I80)</f>
        <v>4.2099999999999999E-4</v>
      </c>
      <c r="N80" s="10">
        <f t="shared" si="74"/>
        <v>2.4499999999999999E-4</v>
      </c>
      <c r="O80" s="10">
        <f t="shared" si="74"/>
        <v>2.3959999999999999E-2</v>
      </c>
    </row>
    <row r="81" spans="1:15" ht="14.25" customHeight="1" x14ac:dyDescent="0.3">
      <c r="A81" s="1"/>
      <c r="C81" s="21">
        <f t="shared" si="1"/>
        <v>73</v>
      </c>
      <c r="D81" s="1">
        <f>IF(ISNUMBER(VLOOKUP('Country selection'!$E$5,incidence!$A$2:$CX$9,$C81+2,FALSE)),VLOOKUP('Country selection'!$E$5,incidence!$A$2:$CX$9,$C81+2,FALSE),0)</f>
        <v>4.57E-4</v>
      </c>
      <c r="E81" s="1">
        <f>IF(ISNUMBER(VLOOKUP('Country selection'!$E$5,mortcecx!$A$2:$CX$9,$C81+2,FALSE)),VLOOKUP('Country selection'!$E$5,mortcecx!$A$2:$CX$9,$C81+2,FALSE),0)</f>
        <v>2.6600000000000001E-4</v>
      </c>
      <c r="F81" s="1">
        <f>IF(ISNUMBER(VLOOKUP('Country selection'!$E$5,mortall!$A$2:$CX$9,$C81+2,FALSE)),VLOOKUP('Country selection'!$E$5,mortall!$A$2:$CX$9,$C81+2,FALSE),0)</f>
        <v>2.64E-2</v>
      </c>
      <c r="G81" s="1"/>
      <c r="H81" s="21">
        <f t="shared" si="2"/>
        <v>73</v>
      </c>
      <c r="I81" s="35"/>
      <c r="J81" s="35"/>
      <c r="K81" s="35"/>
      <c r="M81" s="10">
        <f t="shared" ref="M81:O81" si="75">IF(I81="",D81,I81)</f>
        <v>4.57E-4</v>
      </c>
      <c r="N81" s="10">
        <f t="shared" si="75"/>
        <v>2.6600000000000001E-4</v>
      </c>
      <c r="O81" s="10">
        <f t="shared" si="75"/>
        <v>2.64E-2</v>
      </c>
    </row>
    <row r="82" spans="1:15" ht="14.25" customHeight="1" x14ac:dyDescent="0.3">
      <c r="A82" s="1"/>
      <c r="C82" s="21">
        <f t="shared" si="1"/>
        <v>74</v>
      </c>
      <c r="D82" s="1">
        <f>IF(ISNUMBER(VLOOKUP('Country selection'!$E$5,incidence!$A$2:$CX$9,$C82+2,FALSE)),VLOOKUP('Country selection'!$E$5,incidence!$A$2:$CX$9,$C82+2,FALSE),0)</f>
        <v>4.95E-4</v>
      </c>
      <c r="E82" s="1">
        <f>IF(ISNUMBER(VLOOKUP('Country selection'!$E$5,mortcecx!$A$2:$CX$9,$C82+2,FALSE)),VLOOKUP('Country selection'!$E$5,mortcecx!$A$2:$CX$9,$C82+2,FALSE),0)</f>
        <v>2.8800000000000001E-4</v>
      </c>
      <c r="F82" s="1">
        <f>IF(ISNUMBER(VLOOKUP('Country selection'!$E$5,mortall!$A$2:$CX$9,$C82+2,FALSE)),VLOOKUP('Country selection'!$E$5,mortall!$A$2:$CX$9,$C82+2,FALSE),0)</f>
        <v>2.912E-2</v>
      </c>
      <c r="G82" s="1"/>
      <c r="H82" s="21">
        <f t="shared" si="2"/>
        <v>74</v>
      </c>
      <c r="I82" s="35"/>
      <c r="J82" s="35"/>
      <c r="K82" s="35"/>
      <c r="M82" s="10">
        <f t="shared" ref="M82:O82" si="76">IF(I82="",D82,I82)</f>
        <v>4.95E-4</v>
      </c>
      <c r="N82" s="10">
        <f t="shared" si="76"/>
        <v>2.8800000000000001E-4</v>
      </c>
      <c r="O82" s="10">
        <f t="shared" si="76"/>
        <v>2.912E-2</v>
      </c>
    </row>
    <row r="83" spans="1:15" ht="14.25" customHeight="1" x14ac:dyDescent="0.3">
      <c r="A83" s="1"/>
      <c r="C83" s="21">
        <f t="shared" si="1"/>
        <v>75</v>
      </c>
      <c r="D83" s="1">
        <f>IF(ISNUMBER(VLOOKUP('Country selection'!$E$5,incidence!$A$2:$CX$9,$C83+2,FALSE)),VLOOKUP('Country selection'!$E$5,incidence!$A$2:$CX$9,$C83+2,FALSE),0)</f>
        <v>3.7800000000000003E-4</v>
      </c>
      <c r="E83" s="1">
        <f>IF(ISNUMBER(VLOOKUP('Country selection'!$E$5,mortcecx!$A$2:$CX$9,$C83+2,FALSE)),VLOOKUP('Country selection'!$E$5,mortcecx!$A$2:$CX$9,$C83+2,FALSE),0)</f>
        <v>2.5099999999999998E-4</v>
      </c>
      <c r="F83" s="1">
        <f>IF(ISNUMBER(VLOOKUP('Country selection'!$E$5,mortall!$A$2:$CX$9,$C83+2,FALSE)),VLOOKUP('Country selection'!$E$5,mortall!$A$2:$CX$9,$C83+2,FALSE),0)</f>
        <v>3.2099999999999997E-2</v>
      </c>
      <c r="G83" s="1"/>
      <c r="H83" s="21">
        <f t="shared" si="2"/>
        <v>75</v>
      </c>
      <c r="I83" s="35"/>
      <c r="J83" s="35"/>
      <c r="K83" s="35"/>
      <c r="M83" s="10">
        <f t="shared" ref="M83:O83" si="77">IF(I83="",D83,I83)</f>
        <v>3.7800000000000003E-4</v>
      </c>
      <c r="N83" s="10">
        <f t="shared" si="77"/>
        <v>2.5099999999999998E-4</v>
      </c>
      <c r="O83" s="10">
        <f t="shared" si="77"/>
        <v>3.2099999999999997E-2</v>
      </c>
    </row>
    <row r="84" spans="1:15" ht="14.25" customHeight="1" x14ac:dyDescent="0.3">
      <c r="A84" s="1"/>
      <c r="C84" s="21">
        <f t="shared" si="1"/>
        <v>76</v>
      </c>
      <c r="D84" s="1">
        <f>IF(ISNUMBER(VLOOKUP('Country selection'!$E$5,incidence!$A$2:$CX$9,$C84+2,FALSE)),VLOOKUP('Country selection'!$E$5,incidence!$A$2:$CX$9,$C84+2,FALSE),0)</f>
        <v>4.0299999999999998E-4</v>
      </c>
      <c r="E84" s="1">
        <f>IF(ISNUMBER(VLOOKUP('Country selection'!$E$5,mortcecx!$A$2:$CX$9,$C84+2,FALSE)),VLOOKUP('Country selection'!$E$5,mortcecx!$A$2:$CX$9,$C84+2,FALSE),0)</f>
        <v>2.6800000000000001E-4</v>
      </c>
      <c r="F84" s="1">
        <f>IF(ISNUMBER(VLOOKUP('Country selection'!$E$5,mortall!$A$2:$CX$9,$C84+2,FALSE)),VLOOKUP('Country selection'!$E$5,mortall!$A$2:$CX$9,$C84+2,FALSE),0)</f>
        <v>3.5340000000000003E-2</v>
      </c>
      <c r="G84" s="1"/>
      <c r="H84" s="21">
        <f t="shared" si="2"/>
        <v>76</v>
      </c>
      <c r="I84" s="35"/>
      <c r="J84" s="35"/>
      <c r="K84" s="35"/>
      <c r="M84" s="10">
        <f t="shared" ref="M84:O84" si="78">IF(I84="",D84,I84)</f>
        <v>4.0299999999999998E-4</v>
      </c>
      <c r="N84" s="10">
        <f t="shared" si="78"/>
        <v>2.6800000000000001E-4</v>
      </c>
      <c r="O84" s="10">
        <f t="shared" si="78"/>
        <v>3.5340000000000003E-2</v>
      </c>
    </row>
    <row r="85" spans="1:15" ht="14.25" customHeight="1" x14ac:dyDescent="0.3">
      <c r="A85" s="1"/>
      <c r="C85" s="21">
        <f t="shared" si="1"/>
        <v>77</v>
      </c>
      <c r="D85" s="1">
        <f>IF(ISNUMBER(VLOOKUP('Country selection'!$E$5,incidence!$A$2:$CX$9,$C85+2,FALSE)),VLOOKUP('Country selection'!$E$5,incidence!$A$2:$CX$9,$C85+2,FALSE),0)</f>
        <v>4.2999999999999999E-4</v>
      </c>
      <c r="E85" s="1">
        <f>IF(ISNUMBER(VLOOKUP('Country selection'!$E$5,mortcecx!$A$2:$CX$9,$C85+2,FALSE)),VLOOKUP('Country selection'!$E$5,mortcecx!$A$2:$CX$9,$C85+2,FALSE),0)</f>
        <v>2.8600000000000001E-4</v>
      </c>
      <c r="F85" s="1">
        <f>IF(ISNUMBER(VLOOKUP('Country selection'!$E$5,mortall!$A$2:$CX$9,$C85+2,FALSE)),VLOOKUP('Country selection'!$E$5,mortall!$A$2:$CX$9,$C85+2,FALSE),0)</f>
        <v>3.8800000000000001E-2</v>
      </c>
      <c r="G85" s="1"/>
      <c r="H85" s="21">
        <f t="shared" si="2"/>
        <v>77</v>
      </c>
      <c r="I85" s="35"/>
      <c r="J85" s="35"/>
      <c r="K85" s="35"/>
      <c r="M85" s="10">
        <f t="shared" ref="M85:O85" si="79">IF(I85="",D85,I85)</f>
        <v>4.2999999999999999E-4</v>
      </c>
      <c r="N85" s="10">
        <f t="shared" si="79"/>
        <v>2.8600000000000001E-4</v>
      </c>
      <c r="O85" s="10">
        <f t="shared" si="79"/>
        <v>3.8800000000000001E-2</v>
      </c>
    </row>
    <row r="86" spans="1:15" ht="14.25" customHeight="1" x14ac:dyDescent="0.3">
      <c r="A86" s="1"/>
      <c r="C86" s="21">
        <f t="shared" si="1"/>
        <v>78</v>
      </c>
      <c r="D86" s="1">
        <f>IF(ISNUMBER(VLOOKUP('Country selection'!$E$5,incidence!$A$2:$CX$9,$C86+2,FALSE)),VLOOKUP('Country selection'!$E$5,incidence!$A$2:$CX$9,$C86+2,FALSE),0)</f>
        <v>4.6000000000000001E-4</v>
      </c>
      <c r="E86" s="1">
        <f>IF(ISNUMBER(VLOOKUP('Country selection'!$E$5,mortcecx!$A$2:$CX$9,$C86+2,FALSE)),VLOOKUP('Country selection'!$E$5,mortcecx!$A$2:$CX$9,$C86+2,FALSE),0)</f>
        <v>3.0600000000000001E-4</v>
      </c>
      <c r="F86" s="1">
        <f>IF(ISNUMBER(VLOOKUP('Country selection'!$E$5,mortall!$A$2:$CX$9,$C86+2,FALSE)),VLOOKUP('Country selection'!$E$5,mortall!$A$2:$CX$9,$C86+2,FALSE),0)</f>
        <v>4.2500000000000003E-2</v>
      </c>
      <c r="G86" s="1"/>
      <c r="H86" s="21">
        <f t="shared" si="2"/>
        <v>78</v>
      </c>
      <c r="I86" s="35"/>
      <c r="J86" s="35"/>
      <c r="K86" s="35"/>
      <c r="M86" s="10">
        <f t="shared" ref="M86:O86" si="80">IF(I86="",D86,I86)</f>
        <v>4.6000000000000001E-4</v>
      </c>
      <c r="N86" s="10">
        <f t="shared" si="80"/>
        <v>3.0600000000000001E-4</v>
      </c>
      <c r="O86" s="10">
        <f t="shared" si="80"/>
        <v>4.2500000000000003E-2</v>
      </c>
    </row>
    <row r="87" spans="1:15" ht="14.25" customHeight="1" x14ac:dyDescent="0.3">
      <c r="A87" s="1"/>
      <c r="C87" s="21">
        <f t="shared" si="1"/>
        <v>79</v>
      </c>
      <c r="D87" s="1">
        <f>IF(ISNUMBER(VLOOKUP('Country selection'!$E$5,incidence!$A$2:$CX$9,$C87+2,FALSE)),VLOOKUP('Country selection'!$E$5,incidence!$A$2:$CX$9,$C87+2,FALSE),0)</f>
        <v>4.9600000000000002E-4</v>
      </c>
      <c r="E87" s="1">
        <f>IF(ISNUMBER(VLOOKUP('Country selection'!$E$5,mortcecx!$A$2:$CX$9,$C87+2,FALSE)),VLOOKUP('Country selection'!$E$5,mortcecx!$A$2:$CX$9,$C87+2,FALSE),0)</f>
        <v>3.3E-4</v>
      </c>
      <c r="F87" s="1">
        <f>IF(ISNUMBER(VLOOKUP('Country selection'!$E$5,mortall!$A$2:$CX$9,$C87+2,FALSE)),VLOOKUP('Country selection'!$E$5,mortall!$A$2:$CX$9,$C87+2,FALSE),0)</f>
        <v>4.6420000000000003E-2</v>
      </c>
      <c r="G87" s="1"/>
      <c r="H87" s="21">
        <f t="shared" si="2"/>
        <v>79</v>
      </c>
      <c r="I87" s="35"/>
      <c r="J87" s="35"/>
      <c r="K87" s="35"/>
      <c r="M87" s="10">
        <f t="shared" ref="M87:O87" si="81">IF(I87="",D87,I87)</f>
        <v>4.9600000000000002E-4</v>
      </c>
      <c r="N87" s="10">
        <f t="shared" si="81"/>
        <v>3.3E-4</v>
      </c>
      <c r="O87" s="10">
        <f t="shared" si="81"/>
        <v>4.6420000000000003E-2</v>
      </c>
    </row>
    <row r="88" spans="1:15" ht="14.25" customHeight="1" x14ac:dyDescent="0.3">
      <c r="A88" s="1"/>
      <c r="C88" s="21">
        <f t="shared" si="1"/>
        <v>80</v>
      </c>
      <c r="D88" s="1">
        <f>IF(ISNUMBER(VLOOKUP('Country selection'!$E$5,incidence!$A$2:$CX$9,$C88+2,FALSE)),VLOOKUP('Country selection'!$E$5,incidence!$A$2:$CX$9,$C88+2,FALSE),0)</f>
        <v>3.8499999999999998E-4</v>
      </c>
      <c r="E88" s="1">
        <f>IF(ISNUMBER(VLOOKUP('Country selection'!$E$5,mortcecx!$A$2:$CX$9,$C88+2,FALSE)),VLOOKUP('Country selection'!$E$5,mortcecx!$A$2:$CX$9,$C88+2,FALSE),0)</f>
        <v>2.9799999999999998E-4</v>
      </c>
      <c r="F88" s="1">
        <f>IF(ISNUMBER(VLOOKUP('Country selection'!$E$5,mortall!$A$2:$CX$9,$C88+2,FALSE)),VLOOKUP('Country selection'!$E$5,mortall!$A$2:$CX$9,$C88+2,FALSE),0)</f>
        <v>5.926E-2</v>
      </c>
      <c r="G88" s="1"/>
      <c r="H88" s="21">
        <f t="shared" si="2"/>
        <v>80</v>
      </c>
      <c r="I88" s="35"/>
      <c r="J88" s="35"/>
      <c r="K88" s="35"/>
      <c r="M88" s="10">
        <f t="shared" ref="M88:O88" si="82">IF(I88="",D88,I88)</f>
        <v>3.8499999999999998E-4</v>
      </c>
      <c r="N88" s="10">
        <f t="shared" si="82"/>
        <v>2.9799999999999998E-4</v>
      </c>
      <c r="O88" s="10">
        <f t="shared" si="82"/>
        <v>5.926E-2</v>
      </c>
    </row>
    <row r="89" spans="1:15" ht="14.25" customHeight="1" x14ac:dyDescent="0.3">
      <c r="A89" s="1"/>
      <c r="C89" s="21">
        <f t="shared" si="1"/>
        <v>81</v>
      </c>
      <c r="D89" s="1">
        <f>IF(ISNUMBER(VLOOKUP('Country selection'!$E$5,incidence!$A$2:$CX$9,$C89+2,FALSE)),VLOOKUP('Country selection'!$E$5,incidence!$A$2:$CX$9,$C89+2,FALSE),0)</f>
        <v>4.2200000000000001E-4</v>
      </c>
      <c r="E89" s="1">
        <f>IF(ISNUMBER(VLOOKUP('Country selection'!$E$5,mortcecx!$A$2:$CX$9,$C89+2,FALSE)),VLOOKUP('Country selection'!$E$5,mortcecx!$A$2:$CX$9,$C89+2,FALSE),0)</f>
        <v>3.2699999999999998E-4</v>
      </c>
      <c r="F89" s="1">
        <f>IF(ISNUMBER(VLOOKUP('Country selection'!$E$5,mortall!$A$2:$CX$9,$C89+2,FALSE)),VLOOKUP('Country selection'!$E$5,mortall!$A$2:$CX$9,$C89+2,FALSE),0)</f>
        <v>6.9250000000000006E-2</v>
      </c>
      <c r="G89" s="1"/>
      <c r="H89" s="21">
        <f t="shared" si="2"/>
        <v>81</v>
      </c>
      <c r="I89" s="35"/>
      <c r="J89" s="35"/>
      <c r="K89" s="35"/>
      <c r="M89" s="10">
        <f t="shared" ref="M89:O89" si="83">IF(I89="",D89,I89)</f>
        <v>4.2200000000000001E-4</v>
      </c>
      <c r="N89" s="10">
        <f t="shared" si="83"/>
        <v>3.2699999999999998E-4</v>
      </c>
      <c r="O89" s="10">
        <f t="shared" si="83"/>
        <v>6.9250000000000006E-2</v>
      </c>
    </row>
    <row r="90" spans="1:15" ht="14.25" customHeight="1" x14ac:dyDescent="0.3">
      <c r="A90" s="1"/>
      <c r="C90" s="21">
        <f t="shared" si="1"/>
        <v>82</v>
      </c>
      <c r="D90" s="1">
        <f>IF(ISNUMBER(VLOOKUP('Country selection'!$E$5,incidence!$A$2:$CX$9,$C90+2,FALSE)),VLOOKUP('Country selection'!$E$5,incidence!$A$2:$CX$9,$C90+2,FALSE),0)</f>
        <v>4.7199999999999998E-4</v>
      </c>
      <c r="E90" s="1">
        <f>IF(ISNUMBER(VLOOKUP('Country selection'!$E$5,mortcecx!$A$2:$CX$9,$C90+2,FALSE)),VLOOKUP('Country selection'!$E$5,mortcecx!$A$2:$CX$9,$C90+2,FALSE),0)</f>
        <v>3.6600000000000001E-4</v>
      </c>
      <c r="F90" s="1">
        <f>IF(ISNUMBER(VLOOKUP('Country selection'!$E$5,mortall!$A$2:$CX$9,$C90+2,FALSE)),VLOOKUP('Country selection'!$E$5,mortall!$A$2:$CX$9,$C90+2,FALSE),0)</f>
        <v>8.1369999999999998E-2</v>
      </c>
      <c r="G90" s="1"/>
      <c r="H90" s="21">
        <f t="shared" si="2"/>
        <v>82</v>
      </c>
      <c r="I90" s="35"/>
      <c r="J90" s="35"/>
      <c r="K90" s="35"/>
      <c r="M90" s="10">
        <f t="shared" ref="M90:O90" si="84">IF(I90="",D90,I90)</f>
        <v>4.7199999999999998E-4</v>
      </c>
      <c r="N90" s="10">
        <f t="shared" si="84"/>
        <v>3.6600000000000001E-4</v>
      </c>
      <c r="O90" s="10">
        <f t="shared" si="84"/>
        <v>8.1369999999999998E-2</v>
      </c>
    </row>
    <row r="91" spans="1:15" ht="14.25" customHeight="1" x14ac:dyDescent="0.3">
      <c r="A91" s="1"/>
      <c r="C91" s="21">
        <f t="shared" si="1"/>
        <v>83</v>
      </c>
      <c r="D91" s="1">
        <f>IF(ISNUMBER(VLOOKUP('Country selection'!$E$5,incidence!$A$2:$CX$9,$C91+2,FALSE)),VLOOKUP('Country selection'!$E$5,incidence!$A$2:$CX$9,$C91+2,FALSE),0)</f>
        <v>5.3600000000000002E-4</v>
      </c>
      <c r="E91" s="1">
        <f>IF(ISNUMBER(VLOOKUP('Country selection'!$E$5,mortcecx!$A$2:$CX$9,$C91+2,FALSE)),VLOOKUP('Country selection'!$E$5,mortcecx!$A$2:$CX$9,$C91+2,FALSE),0)</f>
        <v>4.1599999999999997E-4</v>
      </c>
      <c r="F91" s="1">
        <f>IF(ISNUMBER(VLOOKUP('Country selection'!$E$5,mortall!$A$2:$CX$9,$C91+2,FALSE)),VLOOKUP('Country selection'!$E$5,mortall!$A$2:$CX$9,$C91+2,FALSE),0)</f>
        <v>9.5710000000000003E-2</v>
      </c>
      <c r="G91" s="1"/>
      <c r="H91" s="21">
        <f t="shared" si="2"/>
        <v>83</v>
      </c>
      <c r="I91" s="35"/>
      <c r="J91" s="35"/>
      <c r="K91" s="35"/>
      <c r="M91" s="10">
        <f t="shared" ref="M91:O91" si="85">IF(I91="",D91,I91)</f>
        <v>5.3600000000000002E-4</v>
      </c>
      <c r="N91" s="10">
        <f t="shared" si="85"/>
        <v>4.1599999999999997E-4</v>
      </c>
      <c r="O91" s="10">
        <f t="shared" si="85"/>
        <v>9.5710000000000003E-2</v>
      </c>
    </row>
    <row r="92" spans="1:15" ht="14.25" customHeight="1" x14ac:dyDescent="0.3">
      <c r="A92" s="1"/>
      <c r="C92" s="21">
        <f t="shared" si="1"/>
        <v>84</v>
      </c>
      <c r="D92" s="1">
        <f>IF(ISNUMBER(VLOOKUP('Country selection'!$E$5,incidence!$A$2:$CX$9,$C92+2,FALSE)),VLOOKUP('Country selection'!$E$5,incidence!$A$2:$CX$9,$C92+2,FALSE),0)</f>
        <v>6.1899999999999998E-4</v>
      </c>
      <c r="E92" s="1">
        <f>IF(ISNUMBER(VLOOKUP('Country selection'!$E$5,mortcecx!$A$2:$CX$9,$C92+2,FALSE)),VLOOKUP('Country selection'!$E$5,mortcecx!$A$2:$CX$9,$C92+2,FALSE),0)</f>
        <v>4.8000000000000001E-4</v>
      </c>
      <c r="F92" s="1">
        <f>IF(ISNUMBER(VLOOKUP('Country selection'!$E$5,mortall!$A$2:$CX$9,$C92+2,FALSE)),VLOOKUP('Country selection'!$E$5,mortall!$A$2:$CX$9,$C92+2,FALSE),0)</f>
        <v>0.11212</v>
      </c>
      <c r="G92" s="1"/>
      <c r="H92" s="21">
        <f t="shared" si="2"/>
        <v>84</v>
      </c>
      <c r="I92" s="35"/>
      <c r="J92" s="35"/>
      <c r="K92" s="35"/>
      <c r="M92" s="10">
        <f t="shared" ref="M92:O92" si="86">IF(I92="",D92,I92)</f>
        <v>6.1899999999999998E-4</v>
      </c>
      <c r="N92" s="10">
        <f t="shared" si="86"/>
        <v>4.8000000000000001E-4</v>
      </c>
      <c r="O92" s="10">
        <f t="shared" si="86"/>
        <v>0.11212</v>
      </c>
    </row>
    <row r="93" spans="1:15" ht="14.25" customHeight="1" x14ac:dyDescent="0.3">
      <c r="A93" s="1"/>
      <c r="C93" s="21">
        <f t="shared" si="1"/>
        <v>85</v>
      </c>
      <c r="D93" s="1">
        <f>IF(ISNUMBER(VLOOKUP('Country selection'!$E$5,incidence!$A$2:$CX$9,$C93+2,FALSE)),VLOOKUP('Country selection'!$E$5,incidence!$A$2:$CX$9,$C93+2,FALSE),0)</f>
        <v>2.13E-4</v>
      </c>
      <c r="E93" s="1">
        <f>IF(ISNUMBER(VLOOKUP('Country selection'!$E$5,mortcecx!$A$2:$CX$9,$C93+2,FALSE)),VLOOKUP('Country selection'!$E$5,mortcecx!$A$2:$CX$9,$C93+2,FALSE),0)</f>
        <v>1.9599999999999999E-4</v>
      </c>
      <c r="F93" s="1">
        <f>IF(ISNUMBER(VLOOKUP('Country selection'!$E$5,mortall!$A$2:$CX$9,$C93+2,FALSE)),VLOOKUP('Country selection'!$E$5,mortall!$A$2:$CX$9,$C93+2,FALSE),0)</f>
        <v>0.13017999999999999</v>
      </c>
      <c r="G93" s="1"/>
      <c r="H93" s="21">
        <f t="shared" si="2"/>
        <v>85</v>
      </c>
      <c r="I93" s="35"/>
      <c r="J93" s="35"/>
      <c r="K93" s="35"/>
      <c r="M93" s="10">
        <f t="shared" ref="M93:O93" si="87">IF(I93="",D93,I93)</f>
        <v>2.13E-4</v>
      </c>
      <c r="N93" s="10">
        <f t="shared" si="87"/>
        <v>1.9599999999999999E-4</v>
      </c>
      <c r="O93" s="10">
        <f t="shared" si="87"/>
        <v>0.13017999999999999</v>
      </c>
    </row>
    <row r="94" spans="1:15" ht="14.25" customHeight="1" x14ac:dyDescent="0.3">
      <c r="A94" s="1"/>
      <c r="C94" s="21">
        <f t="shared" si="1"/>
        <v>86</v>
      </c>
      <c r="D94" s="1">
        <f>IF(ISNUMBER(VLOOKUP('Country selection'!$E$5,incidence!$A$2:$CX$9,$C94+2,FALSE)),VLOOKUP('Country selection'!$E$5,incidence!$A$2:$CX$9,$C94+2,FALSE),0)</f>
        <v>2.5300000000000002E-4</v>
      </c>
      <c r="E94" s="1">
        <f>IF(ISNUMBER(VLOOKUP('Country selection'!$E$5,mortcecx!$A$2:$CX$9,$C94+2,FALSE)),VLOOKUP('Country selection'!$E$5,mortcecx!$A$2:$CX$9,$C94+2,FALSE),0)</f>
        <v>2.32E-4</v>
      </c>
      <c r="F94" s="1">
        <f>IF(ISNUMBER(VLOOKUP('Country selection'!$E$5,mortall!$A$2:$CX$9,$C94+2,FALSE)),VLOOKUP('Country selection'!$E$5,mortall!$A$2:$CX$9,$C94+2,FALSE),0)</f>
        <v>0.14918000000000001</v>
      </c>
      <c r="G94" s="1"/>
      <c r="H94" s="21">
        <f t="shared" si="2"/>
        <v>86</v>
      </c>
      <c r="I94" s="35"/>
      <c r="J94" s="35"/>
      <c r="K94" s="35"/>
      <c r="M94" s="10">
        <f t="shared" ref="M94:O94" si="88">IF(I94="",D94,I94)</f>
        <v>2.5300000000000002E-4</v>
      </c>
      <c r="N94" s="10">
        <f t="shared" si="88"/>
        <v>2.32E-4</v>
      </c>
      <c r="O94" s="10">
        <f t="shared" si="88"/>
        <v>0.14918000000000001</v>
      </c>
    </row>
    <row r="95" spans="1:15" ht="14.25" customHeight="1" x14ac:dyDescent="0.3">
      <c r="A95" s="1"/>
      <c r="C95" s="21">
        <f t="shared" si="1"/>
        <v>87</v>
      </c>
      <c r="D95" s="1">
        <f>IF(ISNUMBER(VLOOKUP('Country selection'!$E$5,incidence!$A$2:$CX$9,$C95+2,FALSE)),VLOOKUP('Country selection'!$E$5,incidence!$A$2:$CX$9,$C95+2,FALSE),0)</f>
        <v>3.0699999999999998E-4</v>
      </c>
      <c r="E95" s="1">
        <f>IF(ISNUMBER(VLOOKUP('Country selection'!$E$5,mortcecx!$A$2:$CX$9,$C95+2,FALSE)),VLOOKUP('Country selection'!$E$5,mortcecx!$A$2:$CX$9,$C95+2,FALSE),0)</f>
        <v>2.8200000000000002E-4</v>
      </c>
      <c r="F95" s="1">
        <f>IF(ISNUMBER(VLOOKUP('Country selection'!$E$5,mortall!$A$2:$CX$9,$C95+2,FALSE)),VLOOKUP('Country selection'!$E$5,mortall!$A$2:$CX$9,$C95+2,FALSE),0)</f>
        <v>0.16825999999999999</v>
      </c>
      <c r="G95" s="1"/>
      <c r="H95" s="21">
        <f t="shared" si="2"/>
        <v>87</v>
      </c>
      <c r="I95" s="35"/>
      <c r="J95" s="35"/>
      <c r="K95" s="35"/>
      <c r="M95" s="10">
        <f t="shared" ref="M95:O95" si="89">IF(I95="",D95,I95)</f>
        <v>3.0699999999999998E-4</v>
      </c>
      <c r="N95" s="10">
        <f t="shared" si="89"/>
        <v>2.8200000000000002E-4</v>
      </c>
      <c r="O95" s="10">
        <f t="shared" si="89"/>
        <v>0.16825999999999999</v>
      </c>
    </row>
    <row r="96" spans="1:15" ht="14.25" customHeight="1" x14ac:dyDescent="0.3">
      <c r="A96" s="1"/>
      <c r="C96" s="21">
        <f t="shared" si="1"/>
        <v>88</v>
      </c>
      <c r="D96" s="1">
        <f>IF(ISNUMBER(VLOOKUP('Country selection'!$E$5,incidence!$A$2:$CX$9,$C96+2,FALSE)),VLOOKUP('Country selection'!$E$5,incidence!$A$2:$CX$9,$C96+2,FALSE),0)</f>
        <v>3.8299999999999999E-4</v>
      </c>
      <c r="E96" s="1">
        <f>IF(ISNUMBER(VLOOKUP('Country selection'!$E$5,mortcecx!$A$2:$CX$9,$C96+2,FALSE)),VLOOKUP('Country selection'!$E$5,mortcecx!$A$2:$CX$9,$C96+2,FALSE),0)</f>
        <v>3.5199999999999999E-4</v>
      </c>
      <c r="F96" s="1">
        <f>IF(ISNUMBER(VLOOKUP('Country selection'!$E$5,mortall!$A$2:$CX$9,$C96+2,FALSE)),VLOOKUP('Country selection'!$E$5,mortall!$A$2:$CX$9,$C96+2,FALSE),0)</f>
        <v>0.18665000000000001</v>
      </c>
      <c r="G96" s="1"/>
      <c r="H96" s="21">
        <f t="shared" si="2"/>
        <v>88</v>
      </c>
      <c r="I96" s="35"/>
      <c r="J96" s="35"/>
      <c r="K96" s="35"/>
      <c r="M96" s="10">
        <f t="shared" ref="M96:O96" si="90">IF(I96="",D96,I96)</f>
        <v>3.8299999999999999E-4</v>
      </c>
      <c r="N96" s="10">
        <f t="shared" si="90"/>
        <v>3.5199999999999999E-4</v>
      </c>
      <c r="O96" s="10">
        <f t="shared" si="90"/>
        <v>0.18665000000000001</v>
      </c>
    </row>
    <row r="97" spans="1:15" ht="14.25" customHeight="1" x14ac:dyDescent="0.3">
      <c r="A97" s="1"/>
      <c r="C97" s="21">
        <f t="shared" si="1"/>
        <v>89</v>
      </c>
      <c r="D97" s="1">
        <f>IF(ISNUMBER(VLOOKUP('Country selection'!$E$5,incidence!$A$2:$CX$9,$C97+2,FALSE)),VLOOKUP('Country selection'!$E$5,incidence!$A$2:$CX$9,$C97+2,FALSE),0)</f>
        <v>4.9100000000000001E-4</v>
      </c>
      <c r="E97" s="1">
        <f>IF(ISNUMBER(VLOOKUP('Country selection'!$E$5,mortcecx!$A$2:$CX$9,$C97+2,FALSE)),VLOOKUP('Country selection'!$E$5,mortcecx!$A$2:$CX$9,$C97+2,FALSE),0)</f>
        <v>4.5100000000000001E-4</v>
      </c>
      <c r="F97" s="1">
        <f>IF(ISNUMBER(VLOOKUP('Country selection'!$E$5,mortall!$A$2:$CX$9,$C97+2,FALSE)),VLOOKUP('Country selection'!$E$5,mortall!$A$2:$CX$9,$C97+2,FALSE),0)</f>
        <v>0.20386000000000001</v>
      </c>
      <c r="G97" s="1"/>
      <c r="H97" s="21">
        <f t="shared" si="2"/>
        <v>89</v>
      </c>
      <c r="I97" s="35"/>
      <c r="J97" s="35"/>
      <c r="K97" s="35"/>
      <c r="M97" s="10">
        <f t="shared" ref="M97:O97" si="91">IF(I97="",D97,I97)</f>
        <v>4.9100000000000001E-4</v>
      </c>
      <c r="N97" s="10">
        <f t="shared" si="91"/>
        <v>4.5100000000000001E-4</v>
      </c>
      <c r="O97" s="10">
        <f t="shared" si="91"/>
        <v>0.20386000000000001</v>
      </c>
    </row>
    <row r="98" spans="1:15" ht="14.25" customHeight="1" x14ac:dyDescent="0.3">
      <c r="A98" s="1"/>
      <c r="C98" s="21">
        <f t="shared" si="1"/>
        <v>90</v>
      </c>
      <c r="D98" s="1">
        <f>IF(ISNUMBER(VLOOKUP('Country selection'!$E$5,incidence!$A$2:$CX$9,$C98+2,FALSE)),VLOOKUP('Country selection'!$E$5,incidence!$A$2:$CX$9,$C98+2,FALSE),0)</f>
        <v>6.4199999999999999E-4</v>
      </c>
      <c r="E98" s="1">
        <f>IF(ISNUMBER(VLOOKUP('Country selection'!$E$5,mortcecx!$A$2:$CX$9,$C98+2,FALSE)),VLOOKUP('Country selection'!$E$5,mortcecx!$A$2:$CX$9,$C98+2,FALSE),0)</f>
        <v>5.9000000000000003E-4</v>
      </c>
      <c r="F98" s="1">
        <f>IF(ISNUMBER(VLOOKUP('Country selection'!$E$5,mortall!$A$2:$CX$9,$C98+2,FALSE)),VLOOKUP('Country selection'!$E$5,mortall!$A$2:$CX$9,$C98+2,FALSE),0)</f>
        <v>0.21984999999999999</v>
      </c>
      <c r="G98" s="1"/>
      <c r="H98" s="21">
        <f t="shared" si="2"/>
        <v>90</v>
      </c>
      <c r="I98" s="35"/>
      <c r="J98" s="35"/>
      <c r="K98" s="35"/>
      <c r="M98" s="10">
        <f t="shared" ref="M98:O98" si="92">IF(I98="",D98,I98)</f>
        <v>6.4199999999999999E-4</v>
      </c>
      <c r="N98" s="10">
        <f t="shared" si="92"/>
        <v>5.9000000000000003E-4</v>
      </c>
      <c r="O98" s="10">
        <f t="shared" si="92"/>
        <v>0.21984999999999999</v>
      </c>
    </row>
    <row r="99" spans="1:15" ht="14.25" customHeight="1" x14ac:dyDescent="0.3">
      <c r="A99" s="1"/>
      <c r="C99" s="21">
        <f t="shared" si="1"/>
        <v>91</v>
      </c>
      <c r="D99" s="1">
        <f>IF(ISNUMBER(VLOOKUP('Country selection'!$E$5,incidence!$A$2:$CX$9,$C99+2,FALSE)),VLOOKUP('Country selection'!$E$5,incidence!$A$2:$CX$9,$C99+2,FALSE),0)</f>
        <v>8.5899999999999995E-4</v>
      </c>
      <c r="E99" s="1">
        <f>IF(ISNUMBER(VLOOKUP('Country selection'!$E$5,mortcecx!$A$2:$CX$9,$C99+2,FALSE)),VLOOKUP('Country selection'!$E$5,mortcecx!$A$2:$CX$9,$C99+2,FALSE),0)</f>
        <v>7.9000000000000001E-4</v>
      </c>
      <c r="F99" s="1">
        <f>IF(ISNUMBER(VLOOKUP('Country selection'!$E$5,mortall!$A$2:$CX$9,$C99+2,FALSE)),VLOOKUP('Country selection'!$E$5,mortall!$A$2:$CX$9,$C99+2,FALSE),0)</f>
        <v>0.23504</v>
      </c>
      <c r="G99" s="1"/>
      <c r="H99" s="21">
        <f t="shared" si="2"/>
        <v>91</v>
      </c>
      <c r="I99" s="35"/>
      <c r="J99" s="35"/>
      <c r="K99" s="35"/>
      <c r="M99" s="10">
        <f t="shared" ref="M99:O99" si="93">IF(I99="",D99,I99)</f>
        <v>8.5899999999999995E-4</v>
      </c>
      <c r="N99" s="10">
        <f t="shared" si="93"/>
        <v>7.9000000000000001E-4</v>
      </c>
      <c r="O99" s="10">
        <f t="shared" si="93"/>
        <v>0.23504</v>
      </c>
    </row>
    <row r="100" spans="1:15" ht="14.25" customHeight="1" x14ac:dyDescent="0.3">
      <c r="A100" s="1"/>
      <c r="C100" s="21">
        <f t="shared" si="1"/>
        <v>92</v>
      </c>
      <c r="D100" s="1">
        <f>IF(ISNUMBER(VLOOKUP('Country selection'!$E$5,incidence!$A$2:$CX$9,$C100+2,FALSE)),VLOOKUP('Country selection'!$E$5,incidence!$A$2:$CX$9,$C100+2,FALSE),0)</f>
        <v>1.183E-3</v>
      </c>
      <c r="E100" s="1">
        <f>IF(ISNUMBER(VLOOKUP('Country selection'!$E$5,mortcecx!$A$2:$CX$9,$C100+2,FALSE)),VLOOKUP('Country selection'!$E$5,mortcecx!$A$2:$CX$9,$C100+2,FALSE),0)</f>
        <v>1.0870000000000001E-3</v>
      </c>
      <c r="F100" s="1">
        <f>IF(ISNUMBER(VLOOKUP('Country selection'!$E$5,mortall!$A$2:$CX$9,$C100+2,FALSE)),VLOOKUP('Country selection'!$E$5,mortall!$A$2:$CX$9,$C100+2,FALSE),0)</f>
        <v>0.25030999999999998</v>
      </c>
      <c r="G100" s="1"/>
      <c r="H100" s="21">
        <f t="shared" si="2"/>
        <v>92</v>
      </c>
      <c r="I100" s="35"/>
      <c r="J100" s="35"/>
      <c r="K100" s="35"/>
      <c r="M100" s="10">
        <f t="shared" ref="M100:O100" si="94">IF(I100="",D100,I100)</f>
        <v>1.183E-3</v>
      </c>
      <c r="N100" s="10">
        <f t="shared" si="94"/>
        <v>1.0870000000000001E-3</v>
      </c>
      <c r="O100" s="10">
        <f t="shared" si="94"/>
        <v>0.25030999999999998</v>
      </c>
    </row>
    <row r="101" spans="1:15" ht="14.25" customHeight="1" x14ac:dyDescent="0.3">
      <c r="A101" s="1"/>
      <c r="C101" s="21">
        <f t="shared" si="1"/>
        <v>93</v>
      </c>
      <c r="D101" s="1">
        <f>IF(ISNUMBER(VLOOKUP('Country selection'!$E$5,incidence!$A$2:$CX$9,$C101+2,FALSE)),VLOOKUP('Country selection'!$E$5,incidence!$A$2:$CX$9,$C101+2,FALSE),0)</f>
        <v>1.678E-3</v>
      </c>
      <c r="E101" s="1">
        <f>IF(ISNUMBER(VLOOKUP('Country selection'!$E$5,mortcecx!$A$2:$CX$9,$C101+2,FALSE)),VLOOKUP('Country selection'!$E$5,mortcecx!$A$2:$CX$9,$C101+2,FALSE),0)</f>
        <v>1.542E-3</v>
      </c>
      <c r="F101" s="1">
        <f>IF(ISNUMBER(VLOOKUP('Country selection'!$E$5,mortall!$A$2:$CX$9,$C101+2,FALSE)),VLOOKUP('Country selection'!$E$5,mortall!$A$2:$CX$9,$C101+2,FALSE),0)</f>
        <v>0.26689000000000002</v>
      </c>
      <c r="G101" s="1"/>
      <c r="H101" s="21">
        <f t="shared" si="2"/>
        <v>93</v>
      </c>
      <c r="I101" s="35"/>
      <c r="J101" s="35"/>
      <c r="K101" s="35"/>
      <c r="M101" s="10">
        <f t="shared" ref="M101:O101" si="95">IF(I101="",D101,I101)</f>
        <v>1.678E-3</v>
      </c>
      <c r="N101" s="10">
        <f t="shared" si="95"/>
        <v>1.542E-3</v>
      </c>
      <c r="O101" s="10">
        <f t="shared" si="95"/>
        <v>0.26689000000000002</v>
      </c>
    </row>
    <row r="102" spans="1:15" ht="14.25" customHeight="1" x14ac:dyDescent="0.3">
      <c r="A102" s="1"/>
      <c r="C102" s="21">
        <f t="shared" si="1"/>
        <v>94</v>
      </c>
      <c r="D102" s="1">
        <f>IF(ISNUMBER(VLOOKUP('Country selection'!$E$5,incidence!$A$2:$CX$9,$C102+2,FALSE)),VLOOKUP('Country selection'!$E$5,incidence!$A$2:$CX$9,$C102+2,FALSE),0)</f>
        <v>2.4459999999999998E-3</v>
      </c>
      <c r="E102" s="1">
        <f>IF(ISNUMBER(VLOOKUP('Country selection'!$E$5,mortcecx!$A$2:$CX$9,$C102+2,FALSE)),VLOOKUP('Country selection'!$E$5,mortcecx!$A$2:$CX$9,$C102+2,FALSE),0)</f>
        <v>2.248E-3</v>
      </c>
      <c r="F102" s="1">
        <f>IF(ISNUMBER(VLOOKUP('Country selection'!$E$5,mortall!$A$2:$CX$9,$C102+2,FALSE)),VLOOKUP('Country selection'!$E$5,mortall!$A$2:$CX$9,$C102+2,FALSE),0)</f>
        <v>0.28643000000000002</v>
      </c>
      <c r="G102" s="1"/>
      <c r="H102" s="21">
        <f t="shared" si="2"/>
        <v>94</v>
      </c>
      <c r="I102" s="35"/>
      <c r="J102" s="35"/>
      <c r="K102" s="35"/>
      <c r="M102" s="10">
        <f t="shared" ref="M102:O102" si="96">IF(I102="",D102,I102)</f>
        <v>2.4459999999999998E-3</v>
      </c>
      <c r="N102" s="10">
        <f t="shared" si="96"/>
        <v>2.248E-3</v>
      </c>
      <c r="O102" s="10">
        <f t="shared" si="96"/>
        <v>0.28643000000000002</v>
      </c>
    </row>
    <row r="103" spans="1:15" ht="14.25" customHeight="1" x14ac:dyDescent="0.3">
      <c r="A103" s="1"/>
      <c r="C103" s="21">
        <f t="shared" si="1"/>
        <v>95</v>
      </c>
      <c r="D103" s="1">
        <f>IF(ISNUMBER(VLOOKUP('Country selection'!$E$5,incidence!$A$2:$CX$9,$C103+2,FALSE)),VLOOKUP('Country selection'!$E$5,incidence!$A$2:$CX$9,$C103+2,FALSE),0)</f>
        <v>3.6670000000000001E-3</v>
      </c>
      <c r="E103" s="1">
        <f>IF(ISNUMBER(VLOOKUP('Country selection'!$E$5,mortcecx!$A$2:$CX$9,$C103+2,FALSE)),VLOOKUP('Country selection'!$E$5,mortcecx!$A$2:$CX$9,$C103+2,FALSE),0)</f>
        <v>3.3700000000000002E-3</v>
      </c>
      <c r="F103" s="1">
        <f>IF(ISNUMBER(VLOOKUP('Country selection'!$E$5,mortall!$A$2:$CX$9,$C103+2,FALSE)),VLOOKUP('Country selection'!$E$5,mortall!$A$2:$CX$9,$C103+2,FALSE),0)</f>
        <v>0.31217</v>
      </c>
      <c r="G103" s="1"/>
      <c r="H103" s="21">
        <f t="shared" si="2"/>
        <v>95</v>
      </c>
      <c r="I103" s="35"/>
      <c r="J103" s="35"/>
      <c r="K103" s="35"/>
      <c r="M103" s="10">
        <f t="shared" ref="M103:O103" si="97">IF(I103="",D103,I103)</f>
        <v>3.6670000000000001E-3</v>
      </c>
      <c r="N103" s="10">
        <f t="shared" si="97"/>
        <v>3.3700000000000002E-3</v>
      </c>
      <c r="O103" s="10">
        <f t="shared" si="97"/>
        <v>0.31217</v>
      </c>
    </row>
    <row r="104" spans="1:15" ht="14.25" customHeight="1" x14ac:dyDescent="0.3">
      <c r="A104" s="1"/>
      <c r="C104" s="21">
        <f t="shared" si="1"/>
        <v>96</v>
      </c>
      <c r="D104" s="1">
        <f>IF(ISNUMBER(VLOOKUP('Country selection'!$E$5,incidence!$A$2:$CX$9,$C104+2,FALSE)),VLOOKUP('Country selection'!$E$5,incidence!$A$2:$CX$9,$C104+2,FALSE),0)</f>
        <v>5.6829999999999997E-3</v>
      </c>
      <c r="E104" s="1">
        <f>IF(ISNUMBER(VLOOKUP('Country selection'!$E$5,mortcecx!$A$2:$CX$9,$C104+2,FALSE)),VLOOKUP('Country selection'!$E$5,mortcecx!$A$2:$CX$9,$C104+2,FALSE),0)</f>
        <v>5.2230000000000002E-3</v>
      </c>
      <c r="F104" s="1">
        <f>IF(ISNUMBER(VLOOKUP('Country selection'!$E$5,mortall!$A$2:$CX$9,$C104+2,FALSE)),VLOOKUP('Country selection'!$E$5,mortall!$A$2:$CX$9,$C104+2,FALSE),0)</f>
        <v>0.33260000000000001</v>
      </c>
      <c r="G104" s="1"/>
      <c r="H104" s="21">
        <f t="shared" si="2"/>
        <v>96</v>
      </c>
      <c r="I104" s="35"/>
      <c r="J104" s="35"/>
      <c r="K104" s="35"/>
      <c r="M104" s="10">
        <f t="shared" ref="M104:O104" si="98">IF(I104="",D104,I104)</f>
        <v>5.6829999999999997E-3</v>
      </c>
      <c r="N104" s="10">
        <f t="shared" si="98"/>
        <v>5.2230000000000002E-3</v>
      </c>
      <c r="O104" s="10">
        <f t="shared" si="98"/>
        <v>0.33260000000000001</v>
      </c>
    </row>
    <row r="105" spans="1:15" ht="14.25" customHeight="1" x14ac:dyDescent="0.3">
      <c r="A105" s="1"/>
      <c r="C105" s="21">
        <f t="shared" si="1"/>
        <v>97</v>
      </c>
      <c r="D105" s="1">
        <f>IF(ISNUMBER(VLOOKUP('Country selection'!$E$5,incidence!$A$2:$CX$9,$C105+2,FALSE)),VLOOKUP('Country selection'!$E$5,incidence!$A$2:$CX$9,$C105+2,FALSE),0)</f>
        <v>9.1299999999999992E-3</v>
      </c>
      <c r="E105" s="1">
        <f>IF(ISNUMBER(VLOOKUP('Country selection'!$E$5,mortcecx!$A$2:$CX$9,$C105+2,FALSE)),VLOOKUP('Country selection'!$E$5,mortcecx!$A$2:$CX$9,$C105+2,FALSE),0)</f>
        <v>8.3909999999999992E-3</v>
      </c>
      <c r="F105" s="1">
        <f>IF(ISNUMBER(VLOOKUP('Country selection'!$E$5,mortall!$A$2:$CX$9,$C105+2,FALSE)),VLOOKUP('Country selection'!$E$5,mortall!$A$2:$CX$9,$C105+2,FALSE),0)</f>
        <v>0.35303000000000001</v>
      </c>
      <c r="G105" s="1"/>
      <c r="H105" s="21">
        <f t="shared" si="2"/>
        <v>97</v>
      </c>
      <c r="I105" s="35"/>
      <c r="J105" s="35"/>
      <c r="K105" s="35"/>
      <c r="M105" s="10">
        <f t="shared" ref="M105:O105" si="99">IF(I105="",D105,I105)</f>
        <v>9.1299999999999992E-3</v>
      </c>
      <c r="N105" s="10">
        <f t="shared" si="99"/>
        <v>8.3909999999999992E-3</v>
      </c>
      <c r="O105" s="10">
        <f t="shared" si="99"/>
        <v>0.35303000000000001</v>
      </c>
    </row>
    <row r="106" spans="1:15" ht="14.25" customHeight="1" x14ac:dyDescent="0.3">
      <c r="A106" s="1"/>
      <c r="C106" s="21">
        <f t="shared" si="1"/>
        <v>98</v>
      </c>
      <c r="D106" s="1">
        <f>IF(ISNUMBER(VLOOKUP('Country selection'!$E$5,incidence!$A$2:$CX$9,$C106+2,FALSE)),VLOOKUP('Country selection'!$E$5,incidence!$A$2:$CX$9,$C106+2,FALSE),0)</f>
        <v>1.5179E-2</v>
      </c>
      <c r="E106" s="1">
        <f>IF(ISNUMBER(VLOOKUP('Country selection'!$E$5,mortcecx!$A$2:$CX$9,$C106+2,FALSE)),VLOOKUP('Country selection'!$E$5,mortcecx!$A$2:$CX$9,$C106+2,FALSE),0)</f>
        <v>1.3950000000000001E-2</v>
      </c>
      <c r="F106" s="1">
        <f>IF(ISNUMBER(VLOOKUP('Country selection'!$E$5,mortall!$A$2:$CX$9,$C106+2,FALSE)),VLOOKUP('Country selection'!$E$5,mortall!$A$2:$CX$9,$C106+2,FALSE),0)</f>
        <v>0.37331999999999999</v>
      </c>
      <c r="G106" s="1"/>
      <c r="H106" s="21">
        <f t="shared" si="2"/>
        <v>98</v>
      </c>
      <c r="I106" s="35"/>
      <c r="J106" s="35"/>
      <c r="K106" s="35"/>
      <c r="M106" s="10">
        <f t="shared" ref="M106:O106" si="100">IF(I106="",D106,I106)</f>
        <v>1.5179E-2</v>
      </c>
      <c r="N106" s="10">
        <f t="shared" si="100"/>
        <v>1.3950000000000001E-2</v>
      </c>
      <c r="O106" s="10">
        <f t="shared" si="100"/>
        <v>0.37331999999999999</v>
      </c>
    </row>
    <row r="107" spans="1:15" ht="14.25" customHeight="1" x14ac:dyDescent="0.3">
      <c r="A107" s="1"/>
      <c r="C107" s="21">
        <f t="shared" si="1"/>
        <v>99</v>
      </c>
      <c r="D107" s="1">
        <f>IF(ISNUMBER(VLOOKUP('Country selection'!$E$5,incidence!$A$2:$CX$9,$C107+2,FALSE)),VLOOKUP('Country selection'!$E$5,incidence!$A$2:$CX$9,$C107+2,FALSE),0)</f>
        <v>2.6012E-2</v>
      </c>
      <c r="E107" s="1">
        <f>IF(ISNUMBER(VLOOKUP('Country selection'!$E$5,mortcecx!$A$2:$CX$9,$C107+2,FALSE)),VLOOKUP('Country selection'!$E$5,mortcecx!$A$2:$CX$9,$C107+2,FALSE),0)</f>
        <v>2.3906E-2</v>
      </c>
      <c r="F107" s="1">
        <f>IF(ISNUMBER(VLOOKUP('Country selection'!$E$5,mortall!$A$2:$CX$9,$C107+2,FALSE)),VLOOKUP('Country selection'!$E$5,mortall!$A$2:$CX$9,$C107+2,FALSE),0)</f>
        <v>0.39330999999999999</v>
      </c>
      <c r="G107" s="1"/>
      <c r="H107" s="21">
        <f t="shared" si="2"/>
        <v>99</v>
      </c>
      <c r="I107" s="35"/>
      <c r="J107" s="35"/>
      <c r="K107" s="35"/>
      <c r="M107" s="10">
        <f t="shared" ref="M107:O107" si="101">IF(I107="",D107,I107)</f>
        <v>2.6012E-2</v>
      </c>
      <c r="N107" s="10">
        <f t="shared" si="101"/>
        <v>2.3906E-2</v>
      </c>
      <c r="O107" s="10">
        <f t="shared" si="101"/>
        <v>0.39330999999999999</v>
      </c>
    </row>
    <row r="108" spans="1:15" ht="14.25" customHeight="1" x14ac:dyDescent="0.3">
      <c r="A108" s="1"/>
      <c r="C108" s="21">
        <f t="shared" si="1"/>
        <v>100</v>
      </c>
      <c r="D108" s="1">
        <f>IF(ISNUMBER(VLOOKUP('Country selection'!$E$5,incidence!$A$2:$CX$9,$C108+2,FALSE)),VLOOKUP('Country selection'!$E$5,incidence!$A$2:$CX$9,$C108+2,FALSE),0)</f>
        <v>2.1426000000000001E-2</v>
      </c>
      <c r="E108" s="1">
        <f>IF(ISNUMBER(VLOOKUP('Country selection'!$E$5,mortcecx!$A$2:$CX$9,$C108+2,FALSE)),VLOOKUP('Country selection'!$E$5,mortcecx!$A$2:$CX$9,$C108+2,FALSE),0)</f>
        <v>1.9692000000000001E-2</v>
      </c>
      <c r="F108" s="1">
        <f>IF(ISNUMBER(VLOOKUP('Country selection'!$E$5,mortall!$A$2:$CX$9,$C108+2,FALSE)),VLOOKUP('Country selection'!$E$5,mortall!$A$2:$CX$9,$C108+2,FALSE),0)</f>
        <v>1</v>
      </c>
      <c r="G108" s="1"/>
      <c r="H108" s="21">
        <f t="shared" si="2"/>
        <v>100</v>
      </c>
      <c r="I108" s="35"/>
      <c r="J108" s="35"/>
      <c r="K108" s="35"/>
      <c r="M108" s="10">
        <f t="shared" ref="M108:O108" si="102">IF(I108="",D108,I108)</f>
        <v>2.1426000000000001E-2</v>
      </c>
      <c r="N108" s="10">
        <f t="shared" si="102"/>
        <v>1.9692000000000001E-2</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topLeftCell="A46" workbookViewId="0">
      <selection activeCell="E10" sqref="E10"/>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6"/>
      <c r="C4" s="72" t="s">
        <v>32</v>
      </c>
      <c r="D4" s="73" t="str">
        <f>'Country selection'!E8</f>
        <v>BRAZIL</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45" t="s">
        <v>142</v>
      </c>
      <c r="D5" s="146"/>
      <c r="E5" s="145" t="s">
        <v>143</v>
      </c>
      <c r="F5" s="146"/>
      <c r="G5" s="147" t="s">
        <v>151</v>
      </c>
      <c r="H5" s="148"/>
    </row>
    <row r="6" spans="1:26" ht="14.25" customHeight="1" x14ac:dyDescent="0.3">
      <c r="A6" s="1"/>
      <c r="B6" s="37" t="s">
        <v>33</v>
      </c>
      <c r="C6" s="38" t="s">
        <v>34</v>
      </c>
      <c r="D6" s="31" t="s">
        <v>35</v>
      </c>
      <c r="E6" s="38" t="s">
        <v>34</v>
      </c>
      <c r="F6" s="31" t="s">
        <v>35</v>
      </c>
      <c r="G6" s="38" t="s">
        <v>34</v>
      </c>
      <c r="H6" s="31" t="s">
        <v>35</v>
      </c>
    </row>
    <row r="7" spans="1:26" ht="14.25" customHeight="1" x14ac:dyDescent="0.3">
      <c r="A7" s="1"/>
      <c r="B7" s="4" t="s">
        <v>36</v>
      </c>
      <c r="C7" s="39">
        <f>Customisation!$H$9</f>
        <v>500000</v>
      </c>
      <c r="D7" s="39">
        <f>Customisation!$H$9</f>
        <v>500000</v>
      </c>
      <c r="E7" s="39">
        <f>Customisation!$H$9</f>
        <v>500000</v>
      </c>
      <c r="F7" s="78">
        <f>Customisation!$H$9</f>
        <v>500000</v>
      </c>
      <c r="G7" s="88">
        <f>E7</f>
        <v>500000</v>
      </c>
      <c r="H7" s="88">
        <f>F7</f>
        <v>500000</v>
      </c>
      <c r="I7" s="79"/>
      <c r="J7" s="79"/>
    </row>
    <row r="8" spans="1:26" ht="14.25" customHeight="1" x14ac:dyDescent="0.3">
      <c r="A8" s="1"/>
      <c r="B8" s="4" t="s">
        <v>8</v>
      </c>
      <c r="C8" s="39">
        <f>Customisation!$H$10</f>
        <v>1484984</v>
      </c>
      <c r="D8" s="39">
        <f>Customisation!$H$10</f>
        <v>1484984</v>
      </c>
      <c r="E8" s="39">
        <f>Customisation!$H$10</f>
        <v>1484984</v>
      </c>
      <c r="F8" s="78">
        <f>Customisation!$H$10</f>
        <v>1484984</v>
      </c>
      <c r="G8" s="88">
        <f>E8</f>
        <v>1484984</v>
      </c>
      <c r="H8" s="88">
        <f>F8</f>
        <v>1484984</v>
      </c>
      <c r="I8" s="79"/>
      <c r="J8" s="79"/>
    </row>
    <row r="9" spans="1:26" ht="14.25" customHeight="1" x14ac:dyDescent="0.3">
      <c r="A9" s="1"/>
      <c r="B9" s="4"/>
      <c r="C9" s="40"/>
      <c r="D9" s="40"/>
      <c r="E9" s="40"/>
      <c r="F9" s="77"/>
      <c r="G9" s="89"/>
      <c r="H9" s="89"/>
      <c r="I9" s="79"/>
      <c r="J9" s="79"/>
    </row>
    <row r="10" spans="1:26" ht="14.25" customHeight="1" x14ac:dyDescent="0.3">
      <c r="A10" s="1"/>
      <c r="B10" s="41" t="s">
        <v>37</v>
      </c>
      <c r="C10" s="42">
        <f>Customisation!H16*C8*Customisation!H11</f>
        <v>31529477.2848</v>
      </c>
      <c r="D10" s="42">
        <f>Customisation!H16*D8*Customisation!H11</f>
        <v>31529477.2848</v>
      </c>
      <c r="E10" s="116">
        <f>(Customisation!H16*E8*(Customisation!H24-Customisation!H11))+'Country selection'!E25</f>
        <v>3344035.4695999976</v>
      </c>
      <c r="F10" s="117">
        <f>Customisation!H16*E8*(Customisation!H24-Customisation!H11)+'Country selection'!E25</f>
        <v>3344035.4695999976</v>
      </c>
      <c r="G10" s="114">
        <f>(C10*Customisation!$H$24/Customisation!$H$11)-C10+'Country selection'!E25</f>
        <v>3344035.4695999995</v>
      </c>
      <c r="H10" s="114">
        <f>(D10*Customisation!$H$24/Customisation!$H$11)-D10+'Country selection'!E25</f>
        <v>3344035.4695999995</v>
      </c>
      <c r="I10" s="79"/>
      <c r="J10" s="79"/>
    </row>
    <row r="11" spans="1:26" ht="14.25" customHeight="1" x14ac:dyDescent="0.3">
      <c r="A11" s="1"/>
      <c r="B11" s="4" t="s">
        <v>38</v>
      </c>
      <c r="C11" s="42">
        <f>Model!AI3*C8</f>
        <v>17157726.350417718</v>
      </c>
      <c r="D11" s="42">
        <f>Model!AJ3*D8</f>
        <v>2204512.7941585425</v>
      </c>
      <c r="E11" s="42">
        <f>Model!BQ3*E8</f>
        <v>1819758.8553473328</v>
      </c>
      <c r="F11" s="76">
        <f>Model!BR3*F8</f>
        <v>233811.96301681493</v>
      </c>
      <c r="G11" s="90">
        <f>(C11*Customisation!$H$24/Customisation!$H$11)-C11</f>
        <v>1819758.8553473316</v>
      </c>
      <c r="H11" s="90">
        <f>(D11*Customisation!$H$24/Customisation!$H$11)-D11</f>
        <v>233811.96301681502</v>
      </c>
      <c r="I11" s="80"/>
      <c r="J11" s="80"/>
    </row>
    <row r="12" spans="1:26" ht="14.25" customHeight="1" x14ac:dyDescent="0.3">
      <c r="A12" s="1"/>
      <c r="B12" s="4" t="s">
        <v>39</v>
      </c>
      <c r="C12" s="42">
        <f t="shared" ref="C12:D12" si="0">C10-C11</f>
        <v>14371750.934382282</v>
      </c>
      <c r="D12" s="42">
        <f t="shared" si="0"/>
        <v>29324964.49064146</v>
      </c>
      <c r="E12" s="42">
        <f t="shared" ref="E12:F12" si="1">E10-E11</f>
        <v>1524276.6142526648</v>
      </c>
      <c r="F12" s="76">
        <f t="shared" si="1"/>
        <v>3110223.5065831826</v>
      </c>
      <c r="G12" s="115">
        <f>G10-G11</f>
        <v>1524276.6142526679</v>
      </c>
      <c r="H12" s="115">
        <f>H10-H11</f>
        <v>3110223.5065831845</v>
      </c>
      <c r="I12" s="80"/>
      <c r="J12" s="80"/>
    </row>
    <row r="13" spans="1:26" ht="14.25" customHeight="1" x14ac:dyDescent="0.3">
      <c r="A13" s="1"/>
      <c r="B13" s="4"/>
      <c r="C13" s="40"/>
      <c r="D13" s="40"/>
      <c r="E13" s="40"/>
      <c r="F13" s="77"/>
      <c r="G13" s="89"/>
      <c r="H13" s="89"/>
      <c r="I13" s="80"/>
      <c r="J13" s="80"/>
    </row>
    <row r="14" spans="1:26" ht="14.25" customHeight="1" x14ac:dyDescent="0.3">
      <c r="A14" s="1"/>
      <c r="B14" s="4" t="s">
        <v>40</v>
      </c>
      <c r="C14" s="39">
        <f>Model!AA3*C8</f>
        <v>9990.5242520191623</v>
      </c>
      <c r="D14" s="39">
        <f>Model!AA3*D8</f>
        <v>9990.5242520191623</v>
      </c>
      <c r="E14" s="39">
        <f>Model!BI3*E8</f>
        <v>1059.6010570323356</v>
      </c>
      <c r="F14" s="78">
        <f>Model!BI3*F8</f>
        <v>1059.6010570323356</v>
      </c>
      <c r="G14" s="90">
        <f>(C14*Customisation!$H$24/Customisation!$H$11)-C14</f>
        <v>1059.6010570323342</v>
      </c>
      <c r="H14" s="90">
        <f>(D14*Customisation!$H$24/Customisation!$H$11)-D14</f>
        <v>1059.6010570323342</v>
      </c>
      <c r="I14" s="80"/>
      <c r="J14" s="80"/>
    </row>
    <row r="15" spans="1:26" ht="14.25" customHeight="1" x14ac:dyDescent="0.3">
      <c r="A15" s="1"/>
      <c r="B15" s="4" t="s">
        <v>41</v>
      </c>
      <c r="C15" s="39">
        <f>Model!AC3*C8</f>
        <v>5763.3473002196461</v>
      </c>
      <c r="D15" s="39">
        <f>Model!AC3*D8</f>
        <v>5763.3473002196461</v>
      </c>
      <c r="E15" s="39">
        <f>Model!BK3*E8</f>
        <v>611.26410759905309</v>
      </c>
      <c r="F15" s="78">
        <f>Model!BK3*F8</f>
        <v>611.26410759905309</v>
      </c>
      <c r="G15" s="90">
        <f>(C15*Customisation!$H$24/Customisation!$H$11)-C15</f>
        <v>611.2641075990532</v>
      </c>
      <c r="H15" s="90">
        <f>(D15*Customisation!$H$24/Customisation!$H$11)-D15</f>
        <v>611.2641075990532</v>
      </c>
      <c r="I15" s="80"/>
      <c r="J15" s="80"/>
    </row>
    <row r="16" spans="1:26" ht="14.25" customHeight="1" x14ac:dyDescent="0.3">
      <c r="A16" s="1"/>
      <c r="B16" s="4" t="s">
        <v>42</v>
      </c>
      <c r="C16" s="39">
        <f>Model!AE3*C8</f>
        <v>106386.31892671093</v>
      </c>
      <c r="D16" s="39">
        <f>Model!AF3*D8</f>
        <v>13624.743797911493</v>
      </c>
      <c r="E16" s="39">
        <f>Model!BM3*E8</f>
        <v>11283.397461923885</v>
      </c>
      <c r="F16" s="78">
        <f>Model!BN3*F8</f>
        <v>1445.0485846269751</v>
      </c>
      <c r="G16" s="90">
        <f>(C16*Customisation!$H$24/Customisation!$H$11)-C16</f>
        <v>11283.397461923872</v>
      </c>
      <c r="H16" s="90">
        <f>(D16*Customisation!$H$24/Customisation!$H$11)-D16</f>
        <v>1445.0485846269748</v>
      </c>
      <c r="I16" s="80"/>
      <c r="J16" s="80"/>
    </row>
    <row r="17" spans="1:10" ht="14.25" customHeight="1" x14ac:dyDescent="0.3">
      <c r="A17" s="1"/>
      <c r="B17" s="4" t="s">
        <v>43</v>
      </c>
      <c r="C17" s="39">
        <f>Model!AG3*C8</f>
        <v>6818.0052092528385</v>
      </c>
      <c r="D17" s="39">
        <f>Model!AH3*D8</f>
        <v>797.93739078952217</v>
      </c>
      <c r="E17" s="39">
        <f>Model!BO3*F8</f>
        <v>723.12176461772492</v>
      </c>
      <c r="F17" s="78">
        <f>Model!BP3*F8</f>
        <v>84.629723265555327</v>
      </c>
      <c r="G17" s="90">
        <f>(C17*Customisation!$H$24/Customisation!$H$11)-C17</f>
        <v>723.12176461772469</v>
      </c>
      <c r="H17" s="90">
        <f>(D17*Customisation!$H$24/Customisation!$H$11)-D17</f>
        <v>84.629723265555299</v>
      </c>
      <c r="I17" s="80"/>
      <c r="J17" s="80"/>
    </row>
    <row r="18" spans="1:10" ht="14.25" customHeight="1" x14ac:dyDescent="0.3">
      <c r="A18" s="1"/>
      <c r="B18" s="4"/>
      <c r="C18" s="40"/>
      <c r="D18" s="40"/>
      <c r="E18" s="40"/>
      <c r="F18" s="77"/>
      <c r="G18" s="89"/>
      <c r="H18" s="89"/>
      <c r="I18" s="80"/>
      <c r="J18" s="80"/>
    </row>
    <row r="19" spans="1:10" ht="14.25" customHeight="1" x14ac:dyDescent="0.3">
      <c r="A19" s="1"/>
      <c r="B19" s="4" t="s">
        <v>44</v>
      </c>
      <c r="C19" s="40"/>
      <c r="D19" s="40"/>
      <c r="E19" s="40"/>
      <c r="F19" s="77"/>
      <c r="G19" s="89"/>
      <c r="H19" s="89"/>
      <c r="I19" s="80"/>
      <c r="J19" s="80"/>
    </row>
    <row r="20" spans="1:10" ht="14.25" customHeight="1" x14ac:dyDescent="0.3">
      <c r="A20" s="1"/>
      <c r="B20" s="4" t="s">
        <v>45</v>
      </c>
      <c r="C20" s="42">
        <f t="shared" ref="C20:D20" si="2">C12/C14</f>
        <v>1438.538215997788</v>
      </c>
      <c r="D20" s="42">
        <f t="shared" si="2"/>
        <v>2935.2778443748493</v>
      </c>
      <c r="E20" s="42">
        <f t="shared" ref="E20:F22" si="3">IF(E14 &gt; 0,E$12/E14,0)</f>
        <v>1438.5382159977864</v>
      </c>
      <c r="F20" s="76">
        <f t="shared" si="3"/>
        <v>2935.2778443748462</v>
      </c>
      <c r="G20" s="91">
        <f t="shared" ref="G20:H20" si="4">G12/G14</f>
        <v>1438.5382159977912</v>
      </c>
      <c r="H20" s="91">
        <f t="shared" si="4"/>
        <v>2935.2778443748521</v>
      </c>
      <c r="I20" s="80"/>
      <c r="J20" s="80"/>
    </row>
    <row r="21" spans="1:10" ht="14.25" customHeight="1" x14ac:dyDescent="0.3">
      <c r="A21" s="1"/>
      <c r="B21" s="4" t="s">
        <v>46</v>
      </c>
      <c r="C21" s="42">
        <f t="shared" ref="C21:D21" si="5">C12/C15</f>
        <v>2493.646519243177</v>
      </c>
      <c r="D21" s="42">
        <f t="shared" si="5"/>
        <v>5088.182780434533</v>
      </c>
      <c r="E21" s="42">
        <f t="shared" si="3"/>
        <v>2493.646519243176</v>
      </c>
      <c r="F21" s="76">
        <f t="shared" si="3"/>
        <v>5088.1827804345312</v>
      </c>
      <c r="G21" s="87">
        <f t="shared" ref="G21:H21" si="6">G12/G15</f>
        <v>2493.6465192431801</v>
      </c>
      <c r="H21" s="87">
        <f t="shared" si="6"/>
        <v>5088.1827804345339</v>
      </c>
      <c r="I21" s="80"/>
      <c r="J21" s="80"/>
    </row>
    <row r="22" spans="1:10" ht="14.25" customHeight="1" x14ac:dyDescent="0.3">
      <c r="A22" s="1"/>
      <c r="B22" s="4" t="s">
        <v>47</v>
      </c>
      <c r="C22" s="42">
        <f t="shared" ref="C22:D22" si="7">C12/C16</f>
        <v>135.09021723256464</v>
      </c>
      <c r="D22" s="42">
        <f t="shared" si="7"/>
        <v>2152.3314438497273</v>
      </c>
      <c r="E22" s="42">
        <f t="shared" si="3"/>
        <v>135.09021723256453</v>
      </c>
      <c r="F22" s="76">
        <f t="shared" si="3"/>
        <v>2152.3314438497277</v>
      </c>
      <c r="G22" s="42">
        <f t="shared" ref="G22:H22" si="8">G12/G16</f>
        <v>135.09021723256495</v>
      </c>
      <c r="H22" s="42">
        <f t="shared" si="8"/>
        <v>2152.3314438497291</v>
      </c>
      <c r="I22" s="80"/>
      <c r="J22" s="80"/>
    </row>
    <row r="23" spans="1:10" ht="14.25" customHeight="1" x14ac:dyDescent="0.3">
      <c r="A23" s="1"/>
      <c r="B23" s="4" t="s">
        <v>48</v>
      </c>
      <c r="C23" s="42">
        <f t="shared" ref="C23:D23" si="9">C12/(C16+C17)</f>
        <v>126.95408098652776</v>
      </c>
      <c r="D23" s="42">
        <f t="shared" si="9"/>
        <v>2033.253325575494</v>
      </c>
      <c r="E23" s="42">
        <f>IF(E16+E17 &gt; 0, E12/(E16+E17),0)</f>
        <v>126.95408098652764</v>
      </c>
      <c r="F23" s="76">
        <f>IF(F16+F17 &gt; 0, F12/(F16+F17),0)</f>
        <v>2033.2533255754943</v>
      </c>
      <c r="G23" s="76">
        <f>IF(G16+G17 &gt; 0, G12/(G16+G17),0)</f>
        <v>126.95408098652804</v>
      </c>
      <c r="H23" s="76">
        <f>IF(H16+H17 &gt; 0, H12/(H16+H17),0)</f>
        <v>2033.2533255754961</v>
      </c>
      <c r="I23" s="80"/>
      <c r="J23" s="80"/>
    </row>
    <row r="24" spans="1:10" ht="14.25" customHeight="1" x14ac:dyDescent="0.3">
      <c r="A24" s="1"/>
      <c r="B24" s="4"/>
      <c r="C24" s="42"/>
      <c r="D24" s="42"/>
      <c r="E24" s="42"/>
      <c r="F24" s="76"/>
      <c r="G24" s="79"/>
      <c r="H24" s="79"/>
      <c r="I24" s="79"/>
      <c r="J24" s="79"/>
    </row>
    <row r="25" spans="1:10" ht="14.25" customHeight="1" thickBot="1" x14ac:dyDescent="0.35">
      <c r="A25" s="1"/>
      <c r="B25" s="4" t="s">
        <v>21</v>
      </c>
      <c r="C25" s="82">
        <f>Customisation!H23</f>
        <v>7507.16</v>
      </c>
      <c r="D25" s="82">
        <f>Customisation!H23</f>
        <v>7507.16</v>
      </c>
      <c r="E25" s="82">
        <f>Customisation!H23</f>
        <v>7507.16</v>
      </c>
      <c r="F25" s="83">
        <f>Customisation!H23</f>
        <v>7507.16</v>
      </c>
      <c r="G25" s="79"/>
      <c r="H25" s="79"/>
      <c r="I25" s="79"/>
      <c r="J25" s="79"/>
    </row>
    <row r="26" spans="1:10" ht="14.25" customHeight="1" thickBot="1" x14ac:dyDescent="0.35">
      <c r="A26" s="1"/>
      <c r="B26" s="81" t="s">
        <v>150</v>
      </c>
      <c r="C26" s="84">
        <f>(C11-C10)/C10</f>
        <v>-0.45581951151821787</v>
      </c>
      <c r="D26" s="85">
        <f t="shared" ref="D26:F26" si="10">(D11-D10)/D10</f>
        <v>-0.93008089622781942</v>
      </c>
      <c r="E26" s="85">
        <f t="shared" si="10"/>
        <v>-0.45581951151821776</v>
      </c>
      <c r="F26" s="86">
        <f t="shared" si="10"/>
        <v>-0.93008089622781942</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c r="E31" s="135">
        <f>+Customisation!H16</f>
        <v>32.17</v>
      </c>
    </row>
    <row r="32" spans="1:10" ht="14.25" customHeight="1" x14ac:dyDescent="0.3">
      <c r="A32" s="1"/>
      <c r="B32" s="4"/>
      <c r="C32" s="21"/>
      <c r="D32" s="21"/>
      <c r="E32" s="136">
        <f>+E8</f>
        <v>1484984</v>
      </c>
    </row>
    <row r="33" spans="1:5" ht="14.25" customHeight="1" x14ac:dyDescent="0.3">
      <c r="A33" s="1"/>
      <c r="B33" s="4"/>
      <c r="C33" s="21"/>
      <c r="D33" s="21"/>
      <c r="E33" s="137">
        <f>+Customisation!H24</f>
        <v>0.73</v>
      </c>
    </row>
    <row r="34" spans="1:5" ht="14.25" customHeight="1" x14ac:dyDescent="0.3">
      <c r="A34" s="1"/>
      <c r="B34" s="4"/>
      <c r="C34" s="21"/>
      <c r="D34" s="21"/>
      <c r="E34" s="137">
        <f>+Customisation!H11</f>
        <v>0.66</v>
      </c>
    </row>
    <row r="35" spans="1:5" ht="14.25" customHeight="1" x14ac:dyDescent="0.3">
      <c r="A35" s="1"/>
      <c r="B35" s="4"/>
      <c r="C35" s="21"/>
      <c r="D35" s="21"/>
    </row>
    <row r="36" spans="1:5" ht="14.25" customHeight="1" x14ac:dyDescent="0.3">
      <c r="A36" s="1"/>
      <c r="B36" s="4"/>
      <c r="C36" s="21"/>
      <c r="D36" s="21"/>
    </row>
    <row r="37" spans="1:5" ht="14.25" customHeight="1" x14ac:dyDescent="0.3">
      <c r="A37" s="1"/>
      <c r="B37" s="4"/>
      <c r="C37" s="21"/>
      <c r="D37" s="21"/>
    </row>
    <row r="38" spans="1:5" ht="14.25" customHeight="1" x14ac:dyDescent="0.3">
      <c r="A38" s="1"/>
      <c r="B38" s="4"/>
      <c r="C38" s="21"/>
      <c r="D38" s="21"/>
    </row>
    <row r="39" spans="1:5" ht="14.25" customHeight="1" x14ac:dyDescent="0.3">
      <c r="A39" s="1"/>
      <c r="B39" s="4"/>
      <c r="C39" s="21"/>
      <c r="D39" s="21"/>
    </row>
    <row r="40" spans="1:5" ht="14.25" customHeight="1" x14ac:dyDescent="0.3">
      <c r="A40" s="1"/>
      <c r="B40" s="4"/>
      <c r="C40" s="21"/>
      <c r="D40" s="21"/>
    </row>
    <row r="41" spans="1:5" ht="14.25" customHeight="1" x14ac:dyDescent="0.3">
      <c r="A41" s="1"/>
      <c r="B41" s="4"/>
      <c r="C41" s="21"/>
      <c r="D41" s="21"/>
    </row>
    <row r="42" spans="1:5" ht="14.25" customHeight="1" x14ac:dyDescent="0.3">
      <c r="A42" s="1"/>
      <c r="B42" s="4"/>
      <c r="C42" s="21"/>
      <c r="D42" s="21"/>
    </row>
    <row r="43" spans="1:5" ht="14.25" customHeight="1" x14ac:dyDescent="0.3">
      <c r="A43" s="1"/>
      <c r="B43" s="4"/>
      <c r="C43" s="21"/>
      <c r="D43" s="21"/>
    </row>
    <row r="44" spans="1:5" ht="14.25" customHeight="1" x14ac:dyDescent="0.3">
      <c r="A44" s="1"/>
      <c r="B44" s="4"/>
      <c r="C44" s="21"/>
      <c r="D44" s="21"/>
    </row>
    <row r="45" spans="1:5" ht="14.25" customHeight="1" x14ac:dyDescent="0.3">
      <c r="A45" s="1"/>
      <c r="B45" s="4"/>
      <c r="C45" s="21"/>
      <c r="D45" s="21"/>
    </row>
    <row r="46" spans="1:5" ht="14.25" customHeight="1" x14ac:dyDescent="0.3">
      <c r="A46" s="1"/>
      <c r="B46" s="4"/>
      <c r="C46" s="21"/>
      <c r="D46" s="21"/>
    </row>
    <row r="47" spans="1:5" ht="14.25" customHeight="1" x14ac:dyDescent="0.3">
      <c r="A47" s="1"/>
      <c r="B47" s="4"/>
      <c r="C47" s="21"/>
      <c r="D47" s="21"/>
    </row>
    <row r="48" spans="1:5"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3" t="s">
        <v>56</v>
      </c>
      <c r="J1" s="43" t="s">
        <v>57</v>
      </c>
      <c r="L1" s="43"/>
      <c r="M1" s="43"/>
      <c r="N1" s="43"/>
    </row>
    <row r="2" spans="1:14" ht="14.25" customHeight="1" x14ac:dyDescent="0.3">
      <c r="A2" s="44">
        <v>0</v>
      </c>
      <c r="B2" s="44">
        <f>'Age data'!O8</f>
        <v>1.154E-2</v>
      </c>
      <c r="C2" s="44">
        <f t="shared" ref="C2:C102" si="0">1-B2</f>
        <v>0.98846000000000001</v>
      </c>
      <c r="D2" s="44">
        <v>1</v>
      </c>
      <c r="E2" s="44">
        <f t="shared" ref="E2:E101" si="1">(D2+D3)/2</f>
        <v>0.99422999999999995</v>
      </c>
      <c r="F2" s="44">
        <f t="shared" ref="F2:F102" si="2">SUM(E2:E$102)</f>
        <v>77.37350222557221</v>
      </c>
      <c r="G2" s="44">
        <f t="shared" ref="G2:G102" si="3">F2/D2</f>
        <v>77.37350222557221</v>
      </c>
      <c r="I2" s="45">
        <f t="shared" ref="I2:I102" si="4">G2</f>
        <v>77.37350222557221</v>
      </c>
      <c r="J2" s="45">
        <f>LOOKUP($I2,Model!$A$4:$A$104,Model!$E$4:$E$104)+($I2-INT($I2))*LOOKUP($I2,Model!$A$4:$A$104,Model!$D$4:$D$104)</f>
        <v>32.134790947503085</v>
      </c>
      <c r="L2" s="46"/>
      <c r="M2" s="46"/>
      <c r="N2" s="46"/>
    </row>
    <row r="3" spans="1:14" ht="14.25" customHeight="1" x14ac:dyDescent="0.3">
      <c r="A3" s="44">
        <v>1</v>
      </c>
      <c r="B3" s="44">
        <f>'Age data'!O9</f>
        <v>5.1999999999999995E-4</v>
      </c>
      <c r="C3" s="44">
        <f t="shared" si="0"/>
        <v>0.99948000000000004</v>
      </c>
      <c r="D3" s="44">
        <f t="shared" ref="D3:D102" si="5">D2*C2</f>
        <v>0.98846000000000001</v>
      </c>
      <c r="E3" s="44">
        <f t="shared" si="1"/>
        <v>0.98820300039999998</v>
      </c>
      <c r="F3" s="44">
        <f t="shared" si="2"/>
        <v>76.379272225572223</v>
      </c>
      <c r="G3" s="44">
        <f t="shared" si="3"/>
        <v>77.270979327005875</v>
      </c>
      <c r="I3" s="45">
        <f t="shared" si="4"/>
        <v>77.270979327005875</v>
      </c>
      <c r="J3" s="45">
        <f>LOOKUP($I3,Model!$A$4:$A$104,Model!$E$4:$E$104)+($I3-INT($I3))*LOOKUP($I3,Model!$A$4:$A$104,Model!$D$4:$D$104)</f>
        <v>32.130490472410422</v>
      </c>
      <c r="L3" s="46"/>
      <c r="M3" s="46"/>
    </row>
    <row r="4" spans="1:14" ht="14.25" customHeight="1" x14ac:dyDescent="0.3">
      <c r="A4" s="44">
        <v>2</v>
      </c>
      <c r="B4" s="44">
        <f>'Age data'!O10</f>
        <v>3.8999999999999999E-4</v>
      </c>
      <c r="C4" s="44">
        <f t="shared" si="0"/>
        <v>0.99961</v>
      </c>
      <c r="D4" s="44">
        <f t="shared" si="5"/>
        <v>0.98794600080000006</v>
      </c>
      <c r="E4" s="44">
        <f t="shared" si="1"/>
        <v>0.98775335132984399</v>
      </c>
      <c r="F4" s="44">
        <f t="shared" si="2"/>
        <v>75.391069225172203</v>
      </c>
      <c r="G4" s="44">
        <f t="shared" si="3"/>
        <v>76.310921005928932</v>
      </c>
      <c r="I4" s="45">
        <f t="shared" si="4"/>
        <v>76.310921005928932</v>
      </c>
      <c r="J4" s="45">
        <f>LOOKUP($I4,Model!$A$4:$A$104,Model!$E$4:$E$104)+($I4-INT($I4))*LOOKUP($I4,Model!$A$4:$A$104,Model!$D$4:$D$104)</f>
        <v>32.088774179663659</v>
      </c>
      <c r="L4" s="46"/>
      <c r="M4" s="46"/>
    </row>
    <row r="5" spans="1:14" ht="14.25" customHeight="1" x14ac:dyDescent="0.3">
      <c r="A5" s="44">
        <v>3</v>
      </c>
      <c r="B5" s="44">
        <f>'Age data'!O11</f>
        <v>2.9E-4</v>
      </c>
      <c r="C5" s="44">
        <f t="shared" si="0"/>
        <v>0.99970999999999999</v>
      </c>
      <c r="D5" s="44">
        <f t="shared" si="5"/>
        <v>0.98756070185968803</v>
      </c>
      <c r="E5" s="44">
        <f t="shared" si="1"/>
        <v>0.98741750555791841</v>
      </c>
      <c r="F5" s="44">
        <f t="shared" si="2"/>
        <v>74.403315873842374</v>
      </c>
      <c r="G5" s="44">
        <f t="shared" si="3"/>
        <v>75.34049880046112</v>
      </c>
      <c r="I5" s="45">
        <f t="shared" si="4"/>
        <v>75.34049880046112</v>
      </c>
      <c r="J5" s="45">
        <f>LOOKUP($I5,Model!$A$4:$A$104,Model!$E$4:$E$104)+($I5-INT($I5))*LOOKUP($I5,Model!$A$4:$A$104,Model!$D$4:$D$104)</f>
        <v>32.044580743281585</v>
      </c>
      <c r="L5" s="46"/>
      <c r="M5" s="46"/>
    </row>
    <row r="6" spans="1:14" ht="14.25" customHeight="1" x14ac:dyDescent="0.3">
      <c r="A6" s="44">
        <v>4</v>
      </c>
      <c r="B6" s="44">
        <f>'Age data'!O12</f>
        <v>2.3000000000000001E-4</v>
      </c>
      <c r="C6" s="44">
        <f t="shared" si="0"/>
        <v>0.99977000000000005</v>
      </c>
      <c r="D6" s="44">
        <f t="shared" si="5"/>
        <v>0.98727430925614867</v>
      </c>
      <c r="E6" s="44">
        <f t="shared" si="1"/>
        <v>0.98716077271058422</v>
      </c>
      <c r="F6" s="44">
        <f t="shared" si="2"/>
        <v>73.415898368284445</v>
      </c>
      <c r="G6" s="44">
        <f t="shared" si="3"/>
        <v>74.362208841025023</v>
      </c>
      <c r="I6" s="45">
        <f t="shared" si="4"/>
        <v>74.362208841025023</v>
      </c>
      <c r="J6" s="45">
        <f>LOOKUP($I6,Model!$A$4:$A$104,Model!$E$4:$E$104)+($I6-INT($I6))*LOOKUP($I6,Model!$A$4:$A$104,Model!$D$4:$D$104)</f>
        <v>31.997863983068925</v>
      </c>
      <c r="L6" s="46"/>
      <c r="M6" s="46"/>
    </row>
    <row r="7" spans="1:14" ht="14.25" customHeight="1" x14ac:dyDescent="0.3">
      <c r="A7" s="44">
        <v>5</v>
      </c>
      <c r="B7" s="44">
        <f>'Age data'!O13</f>
        <v>1.8000000000000001E-4</v>
      </c>
      <c r="C7" s="44">
        <f t="shared" si="0"/>
        <v>0.99982000000000004</v>
      </c>
      <c r="D7" s="44">
        <f t="shared" si="5"/>
        <v>0.98704723616501977</v>
      </c>
      <c r="E7" s="44">
        <f t="shared" si="1"/>
        <v>0.98695840191376494</v>
      </c>
      <c r="F7" s="44">
        <f t="shared" si="2"/>
        <v>72.428737595573864</v>
      </c>
      <c r="G7" s="44">
        <f t="shared" si="3"/>
        <v>73.37920105726819</v>
      </c>
      <c r="I7" s="45">
        <f t="shared" si="4"/>
        <v>73.37920105726819</v>
      </c>
      <c r="J7" s="45">
        <f>LOOKUP($I7,Model!$A$4:$A$104,Model!$E$4:$E$104)+($I7-INT($I7))*LOOKUP($I7,Model!$A$4:$A$104,Model!$D$4:$D$104)</f>
        <v>31.948623550980649</v>
      </c>
      <c r="L7" s="46"/>
      <c r="M7" s="46"/>
    </row>
    <row r="8" spans="1:14" ht="14.25" customHeight="1" x14ac:dyDescent="0.3">
      <c r="A8" s="44">
        <v>6</v>
      </c>
      <c r="B8" s="44">
        <f>'Age data'!O14</f>
        <v>1.4999999999999999E-4</v>
      </c>
      <c r="C8" s="44">
        <f t="shared" si="0"/>
        <v>0.99985000000000002</v>
      </c>
      <c r="D8" s="44">
        <f t="shared" si="5"/>
        <v>0.98686956766251011</v>
      </c>
      <c r="E8" s="44">
        <f t="shared" si="1"/>
        <v>0.98679555244493544</v>
      </c>
      <c r="F8" s="44">
        <f t="shared" si="2"/>
        <v>71.441779193660082</v>
      </c>
      <c r="G8" s="44">
        <f t="shared" si="3"/>
        <v>72.392321675169697</v>
      </c>
      <c r="I8" s="45">
        <f t="shared" si="4"/>
        <v>72.392321675169697</v>
      </c>
      <c r="J8" s="45">
        <f>LOOKUP($I8,Model!$A$4:$A$104,Model!$E$4:$E$104)+($I8-INT($I8))*LOOKUP($I8,Model!$A$4:$A$104,Model!$D$4:$D$104)</f>
        <v>31.896757147680919</v>
      </c>
      <c r="L8" s="46"/>
      <c r="M8" s="46"/>
    </row>
    <row r="9" spans="1:14" ht="14.25" customHeight="1" x14ac:dyDescent="0.3">
      <c r="A9" s="44">
        <v>7</v>
      </c>
      <c r="B9" s="44">
        <f>'Age data'!O15</f>
        <v>1.3999999999999999E-4</v>
      </c>
      <c r="C9" s="44">
        <f t="shared" si="0"/>
        <v>0.99985999999999997</v>
      </c>
      <c r="D9" s="44">
        <f t="shared" si="5"/>
        <v>0.98672153722736078</v>
      </c>
      <c r="E9" s="44">
        <f t="shared" si="1"/>
        <v>0.98665246671975493</v>
      </c>
      <c r="F9" s="44">
        <f t="shared" si="2"/>
        <v>70.454983641215165</v>
      </c>
      <c r="G9" s="44">
        <f t="shared" si="3"/>
        <v>71.403107141240895</v>
      </c>
      <c r="I9" s="45">
        <f t="shared" si="4"/>
        <v>71.403107141240895</v>
      </c>
      <c r="J9" s="45">
        <f>LOOKUP($I9,Model!$A$4:$A$104,Model!$E$4:$E$104)+($I9-INT($I9))*LOOKUP($I9,Model!$A$4:$A$104,Model!$D$4:$D$104)</f>
        <v>31.842201280918687</v>
      </c>
      <c r="L9" s="46"/>
      <c r="M9" s="46"/>
    </row>
    <row r="10" spans="1:14" ht="14.25" customHeight="1" x14ac:dyDescent="0.3">
      <c r="A10" s="44">
        <v>8</v>
      </c>
      <c r="B10" s="44">
        <f>'Age data'!O16</f>
        <v>1.3999999999999999E-4</v>
      </c>
      <c r="C10" s="44">
        <f t="shared" si="0"/>
        <v>0.99985999999999997</v>
      </c>
      <c r="D10" s="44">
        <f t="shared" si="5"/>
        <v>0.98658339621214897</v>
      </c>
      <c r="E10" s="44">
        <f t="shared" si="1"/>
        <v>0.98651433537441413</v>
      </c>
      <c r="F10" s="44">
        <f t="shared" si="2"/>
        <v>69.468331174495418</v>
      </c>
      <c r="G10" s="44">
        <f t="shared" si="3"/>
        <v>70.413034966136166</v>
      </c>
      <c r="I10" s="45">
        <f t="shared" si="4"/>
        <v>70.413034966136166</v>
      </c>
      <c r="J10" s="45">
        <f>LOOKUP($I10,Model!$A$4:$A$104,Model!$E$4:$E$104)+($I10-INT($I10))*LOOKUP($I10,Model!$A$4:$A$104,Model!$D$4:$D$104)</f>
        <v>31.784897314128859</v>
      </c>
      <c r="L10" s="46"/>
      <c r="M10" s="46"/>
    </row>
    <row r="11" spans="1:14" ht="14.25" customHeight="1" x14ac:dyDescent="0.3">
      <c r="A11" s="44">
        <v>9</v>
      </c>
      <c r="B11" s="44">
        <f>'Age data'!O17</f>
        <v>1.3999999999999999E-4</v>
      </c>
      <c r="C11" s="44">
        <f t="shared" si="0"/>
        <v>0.99985999999999997</v>
      </c>
      <c r="D11" s="44">
        <f t="shared" si="5"/>
        <v>0.98644527453667918</v>
      </c>
      <c r="E11" s="44">
        <f t="shared" si="1"/>
        <v>0.98637622336746156</v>
      </c>
      <c r="F11" s="44">
        <f t="shared" si="2"/>
        <v>68.481816839121009</v>
      </c>
      <c r="G11" s="44">
        <f t="shared" si="3"/>
        <v>69.42282416151879</v>
      </c>
      <c r="I11" s="45">
        <f t="shared" si="4"/>
        <v>69.42282416151879</v>
      </c>
      <c r="J11" s="45">
        <f>LOOKUP($I11,Model!$A$4:$A$104,Model!$E$4:$E$104)+($I11-INT($I11))*LOOKUP($I11,Model!$A$4:$A$104,Model!$D$4:$D$104)</f>
        <v>31.724748856023925</v>
      </c>
      <c r="L11" s="46"/>
      <c r="M11" s="46"/>
    </row>
    <row r="12" spans="1:14" ht="14.25" customHeight="1" x14ac:dyDescent="0.3">
      <c r="A12" s="44">
        <v>10</v>
      </c>
      <c r="B12" s="44">
        <f>'Age data'!O18</f>
        <v>1.6000000000000001E-4</v>
      </c>
      <c r="C12" s="44">
        <f t="shared" si="0"/>
        <v>0.99983999999999995</v>
      </c>
      <c r="D12" s="44">
        <f t="shared" si="5"/>
        <v>0.98630717219824404</v>
      </c>
      <c r="E12" s="44">
        <f t="shared" si="1"/>
        <v>0.98622826762446814</v>
      </c>
      <c r="F12" s="44">
        <f t="shared" si="2"/>
        <v>67.495440615753537</v>
      </c>
      <c r="G12" s="44">
        <f t="shared" si="3"/>
        <v>68.432474707977903</v>
      </c>
      <c r="I12" s="45">
        <f t="shared" si="4"/>
        <v>68.432474707977903</v>
      </c>
      <c r="J12" s="45">
        <f>LOOKUP($I12,Model!$A$4:$A$104,Model!$E$4:$E$104)+($I12-INT($I12))*LOOKUP($I12,Model!$A$4:$A$104,Model!$D$4:$D$104)</f>
        <v>31.661614286554538</v>
      </c>
      <c r="L12" s="46"/>
      <c r="M12" s="46"/>
    </row>
    <row r="13" spans="1:14" ht="14.25" customHeight="1" x14ac:dyDescent="0.3">
      <c r="A13" s="44">
        <v>11</v>
      </c>
      <c r="B13" s="44">
        <f>'Age data'!O19</f>
        <v>1.8000000000000001E-4</v>
      </c>
      <c r="C13" s="44">
        <f t="shared" si="0"/>
        <v>0.99982000000000004</v>
      </c>
      <c r="D13" s="44">
        <f t="shared" si="5"/>
        <v>0.98614936305069223</v>
      </c>
      <c r="E13" s="44">
        <f t="shared" si="1"/>
        <v>0.98606060960801767</v>
      </c>
      <c r="F13" s="44">
        <f t="shared" si="2"/>
        <v>66.509212348129068</v>
      </c>
      <c r="G13" s="44">
        <f t="shared" si="3"/>
        <v>67.443345643280836</v>
      </c>
      <c r="I13" s="45">
        <f t="shared" si="4"/>
        <v>67.443345643280836</v>
      </c>
      <c r="J13" s="45">
        <f>LOOKUP($I13,Model!$A$4:$A$104,Model!$E$4:$E$104)+($I13-INT($I13))*LOOKUP($I13,Model!$A$4:$A$104,Model!$D$4:$D$104)</f>
        <v>31.595437772776766</v>
      </c>
      <c r="L13" s="46"/>
      <c r="M13" s="46"/>
    </row>
    <row r="14" spans="1:14" ht="14.25" customHeight="1" x14ac:dyDescent="0.3">
      <c r="A14" s="44">
        <v>12</v>
      </c>
      <c r="B14" s="44">
        <f>'Age data'!O20</f>
        <v>2.1000000000000001E-4</v>
      </c>
      <c r="C14" s="44">
        <f t="shared" si="0"/>
        <v>0.99978999999999996</v>
      </c>
      <c r="D14" s="44">
        <f t="shared" si="5"/>
        <v>0.98597185616534311</v>
      </c>
      <c r="E14" s="44">
        <f t="shared" si="1"/>
        <v>0.98586832912044575</v>
      </c>
      <c r="F14" s="44">
        <f t="shared" si="2"/>
        <v>65.523151738521037</v>
      </c>
      <c r="G14" s="44">
        <f t="shared" si="3"/>
        <v>66.455397614851492</v>
      </c>
      <c r="I14" s="45">
        <f t="shared" si="4"/>
        <v>66.455397614851492</v>
      </c>
      <c r="J14" s="45">
        <f>LOOKUP($I14,Model!$A$4:$A$104,Model!$E$4:$E$104)+($I14-INT($I14))*LOOKUP($I14,Model!$A$4:$A$104,Model!$D$4:$D$104)</f>
        <v>31.526074302661442</v>
      </c>
      <c r="L14" s="46"/>
      <c r="M14" s="46"/>
    </row>
    <row r="15" spans="1:14" ht="14.25" customHeight="1" x14ac:dyDescent="0.3">
      <c r="A15" s="44">
        <v>13</v>
      </c>
      <c r="B15" s="44">
        <f>'Age data'!O21</f>
        <v>2.4000000000000001E-4</v>
      </c>
      <c r="C15" s="44">
        <f t="shared" si="0"/>
        <v>0.99975999999999998</v>
      </c>
      <c r="D15" s="44">
        <f t="shared" si="5"/>
        <v>0.9857648020755484</v>
      </c>
      <c r="E15" s="44">
        <f t="shared" si="1"/>
        <v>0.98564651029929928</v>
      </c>
      <c r="F15" s="44">
        <f t="shared" si="2"/>
        <v>64.537283409400601</v>
      </c>
      <c r="G15" s="44">
        <f t="shared" si="3"/>
        <v>65.469251157594599</v>
      </c>
      <c r="I15" s="45">
        <f t="shared" si="4"/>
        <v>65.469251157594599</v>
      </c>
      <c r="J15" s="45">
        <f>LOOKUP($I15,Model!$A$4:$A$104,Model!$E$4:$E$104)+($I15-INT($I15))*LOOKUP($I15,Model!$A$4:$A$104,Model!$D$4:$D$104)</f>
        <v>31.45342160320341</v>
      </c>
      <c r="L15" s="46"/>
      <c r="M15" s="46"/>
    </row>
    <row r="16" spans="1:14" ht="14.25" customHeight="1" x14ac:dyDescent="0.3">
      <c r="A16" s="44">
        <v>14</v>
      </c>
      <c r="B16" s="44">
        <f>'Age data'!O22</f>
        <v>2.9E-4</v>
      </c>
      <c r="C16" s="44">
        <f t="shared" si="0"/>
        <v>0.99970999999999999</v>
      </c>
      <c r="D16" s="44">
        <f t="shared" si="5"/>
        <v>0.98552821852305028</v>
      </c>
      <c r="E16" s="44">
        <f t="shared" si="1"/>
        <v>0.98538531693136444</v>
      </c>
      <c r="F16" s="44">
        <f t="shared" si="2"/>
        <v>63.551636899101268</v>
      </c>
      <c r="G16" s="44">
        <f t="shared" si="3"/>
        <v>64.484847520999594</v>
      </c>
      <c r="I16" s="45">
        <f t="shared" si="4"/>
        <v>64.484847520999594</v>
      </c>
      <c r="J16" s="45">
        <f>LOOKUP($I16,Model!$A$4:$A$104,Model!$E$4:$E$104)+($I16-INT($I16))*LOOKUP($I16,Model!$A$4:$A$104,Model!$D$4:$D$104)</f>
        <v>31.377326298797716</v>
      </c>
      <c r="L16" s="46"/>
      <c r="M16" s="46"/>
    </row>
    <row r="17" spans="1:13" ht="14.25" customHeight="1" x14ac:dyDescent="0.3">
      <c r="A17" s="44">
        <v>15</v>
      </c>
      <c r="B17" s="44">
        <f>'Age data'!O23</f>
        <v>3.4000000000000002E-4</v>
      </c>
      <c r="C17" s="44">
        <f t="shared" si="0"/>
        <v>0.99965999999999999</v>
      </c>
      <c r="D17" s="44">
        <f t="shared" si="5"/>
        <v>0.9852424153396786</v>
      </c>
      <c r="E17" s="44">
        <f t="shared" si="1"/>
        <v>0.98507492412907083</v>
      </c>
      <c r="F17" s="44">
        <f t="shared" si="2"/>
        <v>62.566251582169897</v>
      </c>
      <c r="G17" s="44">
        <f t="shared" si="3"/>
        <v>63.503408509467334</v>
      </c>
      <c r="I17" s="45">
        <f t="shared" si="4"/>
        <v>63.503408509467334</v>
      </c>
      <c r="J17" s="45">
        <f>LOOKUP($I17,Model!$A$4:$A$104,Model!$E$4:$E$104)+($I17-INT($I17))*LOOKUP($I17,Model!$A$4:$A$104,Model!$D$4:$D$104)</f>
        <v>31.297734125519199</v>
      </c>
      <c r="L17" s="46"/>
      <c r="M17" s="46"/>
    </row>
    <row r="18" spans="1:13" ht="14.25" customHeight="1" x14ac:dyDescent="0.3">
      <c r="A18" s="44">
        <v>16</v>
      </c>
      <c r="B18" s="44">
        <f>'Age data'!O24</f>
        <v>3.8999999999999999E-4</v>
      </c>
      <c r="C18" s="44">
        <f t="shared" si="0"/>
        <v>0.99961</v>
      </c>
      <c r="D18" s="44">
        <f t="shared" si="5"/>
        <v>0.98490743291846305</v>
      </c>
      <c r="E18" s="44">
        <f t="shared" si="1"/>
        <v>0.9847153759690439</v>
      </c>
      <c r="F18" s="44">
        <f t="shared" si="2"/>
        <v>61.581176658040832</v>
      </c>
      <c r="G18" s="44">
        <f t="shared" si="3"/>
        <v>62.524836954031713</v>
      </c>
      <c r="I18" s="45">
        <f t="shared" si="4"/>
        <v>62.524836954031713</v>
      </c>
      <c r="J18" s="45">
        <f>LOOKUP($I18,Model!$A$4:$A$104,Model!$E$4:$E$104)+($I18-INT($I18))*LOOKUP($I18,Model!$A$4:$A$104,Model!$D$4:$D$104)</f>
        <v>31.214489472024393</v>
      </c>
      <c r="L18" s="46"/>
      <c r="M18" s="46"/>
    </row>
    <row r="19" spans="1:13" ht="14.25" customHeight="1" x14ac:dyDescent="0.3">
      <c r="A19" s="44">
        <v>17</v>
      </c>
      <c r="B19" s="44">
        <f>'Age data'!O25</f>
        <v>4.4000000000000002E-4</v>
      </c>
      <c r="C19" s="44">
        <f t="shared" si="0"/>
        <v>0.99956</v>
      </c>
      <c r="D19" s="44">
        <f t="shared" si="5"/>
        <v>0.98452331901962487</v>
      </c>
      <c r="E19" s="44">
        <f t="shared" si="1"/>
        <v>0.98430672388944052</v>
      </c>
      <c r="F19" s="44">
        <f t="shared" si="2"/>
        <v>60.596461282071786</v>
      </c>
      <c r="G19" s="44">
        <f t="shared" si="3"/>
        <v>61.549036078102176</v>
      </c>
      <c r="I19" s="45">
        <f t="shared" si="4"/>
        <v>61.549036078102176</v>
      </c>
      <c r="J19" s="45">
        <f>LOOKUP($I19,Model!$A$4:$A$104,Model!$E$4:$E$104)+($I19-INT($I19))*LOOKUP($I19,Model!$A$4:$A$104,Model!$D$4:$D$104)</f>
        <v>31.127429712124446</v>
      </c>
      <c r="L19" s="46"/>
      <c r="M19" s="46"/>
    </row>
    <row r="20" spans="1:13" ht="14.25" customHeight="1" x14ac:dyDescent="0.3">
      <c r="A20" s="44">
        <v>18</v>
      </c>
      <c r="B20" s="44">
        <f>'Age data'!O26</f>
        <v>4.8000000000000001E-4</v>
      </c>
      <c r="C20" s="44">
        <f t="shared" si="0"/>
        <v>0.99951999999999996</v>
      </c>
      <c r="D20" s="44">
        <f t="shared" si="5"/>
        <v>0.98409012875925628</v>
      </c>
      <c r="E20" s="44">
        <f t="shared" si="1"/>
        <v>0.98385394712835406</v>
      </c>
      <c r="F20" s="44">
        <f t="shared" si="2"/>
        <v>59.61215455818234</v>
      </c>
      <c r="G20" s="44">
        <f t="shared" si="3"/>
        <v>60.575909478272607</v>
      </c>
      <c r="I20" s="45">
        <f t="shared" si="4"/>
        <v>60.575909478272607</v>
      </c>
      <c r="J20" s="45">
        <f>LOOKUP($I20,Model!$A$4:$A$104,Model!$E$4:$E$104)+($I20-INT($I20))*LOOKUP($I20,Model!$A$4:$A$104,Model!$D$4:$D$104)</f>
        <v>31.036384863098707</v>
      </c>
      <c r="L20" s="46"/>
      <c r="M20" s="46"/>
    </row>
    <row r="21" spans="1:13" ht="14.25" customHeight="1" x14ac:dyDescent="0.3">
      <c r="A21" s="44">
        <v>19</v>
      </c>
      <c r="B21" s="44">
        <f>'Age data'!O27</f>
        <v>5.1999999999999995E-4</v>
      </c>
      <c r="C21" s="44">
        <f t="shared" si="0"/>
        <v>0.99948000000000004</v>
      </c>
      <c r="D21" s="44">
        <f t="shared" si="5"/>
        <v>0.98361776549745183</v>
      </c>
      <c r="E21" s="44">
        <f t="shared" si="1"/>
        <v>0.9833620248784225</v>
      </c>
      <c r="F21" s="44">
        <f t="shared" si="2"/>
        <v>58.628300611053987</v>
      </c>
      <c r="G21" s="44">
        <f t="shared" si="3"/>
        <v>59.604759762958828</v>
      </c>
      <c r="I21" s="45">
        <f t="shared" si="4"/>
        <v>59.604759762958828</v>
      </c>
      <c r="J21" s="45">
        <f>LOOKUP($I21,Model!$A$4:$A$104,Model!$E$4:$E$104)+($I21-INT($I21))*LOOKUP($I21,Model!$A$4:$A$104,Model!$D$4:$D$104)</f>
        <v>30.941116519828984</v>
      </c>
      <c r="L21" s="46"/>
      <c r="M21" s="46"/>
    </row>
    <row r="22" spans="1:13" ht="14.25" customHeight="1" x14ac:dyDescent="0.3">
      <c r="A22" s="44">
        <v>20</v>
      </c>
      <c r="B22" s="44">
        <f>'Age data'!O28</f>
        <v>5.5999999999999995E-4</v>
      </c>
      <c r="C22" s="44">
        <f t="shared" si="0"/>
        <v>0.99944</v>
      </c>
      <c r="D22" s="44">
        <f t="shared" si="5"/>
        <v>0.98310628425939317</v>
      </c>
      <c r="E22" s="44">
        <f t="shared" si="1"/>
        <v>0.98283101449980048</v>
      </c>
      <c r="F22" s="44">
        <f t="shared" si="2"/>
        <v>57.64493858617557</v>
      </c>
      <c r="G22" s="44">
        <f t="shared" si="3"/>
        <v>58.635510228277532</v>
      </c>
      <c r="I22" s="45">
        <f t="shared" si="4"/>
        <v>58.635510228277532</v>
      </c>
      <c r="J22" s="45">
        <f>LOOKUP($I22,Model!$A$4:$A$104,Model!$E$4:$E$104)+($I22-INT($I22))*LOOKUP($I22,Model!$A$4:$A$104,Model!$D$4:$D$104)</f>
        <v>30.841431792903784</v>
      </c>
      <c r="L22" s="46"/>
      <c r="M22" s="46"/>
    </row>
    <row r="23" spans="1:13" ht="14.25" customHeight="1" x14ac:dyDescent="0.3">
      <c r="A23" s="44">
        <v>21</v>
      </c>
      <c r="B23" s="44">
        <f>'Age data'!O29</f>
        <v>5.8E-4</v>
      </c>
      <c r="C23" s="44">
        <f t="shared" si="0"/>
        <v>0.99941999999999998</v>
      </c>
      <c r="D23" s="44">
        <f t="shared" si="5"/>
        <v>0.9825557447402079</v>
      </c>
      <c r="E23" s="44">
        <f t="shared" si="1"/>
        <v>0.98227080357423324</v>
      </c>
      <c r="F23" s="44">
        <f t="shared" si="2"/>
        <v>56.662107571675762</v>
      </c>
      <c r="G23" s="44">
        <f t="shared" si="3"/>
        <v>57.668084355516619</v>
      </c>
      <c r="I23" s="45">
        <f t="shared" si="4"/>
        <v>57.668084355516619</v>
      </c>
      <c r="J23" s="45">
        <f>LOOKUP($I23,Model!$A$4:$A$104,Model!$E$4:$E$104)+($I23-INT($I23))*LOOKUP($I23,Model!$A$4:$A$104,Model!$D$4:$D$104)</f>
        <v>30.737128769191674</v>
      </c>
      <c r="L23" s="46"/>
      <c r="M23" s="46"/>
    </row>
    <row r="24" spans="1:13" ht="14.25" customHeight="1" x14ac:dyDescent="0.3">
      <c r="A24" s="44">
        <v>22</v>
      </c>
      <c r="B24" s="44">
        <f>'Age data'!O30</f>
        <v>5.9999999999999995E-4</v>
      </c>
      <c r="C24" s="44">
        <f t="shared" si="0"/>
        <v>0.99939999999999996</v>
      </c>
      <c r="D24" s="44">
        <f t="shared" si="5"/>
        <v>0.98198586240825858</v>
      </c>
      <c r="E24" s="44">
        <f t="shared" si="1"/>
        <v>0.9816912666495361</v>
      </c>
      <c r="F24" s="44">
        <f t="shared" si="2"/>
        <v>55.679836768101538</v>
      </c>
      <c r="G24" s="44">
        <f t="shared" si="3"/>
        <v>56.701261086947056</v>
      </c>
      <c r="I24" s="45">
        <f t="shared" si="4"/>
        <v>56.701261086947056</v>
      </c>
      <c r="J24" s="45">
        <f>LOOKUP($I24,Model!$A$4:$A$104,Model!$E$4:$E$104)+($I24-INT($I24))*LOOKUP($I24,Model!$A$4:$A$104,Model!$D$4:$D$104)</f>
        <v>30.627862284755988</v>
      </c>
      <c r="L24" s="46"/>
      <c r="M24" s="46"/>
    </row>
    <row r="25" spans="1:13" ht="14.25" customHeight="1" x14ac:dyDescent="0.3">
      <c r="A25" s="44">
        <v>23</v>
      </c>
      <c r="B25" s="44">
        <f>'Age data'!O31</f>
        <v>6.2E-4</v>
      </c>
      <c r="C25" s="44">
        <f t="shared" si="0"/>
        <v>0.99938000000000005</v>
      </c>
      <c r="D25" s="44">
        <f t="shared" si="5"/>
        <v>0.98139667089081362</v>
      </c>
      <c r="E25" s="44">
        <f t="shared" si="1"/>
        <v>0.98109243792283751</v>
      </c>
      <c r="F25" s="44">
        <f t="shared" si="2"/>
        <v>54.698145501452004</v>
      </c>
      <c r="G25" s="44">
        <f t="shared" si="3"/>
        <v>55.735002088199977</v>
      </c>
      <c r="I25" s="45">
        <f t="shared" si="4"/>
        <v>55.735002088199977</v>
      </c>
      <c r="J25" s="45">
        <f>LOOKUP($I25,Model!$A$4:$A$104,Model!$E$4:$E$104)+($I25-INT($I25))*LOOKUP($I25,Model!$A$4:$A$104,Model!$D$4:$D$104)</f>
        <v>30.513395568344368</v>
      </c>
      <c r="L25" s="46"/>
      <c r="M25" s="46"/>
    </row>
    <row r="26" spans="1:13" ht="14.25" customHeight="1" x14ac:dyDescent="0.3">
      <c r="A26" s="44">
        <v>24</v>
      </c>
      <c r="B26" s="44">
        <f>'Age data'!O32</f>
        <v>6.4000000000000005E-4</v>
      </c>
      <c r="C26" s="44">
        <f t="shared" si="0"/>
        <v>0.99936000000000003</v>
      </c>
      <c r="D26" s="44">
        <f t="shared" si="5"/>
        <v>0.98078820495486141</v>
      </c>
      <c r="E26" s="44">
        <f t="shared" si="1"/>
        <v>0.98047435272927586</v>
      </c>
      <c r="F26" s="44">
        <f t="shared" si="2"/>
        <v>53.71705306352915</v>
      </c>
      <c r="G26" s="44">
        <f t="shared" si="3"/>
        <v>54.769269035001656</v>
      </c>
      <c r="I26" s="45">
        <f t="shared" si="4"/>
        <v>54.769269035001656</v>
      </c>
      <c r="J26" s="45">
        <f>LOOKUP($I26,Model!$A$4:$A$104,Model!$E$4:$E$104)+($I26-INT($I26))*LOOKUP($I26,Model!$A$4:$A$104,Model!$D$4:$D$104)</f>
        <v>30.393480287204937</v>
      </c>
      <c r="L26" s="46"/>
      <c r="M26" s="46"/>
    </row>
    <row r="27" spans="1:13" ht="14.25" customHeight="1" x14ac:dyDescent="0.3">
      <c r="A27" s="44">
        <v>25</v>
      </c>
      <c r="B27" s="44">
        <f>'Age data'!O33</f>
        <v>6.4999999999999997E-4</v>
      </c>
      <c r="C27" s="44">
        <f t="shared" si="0"/>
        <v>0.99934999999999996</v>
      </c>
      <c r="D27" s="44">
        <f t="shared" si="5"/>
        <v>0.9801605005036903</v>
      </c>
      <c r="E27" s="44">
        <f t="shared" si="1"/>
        <v>0.97984194834102656</v>
      </c>
      <c r="F27" s="44">
        <f t="shared" si="2"/>
        <v>52.736578710799876</v>
      </c>
      <c r="G27" s="44">
        <f t="shared" si="3"/>
        <v>53.804023610112132</v>
      </c>
      <c r="I27" s="45">
        <f t="shared" si="4"/>
        <v>53.804023610112132</v>
      </c>
      <c r="J27" s="45">
        <f>LOOKUP($I27,Model!$A$4:$A$104,Model!$E$4:$E$104)+($I27-INT($I27))*LOOKUP($I27,Model!$A$4:$A$104,Model!$D$4:$D$104)</f>
        <v>30.267855956169587</v>
      </c>
      <c r="L27" s="46"/>
      <c r="M27" s="46"/>
    </row>
    <row r="28" spans="1:13" ht="14.25" customHeight="1" x14ac:dyDescent="0.3">
      <c r="A28" s="44">
        <v>26</v>
      </c>
      <c r="B28" s="44">
        <f>'Age data'!O34</f>
        <v>6.7000000000000002E-4</v>
      </c>
      <c r="C28" s="44">
        <f t="shared" si="0"/>
        <v>0.99933000000000005</v>
      </c>
      <c r="D28" s="44">
        <f t="shared" si="5"/>
        <v>0.97952339617836282</v>
      </c>
      <c r="E28" s="44">
        <f t="shared" si="1"/>
        <v>0.97919525584064315</v>
      </c>
      <c r="F28" s="44">
        <f t="shared" si="2"/>
        <v>51.756736762458843</v>
      </c>
      <c r="G28" s="44">
        <f t="shared" si="3"/>
        <v>52.838693761056817</v>
      </c>
      <c r="I28" s="45">
        <f t="shared" si="4"/>
        <v>52.838693761056817</v>
      </c>
      <c r="J28" s="45">
        <f>LOOKUP($I28,Model!$A$4:$A$104,Model!$E$4:$E$104)+($I28-INT($I28))*LOOKUP($I28,Model!$A$4:$A$104,Model!$D$4:$D$104)</f>
        <v>30.136173499224459</v>
      </c>
      <c r="L28" s="46"/>
      <c r="M28" s="46"/>
    </row>
    <row r="29" spans="1:13" ht="14.25" customHeight="1" x14ac:dyDescent="0.3">
      <c r="A29" s="44">
        <v>27</v>
      </c>
      <c r="B29" s="44">
        <f>'Age data'!O35</f>
        <v>6.9999999999999999E-4</v>
      </c>
      <c r="C29" s="44">
        <f t="shared" si="0"/>
        <v>0.99929999999999997</v>
      </c>
      <c r="D29" s="44">
        <f t="shared" si="5"/>
        <v>0.97886711550292338</v>
      </c>
      <c r="E29" s="44">
        <f t="shared" si="1"/>
        <v>0.97852451201249735</v>
      </c>
      <c r="F29" s="44">
        <f t="shared" si="2"/>
        <v>50.777541506618206</v>
      </c>
      <c r="G29" s="44">
        <f t="shared" si="3"/>
        <v>51.873784196468449</v>
      </c>
      <c r="I29" s="45">
        <f t="shared" si="4"/>
        <v>51.873784196468449</v>
      </c>
      <c r="J29" s="45">
        <f>LOOKUP($I29,Model!$A$4:$A$104,Model!$E$4:$E$104)+($I29-INT($I29))*LOOKUP($I29,Model!$A$4:$A$104,Model!$D$4:$D$104)</f>
        <v>29.998215841267953</v>
      </c>
      <c r="L29" s="46"/>
      <c r="M29" s="46"/>
    </row>
    <row r="30" spans="1:13" ht="14.25" customHeight="1" x14ac:dyDescent="0.3">
      <c r="A30" s="44">
        <v>28</v>
      </c>
      <c r="B30" s="44">
        <f>'Age data'!O36</f>
        <v>7.3999999999999999E-4</v>
      </c>
      <c r="C30" s="44">
        <f t="shared" si="0"/>
        <v>0.99926000000000004</v>
      </c>
      <c r="D30" s="44">
        <f t="shared" si="5"/>
        <v>0.97818190852207132</v>
      </c>
      <c r="E30" s="44">
        <f t="shared" si="1"/>
        <v>0.97781998121591818</v>
      </c>
      <c r="F30" s="44">
        <f t="shared" si="2"/>
        <v>49.799016994605708</v>
      </c>
      <c r="G30" s="44">
        <f t="shared" si="3"/>
        <v>50.909771036193789</v>
      </c>
      <c r="I30" s="45">
        <f t="shared" si="4"/>
        <v>50.909771036193789</v>
      </c>
      <c r="J30" s="45">
        <f>LOOKUP($I30,Model!$A$4:$A$104,Model!$E$4:$E$104)+($I30-INT($I30))*LOOKUP($I30,Model!$A$4:$A$104,Model!$D$4:$D$104)</f>
        <v>29.853762365492237</v>
      </c>
      <c r="L30" s="46"/>
      <c r="M30" s="46"/>
    </row>
    <row r="31" spans="1:13" ht="14.25" customHeight="1" x14ac:dyDescent="0.3">
      <c r="A31" s="44">
        <v>29</v>
      </c>
      <c r="B31" s="44">
        <f>'Age data'!O37</f>
        <v>7.7999999999999999E-4</v>
      </c>
      <c r="C31" s="44">
        <f t="shared" si="0"/>
        <v>0.99922</v>
      </c>
      <c r="D31" s="44">
        <f t="shared" si="5"/>
        <v>0.97745805390976503</v>
      </c>
      <c r="E31" s="44">
        <f t="shared" si="1"/>
        <v>0.97707684526874017</v>
      </c>
      <c r="F31" s="44">
        <f t="shared" si="2"/>
        <v>48.821197013389792</v>
      </c>
      <c r="G31" s="44">
        <f t="shared" si="3"/>
        <v>49.947101891593569</v>
      </c>
      <c r="I31" s="45">
        <f t="shared" si="4"/>
        <v>49.947101891593569</v>
      </c>
      <c r="J31" s="45">
        <f>LOOKUP($I31,Model!$A$4:$A$104,Model!$E$4:$E$104)+($I31-INT($I31))*LOOKUP($I31,Model!$A$4:$A$104,Model!$D$4:$D$104)</f>
        <v>29.702589006603933</v>
      </c>
      <c r="L31" s="46"/>
      <c r="M31" s="46"/>
    </row>
    <row r="32" spans="1:13" ht="14.25" customHeight="1" x14ac:dyDescent="0.3">
      <c r="A32" s="44">
        <v>30</v>
      </c>
      <c r="B32" s="44">
        <f>'Age data'!O38</f>
        <v>8.3000000000000001E-4</v>
      </c>
      <c r="C32" s="44">
        <f t="shared" si="0"/>
        <v>0.99917</v>
      </c>
      <c r="D32" s="44">
        <f t="shared" si="5"/>
        <v>0.97669563662771541</v>
      </c>
      <c r="E32" s="44">
        <f t="shared" si="1"/>
        <v>0.9762903079385149</v>
      </c>
      <c r="F32" s="44">
        <f t="shared" si="2"/>
        <v>47.844120168121052</v>
      </c>
      <c r="G32" s="44">
        <f t="shared" si="3"/>
        <v>48.985700738169342</v>
      </c>
      <c r="I32" s="45">
        <f t="shared" si="4"/>
        <v>48.985700738169342</v>
      </c>
      <c r="J32" s="45">
        <f>LOOKUP($I32,Model!$A$4:$A$104,Model!$E$4:$E$104)+($I32-INT($I32))*LOOKUP($I32,Model!$A$4:$A$104,Model!$D$4:$D$104)</f>
        <v>29.544382833991278</v>
      </c>
      <c r="L32" s="46"/>
      <c r="M32" s="46"/>
    </row>
    <row r="33" spans="1:13" ht="14.25" customHeight="1" x14ac:dyDescent="0.3">
      <c r="A33" s="44">
        <v>31</v>
      </c>
      <c r="B33" s="44">
        <f>'Age data'!O39</f>
        <v>8.8999999999999995E-4</v>
      </c>
      <c r="C33" s="44">
        <f t="shared" si="0"/>
        <v>0.99911000000000005</v>
      </c>
      <c r="D33" s="44">
        <f t="shared" si="5"/>
        <v>0.97588497924931439</v>
      </c>
      <c r="E33" s="44">
        <f t="shared" si="1"/>
        <v>0.97545071043354847</v>
      </c>
      <c r="F33" s="44">
        <f t="shared" si="2"/>
        <v>46.867829860182539</v>
      </c>
      <c r="G33" s="44">
        <f t="shared" si="3"/>
        <v>48.025977299327785</v>
      </c>
      <c r="I33" s="45">
        <f t="shared" si="4"/>
        <v>48.025977299327785</v>
      </c>
      <c r="J33" s="45">
        <f>LOOKUP($I33,Model!$A$4:$A$104,Model!$E$4:$E$104)+($I33-INT($I33))*LOOKUP($I33,Model!$A$4:$A$104,Model!$D$4:$D$104)</f>
        <v>29.378679466289235</v>
      </c>
      <c r="L33" s="46"/>
      <c r="M33" s="46"/>
    </row>
    <row r="34" spans="1:13" ht="14.25" customHeight="1" x14ac:dyDescent="0.3">
      <c r="A34" s="44">
        <v>32</v>
      </c>
      <c r="B34" s="44">
        <f>'Age data'!O40</f>
        <v>9.5E-4</v>
      </c>
      <c r="C34" s="44">
        <f t="shared" si="0"/>
        <v>0.99904999999999999</v>
      </c>
      <c r="D34" s="44">
        <f t="shared" si="5"/>
        <v>0.97501644161778256</v>
      </c>
      <c r="E34" s="44">
        <f t="shared" si="1"/>
        <v>0.97455330880801405</v>
      </c>
      <c r="F34" s="44">
        <f t="shared" si="2"/>
        <v>45.892379149748997</v>
      </c>
      <c r="G34" s="44">
        <f t="shared" si="3"/>
        <v>47.068313097984998</v>
      </c>
      <c r="I34" s="45">
        <f t="shared" si="4"/>
        <v>47.068313097984998</v>
      </c>
      <c r="J34" s="45">
        <f>LOOKUP($I34,Model!$A$4:$A$104,Model!$E$4:$E$104)+($I34-INT($I34))*LOOKUP($I34,Model!$A$4:$A$104,Model!$D$4:$D$104)</f>
        <v>29.205288508622893</v>
      </c>
      <c r="L34" s="46"/>
      <c r="M34" s="46"/>
    </row>
    <row r="35" spans="1:13" ht="14.25" customHeight="1" x14ac:dyDescent="0.3">
      <c r="A35" s="44">
        <v>33</v>
      </c>
      <c r="B35" s="44">
        <f>'Age data'!O41</f>
        <v>1.0300000000000001E-3</v>
      </c>
      <c r="C35" s="44">
        <f t="shared" si="0"/>
        <v>0.99897000000000002</v>
      </c>
      <c r="D35" s="44">
        <f t="shared" si="5"/>
        <v>0.97409017599824566</v>
      </c>
      <c r="E35" s="44">
        <f t="shared" si="1"/>
        <v>0.97358851955760661</v>
      </c>
      <c r="F35" s="44">
        <f t="shared" si="2"/>
        <v>44.917825840940978</v>
      </c>
      <c r="G35" s="44">
        <f t="shared" si="3"/>
        <v>46.112595063295117</v>
      </c>
      <c r="I35" s="45">
        <f t="shared" si="4"/>
        <v>46.112595063295117</v>
      </c>
      <c r="J35" s="45">
        <f>LOOKUP($I35,Model!$A$4:$A$104,Model!$E$4:$E$104)+($I35-INT($I35))*LOOKUP($I35,Model!$A$4:$A$104,Model!$D$4:$D$104)</f>
        <v>29.023982218687436</v>
      </c>
      <c r="L35" s="46"/>
      <c r="M35" s="46"/>
    </row>
    <row r="36" spans="1:13" ht="14.25" customHeight="1" x14ac:dyDescent="0.3">
      <c r="A36" s="44">
        <v>34</v>
      </c>
      <c r="B36" s="44">
        <f>'Age data'!O42</f>
        <v>1.1100000000000001E-3</v>
      </c>
      <c r="C36" s="44">
        <f t="shared" si="0"/>
        <v>0.99888999999999994</v>
      </c>
      <c r="D36" s="44">
        <f t="shared" si="5"/>
        <v>0.97308686311696746</v>
      </c>
      <c r="E36" s="44">
        <f t="shared" si="1"/>
        <v>0.97254679990793758</v>
      </c>
      <c r="F36" s="44">
        <f t="shared" si="2"/>
        <v>43.944237321383376</v>
      </c>
      <c r="G36" s="44">
        <f t="shared" si="3"/>
        <v>45.159624476505925</v>
      </c>
      <c r="I36" s="45">
        <f t="shared" si="4"/>
        <v>45.159624476505925</v>
      </c>
      <c r="J36" s="45">
        <f>LOOKUP($I36,Model!$A$4:$A$104,Model!$E$4:$E$104)+($I36-INT($I36))*LOOKUP($I36,Model!$A$4:$A$104,Model!$D$4:$D$104)</f>
        <v>28.834581217876206</v>
      </c>
      <c r="L36" s="46"/>
      <c r="M36" s="46"/>
    </row>
    <row r="37" spans="1:13" ht="14.25" customHeight="1" x14ac:dyDescent="0.3">
      <c r="A37" s="44">
        <v>35</v>
      </c>
      <c r="B37" s="44">
        <f>'Age data'!O43</f>
        <v>1.1900000000000001E-3</v>
      </c>
      <c r="C37" s="44">
        <f t="shared" si="0"/>
        <v>0.99880999999999998</v>
      </c>
      <c r="D37" s="44">
        <f t="shared" si="5"/>
        <v>0.97200673669890758</v>
      </c>
      <c r="E37" s="44">
        <f t="shared" si="1"/>
        <v>0.9714283926905718</v>
      </c>
      <c r="F37" s="44">
        <f t="shared" si="2"/>
        <v>42.971690521475438</v>
      </c>
      <c r="G37" s="44">
        <f t="shared" si="3"/>
        <v>44.209251745943924</v>
      </c>
      <c r="I37" s="45">
        <f t="shared" si="4"/>
        <v>44.209251745943924</v>
      </c>
      <c r="J37" s="45">
        <f>LOOKUP($I37,Model!$A$4:$A$104,Model!$E$4:$E$104)+($I37-INT($I37))*LOOKUP($I37,Model!$A$4:$A$104,Model!$D$4:$D$104)</f>
        <v>28.636725363564864</v>
      </c>
      <c r="L37" s="46"/>
      <c r="M37" s="46"/>
    </row>
    <row r="38" spans="1:13" ht="14.25" customHeight="1" x14ac:dyDescent="0.3">
      <c r="A38" s="44">
        <v>36</v>
      </c>
      <c r="B38" s="44">
        <f>'Age data'!O44</f>
        <v>1.2899999999999999E-3</v>
      </c>
      <c r="C38" s="44">
        <f t="shared" si="0"/>
        <v>0.99870999999999999</v>
      </c>
      <c r="D38" s="44">
        <f t="shared" si="5"/>
        <v>0.9708500486822359</v>
      </c>
      <c r="E38" s="44">
        <f t="shared" si="1"/>
        <v>0.97022385040083581</v>
      </c>
      <c r="F38" s="44">
        <f t="shared" si="2"/>
        <v>42.000262128784868</v>
      </c>
      <c r="G38" s="44">
        <f t="shared" si="3"/>
        <v>43.261327725937797</v>
      </c>
      <c r="I38" s="45">
        <f t="shared" si="4"/>
        <v>43.261327725937797</v>
      </c>
      <c r="J38" s="45">
        <f>LOOKUP($I38,Model!$A$4:$A$104,Model!$E$4:$E$104)+($I38-INT($I38))*LOOKUP($I38,Model!$A$4:$A$104,Model!$D$4:$D$104)</f>
        <v>28.43003706735</v>
      </c>
      <c r="L38" s="46"/>
      <c r="M38" s="46"/>
    </row>
    <row r="39" spans="1:13" ht="14.25" customHeight="1" x14ac:dyDescent="0.3">
      <c r="A39" s="44">
        <v>37</v>
      </c>
      <c r="B39" s="44">
        <f>'Age data'!O45</f>
        <v>1.39E-3</v>
      </c>
      <c r="C39" s="44">
        <f t="shared" si="0"/>
        <v>0.99861</v>
      </c>
      <c r="D39" s="44">
        <f t="shared" si="5"/>
        <v>0.96959765211943583</v>
      </c>
      <c r="E39" s="44">
        <f t="shared" si="1"/>
        <v>0.96892378175121285</v>
      </c>
      <c r="F39" s="44">
        <f t="shared" si="2"/>
        <v>41.030038278384033</v>
      </c>
      <c r="G39" s="44">
        <f t="shared" si="3"/>
        <v>42.316561089743566</v>
      </c>
      <c r="I39" s="45">
        <f t="shared" si="4"/>
        <v>42.316561089743566</v>
      </c>
      <c r="J39" s="45">
        <f>LOOKUP($I39,Model!$A$4:$A$104,Model!$E$4:$E$104)+($I39-INT($I39))*LOOKUP($I39,Model!$A$4:$A$104,Model!$D$4:$D$104)</f>
        <v>28.214318675515557</v>
      </c>
      <c r="L39" s="46"/>
      <c r="M39" s="46"/>
    </row>
    <row r="40" spans="1:13" ht="14.25" customHeight="1" x14ac:dyDescent="0.3">
      <c r="A40" s="44">
        <v>38</v>
      </c>
      <c r="B40" s="44">
        <f>'Age data'!O46</f>
        <v>1.5100000000000001E-3</v>
      </c>
      <c r="C40" s="44">
        <f t="shared" si="0"/>
        <v>0.99848999999999999</v>
      </c>
      <c r="D40" s="44">
        <f t="shared" si="5"/>
        <v>0.96824991138298977</v>
      </c>
      <c r="E40" s="44">
        <f t="shared" si="1"/>
        <v>0.96751888269989561</v>
      </c>
      <c r="F40" s="44">
        <f t="shared" si="2"/>
        <v>40.061114496632818</v>
      </c>
      <c r="G40" s="44">
        <f t="shared" si="3"/>
        <v>41.374767015895657</v>
      </c>
      <c r="I40" s="45">
        <f t="shared" si="4"/>
        <v>41.374767015895657</v>
      </c>
      <c r="J40" s="45">
        <f>LOOKUP($I40,Model!$A$4:$A$104,Model!$E$4:$E$104)+($I40-INT($I40))*LOOKUP($I40,Model!$A$4:$A$104,Model!$D$4:$D$104)</f>
        <v>27.989175524915542</v>
      </c>
      <c r="L40" s="46"/>
      <c r="M40" s="46"/>
    </row>
    <row r="41" spans="1:13" ht="14.25" customHeight="1" x14ac:dyDescent="0.3">
      <c r="A41" s="44">
        <v>39</v>
      </c>
      <c r="B41" s="44">
        <f>'Age data'!O47</f>
        <v>1.6299999999999999E-3</v>
      </c>
      <c r="C41" s="44">
        <f t="shared" si="0"/>
        <v>0.99836999999999998</v>
      </c>
      <c r="D41" s="44">
        <f t="shared" si="5"/>
        <v>0.96678785401680145</v>
      </c>
      <c r="E41" s="44">
        <f t="shared" si="1"/>
        <v>0.96599992191577777</v>
      </c>
      <c r="F41" s="44">
        <f t="shared" si="2"/>
        <v>39.093595613932919</v>
      </c>
      <c r="G41" s="44">
        <f t="shared" si="3"/>
        <v>40.436581253588571</v>
      </c>
      <c r="I41" s="45">
        <f t="shared" si="4"/>
        <v>40.436581253588571</v>
      </c>
      <c r="J41" s="45">
        <f>LOOKUP($I41,Model!$A$4:$A$104,Model!$E$4:$E$104)+($I41-INT($I41))*LOOKUP($I41,Model!$A$4:$A$104,Model!$D$4:$D$104)</f>
        <v>27.754402719881632</v>
      </c>
      <c r="L41" s="46"/>
      <c r="M41" s="46"/>
    </row>
    <row r="42" spans="1:13" ht="14.25" customHeight="1" x14ac:dyDescent="0.3">
      <c r="A42" s="44">
        <v>40</v>
      </c>
      <c r="B42" s="44">
        <f>'Age data'!O48</f>
        <v>1.7700000000000001E-3</v>
      </c>
      <c r="C42" s="44">
        <f t="shared" si="0"/>
        <v>0.99822999999999995</v>
      </c>
      <c r="D42" s="44">
        <f t="shared" si="5"/>
        <v>0.96521198981475409</v>
      </c>
      <c r="E42" s="44">
        <f t="shared" si="1"/>
        <v>0.96435777720376803</v>
      </c>
      <c r="F42" s="44">
        <f t="shared" si="2"/>
        <v>38.127595692017145</v>
      </c>
      <c r="G42" s="44">
        <f t="shared" si="3"/>
        <v>39.501784161772264</v>
      </c>
      <c r="I42" s="45">
        <f t="shared" si="4"/>
        <v>39.501784161772264</v>
      </c>
      <c r="J42" s="45">
        <f>LOOKUP($I42,Model!$A$4:$A$104,Model!$E$4:$E$104)+($I42-INT($I42))*LOOKUP($I42,Model!$A$4:$A$104,Model!$D$4:$D$104)</f>
        <v>27.509587345226645</v>
      </c>
      <c r="L42" s="46"/>
      <c r="M42" s="46"/>
    </row>
    <row r="43" spans="1:13" ht="14.25" customHeight="1" x14ac:dyDescent="0.3">
      <c r="A43" s="44">
        <v>41</v>
      </c>
      <c r="B43" s="44">
        <f>'Age data'!O49</f>
        <v>1.92E-3</v>
      </c>
      <c r="C43" s="44">
        <f t="shared" si="0"/>
        <v>0.99807999999999997</v>
      </c>
      <c r="D43" s="44">
        <f t="shared" si="5"/>
        <v>0.96350356459278197</v>
      </c>
      <c r="E43" s="44">
        <f t="shared" si="1"/>
        <v>0.96257860117077287</v>
      </c>
      <c r="F43" s="44">
        <f t="shared" si="2"/>
        <v>37.163237914813379</v>
      </c>
      <c r="G43" s="44">
        <f t="shared" si="3"/>
        <v>38.570939725085665</v>
      </c>
      <c r="I43" s="45">
        <f t="shared" si="4"/>
        <v>38.570939725085665</v>
      </c>
      <c r="J43" s="45">
        <f>LOOKUP($I43,Model!$A$4:$A$104,Model!$E$4:$E$104)+($I43-INT($I43))*LOOKUP($I43,Model!$A$4:$A$104,Model!$D$4:$D$104)</f>
        <v>27.254516073940138</v>
      </c>
      <c r="L43" s="46"/>
      <c r="M43" s="46"/>
    </row>
    <row r="44" spans="1:13" ht="14.25" customHeight="1" x14ac:dyDescent="0.3">
      <c r="A44" s="44">
        <v>42</v>
      </c>
      <c r="B44" s="44">
        <f>'Age data'!O50</f>
        <v>2.0799999999999998E-3</v>
      </c>
      <c r="C44" s="44">
        <f t="shared" si="0"/>
        <v>0.99792000000000003</v>
      </c>
      <c r="D44" s="44">
        <f t="shared" si="5"/>
        <v>0.96165363774876378</v>
      </c>
      <c r="E44" s="44">
        <f t="shared" si="1"/>
        <v>0.96065351796550513</v>
      </c>
      <c r="F44" s="44">
        <f t="shared" si="2"/>
        <v>36.200659313642603</v>
      </c>
      <c r="G44" s="44">
        <f t="shared" si="3"/>
        <v>37.644176544050246</v>
      </c>
      <c r="I44" s="45">
        <f t="shared" si="4"/>
        <v>37.644176544050246</v>
      </c>
      <c r="J44" s="45">
        <f>LOOKUP($I44,Model!$A$4:$A$104,Model!$E$4:$E$104)+($I44-INT($I44))*LOOKUP($I44,Model!$A$4:$A$104,Model!$D$4:$D$104)</f>
        <v>26.988868913267712</v>
      </c>
      <c r="L44" s="46"/>
      <c r="M44" s="46"/>
    </row>
    <row r="45" spans="1:13" ht="14.25" customHeight="1" x14ac:dyDescent="0.3">
      <c r="A45" s="44">
        <v>43</v>
      </c>
      <c r="B45" s="44">
        <f>'Age data'!O51</f>
        <v>2.2399999999999998E-3</v>
      </c>
      <c r="C45" s="44">
        <f t="shared" si="0"/>
        <v>0.99775999999999998</v>
      </c>
      <c r="D45" s="44">
        <f t="shared" si="5"/>
        <v>0.95965339818224638</v>
      </c>
      <c r="E45" s="44">
        <f t="shared" si="1"/>
        <v>0.95857858637628224</v>
      </c>
      <c r="F45" s="44">
        <f t="shared" si="2"/>
        <v>35.240005795677099</v>
      </c>
      <c r="G45" s="44">
        <f t="shared" si="3"/>
        <v>36.721597466781148</v>
      </c>
      <c r="I45" s="45">
        <f t="shared" si="4"/>
        <v>36.721597466781148</v>
      </c>
      <c r="J45" s="45">
        <f>LOOKUP($I45,Model!$A$4:$A$104,Model!$E$4:$E$104)+($I45-INT($I45))*LOOKUP($I45,Model!$A$4:$A$104,Model!$D$4:$D$104)</f>
        <v>26.712318102654422</v>
      </c>
      <c r="L45" s="46"/>
      <c r="M45" s="46"/>
    </row>
    <row r="46" spans="1:13" ht="14.25" customHeight="1" x14ac:dyDescent="0.3">
      <c r="A46" s="44">
        <v>44</v>
      </c>
      <c r="B46" s="44">
        <f>'Age data'!O52</f>
        <v>2.4199999999999998E-3</v>
      </c>
      <c r="C46" s="44">
        <f t="shared" si="0"/>
        <v>0.99758000000000002</v>
      </c>
      <c r="D46" s="44">
        <f t="shared" si="5"/>
        <v>0.9575037745703181</v>
      </c>
      <c r="E46" s="44">
        <f t="shared" si="1"/>
        <v>0.95634519500308801</v>
      </c>
      <c r="F46" s="44">
        <f t="shared" si="2"/>
        <v>34.281427209300816</v>
      </c>
      <c r="G46" s="44">
        <f t="shared" si="3"/>
        <v>35.802915998618055</v>
      </c>
      <c r="I46" s="45">
        <f t="shared" si="4"/>
        <v>35.802915998618055</v>
      </c>
      <c r="J46" s="45">
        <f>LOOKUP($I46,Model!$A$4:$A$104,Model!$E$4:$E$104)+($I46-INT($I46))*LOOKUP($I46,Model!$A$4:$A$104,Model!$D$4:$D$104)</f>
        <v>26.424408988382762</v>
      </c>
      <c r="L46" s="46"/>
      <c r="M46" s="46"/>
    </row>
    <row r="47" spans="1:13" ht="14.25" customHeight="1" x14ac:dyDescent="0.3">
      <c r="A47" s="44">
        <v>45</v>
      </c>
      <c r="B47" s="44">
        <f>'Age data'!O53</f>
        <v>2.5999999999999999E-3</v>
      </c>
      <c r="C47" s="44">
        <f t="shared" si="0"/>
        <v>0.99739999999999995</v>
      </c>
      <c r="D47" s="44">
        <f t="shared" si="5"/>
        <v>0.95518661543585792</v>
      </c>
      <c r="E47" s="44">
        <f t="shared" si="1"/>
        <v>0.95394487283579132</v>
      </c>
      <c r="F47" s="44">
        <f t="shared" si="2"/>
        <v>33.32508201429772</v>
      </c>
      <c r="G47" s="44">
        <f t="shared" si="3"/>
        <v>34.888556304875848</v>
      </c>
      <c r="I47" s="45">
        <f t="shared" si="4"/>
        <v>34.888556304875848</v>
      </c>
      <c r="J47" s="45">
        <f>LOOKUP($I47,Model!$A$4:$A$104,Model!$E$4:$E$104)+($I47-INT($I47))*LOOKUP($I47,Model!$A$4:$A$104,Model!$D$4:$D$104)</f>
        <v>26.124905565455947</v>
      </c>
      <c r="L47" s="46"/>
      <c r="M47" s="46"/>
    </row>
    <row r="48" spans="1:13" ht="14.25" customHeight="1" x14ac:dyDescent="0.3">
      <c r="A48" s="44">
        <v>46</v>
      </c>
      <c r="B48" s="44">
        <f>'Age data'!O54</f>
        <v>2.7899999999999999E-3</v>
      </c>
      <c r="C48" s="44">
        <f t="shared" si="0"/>
        <v>0.99721000000000004</v>
      </c>
      <c r="D48" s="44">
        <f t="shared" si="5"/>
        <v>0.95270313023572462</v>
      </c>
      <c r="E48" s="44">
        <f t="shared" si="1"/>
        <v>0.95137410936904576</v>
      </c>
      <c r="F48" s="44">
        <f t="shared" si="2"/>
        <v>32.371137141461929</v>
      </c>
      <c r="G48" s="44">
        <f t="shared" si="3"/>
        <v>33.978199623897986</v>
      </c>
      <c r="I48" s="45">
        <f t="shared" si="4"/>
        <v>33.978199623897986</v>
      </c>
      <c r="J48" s="45">
        <f>LOOKUP($I48,Model!$A$4:$A$104,Model!$E$4:$E$104)+($I48-INT($I48))*LOOKUP($I48,Model!$A$4:$A$104,Model!$D$4:$D$104)</f>
        <v>25.813327628632813</v>
      </c>
      <c r="L48" s="46"/>
      <c r="M48" s="46"/>
    </row>
    <row r="49" spans="1:13" ht="14.25" customHeight="1" x14ac:dyDescent="0.3">
      <c r="A49" s="44">
        <v>47</v>
      </c>
      <c r="B49" s="44">
        <f>'Age data'!O55</f>
        <v>3.0000000000000001E-3</v>
      </c>
      <c r="C49" s="44">
        <f t="shared" si="0"/>
        <v>0.997</v>
      </c>
      <c r="D49" s="44">
        <f t="shared" si="5"/>
        <v>0.95004508850236702</v>
      </c>
      <c r="E49" s="44">
        <f t="shared" si="1"/>
        <v>0.94862002086961339</v>
      </c>
      <c r="F49" s="44">
        <f t="shared" si="2"/>
        <v>31.419763032092881</v>
      </c>
      <c r="G49" s="44">
        <f t="shared" si="3"/>
        <v>33.071865127603992</v>
      </c>
      <c r="I49" s="45">
        <f t="shared" si="4"/>
        <v>33.071865127603992</v>
      </c>
      <c r="J49" s="45">
        <f>LOOKUP($I49,Model!$A$4:$A$104,Model!$E$4:$E$104)+($I49-INT($I49))*LOOKUP($I49,Model!$A$4:$A$104,Model!$D$4:$D$104)</f>
        <v>25.488005781377382</v>
      </c>
      <c r="L49" s="46"/>
      <c r="M49" s="46"/>
    </row>
    <row r="50" spans="1:13" ht="14.25" customHeight="1" x14ac:dyDescent="0.3">
      <c r="A50" s="44">
        <v>48</v>
      </c>
      <c r="B50" s="44">
        <f>'Age data'!O56</f>
        <v>3.2200000000000002E-3</v>
      </c>
      <c r="C50" s="44">
        <f t="shared" si="0"/>
        <v>0.99678</v>
      </c>
      <c r="D50" s="44">
        <f t="shared" si="5"/>
        <v>0.94719495323685987</v>
      </c>
      <c r="E50" s="44">
        <f t="shared" si="1"/>
        <v>0.94566996936214853</v>
      </c>
      <c r="F50" s="44">
        <f t="shared" si="2"/>
        <v>30.471143011223269</v>
      </c>
      <c r="G50" s="44">
        <f t="shared" si="3"/>
        <v>32.169874751859574</v>
      </c>
      <c r="I50" s="45">
        <f t="shared" si="4"/>
        <v>32.169874751859574</v>
      </c>
      <c r="J50" s="45">
        <f>LOOKUP($I50,Model!$A$4:$A$104,Model!$E$4:$E$104)+($I50-INT($I50))*LOOKUP($I50,Model!$A$4:$A$104,Model!$D$4:$D$104)</f>
        <v>25.149344867048512</v>
      </c>
      <c r="L50" s="46"/>
      <c r="M50" s="46"/>
    </row>
    <row r="51" spans="1:13" ht="14.25" customHeight="1" x14ac:dyDescent="0.3">
      <c r="A51" s="44">
        <v>49</v>
      </c>
      <c r="B51" s="44">
        <f>'Age data'!O57</f>
        <v>3.47E-3</v>
      </c>
      <c r="C51" s="44">
        <f t="shared" si="0"/>
        <v>0.99653000000000003</v>
      </c>
      <c r="D51" s="44">
        <f t="shared" si="5"/>
        <v>0.94414498548743719</v>
      </c>
      <c r="E51" s="44">
        <f t="shared" si="1"/>
        <v>0.94250689393761644</v>
      </c>
      <c r="F51" s="44">
        <f t="shared" si="2"/>
        <v>29.525473041861119</v>
      </c>
      <c r="G51" s="44">
        <f t="shared" si="3"/>
        <v>31.272181175243858</v>
      </c>
      <c r="I51" s="45">
        <f t="shared" si="4"/>
        <v>31.272181175243858</v>
      </c>
      <c r="J51" s="45">
        <f>LOOKUP($I51,Model!$A$4:$A$104,Model!$E$4:$E$104)+($I51-INT($I51))*LOOKUP($I51,Model!$A$4:$A$104,Model!$D$4:$D$104)</f>
        <v>24.797298236155026</v>
      </c>
      <c r="L51" s="46"/>
      <c r="M51" s="46"/>
    </row>
    <row r="52" spans="1:13" ht="14.25" customHeight="1" x14ac:dyDescent="0.3">
      <c r="A52" s="44">
        <v>50</v>
      </c>
      <c r="B52" s="44">
        <f>'Age data'!O58</f>
        <v>3.7299999999999998E-3</v>
      </c>
      <c r="C52" s="44">
        <f t="shared" si="0"/>
        <v>0.99626999999999999</v>
      </c>
      <c r="D52" s="44">
        <f t="shared" si="5"/>
        <v>0.9408688023877958</v>
      </c>
      <c r="E52" s="44">
        <f t="shared" si="1"/>
        <v>0.93911408207134262</v>
      </c>
      <c r="F52" s="44">
        <f t="shared" si="2"/>
        <v>28.582966147923507</v>
      </c>
      <c r="G52" s="44">
        <f t="shared" si="3"/>
        <v>30.379332458876164</v>
      </c>
      <c r="I52" s="45">
        <f t="shared" si="4"/>
        <v>30.379332458876164</v>
      </c>
      <c r="J52" s="45">
        <f>LOOKUP($I52,Model!$A$4:$A$104,Model!$E$4:$E$104)+($I52-INT($I52))*LOOKUP($I52,Model!$A$4:$A$104,Model!$D$4:$D$104)</f>
        <v>24.431686719507564</v>
      </c>
      <c r="L52" s="46"/>
      <c r="M52" s="46"/>
    </row>
    <row r="53" spans="1:13" ht="14.25" customHeight="1" x14ac:dyDescent="0.3">
      <c r="A53" s="44">
        <v>51</v>
      </c>
      <c r="B53" s="44">
        <f>'Age data'!O59</f>
        <v>4.0099999999999997E-3</v>
      </c>
      <c r="C53" s="44">
        <f t="shared" si="0"/>
        <v>0.99599000000000004</v>
      </c>
      <c r="D53" s="44">
        <f t="shared" si="5"/>
        <v>0.93735936175488932</v>
      </c>
      <c r="E53" s="44">
        <f t="shared" si="1"/>
        <v>0.93547995623457081</v>
      </c>
      <c r="F53" s="44">
        <f t="shared" si="2"/>
        <v>27.643852065852165</v>
      </c>
      <c r="G53" s="44">
        <f t="shared" si="3"/>
        <v>29.491199633509154</v>
      </c>
      <c r="I53" s="45">
        <f t="shared" si="4"/>
        <v>29.491199633509154</v>
      </c>
      <c r="J53" s="45">
        <f>LOOKUP($I53,Model!$A$4:$A$104,Model!$E$4:$E$104)+($I53-INT($I53))*LOOKUP($I53,Model!$A$4:$A$104,Model!$D$4:$D$104)</f>
        <v>24.052078333227705</v>
      </c>
      <c r="L53" s="46"/>
      <c r="M53" s="46"/>
    </row>
    <row r="54" spans="1:13" ht="14.25" customHeight="1" x14ac:dyDescent="0.3">
      <c r="A54" s="44">
        <v>52</v>
      </c>
      <c r="B54" s="44">
        <f>'Age data'!O60</f>
        <v>4.3200000000000001E-3</v>
      </c>
      <c r="C54" s="44">
        <f t="shared" si="0"/>
        <v>0.99568000000000001</v>
      </c>
      <c r="D54" s="44">
        <f t="shared" si="5"/>
        <v>0.9336005507142523</v>
      </c>
      <c r="E54" s="44">
        <f t="shared" si="1"/>
        <v>0.93158397352470956</v>
      </c>
      <c r="F54" s="44">
        <f t="shared" si="2"/>
        <v>26.708372109617592</v>
      </c>
      <c r="G54" s="44">
        <f t="shared" si="3"/>
        <v>28.607922402342542</v>
      </c>
      <c r="I54" s="45">
        <f t="shared" si="4"/>
        <v>28.607922402342542</v>
      </c>
      <c r="J54" s="45">
        <f>LOOKUP($I54,Model!$A$4:$A$104,Model!$E$4:$E$104)+($I54-INT($I54))*LOOKUP($I54,Model!$A$4:$A$104,Model!$D$4:$D$104)</f>
        <v>23.658154295170402</v>
      </c>
      <c r="L54" s="46"/>
      <c r="M54" s="46"/>
    </row>
    <row r="55" spans="1:13" ht="14.25" customHeight="1" x14ac:dyDescent="0.3">
      <c r="A55" s="44">
        <v>53</v>
      </c>
      <c r="B55" s="44">
        <f>'Age data'!O61</f>
        <v>4.6499999999999996E-3</v>
      </c>
      <c r="C55" s="44">
        <f t="shared" si="0"/>
        <v>0.99534999999999996</v>
      </c>
      <c r="D55" s="44">
        <f t="shared" si="5"/>
        <v>0.92956739633516672</v>
      </c>
      <c r="E55" s="44">
        <f t="shared" si="1"/>
        <v>0.92740615213868738</v>
      </c>
      <c r="F55" s="44">
        <f t="shared" si="2"/>
        <v>25.776788136092883</v>
      </c>
      <c r="G55" s="44">
        <f t="shared" si="3"/>
        <v>27.729875464348527</v>
      </c>
      <c r="I55" s="45">
        <f t="shared" si="4"/>
        <v>27.729875464348527</v>
      </c>
      <c r="J55" s="45">
        <f>LOOKUP($I55,Model!$A$4:$A$104,Model!$E$4:$E$104)+($I55-INT($I55))*LOOKUP($I55,Model!$A$4:$A$104,Model!$D$4:$D$104)</f>
        <v>23.249723517918348</v>
      </c>
      <c r="L55" s="46"/>
      <c r="M55" s="46"/>
    </row>
    <row r="56" spans="1:13" ht="14.25" customHeight="1" x14ac:dyDescent="0.3">
      <c r="A56" s="44">
        <v>54</v>
      </c>
      <c r="B56" s="44">
        <f>'Age data'!O62</f>
        <v>5.0000000000000001E-3</v>
      </c>
      <c r="C56" s="44">
        <f t="shared" si="0"/>
        <v>0.995</v>
      </c>
      <c r="D56" s="44">
        <f t="shared" si="5"/>
        <v>0.92524490794220815</v>
      </c>
      <c r="E56" s="44">
        <f t="shared" si="1"/>
        <v>0.92293179567235262</v>
      </c>
      <c r="F56" s="44">
        <f t="shared" si="2"/>
        <v>24.849381983954196</v>
      </c>
      <c r="G56" s="44">
        <f t="shared" si="3"/>
        <v>26.857085913847921</v>
      </c>
      <c r="I56" s="45">
        <f t="shared" si="4"/>
        <v>26.857085913847921</v>
      </c>
      <c r="J56" s="45">
        <f>LOOKUP($I56,Model!$A$4:$A$104,Model!$E$4:$E$104)+($I56-INT($I56))*LOOKUP($I56,Model!$A$4:$A$104,Model!$D$4:$D$104)</f>
        <v>22.826459615142568</v>
      </c>
      <c r="L56" s="46"/>
      <c r="M56" s="46"/>
    </row>
    <row r="57" spans="1:13" ht="14.25" customHeight="1" x14ac:dyDescent="0.3">
      <c r="A57" s="44">
        <v>55</v>
      </c>
      <c r="B57" s="44">
        <f>'Age data'!O63</f>
        <v>5.4000000000000003E-3</v>
      </c>
      <c r="C57" s="44">
        <f t="shared" si="0"/>
        <v>0.99460000000000004</v>
      </c>
      <c r="D57" s="44">
        <f t="shared" si="5"/>
        <v>0.92061868340249708</v>
      </c>
      <c r="E57" s="44">
        <f t="shared" si="1"/>
        <v>0.91813301295731042</v>
      </c>
      <c r="F57" s="44">
        <f t="shared" si="2"/>
        <v>23.926450188281841</v>
      </c>
      <c r="G57" s="44">
        <f t="shared" si="3"/>
        <v>25.989533581756703</v>
      </c>
      <c r="I57" s="45">
        <f t="shared" si="4"/>
        <v>25.989533581756703</v>
      </c>
      <c r="J57" s="45">
        <f>LOOKUP($I57,Model!$A$4:$A$104,Model!$E$4:$E$104)+($I57-INT($I57))*LOOKUP($I57,Model!$A$4:$A$104,Model!$D$4:$D$104)</f>
        <v>22.388022422034901</v>
      </c>
      <c r="L57" s="46"/>
      <c r="M57" s="46"/>
    </row>
    <row r="58" spans="1:13" ht="14.25" customHeight="1" x14ac:dyDescent="0.3">
      <c r="A58" s="44">
        <v>56</v>
      </c>
      <c r="B58" s="44">
        <f>'Age data'!O64</f>
        <v>5.8599999999999998E-3</v>
      </c>
      <c r="C58" s="44">
        <f t="shared" si="0"/>
        <v>0.99414000000000002</v>
      </c>
      <c r="D58" s="44">
        <f t="shared" si="5"/>
        <v>0.91564734251212365</v>
      </c>
      <c r="E58" s="44">
        <f t="shared" si="1"/>
        <v>0.9129644957985632</v>
      </c>
      <c r="F58" s="44">
        <f t="shared" si="2"/>
        <v>23.008317175324528</v>
      </c>
      <c r="G58" s="44">
        <f t="shared" si="3"/>
        <v>25.127924373372913</v>
      </c>
      <c r="I58" s="45">
        <f t="shared" si="4"/>
        <v>25.127924373372913</v>
      </c>
      <c r="J58" s="45">
        <f>LOOKUP($I58,Model!$A$4:$A$104,Model!$E$4:$E$104)+($I58-INT($I58))*LOOKUP($I58,Model!$A$4:$A$104,Model!$D$4:$D$104)</f>
        <v>21.931092662916384</v>
      </c>
      <c r="L58" s="46"/>
      <c r="M58" s="46"/>
    </row>
    <row r="59" spans="1:13" ht="14.25" customHeight="1" x14ac:dyDescent="0.3">
      <c r="A59" s="44">
        <v>57</v>
      </c>
      <c r="B59" s="44">
        <f>'Age data'!O65</f>
        <v>6.3899999999999998E-3</v>
      </c>
      <c r="C59" s="44">
        <f t="shared" si="0"/>
        <v>0.99360999999999999</v>
      </c>
      <c r="D59" s="44">
        <f t="shared" si="5"/>
        <v>0.91028164908500264</v>
      </c>
      <c r="E59" s="44">
        <f t="shared" si="1"/>
        <v>0.90737329921617604</v>
      </c>
      <c r="F59" s="44">
        <f t="shared" si="2"/>
        <v>22.095352679525963</v>
      </c>
      <c r="G59" s="44">
        <f t="shared" si="3"/>
        <v>24.273094708363921</v>
      </c>
      <c r="I59" s="45">
        <f t="shared" si="4"/>
        <v>24.273094708363921</v>
      </c>
      <c r="J59" s="45">
        <f>LOOKUP($I59,Model!$A$4:$A$104,Model!$E$4:$E$104)+($I59-INT($I59))*LOOKUP($I59,Model!$A$4:$A$104,Model!$D$4:$D$104)</f>
        <v>21.45848357059457</v>
      </c>
      <c r="L59" s="46"/>
      <c r="M59" s="46"/>
    </row>
    <row r="60" spans="1:13" ht="14.25" customHeight="1" x14ac:dyDescent="0.3">
      <c r="A60" s="44">
        <v>58</v>
      </c>
      <c r="B60" s="44">
        <f>'Age data'!O66</f>
        <v>7.0099999999999997E-3</v>
      </c>
      <c r="C60" s="44">
        <f t="shared" si="0"/>
        <v>0.99299000000000004</v>
      </c>
      <c r="D60" s="44">
        <f t="shared" si="5"/>
        <v>0.90446494934734945</v>
      </c>
      <c r="E60" s="44">
        <f t="shared" si="1"/>
        <v>0.90129479969988702</v>
      </c>
      <c r="F60" s="44">
        <f t="shared" si="2"/>
        <v>21.187979380309788</v>
      </c>
      <c r="G60" s="44">
        <f t="shared" si="3"/>
        <v>23.425981731629033</v>
      </c>
      <c r="I60" s="45">
        <f t="shared" si="4"/>
        <v>23.425981731629033</v>
      </c>
      <c r="J60" s="45">
        <f>LOOKUP($I60,Model!$A$4:$A$104,Model!$E$4:$E$104)+($I60-INT($I60))*LOOKUP($I60,Model!$A$4:$A$104,Model!$D$4:$D$104)</f>
        <v>20.970797625197484</v>
      </c>
      <c r="L60" s="46"/>
      <c r="M60" s="46"/>
    </row>
    <row r="61" spans="1:13" ht="14.25" customHeight="1" x14ac:dyDescent="0.3">
      <c r="A61" s="44">
        <v>59</v>
      </c>
      <c r="B61" s="44">
        <f>'Age data'!O67</f>
        <v>7.7200000000000003E-3</v>
      </c>
      <c r="C61" s="44">
        <f t="shared" si="0"/>
        <v>0.99228000000000005</v>
      </c>
      <c r="D61" s="44">
        <f t="shared" si="5"/>
        <v>0.89812465005242459</v>
      </c>
      <c r="E61" s="44">
        <f t="shared" si="1"/>
        <v>0.89465788890322218</v>
      </c>
      <c r="F61" s="44">
        <f t="shared" si="2"/>
        <v>20.286684580609901</v>
      </c>
      <c r="G61" s="44">
        <f t="shared" si="3"/>
        <v>22.587827401715057</v>
      </c>
      <c r="I61" s="45">
        <f t="shared" si="4"/>
        <v>22.587827401715057</v>
      </c>
      <c r="J61" s="45">
        <f>LOOKUP($I61,Model!$A$4:$A$104,Model!$E$4:$E$104)+($I61-INT($I61))*LOOKUP($I61,Model!$A$4:$A$104,Model!$D$4:$D$104)</f>
        <v>20.468696708351356</v>
      </c>
      <c r="L61" s="46"/>
      <c r="M61" s="46"/>
    </row>
    <row r="62" spans="1:13" ht="14.25" customHeight="1" x14ac:dyDescent="0.3">
      <c r="A62" s="44">
        <v>60</v>
      </c>
      <c r="B62" s="44">
        <f>'Age data'!O68</f>
        <v>8.5100000000000002E-3</v>
      </c>
      <c r="C62" s="44">
        <f t="shared" si="0"/>
        <v>0.99148999999999998</v>
      </c>
      <c r="D62" s="44">
        <f t="shared" si="5"/>
        <v>0.89119112775401987</v>
      </c>
      <c r="E62" s="44">
        <f t="shared" si="1"/>
        <v>0.88739910950542655</v>
      </c>
      <c r="F62" s="44">
        <f t="shared" si="2"/>
        <v>19.392026691706679</v>
      </c>
      <c r="G62" s="44">
        <f t="shared" si="3"/>
        <v>21.759672070096197</v>
      </c>
      <c r="I62" s="45">
        <f t="shared" si="4"/>
        <v>21.759672070096197</v>
      </c>
      <c r="J62" s="45">
        <f>LOOKUP($I62,Model!$A$4:$A$104,Model!$E$4:$E$104)+($I62-INT($I62))*LOOKUP($I62,Model!$A$4:$A$104,Model!$D$4:$D$104)</f>
        <v>19.952904149211896</v>
      </c>
      <c r="L62" s="46"/>
      <c r="M62" s="46"/>
    </row>
    <row r="63" spans="1:13" ht="14.25" customHeight="1" x14ac:dyDescent="0.3">
      <c r="A63" s="44">
        <v>61</v>
      </c>
      <c r="B63" s="44">
        <f>'Age data'!O69</f>
        <v>9.3699999999999999E-3</v>
      </c>
      <c r="C63" s="44">
        <f t="shared" si="0"/>
        <v>0.99063000000000001</v>
      </c>
      <c r="D63" s="44">
        <f t="shared" si="5"/>
        <v>0.88360709125683312</v>
      </c>
      <c r="E63" s="44">
        <f t="shared" si="1"/>
        <v>0.8794673920342948</v>
      </c>
      <c r="F63" s="44">
        <f t="shared" si="2"/>
        <v>18.504627582201255</v>
      </c>
      <c r="G63" s="44">
        <f t="shared" si="3"/>
        <v>20.942144721677678</v>
      </c>
      <c r="I63" s="45">
        <f t="shared" si="4"/>
        <v>20.942144721677678</v>
      </c>
      <c r="J63" s="45">
        <f>LOOKUP($I63,Model!$A$4:$A$104,Model!$E$4:$E$104)+($I63-INT($I63))*LOOKUP($I63,Model!$A$4:$A$104,Model!$D$4:$D$104)</f>
        <v>19.424054029756583</v>
      </c>
      <c r="L63" s="46"/>
      <c r="M63" s="46"/>
    </row>
    <row r="64" spans="1:13" ht="14.25" customHeight="1" x14ac:dyDescent="0.3">
      <c r="A64" s="44">
        <v>62</v>
      </c>
      <c r="B64" s="44">
        <f>'Age data'!O70</f>
        <v>1.0290000000000001E-2</v>
      </c>
      <c r="C64" s="44">
        <f t="shared" si="0"/>
        <v>0.98970999999999998</v>
      </c>
      <c r="D64" s="44">
        <f t="shared" si="5"/>
        <v>0.8753276928117566</v>
      </c>
      <c r="E64" s="44">
        <f t="shared" si="1"/>
        <v>0.87082413183224006</v>
      </c>
      <c r="F64" s="44">
        <f t="shared" si="2"/>
        <v>17.625160190166959</v>
      </c>
      <c r="G64" s="44">
        <f t="shared" si="3"/>
        <v>20.135499350592731</v>
      </c>
      <c r="I64" s="45">
        <f t="shared" si="4"/>
        <v>20.135499350592731</v>
      </c>
      <c r="J64" s="45">
        <f>LOOKUP($I64,Model!$A$4:$A$104,Model!$E$4:$E$104)+($I64-INT($I64))*LOOKUP($I64,Model!$A$4:$A$104,Model!$D$4:$D$104)</f>
        <v>18.878084691408056</v>
      </c>
      <c r="L64" s="46"/>
      <c r="M64" s="46"/>
    </row>
    <row r="65" spans="1:13" ht="14.25" customHeight="1" x14ac:dyDescent="0.3">
      <c r="A65" s="44">
        <v>63</v>
      </c>
      <c r="B65" s="44">
        <f>'Age data'!O71</f>
        <v>1.123E-2</v>
      </c>
      <c r="C65" s="44">
        <f t="shared" si="0"/>
        <v>0.98877000000000004</v>
      </c>
      <c r="D65" s="44">
        <f t="shared" si="5"/>
        <v>0.86632057085272363</v>
      </c>
      <c r="E65" s="44">
        <f t="shared" si="1"/>
        <v>0.86145618084738562</v>
      </c>
      <c r="F65" s="44">
        <f t="shared" si="2"/>
        <v>16.754336058334719</v>
      </c>
      <c r="G65" s="44">
        <f t="shared" si="3"/>
        <v>19.339649342325259</v>
      </c>
      <c r="I65" s="45">
        <f t="shared" si="4"/>
        <v>19.339649342325259</v>
      </c>
      <c r="J65" s="45">
        <f>LOOKUP($I65,Model!$A$4:$A$104,Model!$E$4:$E$104)+($I65-INT($I65))*LOOKUP($I65,Model!$A$4:$A$104,Model!$D$4:$D$104)</f>
        <v>18.317074513648983</v>
      </c>
      <c r="L65" s="46"/>
      <c r="M65" s="46"/>
    </row>
    <row r="66" spans="1:13" ht="14.25" customHeight="1" x14ac:dyDescent="0.3">
      <c r="A66" s="44">
        <v>64</v>
      </c>
      <c r="B66" s="44">
        <f>'Age data'!O72</f>
        <v>1.2189999999999999E-2</v>
      </c>
      <c r="C66" s="44">
        <f t="shared" si="0"/>
        <v>0.98780999999999997</v>
      </c>
      <c r="D66" s="44">
        <f t="shared" si="5"/>
        <v>0.85659179084204762</v>
      </c>
      <c r="E66" s="44">
        <f t="shared" si="1"/>
        <v>0.85137086387686534</v>
      </c>
      <c r="F66" s="44">
        <f t="shared" si="2"/>
        <v>15.892879877487339</v>
      </c>
      <c r="G66" s="44">
        <f t="shared" si="3"/>
        <v>18.553621511903945</v>
      </c>
      <c r="I66" s="45">
        <f t="shared" si="4"/>
        <v>18.553621511903945</v>
      </c>
      <c r="J66" s="45">
        <f>LOOKUP($I66,Model!$A$4:$A$104,Model!$E$4:$E$104)+($I66-INT($I66))*LOOKUP($I66,Model!$A$4:$A$104,Model!$D$4:$D$104)</f>
        <v>17.74259756672279</v>
      </c>
      <c r="L66" s="46"/>
      <c r="M66" s="46"/>
    </row>
    <row r="67" spans="1:13" ht="14.25" customHeight="1" x14ac:dyDescent="0.3">
      <c r="A67" s="44">
        <v>65</v>
      </c>
      <c r="B67" s="44">
        <f>'Age data'!O73</f>
        <v>1.319E-2</v>
      </c>
      <c r="C67" s="44">
        <f t="shared" si="0"/>
        <v>0.98680999999999996</v>
      </c>
      <c r="D67" s="44">
        <f t="shared" si="5"/>
        <v>0.84614993691168305</v>
      </c>
      <c r="E67" s="44">
        <f t="shared" si="1"/>
        <v>0.84056957807775046</v>
      </c>
      <c r="F67" s="44">
        <f t="shared" si="2"/>
        <v>15.041509013610472</v>
      </c>
      <c r="G67" s="44">
        <f t="shared" si="3"/>
        <v>17.776410961524931</v>
      </c>
      <c r="I67" s="45">
        <f t="shared" si="4"/>
        <v>17.776410961524931</v>
      </c>
      <c r="J67" s="45">
        <f>LOOKUP($I67,Model!$A$4:$A$104,Model!$E$4:$E$104)+($I67-INT($I67))*LOOKUP($I67,Model!$A$4:$A$104,Model!$D$4:$D$104)</f>
        <v>17.15428880845008</v>
      </c>
      <c r="L67" s="46"/>
      <c r="M67" s="46"/>
    </row>
    <row r="68" spans="1:13" ht="14.25" customHeight="1" x14ac:dyDescent="0.3">
      <c r="A68" s="44">
        <v>66</v>
      </c>
      <c r="B68" s="44">
        <f>'Age data'!O74</f>
        <v>1.4250000000000001E-2</v>
      </c>
      <c r="C68" s="44">
        <f t="shared" si="0"/>
        <v>0.98575000000000002</v>
      </c>
      <c r="D68" s="44">
        <f t="shared" si="5"/>
        <v>0.83498921924381797</v>
      </c>
      <c r="E68" s="44">
        <f t="shared" si="1"/>
        <v>0.82903992105670576</v>
      </c>
      <c r="F68" s="44">
        <f t="shared" si="2"/>
        <v>14.200939435532721</v>
      </c>
      <c r="G68" s="44">
        <f t="shared" si="3"/>
        <v>17.007332679568439</v>
      </c>
      <c r="I68" s="45">
        <f t="shared" si="4"/>
        <v>17.007332679568439</v>
      </c>
      <c r="J68" s="45">
        <f>LOOKUP($I68,Model!$A$4:$A$104,Model!$E$4:$E$104)+($I68-INT($I68))*LOOKUP($I68,Model!$A$4:$A$104,Model!$D$4:$D$104)</f>
        <v>16.551695850474559</v>
      </c>
      <c r="L68" s="46"/>
      <c r="M68" s="46"/>
    </row>
    <row r="69" spans="1:13" ht="14.25" customHeight="1" x14ac:dyDescent="0.3">
      <c r="A69" s="44">
        <v>67</v>
      </c>
      <c r="B69" s="44">
        <f>'Age data'!O75</f>
        <v>1.54E-2</v>
      </c>
      <c r="C69" s="44">
        <f t="shared" si="0"/>
        <v>0.98460000000000003</v>
      </c>
      <c r="D69" s="44">
        <f t="shared" si="5"/>
        <v>0.82309062286959356</v>
      </c>
      <c r="E69" s="44">
        <f t="shared" si="1"/>
        <v>0.81675282507349767</v>
      </c>
      <c r="F69" s="44">
        <f t="shared" si="2"/>
        <v>13.371899514476016</v>
      </c>
      <c r="G69" s="44">
        <f t="shared" si="3"/>
        <v>16.245962647292355</v>
      </c>
      <c r="I69" s="45">
        <f t="shared" si="4"/>
        <v>16.245962647292355</v>
      </c>
      <c r="J69" s="45">
        <f>LOOKUP($I69,Model!$A$4:$A$104,Model!$E$4:$E$104)+($I69-INT($I69))*LOOKUP($I69,Model!$A$4:$A$104,Model!$D$4:$D$104)</f>
        <v>15.925602108004261</v>
      </c>
      <c r="L69" s="46"/>
      <c r="M69" s="46"/>
    </row>
    <row r="70" spans="1:13" ht="14.25" customHeight="1" x14ac:dyDescent="0.3">
      <c r="A70" s="44">
        <v>68</v>
      </c>
      <c r="B70" s="44">
        <f>'Age data'!O76</f>
        <v>1.67E-2</v>
      </c>
      <c r="C70" s="44">
        <f t="shared" si="0"/>
        <v>0.98329999999999995</v>
      </c>
      <c r="D70" s="44">
        <f t="shared" si="5"/>
        <v>0.81041502727740189</v>
      </c>
      <c r="E70" s="44">
        <f t="shared" si="1"/>
        <v>0.80364806179963555</v>
      </c>
      <c r="F70" s="44">
        <f t="shared" si="2"/>
        <v>12.55514668940252</v>
      </c>
      <c r="G70" s="44">
        <f t="shared" si="3"/>
        <v>15.492243192456181</v>
      </c>
      <c r="I70" s="45">
        <f t="shared" si="4"/>
        <v>15.492243192456181</v>
      </c>
      <c r="J70" s="45">
        <f>LOOKUP($I70,Model!$A$4:$A$104,Model!$E$4:$E$104)+($I70-INT($I70))*LOOKUP($I70,Model!$A$4:$A$104,Model!$D$4:$D$104)</f>
        <v>15.284628608103818</v>
      </c>
      <c r="L70" s="46"/>
      <c r="M70" s="46"/>
    </row>
    <row r="71" spans="1:13" ht="14.25" customHeight="1" x14ac:dyDescent="0.3">
      <c r="A71" s="44">
        <v>69</v>
      </c>
      <c r="B71" s="44">
        <f>'Age data'!O77</f>
        <v>1.8169999999999999E-2</v>
      </c>
      <c r="C71" s="44">
        <f t="shared" si="0"/>
        <v>0.98182999999999998</v>
      </c>
      <c r="D71" s="44">
        <f t="shared" si="5"/>
        <v>0.79688109632186921</v>
      </c>
      <c r="E71" s="44">
        <f t="shared" si="1"/>
        <v>0.78964143156178501</v>
      </c>
      <c r="F71" s="44">
        <f t="shared" si="2"/>
        <v>11.751498627602883</v>
      </c>
      <c r="G71" s="44">
        <f t="shared" si="3"/>
        <v>14.746865852187716</v>
      </c>
      <c r="I71" s="45">
        <f t="shared" si="4"/>
        <v>14.746865852187716</v>
      </c>
      <c r="J71" s="45">
        <f>LOOKUP($I71,Model!$A$4:$A$104,Model!$E$4:$E$104)+($I71-INT($I71))*LOOKUP($I71,Model!$A$4:$A$104,Model!$D$4:$D$104)</f>
        <v>14.629810296768904</v>
      </c>
      <c r="L71" s="46"/>
      <c r="M71" s="46"/>
    </row>
    <row r="72" spans="1:13" ht="14.25" customHeight="1" x14ac:dyDescent="0.3">
      <c r="A72" s="44">
        <v>70</v>
      </c>
      <c r="B72" s="44">
        <f>'Age data'!O78</f>
        <v>1.9859999999999999E-2</v>
      </c>
      <c r="C72" s="44">
        <f t="shared" si="0"/>
        <v>0.98014000000000001</v>
      </c>
      <c r="D72" s="44">
        <f t="shared" si="5"/>
        <v>0.78240176680170082</v>
      </c>
      <c r="E72" s="44">
        <f t="shared" si="1"/>
        <v>0.77463251725735993</v>
      </c>
      <c r="F72" s="44">
        <f t="shared" si="2"/>
        <v>10.961857196041098</v>
      </c>
      <c r="G72" s="44">
        <f t="shared" si="3"/>
        <v>14.010522037611111</v>
      </c>
      <c r="I72" s="45">
        <f t="shared" si="4"/>
        <v>14.010522037611111</v>
      </c>
      <c r="J72" s="45">
        <f>LOOKUP($I72,Model!$A$4:$A$104,Model!$E$4:$E$104)+($I72-INT($I72))*LOOKUP($I72,Model!$A$4:$A$104,Model!$D$4:$D$104)</f>
        <v>13.961924750667674</v>
      </c>
      <c r="L72" s="46"/>
      <c r="M72" s="46"/>
    </row>
    <row r="73" spans="1:13" ht="14.25" customHeight="1" x14ac:dyDescent="0.3">
      <c r="A73" s="44">
        <v>71</v>
      </c>
      <c r="B73" s="44">
        <f>'Age data'!O79</f>
        <v>2.1780000000000001E-2</v>
      </c>
      <c r="C73" s="44">
        <f t="shared" si="0"/>
        <v>0.97821999999999998</v>
      </c>
      <c r="D73" s="44">
        <f t="shared" si="5"/>
        <v>0.76686326771301905</v>
      </c>
      <c r="E73" s="44">
        <f t="shared" si="1"/>
        <v>0.75851212672762425</v>
      </c>
      <c r="F73" s="44">
        <f t="shared" si="2"/>
        <v>10.187224678783737</v>
      </c>
      <c r="G73" s="44">
        <f t="shared" si="3"/>
        <v>13.284277794612105</v>
      </c>
      <c r="I73" s="45">
        <f t="shared" si="4"/>
        <v>13.284277794612105</v>
      </c>
      <c r="J73" s="45">
        <f>LOOKUP($I73,Model!$A$4:$A$104,Model!$E$4:$E$104)+($I73-INT($I73))*LOOKUP($I73,Model!$A$4:$A$104,Model!$D$4:$D$104)</f>
        <v>13.270740756773433</v>
      </c>
      <c r="L73" s="46"/>
      <c r="M73" s="46"/>
    </row>
    <row r="74" spans="1:13" ht="14.25" customHeight="1" x14ac:dyDescent="0.3">
      <c r="A74" s="44">
        <v>72</v>
      </c>
      <c r="B74" s="44">
        <f>'Age data'!O80</f>
        <v>2.3959999999999999E-2</v>
      </c>
      <c r="C74" s="44">
        <f t="shared" si="0"/>
        <v>0.97604000000000002</v>
      </c>
      <c r="D74" s="44">
        <f t="shared" si="5"/>
        <v>0.75016098574222945</v>
      </c>
      <c r="E74" s="44">
        <f t="shared" si="1"/>
        <v>0.74117405713303752</v>
      </c>
      <c r="F74" s="44">
        <f t="shared" si="2"/>
        <v>9.4287125520561155</v>
      </c>
      <c r="G74" s="44">
        <f t="shared" si="3"/>
        <v>12.56891884710199</v>
      </c>
      <c r="I74" s="45">
        <f t="shared" si="4"/>
        <v>12.56891884710199</v>
      </c>
      <c r="J74" s="45">
        <f>LOOKUP($I74,Model!$A$4:$A$104,Model!$E$4:$E$104)+($I74-INT($I74))*LOOKUP($I74,Model!$A$4:$A$104,Model!$D$4:$D$104)</f>
        <v>12.56891884710199</v>
      </c>
      <c r="L74" s="46"/>
      <c r="M74" s="46"/>
    </row>
    <row r="75" spans="1:13" ht="14.25" customHeight="1" x14ac:dyDescent="0.3">
      <c r="A75" s="44">
        <v>73</v>
      </c>
      <c r="B75" s="44">
        <f>'Age data'!O81</f>
        <v>2.64E-2</v>
      </c>
      <c r="C75" s="44">
        <f t="shared" si="0"/>
        <v>0.97360000000000002</v>
      </c>
      <c r="D75" s="44">
        <f t="shared" si="5"/>
        <v>0.7321871285238456</v>
      </c>
      <c r="E75" s="44">
        <f t="shared" si="1"/>
        <v>0.72252225842733087</v>
      </c>
      <c r="F75" s="44">
        <f t="shared" si="2"/>
        <v>8.6875384949230785</v>
      </c>
      <c r="G75" s="44">
        <f t="shared" si="3"/>
        <v>11.865188770031958</v>
      </c>
      <c r="I75" s="45">
        <f t="shared" si="4"/>
        <v>11.865188770031958</v>
      </c>
      <c r="J75" s="45">
        <f>LOOKUP($I75,Model!$A$4:$A$104,Model!$E$4:$E$104)+($I75-INT($I75))*LOOKUP($I75,Model!$A$4:$A$104,Model!$D$4:$D$104)</f>
        <v>11.865188770031958</v>
      </c>
      <c r="L75" s="46"/>
      <c r="M75" s="46"/>
    </row>
    <row r="76" spans="1:13" ht="14.25" customHeight="1" x14ac:dyDescent="0.3">
      <c r="A76" s="44">
        <v>74</v>
      </c>
      <c r="B76" s="44">
        <f>'Age data'!O82</f>
        <v>2.912E-2</v>
      </c>
      <c r="C76" s="44">
        <f t="shared" si="0"/>
        <v>0.97087999999999997</v>
      </c>
      <c r="D76" s="44">
        <f t="shared" si="5"/>
        <v>0.71285738833081613</v>
      </c>
      <c r="E76" s="44">
        <f t="shared" si="1"/>
        <v>0.70247818475671941</v>
      </c>
      <c r="F76" s="44">
        <f t="shared" si="2"/>
        <v>7.9650162364957486</v>
      </c>
      <c r="G76" s="44">
        <f t="shared" si="3"/>
        <v>11.173365622465035</v>
      </c>
      <c r="I76" s="45">
        <f t="shared" si="4"/>
        <v>11.173365622465035</v>
      </c>
      <c r="J76" s="45">
        <f>LOOKUP($I76,Model!$A$4:$A$104,Model!$E$4:$E$104)+($I76-INT($I76))*LOOKUP($I76,Model!$A$4:$A$104,Model!$D$4:$D$104)</f>
        <v>11.173365622465035</v>
      </c>
      <c r="L76" s="46"/>
      <c r="M76" s="46"/>
    </row>
    <row r="77" spans="1:13" ht="14.25" customHeight="1" x14ac:dyDescent="0.3">
      <c r="A77" s="44">
        <v>75</v>
      </c>
      <c r="B77" s="44">
        <f>'Age data'!O83</f>
        <v>3.2099999999999997E-2</v>
      </c>
      <c r="C77" s="44">
        <f t="shared" si="0"/>
        <v>0.96789999999999998</v>
      </c>
      <c r="D77" s="44">
        <f t="shared" si="5"/>
        <v>0.6920989811826227</v>
      </c>
      <c r="E77" s="44">
        <f t="shared" si="1"/>
        <v>0.68099079253464168</v>
      </c>
      <c r="F77" s="44">
        <f t="shared" si="2"/>
        <v>7.2625380517390292</v>
      </c>
      <c r="G77" s="44">
        <f t="shared" si="3"/>
        <v>10.493496232763098</v>
      </c>
      <c r="I77" s="45">
        <f t="shared" si="4"/>
        <v>10.493496232763098</v>
      </c>
      <c r="J77" s="45">
        <f>LOOKUP($I77,Model!$A$4:$A$104,Model!$E$4:$E$104)+($I77-INT($I77))*LOOKUP($I77,Model!$A$4:$A$104,Model!$D$4:$D$104)</f>
        <v>10.493496232763098</v>
      </c>
      <c r="L77" s="46"/>
      <c r="M77" s="46"/>
    </row>
    <row r="78" spans="1:13" ht="14.25" customHeight="1" x14ac:dyDescent="0.3">
      <c r="A78" s="44">
        <v>76</v>
      </c>
      <c r="B78" s="44">
        <f>'Age data'!O84</f>
        <v>3.5340000000000003E-2</v>
      </c>
      <c r="C78" s="44">
        <f t="shared" si="0"/>
        <v>0.96465999999999996</v>
      </c>
      <c r="D78" s="44">
        <f t="shared" si="5"/>
        <v>0.66988260388666054</v>
      </c>
      <c r="E78" s="44">
        <f t="shared" si="1"/>
        <v>0.65804577827598321</v>
      </c>
      <c r="F78" s="44">
        <f t="shared" si="2"/>
        <v>6.5815472592043873</v>
      </c>
      <c r="G78" s="44">
        <f t="shared" si="3"/>
        <v>9.8249263692148947</v>
      </c>
      <c r="I78" s="45">
        <f t="shared" si="4"/>
        <v>9.8249263692148947</v>
      </c>
      <c r="J78" s="45">
        <f>LOOKUP($I78,Model!$A$4:$A$104,Model!$E$4:$E$104)+($I78-INT($I78))*LOOKUP($I78,Model!$A$4:$A$104,Model!$D$4:$D$104)</f>
        <v>9.8249263692148947</v>
      </c>
      <c r="L78" s="46"/>
      <c r="M78" s="46"/>
    </row>
    <row r="79" spans="1:13" ht="14.25" customHeight="1" x14ac:dyDescent="0.3">
      <c r="A79" s="44">
        <v>77</v>
      </c>
      <c r="B79" s="44">
        <f>'Age data'!O85</f>
        <v>3.8800000000000001E-2</v>
      </c>
      <c r="C79" s="44">
        <f t="shared" si="0"/>
        <v>0.96120000000000005</v>
      </c>
      <c r="D79" s="44">
        <f t="shared" si="5"/>
        <v>0.64620895266530598</v>
      </c>
      <c r="E79" s="44">
        <f t="shared" si="1"/>
        <v>0.63367249898359912</v>
      </c>
      <c r="F79" s="44">
        <f t="shared" si="2"/>
        <v>5.9235014809284054</v>
      </c>
      <c r="G79" s="44">
        <f t="shared" si="3"/>
        <v>9.1665419621575435</v>
      </c>
      <c r="I79" s="45">
        <f t="shared" si="4"/>
        <v>9.1665419621575435</v>
      </c>
      <c r="J79" s="45">
        <f>LOOKUP($I79,Model!$A$4:$A$104,Model!$E$4:$E$104)+($I79-INT($I79))*LOOKUP($I79,Model!$A$4:$A$104,Model!$D$4:$D$104)</f>
        <v>9.1665419621575435</v>
      </c>
      <c r="L79" s="46"/>
      <c r="M79" s="46"/>
    </row>
    <row r="80" spans="1:13" ht="14.25" customHeight="1" x14ac:dyDescent="0.3">
      <c r="A80" s="44">
        <v>78</v>
      </c>
      <c r="B80" s="44">
        <f>'Age data'!O86</f>
        <v>4.2500000000000003E-2</v>
      </c>
      <c r="C80" s="44">
        <f t="shared" si="0"/>
        <v>0.95750000000000002</v>
      </c>
      <c r="D80" s="44">
        <f t="shared" si="5"/>
        <v>0.62113604530189215</v>
      </c>
      <c r="E80" s="44">
        <f t="shared" si="1"/>
        <v>0.60793690433922687</v>
      </c>
      <c r="F80" s="44">
        <f t="shared" si="2"/>
        <v>5.2898289819448054</v>
      </c>
      <c r="G80" s="44">
        <f t="shared" si="3"/>
        <v>8.5163774054905765</v>
      </c>
      <c r="I80" s="45">
        <f t="shared" si="4"/>
        <v>8.5163774054905765</v>
      </c>
      <c r="J80" s="45">
        <f>LOOKUP($I80,Model!$A$4:$A$104,Model!$E$4:$E$104)+($I80-INT($I80))*LOOKUP($I80,Model!$A$4:$A$104,Model!$D$4:$D$104)</f>
        <v>8.5163774054905765</v>
      </c>
      <c r="L80" s="46"/>
      <c r="M80" s="46"/>
    </row>
    <row r="81" spans="1:13" ht="14.25" customHeight="1" x14ac:dyDescent="0.3">
      <c r="A81" s="44">
        <v>79</v>
      </c>
      <c r="B81" s="44">
        <f>'Age data'!O87</f>
        <v>4.6420000000000003E-2</v>
      </c>
      <c r="C81" s="44">
        <f t="shared" si="0"/>
        <v>0.95357999999999998</v>
      </c>
      <c r="D81" s="44">
        <f t="shared" si="5"/>
        <v>0.5947377633765617</v>
      </c>
      <c r="E81" s="44">
        <f t="shared" si="1"/>
        <v>0.58093389988859168</v>
      </c>
      <c r="F81" s="44">
        <f t="shared" si="2"/>
        <v>4.6818920776055784</v>
      </c>
      <c r="G81" s="44">
        <f t="shared" si="3"/>
        <v>7.8721957237499494</v>
      </c>
      <c r="I81" s="45">
        <f t="shared" si="4"/>
        <v>7.8721957237499494</v>
      </c>
      <c r="J81" s="45">
        <f>LOOKUP($I81,Model!$A$4:$A$104,Model!$E$4:$E$104)+($I81-INT($I81))*LOOKUP($I81,Model!$A$4:$A$104,Model!$D$4:$D$104)</f>
        <v>7.8721957237499494</v>
      </c>
      <c r="L81" s="46"/>
      <c r="M81" s="46"/>
    </row>
    <row r="82" spans="1:13" ht="14.25" customHeight="1" x14ac:dyDescent="0.3">
      <c r="A82" s="44">
        <v>80</v>
      </c>
      <c r="B82" s="44">
        <f>'Age data'!O88</f>
        <v>5.926E-2</v>
      </c>
      <c r="C82" s="44">
        <f t="shared" si="0"/>
        <v>0.94074000000000002</v>
      </c>
      <c r="D82" s="44">
        <f t="shared" si="5"/>
        <v>0.56713003640062165</v>
      </c>
      <c r="E82" s="44">
        <f t="shared" si="1"/>
        <v>0.55032597342207124</v>
      </c>
      <c r="F82" s="44">
        <f t="shared" si="2"/>
        <v>4.1009581777169863</v>
      </c>
      <c r="G82" s="44">
        <f t="shared" si="3"/>
        <v>7.2310720901759158</v>
      </c>
      <c r="I82" s="45">
        <f t="shared" si="4"/>
        <v>7.2310720901759158</v>
      </c>
      <c r="J82" s="45">
        <f>LOOKUP($I82,Model!$A$4:$A$104,Model!$E$4:$E$104)+($I82-INT($I82))*LOOKUP($I82,Model!$A$4:$A$104,Model!$D$4:$D$104)</f>
        <v>7.2310720901759158</v>
      </c>
      <c r="L82" s="46"/>
      <c r="M82" s="46"/>
    </row>
    <row r="83" spans="1:13" ht="14.25" customHeight="1" x14ac:dyDescent="0.3">
      <c r="A83" s="44">
        <v>81</v>
      </c>
      <c r="B83" s="44">
        <f>'Age data'!O89</f>
        <v>6.9250000000000006E-2</v>
      </c>
      <c r="C83" s="44">
        <f t="shared" si="0"/>
        <v>0.93074999999999997</v>
      </c>
      <c r="D83" s="44">
        <f t="shared" si="5"/>
        <v>0.53352191044352082</v>
      </c>
      <c r="E83" s="44">
        <f t="shared" si="1"/>
        <v>0.5150487142944139</v>
      </c>
      <c r="F83" s="44">
        <f t="shared" si="2"/>
        <v>3.5506322042949146</v>
      </c>
      <c r="G83" s="44">
        <f t="shared" si="3"/>
        <v>6.6550822652124015</v>
      </c>
      <c r="I83" s="45">
        <f t="shared" si="4"/>
        <v>6.6550822652124015</v>
      </c>
      <c r="J83" s="45">
        <f>LOOKUP($I83,Model!$A$4:$A$104,Model!$E$4:$E$104)+($I83-INT($I83))*LOOKUP($I83,Model!$A$4:$A$104,Model!$D$4:$D$104)</f>
        <v>6.6550822652124015</v>
      </c>
      <c r="L83" s="46"/>
      <c r="M83" s="46"/>
    </row>
    <row r="84" spans="1:13" ht="14.25" customHeight="1" x14ac:dyDescent="0.3">
      <c r="A84" s="44">
        <v>82</v>
      </c>
      <c r="B84" s="44">
        <f>'Age data'!O90</f>
        <v>8.1369999999999998E-2</v>
      </c>
      <c r="C84" s="44">
        <f t="shared" si="0"/>
        <v>0.91863000000000006</v>
      </c>
      <c r="D84" s="44">
        <f t="shared" si="5"/>
        <v>0.49657551814530698</v>
      </c>
      <c r="E84" s="44">
        <f t="shared" si="1"/>
        <v>0.47637234318956517</v>
      </c>
      <c r="F84" s="44">
        <f t="shared" si="2"/>
        <v>3.0355834900005005</v>
      </c>
      <c r="G84" s="44">
        <f t="shared" si="3"/>
        <v>6.1130349344210604</v>
      </c>
      <c r="I84" s="45">
        <f t="shared" si="4"/>
        <v>6.1130349344210604</v>
      </c>
      <c r="J84" s="45">
        <f>LOOKUP($I84,Model!$A$4:$A$104,Model!$E$4:$E$104)+($I84-INT($I84))*LOOKUP($I84,Model!$A$4:$A$104,Model!$D$4:$D$104)</f>
        <v>6.1130349344210604</v>
      </c>
      <c r="L84" s="46"/>
      <c r="M84" s="46"/>
    </row>
    <row r="85" spans="1:13" ht="14.25" customHeight="1" x14ac:dyDescent="0.3">
      <c r="A85" s="44">
        <v>83</v>
      </c>
      <c r="B85" s="44">
        <f>'Age data'!O91</f>
        <v>9.5710000000000003E-2</v>
      </c>
      <c r="C85" s="44">
        <f t="shared" si="0"/>
        <v>0.90429000000000004</v>
      </c>
      <c r="D85" s="44">
        <f t="shared" si="5"/>
        <v>0.45616916823382336</v>
      </c>
      <c r="E85" s="44">
        <f t="shared" si="1"/>
        <v>0.43433919268799376</v>
      </c>
      <c r="F85" s="44">
        <f t="shared" si="2"/>
        <v>2.5592111468109353</v>
      </c>
      <c r="G85" s="44">
        <f t="shared" si="3"/>
        <v>5.6102238490154468</v>
      </c>
      <c r="I85" s="45">
        <f t="shared" si="4"/>
        <v>5.6102238490154468</v>
      </c>
      <c r="J85" s="45">
        <f>LOOKUP($I85,Model!$A$4:$A$104,Model!$E$4:$E$104)+($I85-INT($I85))*LOOKUP($I85,Model!$A$4:$A$104,Model!$D$4:$D$104)</f>
        <v>5.6102238490154468</v>
      </c>
      <c r="L85" s="46"/>
      <c r="M85" s="46"/>
    </row>
    <row r="86" spans="1:13" ht="14.25" customHeight="1" x14ac:dyDescent="0.3">
      <c r="A86" s="44">
        <v>84</v>
      </c>
      <c r="B86" s="44">
        <f>'Age data'!O92</f>
        <v>0.11212</v>
      </c>
      <c r="C86" s="44">
        <f t="shared" si="0"/>
        <v>0.88788</v>
      </c>
      <c r="D86" s="44">
        <f t="shared" si="5"/>
        <v>0.41250921714216415</v>
      </c>
      <c r="E86" s="44">
        <f t="shared" si="1"/>
        <v>0.3893839504291744</v>
      </c>
      <c r="F86" s="44">
        <f t="shared" si="2"/>
        <v>2.1248719541229422</v>
      </c>
      <c r="G86" s="44">
        <f t="shared" si="3"/>
        <v>5.1510896382968383</v>
      </c>
      <c r="I86" s="45">
        <f t="shared" si="4"/>
        <v>5.1510896382968383</v>
      </c>
      <c r="J86" s="45">
        <f>LOOKUP($I86,Model!$A$4:$A$104,Model!$E$4:$E$104)+($I86-INT($I86))*LOOKUP($I86,Model!$A$4:$A$104,Model!$D$4:$D$104)</f>
        <v>5.1510896382968383</v>
      </c>
      <c r="L86" s="46"/>
      <c r="M86" s="46"/>
    </row>
    <row r="87" spans="1:13" ht="14.25" customHeight="1" x14ac:dyDescent="0.3">
      <c r="A87" s="44">
        <v>85</v>
      </c>
      <c r="B87" s="44">
        <f>'Age data'!O93</f>
        <v>0.13017999999999999</v>
      </c>
      <c r="C87" s="44">
        <f t="shared" si="0"/>
        <v>0.86982000000000004</v>
      </c>
      <c r="D87" s="44">
        <f t="shared" si="5"/>
        <v>0.3662586837161847</v>
      </c>
      <c r="E87" s="44">
        <f t="shared" si="1"/>
        <v>0.34241890599309821</v>
      </c>
      <c r="F87" s="44">
        <f t="shared" si="2"/>
        <v>1.735488003693767</v>
      </c>
      <c r="G87" s="44">
        <f t="shared" si="3"/>
        <v>4.7384214514313152</v>
      </c>
      <c r="I87" s="45">
        <f t="shared" si="4"/>
        <v>4.7384214514313152</v>
      </c>
      <c r="J87" s="45">
        <f>LOOKUP($I87,Model!$A$4:$A$104,Model!$E$4:$E$104)+($I87-INT($I87))*LOOKUP($I87,Model!$A$4:$A$104,Model!$D$4:$D$104)</f>
        <v>4.7384214514313152</v>
      </c>
      <c r="L87" s="46"/>
      <c r="M87" s="46"/>
    </row>
    <row r="88" spans="1:13" ht="14.25" customHeight="1" x14ac:dyDescent="0.3">
      <c r="A88" s="44">
        <v>86</v>
      </c>
      <c r="B88" s="44">
        <f>'Age data'!O94</f>
        <v>0.14918000000000001</v>
      </c>
      <c r="C88" s="44">
        <f t="shared" si="0"/>
        <v>0.85082000000000002</v>
      </c>
      <c r="D88" s="44">
        <f t="shared" si="5"/>
        <v>0.31857912827001178</v>
      </c>
      <c r="E88" s="44">
        <f t="shared" si="1"/>
        <v>0.29481631109235162</v>
      </c>
      <c r="F88" s="44">
        <f t="shared" si="2"/>
        <v>1.3930690977006688</v>
      </c>
      <c r="G88" s="44">
        <f t="shared" si="3"/>
        <v>4.3727569513592641</v>
      </c>
      <c r="I88" s="45">
        <f t="shared" si="4"/>
        <v>4.3727569513592641</v>
      </c>
      <c r="J88" s="45">
        <f>LOOKUP($I88,Model!$A$4:$A$104,Model!$E$4:$E$104)+($I88-INT($I88))*LOOKUP($I88,Model!$A$4:$A$104,Model!$D$4:$D$104)</f>
        <v>4.3727569513592641</v>
      </c>
      <c r="L88" s="46"/>
      <c r="M88" s="46"/>
    </row>
    <row r="89" spans="1:13" ht="14.25" customHeight="1" x14ac:dyDescent="0.3">
      <c r="A89" s="44">
        <v>87</v>
      </c>
      <c r="B89" s="44">
        <f>'Age data'!O95</f>
        <v>0.16825999999999999</v>
      </c>
      <c r="C89" s="44">
        <f t="shared" si="0"/>
        <v>0.83174000000000003</v>
      </c>
      <c r="D89" s="44">
        <f t="shared" si="5"/>
        <v>0.27105349391469141</v>
      </c>
      <c r="E89" s="44">
        <f t="shared" si="1"/>
        <v>0.24824976347164843</v>
      </c>
      <c r="F89" s="44">
        <f t="shared" si="2"/>
        <v>1.0982527866083169</v>
      </c>
      <c r="G89" s="44">
        <f t="shared" si="3"/>
        <v>4.0517935066868009</v>
      </c>
      <c r="I89" s="45">
        <f t="shared" si="4"/>
        <v>4.0517935066868009</v>
      </c>
      <c r="J89" s="45">
        <f>LOOKUP($I89,Model!$A$4:$A$104,Model!$E$4:$E$104)+($I89-INT($I89))*LOOKUP($I89,Model!$A$4:$A$104,Model!$D$4:$D$104)</f>
        <v>4.0517935066868009</v>
      </c>
      <c r="L89" s="46"/>
      <c r="M89" s="46"/>
    </row>
    <row r="90" spans="1:13" ht="14.25" customHeight="1" x14ac:dyDescent="0.3">
      <c r="A90" s="44">
        <v>88</v>
      </c>
      <c r="B90" s="44">
        <f>'Age data'!O96</f>
        <v>0.18665000000000001</v>
      </c>
      <c r="C90" s="44">
        <f t="shared" si="0"/>
        <v>0.81335000000000002</v>
      </c>
      <c r="D90" s="44">
        <f t="shared" si="5"/>
        <v>0.22544603302860544</v>
      </c>
      <c r="E90" s="44">
        <f t="shared" si="1"/>
        <v>0.20440628199621086</v>
      </c>
      <c r="F90" s="44">
        <f t="shared" si="2"/>
        <v>0.85000302313666909</v>
      </c>
      <c r="G90" s="44">
        <f t="shared" si="3"/>
        <v>3.7703170542318549</v>
      </c>
      <c r="I90" s="45">
        <f t="shared" si="4"/>
        <v>3.7703170542318549</v>
      </c>
      <c r="J90" s="45">
        <f>LOOKUP($I90,Model!$A$4:$A$104,Model!$E$4:$E$104)+($I90-INT($I90))*LOOKUP($I90,Model!$A$4:$A$104,Model!$D$4:$D$104)</f>
        <v>3.7703170542318549</v>
      </c>
      <c r="L90" s="46"/>
      <c r="M90" s="46"/>
    </row>
    <row r="91" spans="1:13" ht="14.25" customHeight="1" x14ac:dyDescent="0.3">
      <c r="A91" s="44">
        <v>89</v>
      </c>
      <c r="B91" s="44">
        <f>'Age data'!O97</f>
        <v>0.20386000000000001</v>
      </c>
      <c r="C91" s="44">
        <f t="shared" si="0"/>
        <v>0.79613999999999996</v>
      </c>
      <c r="D91" s="44">
        <f t="shared" si="5"/>
        <v>0.18336653096381625</v>
      </c>
      <c r="E91" s="44">
        <f t="shared" si="1"/>
        <v>0.16467598046267445</v>
      </c>
      <c r="F91" s="44">
        <f t="shared" si="2"/>
        <v>0.64559674114045817</v>
      </c>
      <c r="G91" s="44">
        <f t="shared" si="3"/>
        <v>3.5207992306287013</v>
      </c>
      <c r="I91" s="45">
        <f t="shared" si="4"/>
        <v>3.5207992306287013</v>
      </c>
      <c r="J91" s="45">
        <f>LOOKUP($I91,Model!$A$4:$A$104,Model!$E$4:$E$104)+($I91-INT($I91))*LOOKUP($I91,Model!$A$4:$A$104,Model!$D$4:$D$104)</f>
        <v>3.5207992306287013</v>
      </c>
      <c r="L91" s="46"/>
      <c r="M91" s="46"/>
    </row>
    <row r="92" spans="1:13" ht="14.25" customHeight="1" x14ac:dyDescent="0.3">
      <c r="A92" s="44">
        <v>90</v>
      </c>
      <c r="B92" s="44">
        <f>'Age data'!O98</f>
        <v>0.21984999999999999</v>
      </c>
      <c r="C92" s="44">
        <f t="shared" si="0"/>
        <v>0.78015000000000001</v>
      </c>
      <c r="D92" s="44">
        <f t="shared" si="5"/>
        <v>0.14598542996153266</v>
      </c>
      <c r="E92" s="44">
        <f t="shared" si="1"/>
        <v>0.12993798157301117</v>
      </c>
      <c r="F92" s="44">
        <f t="shared" si="2"/>
        <v>0.48092076067778361</v>
      </c>
      <c r="G92" s="44">
        <f t="shared" si="3"/>
        <v>3.2943065674739378</v>
      </c>
      <c r="I92" s="45">
        <f t="shared" si="4"/>
        <v>3.2943065674739378</v>
      </c>
      <c r="J92" s="45">
        <f>LOOKUP($I92,Model!$A$4:$A$104,Model!$E$4:$E$104)+($I92-INT($I92))*LOOKUP($I92,Model!$A$4:$A$104,Model!$D$4:$D$104)</f>
        <v>3.2943065674739378</v>
      </c>
      <c r="L92" s="46"/>
      <c r="M92" s="46"/>
    </row>
    <row r="93" spans="1:13" ht="14.25" customHeight="1" x14ac:dyDescent="0.3">
      <c r="A93" s="44">
        <v>91</v>
      </c>
      <c r="B93" s="44">
        <f>'Age data'!O99</f>
        <v>0.23504</v>
      </c>
      <c r="C93" s="44">
        <f t="shared" si="0"/>
        <v>0.76495999999999997</v>
      </c>
      <c r="D93" s="44">
        <f t="shared" si="5"/>
        <v>0.1138905331844897</v>
      </c>
      <c r="E93" s="44">
        <f t="shared" si="1"/>
        <v>0.10050611772464847</v>
      </c>
      <c r="F93" s="44">
        <f t="shared" si="2"/>
        <v>0.35098277910477244</v>
      </c>
      <c r="G93" s="44">
        <f t="shared" si="3"/>
        <v>3.081755518136176</v>
      </c>
      <c r="I93" s="45">
        <f t="shared" si="4"/>
        <v>3.081755518136176</v>
      </c>
      <c r="J93" s="45">
        <f>LOOKUP($I93,Model!$A$4:$A$104,Model!$E$4:$E$104)+($I93-INT($I93))*LOOKUP($I93,Model!$A$4:$A$104,Model!$D$4:$D$104)</f>
        <v>3.081755518136176</v>
      </c>
      <c r="L93" s="46"/>
      <c r="M93" s="46"/>
    </row>
    <row r="94" spans="1:13" ht="14.25" customHeight="1" x14ac:dyDescent="0.3">
      <c r="A94" s="44">
        <v>92</v>
      </c>
      <c r="B94" s="44">
        <f>'Age data'!O100</f>
        <v>0.25030999999999998</v>
      </c>
      <c r="C94" s="44">
        <f t="shared" si="0"/>
        <v>0.74968999999999997</v>
      </c>
      <c r="D94" s="44">
        <f t="shared" si="5"/>
        <v>8.7121702264807241E-2</v>
      </c>
      <c r="E94" s="44">
        <f t="shared" si="1"/>
        <v>7.6217985617855283E-2</v>
      </c>
      <c r="F94" s="44">
        <f t="shared" si="2"/>
        <v>0.25047666138012398</v>
      </c>
      <c r="G94" s="44">
        <f t="shared" si="3"/>
        <v>2.8750202862060452</v>
      </c>
      <c r="I94" s="45">
        <f t="shared" si="4"/>
        <v>2.8750202862060452</v>
      </c>
      <c r="J94" s="45">
        <f>LOOKUP($I94,Model!$A$4:$A$104,Model!$E$4:$E$104)+($I94-INT($I94))*LOOKUP($I94,Model!$A$4:$A$104,Model!$D$4:$D$104)</f>
        <v>2.8750202862060452</v>
      </c>
      <c r="L94" s="46"/>
      <c r="M94" s="46"/>
    </row>
    <row r="95" spans="1:13" ht="14.25" customHeight="1" x14ac:dyDescent="0.3">
      <c r="A95" s="44">
        <v>93</v>
      </c>
      <c r="B95" s="44">
        <f>'Age data'!O101</f>
        <v>0.26689000000000002</v>
      </c>
      <c r="C95" s="44">
        <f t="shared" si="0"/>
        <v>0.73310999999999993</v>
      </c>
      <c r="D95" s="44">
        <f t="shared" si="5"/>
        <v>6.5314268970903339E-2</v>
      </c>
      <c r="E95" s="44">
        <f t="shared" si="1"/>
        <v>5.6598406348081137E-2</v>
      </c>
      <c r="F95" s="44">
        <f t="shared" si="2"/>
        <v>0.17425867576226867</v>
      </c>
      <c r="G95" s="44">
        <f t="shared" si="3"/>
        <v>2.6680031562459749</v>
      </c>
      <c r="I95" s="45">
        <f t="shared" si="4"/>
        <v>2.6680031562459749</v>
      </c>
      <c r="J95" s="45">
        <f>LOOKUP($I95,Model!$A$4:$A$104,Model!$E$4:$E$104)+($I95-INT($I95))*LOOKUP($I95,Model!$A$4:$A$104,Model!$D$4:$D$104)</f>
        <v>2.6680031562459749</v>
      </c>
      <c r="L95" s="46"/>
      <c r="M95" s="46"/>
    </row>
    <row r="96" spans="1:13" ht="14.25" customHeight="1" x14ac:dyDescent="0.3">
      <c r="A96" s="44">
        <v>94</v>
      </c>
      <c r="B96" s="44">
        <f>'Age data'!O102</f>
        <v>0.28643000000000002</v>
      </c>
      <c r="C96" s="44">
        <f t="shared" si="0"/>
        <v>0.71357000000000004</v>
      </c>
      <c r="D96" s="44">
        <f t="shared" si="5"/>
        <v>4.7882543725258943E-2</v>
      </c>
      <c r="E96" s="44">
        <f t="shared" si="1"/>
        <v>4.1025045225645984E-2</v>
      </c>
      <c r="F96" s="44">
        <f t="shared" si="2"/>
        <v>0.11766026941418757</v>
      </c>
      <c r="G96" s="44">
        <f t="shared" si="3"/>
        <v>2.4572685630341642</v>
      </c>
      <c r="I96" s="45">
        <f t="shared" si="4"/>
        <v>2.4572685630341642</v>
      </c>
      <c r="J96" s="45">
        <f>LOOKUP($I96,Model!$A$4:$A$104,Model!$E$4:$E$104)+($I96-INT($I96))*LOOKUP($I96,Model!$A$4:$A$104,Model!$D$4:$D$104)</f>
        <v>2.4572685630341642</v>
      </c>
      <c r="L96" s="46"/>
      <c r="M96" s="46"/>
    </row>
    <row r="97" spans="1:13" ht="14.25" customHeight="1" x14ac:dyDescent="0.3">
      <c r="A97" s="44">
        <v>95</v>
      </c>
      <c r="B97" s="44">
        <f>'Age data'!O103</f>
        <v>0.31217</v>
      </c>
      <c r="C97" s="44">
        <f t="shared" si="0"/>
        <v>0.68782999999999994</v>
      </c>
      <c r="D97" s="44">
        <f t="shared" si="5"/>
        <v>3.4167546726033025E-2</v>
      </c>
      <c r="E97" s="44">
        <f t="shared" si="1"/>
        <v>2.8834505195300161E-2</v>
      </c>
      <c r="F97" s="44">
        <f t="shared" si="2"/>
        <v>7.6635224188541587E-2</v>
      </c>
      <c r="G97" s="44">
        <f t="shared" si="3"/>
        <v>2.2429243984951217</v>
      </c>
      <c r="I97" s="45">
        <f t="shared" si="4"/>
        <v>2.2429243984951217</v>
      </c>
      <c r="J97" s="45">
        <f>LOOKUP($I97,Model!$A$4:$A$104,Model!$E$4:$E$104)+($I97-INT($I97))*LOOKUP($I97,Model!$A$4:$A$104,Model!$D$4:$D$104)</f>
        <v>2.2429243984951217</v>
      </c>
      <c r="L97" s="46"/>
      <c r="M97" s="46"/>
    </row>
    <row r="98" spans="1:13" ht="14.25" customHeight="1" x14ac:dyDescent="0.3">
      <c r="A98" s="44">
        <v>96</v>
      </c>
      <c r="B98" s="44">
        <f>'Age data'!O104</f>
        <v>0.33260000000000001</v>
      </c>
      <c r="C98" s="44">
        <f t="shared" si="0"/>
        <v>0.66739999999999999</v>
      </c>
      <c r="D98" s="44">
        <f t="shared" si="5"/>
        <v>2.3501463664567294E-2</v>
      </c>
      <c r="E98" s="44">
        <f t="shared" si="1"/>
        <v>1.9593170257149753E-2</v>
      </c>
      <c r="F98" s="44">
        <f t="shared" si="2"/>
        <v>4.7800718993241433E-2</v>
      </c>
      <c r="G98" s="44">
        <f t="shared" si="3"/>
        <v>2.0339464671432212</v>
      </c>
      <c r="I98" s="45">
        <f t="shared" si="4"/>
        <v>2.0339464671432212</v>
      </c>
      <c r="J98" s="45">
        <f>LOOKUP($I98,Model!$A$4:$A$104,Model!$E$4:$E$104)+($I98-INT($I98))*LOOKUP($I98,Model!$A$4:$A$104,Model!$D$4:$D$104)</f>
        <v>2.0339464671432212</v>
      </c>
      <c r="L98" s="46"/>
      <c r="M98" s="46"/>
    </row>
    <row r="99" spans="1:13" ht="14.25" customHeight="1" x14ac:dyDescent="0.3">
      <c r="A99" s="44">
        <v>97</v>
      </c>
      <c r="B99" s="44">
        <f>'Age data'!O105</f>
        <v>0.35303000000000001</v>
      </c>
      <c r="C99" s="44">
        <f t="shared" si="0"/>
        <v>0.64697000000000005</v>
      </c>
      <c r="D99" s="44">
        <f t="shared" si="5"/>
        <v>1.5684876849732212E-2</v>
      </c>
      <c r="E99" s="44">
        <f t="shared" si="1"/>
        <v>1.2916260812601731E-2</v>
      </c>
      <c r="F99" s="44">
        <f t="shared" si="2"/>
        <v>2.8207548736091673E-2</v>
      </c>
      <c r="G99" s="44">
        <f t="shared" si="3"/>
        <v>1.7983914700977242</v>
      </c>
      <c r="I99" s="45">
        <f t="shared" si="4"/>
        <v>1.7983914700977242</v>
      </c>
      <c r="J99" s="45">
        <f>LOOKUP($I99,Model!$A$4:$A$104,Model!$E$4:$E$104)+($I99-INT($I99))*LOOKUP($I99,Model!$A$4:$A$104,Model!$D$4:$D$104)</f>
        <v>1.7983914700977242</v>
      </c>
      <c r="L99" s="46"/>
      <c r="M99" s="46"/>
    </row>
    <row r="100" spans="1:13" ht="14.25" customHeight="1" x14ac:dyDescent="0.3">
      <c r="A100" s="44">
        <v>98</v>
      </c>
      <c r="B100" s="44">
        <f>'Age data'!O106</f>
        <v>0.37331999999999999</v>
      </c>
      <c r="C100" s="44">
        <f t="shared" si="0"/>
        <v>0.62668000000000001</v>
      </c>
      <c r="D100" s="44">
        <f t="shared" si="5"/>
        <v>1.0147644775471251E-2</v>
      </c>
      <c r="E100" s="44">
        <f t="shared" si="1"/>
        <v>8.2534854016817864E-3</v>
      </c>
      <c r="F100" s="44">
        <f t="shared" si="2"/>
        <v>1.5291287923489941E-2</v>
      </c>
      <c r="G100" s="44">
        <f t="shared" si="3"/>
        <v>1.5068804891999998</v>
      </c>
      <c r="I100" s="45">
        <f t="shared" si="4"/>
        <v>1.5068804891999998</v>
      </c>
      <c r="J100" s="45">
        <f>LOOKUP($I100,Model!$A$4:$A$104,Model!$E$4:$E$104)+($I100-INT($I100))*LOOKUP($I100,Model!$A$4:$A$104,Model!$D$4:$D$104)</f>
        <v>1.5068804891999998</v>
      </c>
      <c r="L100" s="46"/>
      <c r="M100" s="46"/>
    </row>
    <row r="101" spans="1:13" ht="14.25" customHeight="1" x14ac:dyDescent="0.3">
      <c r="A101" s="44">
        <v>99</v>
      </c>
      <c r="B101" s="44">
        <f>'Age data'!O107</f>
        <v>0.39330999999999999</v>
      </c>
      <c r="C101" s="44">
        <f t="shared" si="0"/>
        <v>0.60668999999999995</v>
      </c>
      <c r="D101" s="44">
        <f t="shared" si="5"/>
        <v>6.3593260278923232E-3</v>
      </c>
      <c r="E101" s="44">
        <f t="shared" si="1"/>
        <v>5.1087327678771581E-3</v>
      </c>
      <c r="F101" s="44">
        <f t="shared" si="2"/>
        <v>7.037802521808155E-3</v>
      </c>
      <c r="G101" s="44">
        <f t="shared" si="3"/>
        <v>1.10669</v>
      </c>
      <c r="I101" s="45">
        <f t="shared" si="4"/>
        <v>1.10669</v>
      </c>
      <c r="J101" s="45">
        <f>LOOKUP($I101,Model!$A$4:$A$104,Model!$E$4:$E$104)+($I101-INT($I101))*LOOKUP($I101,Model!$A$4:$A$104,Model!$D$4:$D$104)</f>
        <v>1.10669</v>
      </c>
      <c r="L101" s="46"/>
      <c r="M101" s="46"/>
    </row>
    <row r="102" spans="1:13" ht="14.25" customHeight="1" x14ac:dyDescent="0.3">
      <c r="A102" s="44">
        <v>100</v>
      </c>
      <c r="B102" s="44">
        <f>'Age data'!O108</f>
        <v>1</v>
      </c>
      <c r="C102" s="44">
        <f t="shared" si="0"/>
        <v>0</v>
      </c>
      <c r="D102" s="44">
        <f t="shared" si="5"/>
        <v>3.8581395078619934E-3</v>
      </c>
      <c r="E102" s="44">
        <f>D102/2</f>
        <v>1.9290697539309967E-3</v>
      </c>
      <c r="F102" s="44">
        <f t="shared" si="2"/>
        <v>1.9290697539309967E-3</v>
      </c>
      <c r="G102" s="44">
        <f t="shared" si="3"/>
        <v>0.5</v>
      </c>
      <c r="I102" s="45">
        <f t="shared" si="4"/>
        <v>0.5</v>
      </c>
      <c r="J102" s="45">
        <f>LOOKUP($I102,Model!$A$4:$A$104,Model!$E$4:$E$104)+($I102-INT($I102))*LOOKUP($I102,Model!$A$4:$A$104,Model!$D$4:$D$104)</f>
        <v>0.5</v>
      </c>
      <c r="M102" s="46"/>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R1000"/>
  <sheetViews>
    <sheetView topLeftCell="A2" workbookViewId="0">
      <selection activeCell="M8" sqref="M8"/>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05"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0" ht="14.25" customHeight="1" x14ac:dyDescent="0.3">
      <c r="A1" s="1"/>
      <c r="B1" s="1"/>
      <c r="C1" s="1"/>
      <c r="D1" s="1"/>
      <c r="E1" s="1"/>
      <c r="F1" s="1"/>
      <c r="G1" s="12" t="s">
        <v>58</v>
      </c>
      <c r="H1" s="12"/>
      <c r="I1" s="1"/>
      <c r="J1" s="1"/>
      <c r="K1" s="1"/>
      <c r="L1" s="1"/>
      <c r="M1" s="1"/>
      <c r="N1" s="1"/>
      <c r="O1" s="1"/>
      <c r="P1" s="106"/>
      <c r="Q1" s="47" t="s">
        <v>59</v>
      </c>
      <c r="R1" s="47"/>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9" t="s">
        <v>140</v>
      </c>
      <c r="AZ1" s="149"/>
      <c r="BA1" s="149"/>
      <c r="BB1" s="1"/>
      <c r="BC1" s="1"/>
      <c r="BD1" s="1"/>
      <c r="BE1" s="1"/>
      <c r="BF1" s="1"/>
      <c r="BG1" s="1"/>
      <c r="BH1" s="1"/>
      <c r="BI1" s="75" t="s">
        <v>141</v>
      </c>
      <c r="BJ1" s="12"/>
      <c r="BK1" s="1"/>
      <c r="BL1" s="1"/>
      <c r="BM1" s="1"/>
      <c r="BN1" s="1"/>
      <c r="BO1" s="1"/>
      <c r="BP1" s="1"/>
      <c r="BQ1" s="1"/>
      <c r="BR1" s="1"/>
    </row>
    <row r="2" spans="1:70" ht="42.75" customHeight="1" x14ac:dyDescent="0.3">
      <c r="A2" s="47" t="s">
        <v>28</v>
      </c>
      <c r="B2" s="47" t="s">
        <v>62</v>
      </c>
      <c r="C2" s="47" t="s">
        <v>63</v>
      </c>
      <c r="D2" s="47" t="s">
        <v>64</v>
      </c>
      <c r="E2" s="47" t="s">
        <v>65</v>
      </c>
      <c r="F2" s="47" t="s">
        <v>66</v>
      </c>
      <c r="G2" s="47" t="s">
        <v>67</v>
      </c>
      <c r="H2" s="47" t="s">
        <v>68</v>
      </c>
      <c r="I2" s="47" t="s">
        <v>69</v>
      </c>
      <c r="J2" s="47" t="s">
        <v>70</v>
      </c>
      <c r="K2" s="47" t="s">
        <v>71</v>
      </c>
      <c r="L2" s="47" t="s">
        <v>72</v>
      </c>
      <c r="M2" s="47" t="s">
        <v>73</v>
      </c>
      <c r="N2" s="47" t="s">
        <v>74</v>
      </c>
      <c r="O2" s="47" t="s">
        <v>75</v>
      </c>
      <c r="P2" s="107" t="s">
        <v>76</v>
      </c>
      <c r="Q2" s="47" t="s">
        <v>67</v>
      </c>
      <c r="R2" s="47" t="s">
        <v>68</v>
      </c>
      <c r="S2" s="47" t="s">
        <v>69</v>
      </c>
      <c r="T2" s="47" t="s">
        <v>70</v>
      </c>
      <c r="U2" s="47" t="s">
        <v>71</v>
      </c>
      <c r="V2" s="47" t="s">
        <v>72</v>
      </c>
      <c r="W2" s="47" t="s">
        <v>73</v>
      </c>
      <c r="X2" s="47" t="s">
        <v>74</v>
      </c>
      <c r="Y2" s="47" t="s">
        <v>75</v>
      </c>
      <c r="Z2" s="47" t="s">
        <v>76</v>
      </c>
      <c r="AA2" s="47" t="s">
        <v>67</v>
      </c>
      <c r="AB2" s="47" t="s">
        <v>68</v>
      </c>
      <c r="AC2" s="47" t="s">
        <v>69</v>
      </c>
      <c r="AD2" s="47" t="s">
        <v>70</v>
      </c>
      <c r="AE2" s="47" t="s">
        <v>71</v>
      </c>
      <c r="AF2" s="47" t="s">
        <v>72</v>
      </c>
      <c r="AG2" s="47" t="s">
        <v>73</v>
      </c>
      <c r="AH2" s="47" t="s">
        <v>74</v>
      </c>
      <c r="AI2" s="47" t="s">
        <v>75</v>
      </c>
      <c r="AJ2" s="47" t="s">
        <v>76</v>
      </c>
      <c r="AK2" s="48"/>
      <c r="AL2" s="47" t="str">
        <f>G1</f>
        <v>Pre-vaccination</v>
      </c>
      <c r="AM2" s="47" t="str">
        <f>Q1</f>
        <v>Post-vaccination</v>
      </c>
      <c r="AN2" s="48"/>
      <c r="AO2" s="48"/>
      <c r="AP2" s="48"/>
      <c r="AQ2" s="48"/>
      <c r="AR2" s="48"/>
      <c r="AS2" s="48"/>
      <c r="AT2" s="48"/>
      <c r="AU2" s="48"/>
      <c r="AV2" s="48"/>
      <c r="AW2" s="47" t="s">
        <v>77</v>
      </c>
      <c r="AX2" s="47"/>
      <c r="AY2" s="47" t="s">
        <v>67</v>
      </c>
      <c r="AZ2" s="47" t="s">
        <v>68</v>
      </c>
      <c r="BA2" s="47" t="s">
        <v>69</v>
      </c>
      <c r="BB2" s="47" t="s">
        <v>70</v>
      </c>
      <c r="BC2" s="47" t="s">
        <v>71</v>
      </c>
      <c r="BD2" s="47" t="s">
        <v>72</v>
      </c>
      <c r="BE2" s="47" t="s">
        <v>73</v>
      </c>
      <c r="BF2" s="47" t="s">
        <v>74</v>
      </c>
      <c r="BG2" s="47" t="s">
        <v>75</v>
      </c>
      <c r="BH2" s="47" t="s">
        <v>76</v>
      </c>
      <c r="BI2" s="47" t="s">
        <v>67</v>
      </c>
      <c r="BJ2" s="47" t="s">
        <v>68</v>
      </c>
      <c r="BK2" s="47" t="s">
        <v>69</v>
      </c>
      <c r="BL2" s="47" t="s">
        <v>70</v>
      </c>
      <c r="BM2" s="47" t="s">
        <v>71</v>
      </c>
      <c r="BN2" s="47" t="s">
        <v>72</v>
      </c>
      <c r="BO2" s="47" t="s">
        <v>73</v>
      </c>
      <c r="BP2" s="47" t="s">
        <v>74</v>
      </c>
      <c r="BQ2" s="47" t="s">
        <v>75</v>
      </c>
      <c r="BR2" s="47" t="s">
        <v>76</v>
      </c>
    </row>
    <row r="3" spans="1:70" ht="15" customHeight="1" x14ac:dyDescent="0.3">
      <c r="A3" s="49" t="s">
        <v>78</v>
      </c>
      <c r="B3" s="49"/>
      <c r="C3" s="49"/>
      <c r="D3" s="49"/>
      <c r="E3" s="49"/>
      <c r="F3" s="49"/>
      <c r="G3" s="50">
        <f>SUMPRODUCT(G4:G104,$C$4:$C$104)</f>
        <v>1.1583502489531569E-2</v>
      </c>
      <c r="H3" s="50">
        <f t="shared" ref="H3:AJ3" si="0">SUMPRODUCT(H4:H104,$C$4:$C$104)</f>
        <v>1.4883078863603618E-3</v>
      </c>
      <c r="I3" s="50">
        <f t="shared" si="0"/>
        <v>6.6823067654969764E-3</v>
      </c>
      <c r="J3" s="50">
        <f t="shared" si="0"/>
        <v>6.9872327905663451E-4</v>
      </c>
      <c r="K3" s="50">
        <f t="shared" si="0"/>
        <v>0.12334950189331575</v>
      </c>
      <c r="L3" s="50">
        <f t="shared" si="0"/>
        <v>1.5797194393521469E-2</v>
      </c>
      <c r="M3" s="50">
        <f t="shared" si="0"/>
        <v>7.9051287322642379E-3</v>
      </c>
      <c r="N3" s="50">
        <f t="shared" si="0"/>
        <v>9.2516764081050835E-4</v>
      </c>
      <c r="O3" s="50">
        <f t="shared" si="0"/>
        <v>19.893507175521506</v>
      </c>
      <c r="P3" s="108">
        <f t="shared" si="0"/>
        <v>2.5560199640352859</v>
      </c>
      <c r="Q3" s="50">
        <f t="shared" si="0"/>
        <v>4.8558042436116318E-3</v>
      </c>
      <c r="R3" s="50">
        <f t="shared" si="0"/>
        <v>6.2389866596226375E-4</v>
      </c>
      <c r="S3" s="50">
        <f t="shared" si="0"/>
        <v>2.8012229960963329E-3</v>
      </c>
      <c r="T3" s="50">
        <f t="shared" si="0"/>
        <v>2.9290479858054113E-4</v>
      </c>
      <c r="U3" s="50">
        <f t="shared" si="0"/>
        <v>5.1708111193677977E-2</v>
      </c>
      <c r="V3" s="50">
        <f t="shared" si="0"/>
        <v>6.6221838897642018E-3</v>
      </c>
      <c r="W3" s="50">
        <f t="shared" si="0"/>
        <v>3.3138299645651681E-3</v>
      </c>
      <c r="X3" s="50">
        <f t="shared" si="0"/>
        <v>3.8783027502776535E-4</v>
      </c>
      <c r="Y3" s="50">
        <f t="shared" si="0"/>
        <v>8.3393582079786182</v>
      </c>
      <c r="Z3" s="50">
        <f t="shared" si="0"/>
        <v>1.0714835689235913</v>
      </c>
      <c r="AA3" s="50">
        <f t="shared" si="0"/>
        <v>6.727698245919931E-3</v>
      </c>
      <c r="AB3" s="50">
        <f t="shared" si="0"/>
        <v>8.64409220398098E-4</v>
      </c>
      <c r="AC3" s="50">
        <f t="shared" si="0"/>
        <v>3.8810837694006439E-3</v>
      </c>
      <c r="AD3" s="50">
        <f t="shared" si="0"/>
        <v>4.0581848047609322E-4</v>
      </c>
      <c r="AE3" s="50">
        <f t="shared" si="0"/>
        <v>7.1641390699637791E-2</v>
      </c>
      <c r="AF3" s="50">
        <f t="shared" si="0"/>
        <v>9.1750105037572745E-3</v>
      </c>
      <c r="AG3" s="50">
        <f t="shared" si="0"/>
        <v>4.5912987676990716E-3</v>
      </c>
      <c r="AH3" s="50">
        <f t="shared" si="0"/>
        <v>5.3733736578274387E-4</v>
      </c>
      <c r="AI3" s="50">
        <f t="shared" si="0"/>
        <v>11.554148967542895</v>
      </c>
      <c r="AJ3" s="50">
        <f t="shared" si="0"/>
        <v>1.484536395111693</v>
      </c>
      <c r="AK3" s="48"/>
      <c r="AL3" s="48"/>
      <c r="AM3" s="48"/>
      <c r="AN3" s="48"/>
      <c r="AO3" s="48"/>
      <c r="AP3" s="48"/>
      <c r="AQ3" s="48"/>
      <c r="AR3" s="48"/>
      <c r="AS3" s="48"/>
      <c r="AT3" s="48"/>
      <c r="AU3" s="48"/>
      <c r="AV3" s="6" t="s">
        <v>79</v>
      </c>
      <c r="AW3" s="51">
        <f>Customisation!$H$18+Customisation!$H$19*4</f>
        <v>0.48399999999999999</v>
      </c>
      <c r="AX3" s="51"/>
      <c r="AY3" s="50">
        <f t="shared" ref="AY3:BR3" si="1">SUMPRODUCT(AY4:AY104,$C$4:$C$104)</f>
        <v>4.1422604902564874E-3</v>
      </c>
      <c r="AZ3" s="50">
        <f t="shared" si="1"/>
        <v>5.3221890016246539E-4</v>
      </c>
      <c r="BA3" s="50">
        <f t="shared" si="1"/>
        <v>2.3895928993417177E-3</v>
      </c>
      <c r="BB3" s="50">
        <f t="shared" si="1"/>
        <v>2.4986344459065256E-4</v>
      </c>
      <c r="BC3" s="50">
        <f t="shared" si="1"/>
        <v>4.4109781877049725E-2</v>
      </c>
      <c r="BD3" s="50">
        <f t="shared" si="1"/>
        <v>5.6490767151232786E-3</v>
      </c>
      <c r="BE3" s="50">
        <f t="shared" si="1"/>
        <v>2.8268740346576917E-3</v>
      </c>
      <c r="BF3" s="50">
        <f t="shared" si="1"/>
        <v>3.3083994835383804E-4</v>
      </c>
      <c r="BG3" s="50">
        <f t="shared" si="1"/>
        <v>7.1139181659664938</v>
      </c>
      <c r="BH3" s="50">
        <f t="shared" si="1"/>
        <v>0.91403273913901817</v>
      </c>
      <c r="BI3" s="50">
        <f t="shared" si="1"/>
        <v>7.1354375335514429E-4</v>
      </c>
      <c r="BJ3" s="50">
        <f t="shared" si="1"/>
        <v>9.1679765799798209E-5</v>
      </c>
      <c r="BK3" s="50">
        <f t="shared" si="1"/>
        <v>4.1163009675461361E-4</v>
      </c>
      <c r="BL3" s="50">
        <f t="shared" si="1"/>
        <v>4.3041353989888682E-5</v>
      </c>
      <c r="BM3" s="50">
        <f t="shared" si="1"/>
        <v>7.5983293166282505E-3</v>
      </c>
      <c r="BN3" s="50">
        <f t="shared" si="1"/>
        <v>9.7310717464092213E-4</v>
      </c>
      <c r="BO3" s="50">
        <f t="shared" si="1"/>
        <v>4.8695592990747705E-4</v>
      </c>
      <c r="BP3" s="50">
        <f t="shared" si="1"/>
        <v>5.6990326673927351E-5</v>
      </c>
      <c r="BQ3" s="50">
        <f t="shared" si="1"/>
        <v>1.2254400420121245</v>
      </c>
      <c r="BR3" s="50">
        <f t="shared" si="1"/>
        <v>0.15745082978457339</v>
      </c>
    </row>
    <row r="4" spans="1:70" ht="14.25" customHeight="1" x14ac:dyDescent="0.3">
      <c r="A4" s="1">
        <v>0</v>
      </c>
      <c r="B4" s="52">
        <f>'Life table'!D2</f>
        <v>1</v>
      </c>
      <c r="C4" s="52">
        <f>IF($A4&lt;Customisation!$H$13,0,B4)/LOOKUP(Customisation!$H$13,$A$4:$A$104,$B$4:$B$104)</f>
        <v>0</v>
      </c>
      <c r="D4" s="1">
        <f>IF($A4&lt;=Customisation!$H$13,1,1/(1+Customisation!$H$21)^($A4-Customisation!$H$13))</f>
        <v>1</v>
      </c>
      <c r="E4" s="1">
        <v>0</v>
      </c>
      <c r="F4" s="1">
        <f t="shared" ref="F4:F104" si="2">C4*D4</f>
        <v>0</v>
      </c>
      <c r="G4" s="53">
        <f>'Age data'!M8*Customisation!$H$22</f>
        <v>0</v>
      </c>
      <c r="H4" s="53">
        <f t="shared" ref="H4:H104" si="3">G4*D4</f>
        <v>0</v>
      </c>
      <c r="I4" s="53">
        <f>'Age data'!N8*Customisation!$H$22</f>
        <v>0</v>
      </c>
      <c r="J4" s="54">
        <f t="shared" ref="J4:J104" si="4">I4*D4</f>
        <v>0</v>
      </c>
      <c r="K4" s="53">
        <f>I4*'Life table'!I2</f>
        <v>0</v>
      </c>
      <c r="L4" s="53">
        <f>J4*'Life table'!J2</f>
        <v>0</v>
      </c>
      <c r="M4" s="53">
        <f t="shared" ref="M4:M104" si="5">(G4-I4)*$AW$3+I4*$AW$4</f>
        <v>0</v>
      </c>
      <c r="N4" s="53">
        <f>((G4-I4)*$AW$5+I4*$AW$6)/(1+Customisation!$H$21)^($A4-Customisation!$E$13)</f>
        <v>0</v>
      </c>
      <c r="O4" s="53">
        <f>G4*Customisation!$H$17</f>
        <v>0</v>
      </c>
      <c r="P4" s="109">
        <f>O4/(1+Customisation!$H$21)^($A4-Customisation!$E$13)</f>
        <v>0</v>
      </c>
      <c r="Q4" s="53">
        <f>IF($A4&lt;Customisation!$H$13,G4,G4*(1-Customisation!$H$11*Customisation!$H$12))</f>
        <v>0</v>
      </c>
      <c r="R4" s="53">
        <f>IF($A4&lt;Customisation!$H$13,H4,H4*(1-Customisation!$H$11*Customisation!$H$12))</f>
        <v>0</v>
      </c>
      <c r="S4" s="53">
        <f>IF($A4&lt;Customisation!$H$13,I4,I4*(1-Customisation!$H$11*Customisation!$H$12))</f>
        <v>0</v>
      </c>
      <c r="T4" s="53">
        <f>IF($A4&lt;Customisation!$H$13,J4,J4*(1-Customisation!$H$11*Customisation!$H$12))</f>
        <v>0</v>
      </c>
      <c r="U4" s="53">
        <f>IF($A4&lt;Customisation!$H$13,K4,K4*(1-Customisation!$H$11*Customisation!$H$12))</f>
        <v>0</v>
      </c>
      <c r="V4" s="53">
        <f>IF($A4&lt;Customisation!$H$13,L4,L4*(1-Customisation!$H$11*Customisation!$H$12))</f>
        <v>0</v>
      </c>
      <c r="W4" s="53">
        <f>IF($A4&lt;Customisation!$H$13,M4,M4*(1-Customisation!$H$11*Customisation!$H$12))</f>
        <v>0</v>
      </c>
      <c r="X4" s="53">
        <f>IF($A4&lt;Customisation!$H$13,N4,N4*(1-Customisation!$H$11*Customisation!$H$12))</f>
        <v>0</v>
      </c>
      <c r="Y4" s="53">
        <f>IF($A4&lt;Customisation!$H$13,O4,O4*(1-Customisation!$H$11*Customisation!$H$12))</f>
        <v>0</v>
      </c>
      <c r="Z4" s="53">
        <f>IF($A4&lt;Customisation!$H$13,P4,P4*(1-Customisation!$H$11*Customisation!$H$12))</f>
        <v>0</v>
      </c>
      <c r="AA4" s="53">
        <f>G4-Q4</f>
        <v>0</v>
      </c>
      <c r="AB4" s="53">
        <f t="shared" ref="AB4:AJ4" si="6">H4-R4</f>
        <v>0</v>
      </c>
      <c r="AC4" s="53">
        <f t="shared" si="6"/>
        <v>0</v>
      </c>
      <c r="AD4" s="53">
        <f t="shared" si="6"/>
        <v>0</v>
      </c>
      <c r="AE4" s="53">
        <f t="shared" si="6"/>
        <v>0</v>
      </c>
      <c r="AF4" s="53">
        <f t="shared" si="6"/>
        <v>0</v>
      </c>
      <c r="AG4" s="53">
        <f t="shared" si="6"/>
        <v>0</v>
      </c>
      <c r="AH4" s="53">
        <f t="shared" si="6"/>
        <v>0</v>
      </c>
      <c r="AI4" s="53">
        <f t="shared" si="6"/>
        <v>0</v>
      </c>
      <c r="AJ4" s="53">
        <f t="shared" si="6"/>
        <v>0</v>
      </c>
      <c r="AK4" s="1"/>
      <c r="AL4" s="55">
        <f t="shared" ref="AL4:AL104" si="7">G4*100000</f>
        <v>0</v>
      </c>
      <c r="AM4" s="55">
        <f t="shared" ref="AM4:AM104" si="8">Q4*100000</f>
        <v>0</v>
      </c>
      <c r="AN4" s="1"/>
      <c r="AO4" s="1"/>
      <c r="AP4" s="1"/>
      <c r="AQ4" s="1"/>
      <c r="AR4" s="1"/>
      <c r="AS4" s="1"/>
      <c r="AT4" s="1"/>
      <c r="AU4" s="1"/>
      <c r="AV4" s="6" t="s">
        <v>80</v>
      </c>
      <c r="AW4" s="51">
        <f>Customisation!$H$18+Customisation!$H$20</f>
        <v>0.82800000000000007</v>
      </c>
      <c r="AX4" s="51"/>
      <c r="AY4" s="53">
        <f>IF($A4&lt;Customisation!$H$13,G4,G4*(1-Customisation!$H$24*Customisation!$H$12))</f>
        <v>0</v>
      </c>
      <c r="AZ4" s="53">
        <f>IF($A4&lt;Customisation!$H$13,H4,H4*(1-Customisation!$H$24*Customisation!$H$12))</f>
        <v>0</v>
      </c>
      <c r="BA4" s="53">
        <f>IF($A4&lt;Customisation!$H$13,I4,I4*(1-Customisation!$H$24*Customisation!$H$12))</f>
        <v>0</v>
      </c>
      <c r="BB4" s="53">
        <f>IF($A4&lt;Customisation!$H$13,J4,J4*(1-Customisation!$H$24*Customisation!$H$12))</f>
        <v>0</v>
      </c>
      <c r="BC4" s="53">
        <f>IF($A4&lt;Customisation!$H$13,K4,K4*(1-Customisation!$H$24*Customisation!$H$12))</f>
        <v>0</v>
      </c>
      <c r="BD4" s="53">
        <f>IF($A4&lt;Customisation!$H$13,L4,L4*(1-Customisation!$H$24*Customisation!$H$12))</f>
        <v>0</v>
      </c>
      <c r="BE4" s="53">
        <f>IF($A4&lt;Customisation!$H$13,M4,M4*(1-Customisation!$H$24*Customisation!$H$12))</f>
        <v>0</v>
      </c>
      <c r="BF4" s="53">
        <f>IF($A4&lt;Customisation!$H$13,N4,N4*(1-Customisation!$H$24*Customisation!$H$12))</f>
        <v>0</v>
      </c>
      <c r="BG4" s="53">
        <f>IF($A4&lt;Customisation!$H$13,O4,O4*(1-Customisation!$H$24*Customisation!$H$12))</f>
        <v>0</v>
      </c>
      <c r="BH4" s="53">
        <f>IF($A4&lt;Customisation!$H$13,P4,P4*(1-Customisation!$H$24*Customisation!$H$12))</f>
        <v>0</v>
      </c>
      <c r="BI4" s="53">
        <f t="shared" ref="BI4:BR4" si="9">Q4-AY4</f>
        <v>0</v>
      </c>
      <c r="BJ4" s="53">
        <f t="shared" si="9"/>
        <v>0</v>
      </c>
      <c r="BK4" s="53">
        <f t="shared" si="9"/>
        <v>0</v>
      </c>
      <c r="BL4" s="53">
        <f t="shared" si="9"/>
        <v>0</v>
      </c>
      <c r="BM4" s="53">
        <f t="shared" si="9"/>
        <v>0</v>
      </c>
      <c r="BN4" s="53">
        <f t="shared" si="9"/>
        <v>0</v>
      </c>
      <c r="BO4" s="53">
        <f t="shared" si="9"/>
        <v>0</v>
      </c>
      <c r="BP4" s="53">
        <f t="shared" si="9"/>
        <v>0</v>
      </c>
      <c r="BQ4" s="53">
        <f t="shared" si="9"/>
        <v>0</v>
      </c>
      <c r="BR4" s="53">
        <f t="shared" si="9"/>
        <v>0</v>
      </c>
    </row>
    <row r="5" spans="1:70" ht="14.25" customHeight="1" x14ac:dyDescent="0.3">
      <c r="A5" s="1">
        <f t="shared" ref="A5:A15" si="10">A4+1</f>
        <v>1</v>
      </c>
      <c r="B5" s="52">
        <f>'Life table'!D3</f>
        <v>0.98846000000000001</v>
      </c>
      <c r="C5" s="52">
        <f>IF($A5&lt;Customisation!$H$13,0,B5)/LOOKUP(Customisation!$H$13,$A$4:$A$104,$B$4:$B$104)</f>
        <v>0</v>
      </c>
      <c r="D5" s="1">
        <f>IF($A5&lt;=Customisation!$H$13,1,1/(1+Customisation!$H$21)^($A5-Customisation!$H$13))</f>
        <v>1</v>
      </c>
      <c r="E5" s="1">
        <f t="shared" ref="E5:E104" si="11">E4+D4</f>
        <v>1</v>
      </c>
      <c r="F5" s="1">
        <f t="shared" si="2"/>
        <v>0</v>
      </c>
      <c r="G5" s="53">
        <f>'Age data'!M9*Customisation!$H$22</f>
        <v>0</v>
      </c>
      <c r="H5" s="53">
        <f>G5*D5</f>
        <v>0</v>
      </c>
      <c r="I5" s="53">
        <f>'Age data'!N9*Customisation!$H$22</f>
        <v>0</v>
      </c>
      <c r="J5" s="54">
        <f t="shared" si="4"/>
        <v>0</v>
      </c>
      <c r="K5" s="53">
        <f>I5*'Life table'!I3</f>
        <v>0</v>
      </c>
      <c r="L5" s="53">
        <f>J5*'Life table'!J3</f>
        <v>0</v>
      </c>
      <c r="M5" s="53">
        <f>(G5-I5)*$AW$3+I5*$AW$4</f>
        <v>0</v>
      </c>
      <c r="N5" s="53">
        <f>((G5-I5)*$AW$5+I5*$AW$6)/(1+Customisation!$H$21)^($A5-Customisation!$E$13)</f>
        <v>0</v>
      </c>
      <c r="O5" s="53">
        <f>G5*Customisation!$H$17</f>
        <v>0</v>
      </c>
      <c r="P5" s="109">
        <f>O5/(1+Customisation!$H$21)^($A5-Customisation!$E$13)</f>
        <v>0</v>
      </c>
      <c r="Q5" s="53">
        <f>IF($A5&lt;Customisation!$H$13,G5,G5*(1-Customisation!$H$11*Customisation!$H$12))</f>
        <v>0</v>
      </c>
      <c r="R5" s="53">
        <f>IF($A5&lt;Customisation!$H$13,H5,H5*(1-Customisation!$H$11*Customisation!$H$12))</f>
        <v>0</v>
      </c>
      <c r="S5" s="53">
        <f>IF($A5&lt;Customisation!$H$13,I5,I5*(1-Customisation!$H$11*Customisation!$H$12))</f>
        <v>0</v>
      </c>
      <c r="T5" s="53">
        <f>IF($A5&lt;Customisation!$H$13,J5,J5*(1-Customisation!$H$11*Customisation!$H$12))</f>
        <v>0</v>
      </c>
      <c r="U5" s="53">
        <f>IF($A5&lt;Customisation!$H$13,K5,K5*(1-Customisation!$H$11*Customisation!$H$12))</f>
        <v>0</v>
      </c>
      <c r="V5" s="53">
        <f>IF($A5&lt;Customisation!$H$13,L5,L5*(1-Customisation!$H$11*Customisation!$H$12))</f>
        <v>0</v>
      </c>
      <c r="W5" s="53">
        <f>IF($A5&lt;Customisation!$H$13,M5,M5*(1-Customisation!$H$11*Customisation!$H$12))</f>
        <v>0</v>
      </c>
      <c r="X5" s="53">
        <f>IF($A5&lt;Customisation!$H$13,N5,N5*(1-Customisation!$H$11*Customisation!$H$12))</f>
        <v>0</v>
      </c>
      <c r="Y5" s="53">
        <f>IF($A5&lt;Customisation!$H$13,O5,O5*(1-Customisation!$H$11*Customisation!$H$12))</f>
        <v>0</v>
      </c>
      <c r="Z5" s="53">
        <f>IF($A5&lt;Customisation!$H$13,P5,P5*(1-Customisation!$H$11*Customisation!$H$12))</f>
        <v>0</v>
      </c>
      <c r="AA5" s="53">
        <f t="shared" ref="AA5:AJ5" si="12">G5-Q5</f>
        <v>0</v>
      </c>
      <c r="AB5" s="53">
        <f t="shared" si="12"/>
        <v>0</v>
      </c>
      <c r="AC5" s="53">
        <f t="shared" si="12"/>
        <v>0</v>
      </c>
      <c r="AD5" s="53">
        <f t="shared" si="12"/>
        <v>0</v>
      </c>
      <c r="AE5" s="53">
        <f t="shared" si="12"/>
        <v>0</v>
      </c>
      <c r="AF5" s="53">
        <f t="shared" si="12"/>
        <v>0</v>
      </c>
      <c r="AG5" s="53">
        <f t="shared" si="12"/>
        <v>0</v>
      </c>
      <c r="AH5" s="53">
        <f t="shared" si="12"/>
        <v>0</v>
      </c>
      <c r="AI5" s="53">
        <f t="shared" si="12"/>
        <v>0</v>
      </c>
      <c r="AJ5" s="53">
        <f t="shared" si="12"/>
        <v>0</v>
      </c>
      <c r="AK5" s="1"/>
      <c r="AL5" s="55">
        <f t="shared" si="7"/>
        <v>0</v>
      </c>
      <c r="AM5" s="55">
        <f t="shared" si="8"/>
        <v>0</v>
      </c>
      <c r="AN5" s="1"/>
      <c r="AO5" s="1"/>
      <c r="AP5" s="1"/>
      <c r="AQ5" s="1"/>
      <c r="AR5" s="1"/>
      <c r="AS5" s="1"/>
      <c r="AT5" s="1"/>
      <c r="AU5" s="1"/>
      <c r="AV5" s="6" t="s">
        <v>81</v>
      </c>
      <c r="AW5" s="51">
        <f>Customisation!$H$18+Customisation!$H$19*(1/(1+'Country selection'!$E$21)+1/(1+'Country selection'!$E$21)^2+1/(1+'Country selection'!$E$21)^3+1/(1+'Country selection'!$E$21)^4)</f>
        <v>0.46175157470395567</v>
      </c>
      <c r="AX5" s="51"/>
      <c r="AY5" s="53">
        <f>IF($A5&lt;Customisation!$H$13,G5,G5*(1-Customisation!$H$24*Customisation!$H$12))</f>
        <v>0</v>
      </c>
      <c r="AZ5" s="53">
        <f>IF($A5&lt;Customisation!$H$13,H5,H5*(1-Customisation!$H$24*Customisation!$H$12))</f>
        <v>0</v>
      </c>
      <c r="BA5" s="53">
        <f>IF($A5&lt;Customisation!$H$13,I5,I5*(1-Customisation!$H$24*Customisation!$H$12))</f>
        <v>0</v>
      </c>
      <c r="BB5" s="53">
        <f>IF($A5&lt;Customisation!$H$13,J5,J5*(1-Customisation!$H$24*Customisation!$H$12))</f>
        <v>0</v>
      </c>
      <c r="BC5" s="53">
        <f>IF($A5&lt;Customisation!$H$13,K5,K5*(1-Customisation!$H$24*Customisation!$H$12))</f>
        <v>0</v>
      </c>
      <c r="BD5" s="53">
        <f>IF($A5&lt;Customisation!$H$13,L5,L5*(1-Customisation!$H$24*Customisation!$H$12))</f>
        <v>0</v>
      </c>
      <c r="BE5" s="53">
        <f>IF($A5&lt;Customisation!$H$13,M5,M5*(1-Customisation!$H$24*Customisation!$H$12))</f>
        <v>0</v>
      </c>
      <c r="BF5" s="53">
        <f>IF($A5&lt;Customisation!$H$13,N5,N5*(1-Customisation!$H$24*Customisation!$H$12))</f>
        <v>0</v>
      </c>
      <c r="BG5" s="53">
        <f>IF($A5&lt;Customisation!$H$13,O5,O5*(1-Customisation!$H$24*Customisation!$H$12))</f>
        <v>0</v>
      </c>
      <c r="BH5" s="53">
        <f>IF($A5&lt;Customisation!$H$13,P5,P5*(1-Customisation!$H$24*Customisation!$H$12))</f>
        <v>0</v>
      </c>
      <c r="BI5" s="53">
        <f t="shared" ref="BI5:BI68" si="13">Q5-AY5</f>
        <v>0</v>
      </c>
      <c r="BJ5" s="53">
        <f t="shared" ref="BJ5:BJ68" si="14">R5-AZ5</f>
        <v>0</v>
      </c>
      <c r="BK5" s="53">
        <f t="shared" ref="BK5:BK68" si="15">S5-BA5</f>
        <v>0</v>
      </c>
      <c r="BL5" s="53">
        <f t="shared" ref="BL5:BL68" si="16">T5-BB5</f>
        <v>0</v>
      </c>
      <c r="BM5" s="53">
        <f t="shared" ref="BM5:BM68" si="17">U5-BC5</f>
        <v>0</v>
      </c>
      <c r="BN5" s="53">
        <f t="shared" ref="BN5:BN68" si="18">V5-BD5</f>
        <v>0</v>
      </c>
      <c r="BO5" s="53">
        <f t="shared" ref="BO5:BO68" si="19">W5-BE5</f>
        <v>0</v>
      </c>
      <c r="BP5" s="53">
        <f t="shared" ref="BP5:BP68" si="20">X5-BF5</f>
        <v>0</v>
      </c>
      <c r="BQ5" s="53">
        <f t="shared" ref="BQ5:BQ68" si="21">Y5-BG5</f>
        <v>0</v>
      </c>
      <c r="BR5" s="53">
        <f t="shared" ref="BR5:BR68" si="22">Z5-BH5</f>
        <v>0</v>
      </c>
    </row>
    <row r="6" spans="1:70" ht="14.25" customHeight="1" x14ac:dyDescent="0.3">
      <c r="A6" s="1">
        <f t="shared" si="10"/>
        <v>2</v>
      </c>
      <c r="B6" s="52">
        <f>'Life table'!D4</f>
        <v>0.98794600080000006</v>
      </c>
      <c r="C6" s="52">
        <f>IF($A6&lt;Customisation!$H$13,0,B6)/LOOKUP(Customisation!$H$13,$A$4:$A$104,$B$4:$B$104)</f>
        <v>0</v>
      </c>
      <c r="D6" s="1">
        <f>IF($A6&lt;=Customisation!$H$13,1,1/(1+Customisation!$H$21)^($A6-Customisation!$H$13))</f>
        <v>1</v>
      </c>
      <c r="E6" s="1">
        <f t="shared" si="11"/>
        <v>2</v>
      </c>
      <c r="F6" s="1">
        <f t="shared" si="2"/>
        <v>0</v>
      </c>
      <c r="G6" s="53">
        <f>'Age data'!M10*Customisation!$H$22</f>
        <v>0</v>
      </c>
      <c r="H6" s="53">
        <f t="shared" si="3"/>
        <v>0</v>
      </c>
      <c r="I6" s="53">
        <f>'Age data'!N10*Customisation!$H$22</f>
        <v>0</v>
      </c>
      <c r="J6" s="54">
        <f>I6*D6</f>
        <v>0</v>
      </c>
      <c r="K6" s="53">
        <f>I6*'Life table'!I4</f>
        <v>0</v>
      </c>
      <c r="L6" s="53">
        <f>J6*'Life table'!J4</f>
        <v>0</v>
      </c>
      <c r="M6" s="53">
        <f t="shared" si="5"/>
        <v>0</v>
      </c>
      <c r="N6" s="53">
        <f>((G6-I6)*$AW$5+I6*$AW$6)/(1+Customisation!$H$21)^($A6-Customisation!$E$13)</f>
        <v>0</v>
      </c>
      <c r="O6" s="53">
        <f>G6*Customisation!$H$17</f>
        <v>0</v>
      </c>
      <c r="P6" s="109">
        <f>O6/(1+Customisation!$H$21)^($A6-Customisation!$E$13)</f>
        <v>0</v>
      </c>
      <c r="Q6" s="53">
        <f>IF($A6&lt;Customisation!$H$13,G6,G6*(1-Customisation!$H$11*Customisation!$H$12))</f>
        <v>0</v>
      </c>
      <c r="R6" s="53">
        <f>IF($A6&lt;Customisation!$H$13,H6,H6*(1-Customisation!$H$11*Customisation!$H$12))</f>
        <v>0</v>
      </c>
      <c r="S6" s="53">
        <f>IF($A6&lt;Customisation!$H$13,I6,I6*(1-Customisation!$H$11*Customisation!$H$12))</f>
        <v>0</v>
      </c>
      <c r="T6" s="53">
        <f>IF($A6&lt;Customisation!$H$13,J6,J6*(1-Customisation!$H$11*Customisation!$H$12))</f>
        <v>0</v>
      </c>
      <c r="U6" s="53">
        <f>IF($A6&lt;Customisation!$H$13,K6,K6*(1-Customisation!$H$11*Customisation!$H$12))</f>
        <v>0</v>
      </c>
      <c r="V6" s="53">
        <f>IF($A6&lt;Customisation!$H$13,L6,L6*(1-Customisation!$H$11*Customisation!$H$12))</f>
        <v>0</v>
      </c>
      <c r="W6" s="53">
        <f>IF($A6&lt;Customisation!$H$13,M6,M6*(1-Customisation!$H$11*Customisation!$H$12))</f>
        <v>0</v>
      </c>
      <c r="X6" s="53">
        <f>IF($A6&lt;Customisation!$H$13,N6,N6*(1-Customisation!$H$11*Customisation!$H$12))</f>
        <v>0</v>
      </c>
      <c r="Y6" s="53">
        <f>IF($A6&lt;Customisation!$H$13,O6,O6*(1-Customisation!$H$11*Customisation!$H$12))</f>
        <v>0</v>
      </c>
      <c r="Z6" s="53">
        <f>IF($A6&lt;Customisation!$H$13,P6,P6*(1-Customisation!$H$11*Customisation!$H$12))</f>
        <v>0</v>
      </c>
      <c r="AA6" s="53">
        <f t="shared" ref="AA6:AJ6" si="23">G6-Q6</f>
        <v>0</v>
      </c>
      <c r="AB6" s="53">
        <f t="shared" si="23"/>
        <v>0</v>
      </c>
      <c r="AC6" s="53">
        <f t="shared" si="23"/>
        <v>0</v>
      </c>
      <c r="AD6" s="53">
        <f t="shared" si="23"/>
        <v>0</v>
      </c>
      <c r="AE6" s="53">
        <f t="shared" si="23"/>
        <v>0</v>
      </c>
      <c r="AF6" s="53">
        <f t="shared" si="23"/>
        <v>0</v>
      </c>
      <c r="AG6" s="53">
        <f t="shared" si="23"/>
        <v>0</v>
      </c>
      <c r="AH6" s="53">
        <f t="shared" si="23"/>
        <v>0</v>
      </c>
      <c r="AI6" s="53">
        <f t="shared" si="23"/>
        <v>0</v>
      </c>
      <c r="AJ6" s="53">
        <f t="shared" si="23"/>
        <v>0</v>
      </c>
      <c r="AK6" s="1"/>
      <c r="AL6" s="55">
        <f t="shared" si="7"/>
        <v>0</v>
      </c>
      <c r="AM6" s="55">
        <f t="shared" si="8"/>
        <v>0</v>
      </c>
      <c r="AN6" s="1"/>
      <c r="AO6" s="1"/>
      <c r="AP6" s="1"/>
      <c r="AQ6" s="1"/>
      <c r="AR6" s="1"/>
      <c r="AS6" s="1"/>
      <c r="AT6" s="1"/>
      <c r="AU6" s="1"/>
      <c r="AV6" s="6" t="s">
        <v>82</v>
      </c>
      <c r="AW6" s="56">
        <f>Customisation!$H$18+Customisation!$H$20*1/(1+'Country selection'!$E$21)</f>
        <v>0.80228571428571427</v>
      </c>
      <c r="AX6" s="56"/>
      <c r="AY6" s="53">
        <f>IF($A6&lt;Customisation!$H$13,G6,G6*(1-Customisation!$H$24*Customisation!$H$12))</f>
        <v>0</v>
      </c>
      <c r="AZ6" s="53">
        <f>IF($A6&lt;Customisation!$H$13,H6,H6*(1-Customisation!$H$24*Customisation!$H$12))</f>
        <v>0</v>
      </c>
      <c r="BA6" s="53">
        <f>IF($A6&lt;Customisation!$H$13,I6,I6*(1-Customisation!$H$24*Customisation!$H$12))</f>
        <v>0</v>
      </c>
      <c r="BB6" s="53">
        <f>IF($A6&lt;Customisation!$H$13,J6,J6*(1-Customisation!$H$24*Customisation!$H$12))</f>
        <v>0</v>
      </c>
      <c r="BC6" s="53">
        <f>IF($A6&lt;Customisation!$H$13,K6,K6*(1-Customisation!$H$24*Customisation!$H$12))</f>
        <v>0</v>
      </c>
      <c r="BD6" s="53">
        <f>IF($A6&lt;Customisation!$H$13,L6,L6*(1-Customisation!$H$24*Customisation!$H$12))</f>
        <v>0</v>
      </c>
      <c r="BE6" s="53">
        <f>IF($A6&lt;Customisation!$H$13,M6,M6*(1-Customisation!$H$24*Customisation!$H$12))</f>
        <v>0</v>
      </c>
      <c r="BF6" s="53">
        <f>IF($A6&lt;Customisation!$H$13,N6,N6*(1-Customisation!$H$24*Customisation!$H$12))</f>
        <v>0</v>
      </c>
      <c r="BG6" s="53">
        <f>IF($A6&lt;Customisation!$H$13,O6,O6*(1-Customisation!$H$24*Customisation!$H$12))</f>
        <v>0</v>
      </c>
      <c r="BH6" s="53">
        <f>IF($A6&lt;Customisation!$H$13,P6,P6*(1-Customisation!$H$24*Customisation!$H$12))</f>
        <v>0</v>
      </c>
      <c r="BI6" s="53">
        <f t="shared" si="13"/>
        <v>0</v>
      </c>
      <c r="BJ6" s="53">
        <f t="shared" si="14"/>
        <v>0</v>
      </c>
      <c r="BK6" s="53">
        <f t="shared" si="15"/>
        <v>0</v>
      </c>
      <c r="BL6" s="53">
        <f t="shared" si="16"/>
        <v>0</v>
      </c>
      <c r="BM6" s="53">
        <f t="shared" si="17"/>
        <v>0</v>
      </c>
      <c r="BN6" s="53">
        <f t="shared" si="18"/>
        <v>0</v>
      </c>
      <c r="BO6" s="53">
        <f t="shared" si="19"/>
        <v>0</v>
      </c>
      <c r="BP6" s="53">
        <f t="shared" si="20"/>
        <v>0</v>
      </c>
      <c r="BQ6" s="53">
        <f t="shared" si="21"/>
        <v>0</v>
      </c>
      <c r="BR6" s="53">
        <f t="shared" si="22"/>
        <v>0</v>
      </c>
    </row>
    <row r="7" spans="1:70" ht="14.25" customHeight="1" x14ac:dyDescent="0.3">
      <c r="A7" s="1">
        <f t="shared" si="10"/>
        <v>3</v>
      </c>
      <c r="B7" s="52">
        <f>'Life table'!D5</f>
        <v>0.98756070185968803</v>
      </c>
      <c r="C7" s="52">
        <f>IF($A7&lt;Customisation!$H$13,0,B7)/LOOKUP(Customisation!$H$13,$A$4:$A$104,$B$4:$B$104)</f>
        <v>0</v>
      </c>
      <c r="D7" s="1">
        <f>IF($A7&lt;=Customisation!$H$13,1,1/(1+Customisation!$H$21)^($A7-Customisation!$H$13))</f>
        <v>1</v>
      </c>
      <c r="E7" s="1">
        <f t="shared" si="11"/>
        <v>3</v>
      </c>
      <c r="F7" s="1">
        <f t="shared" si="2"/>
        <v>0</v>
      </c>
      <c r="G7" s="53">
        <f>'Age data'!M11*Customisation!$H$22</f>
        <v>0</v>
      </c>
      <c r="H7" s="53">
        <f t="shared" si="3"/>
        <v>0</v>
      </c>
      <c r="I7" s="53">
        <f>'Age data'!N11*Customisation!$H$22</f>
        <v>0</v>
      </c>
      <c r="J7" s="54">
        <f t="shared" si="4"/>
        <v>0</v>
      </c>
      <c r="K7" s="53">
        <f>I7*'Life table'!I5</f>
        <v>0</v>
      </c>
      <c r="L7" s="53">
        <f>J7*'Life table'!J5</f>
        <v>0</v>
      </c>
      <c r="M7" s="53">
        <f t="shared" si="5"/>
        <v>0</v>
      </c>
      <c r="N7" s="53">
        <f>((G7-I7)*$AW$5+I7*$AW$6)/(1+Customisation!$H$21)^($A7-Customisation!$E$13)</f>
        <v>0</v>
      </c>
      <c r="O7" s="53">
        <f>G7*Customisation!$H$17</f>
        <v>0</v>
      </c>
      <c r="P7" s="109">
        <f>O7/(1+Customisation!$H$21)^($A7-Customisation!$E$13)</f>
        <v>0</v>
      </c>
      <c r="Q7" s="53">
        <f>IF($A7&lt;Customisation!$H$13,G7,G7*(1-Customisation!$H$11*Customisation!$H$12))</f>
        <v>0</v>
      </c>
      <c r="R7" s="53">
        <f>IF($A7&lt;Customisation!$H$13,H7,H7*(1-Customisation!$H$11*Customisation!$H$12))</f>
        <v>0</v>
      </c>
      <c r="S7" s="53">
        <f>IF($A7&lt;Customisation!$H$13,I7,I7*(1-Customisation!$H$11*Customisation!$H$12))</f>
        <v>0</v>
      </c>
      <c r="T7" s="53">
        <f>IF($A7&lt;Customisation!$H$13,J7,J7*(1-Customisation!$H$11*Customisation!$H$12))</f>
        <v>0</v>
      </c>
      <c r="U7" s="53">
        <f>IF($A7&lt;Customisation!$H$13,K7,K7*(1-Customisation!$H$11*Customisation!$H$12))</f>
        <v>0</v>
      </c>
      <c r="V7" s="53">
        <f>IF($A7&lt;Customisation!$H$13,L7,L7*(1-Customisation!$H$11*Customisation!$H$12))</f>
        <v>0</v>
      </c>
      <c r="W7" s="53">
        <f>IF($A7&lt;Customisation!$H$13,M7,M7*(1-Customisation!$H$11*Customisation!$H$12))</f>
        <v>0</v>
      </c>
      <c r="X7" s="53">
        <f>IF($A7&lt;Customisation!$H$13,N7,N7*(1-Customisation!$H$11*Customisation!$H$12))</f>
        <v>0</v>
      </c>
      <c r="Y7" s="53">
        <f>IF($A7&lt;Customisation!$H$13,O7,O7*(1-Customisation!$H$11*Customisation!$H$12))</f>
        <v>0</v>
      </c>
      <c r="Z7" s="53">
        <f>IF($A7&lt;Customisation!$H$13,P7,P7*(1-Customisation!$H$11*Customisation!$H$12))</f>
        <v>0</v>
      </c>
      <c r="AA7" s="53">
        <f t="shared" ref="AA7:AJ7" si="24">G7-Q7</f>
        <v>0</v>
      </c>
      <c r="AB7" s="53">
        <f t="shared" si="24"/>
        <v>0</v>
      </c>
      <c r="AC7" s="53">
        <f t="shared" si="24"/>
        <v>0</v>
      </c>
      <c r="AD7" s="53">
        <f t="shared" si="24"/>
        <v>0</v>
      </c>
      <c r="AE7" s="53">
        <f t="shared" si="24"/>
        <v>0</v>
      </c>
      <c r="AF7" s="53">
        <f t="shared" si="24"/>
        <v>0</v>
      </c>
      <c r="AG7" s="53">
        <f t="shared" si="24"/>
        <v>0</v>
      </c>
      <c r="AH7" s="53">
        <f t="shared" si="24"/>
        <v>0</v>
      </c>
      <c r="AI7" s="53">
        <f t="shared" si="24"/>
        <v>0</v>
      </c>
      <c r="AJ7" s="53">
        <f t="shared" si="24"/>
        <v>0</v>
      </c>
      <c r="AK7" s="1"/>
      <c r="AL7" s="55">
        <f t="shared" si="7"/>
        <v>0</v>
      </c>
      <c r="AM7" s="55">
        <f t="shared" si="8"/>
        <v>0</v>
      </c>
      <c r="AN7" s="1"/>
      <c r="AO7" s="1"/>
      <c r="AP7" s="1"/>
      <c r="AQ7" s="1"/>
      <c r="AR7" s="1"/>
      <c r="AS7" s="1"/>
      <c r="AT7" s="1"/>
      <c r="AU7" s="1"/>
      <c r="AV7" s="1"/>
      <c r="AW7" s="1"/>
      <c r="AX7" s="1"/>
      <c r="AY7" s="53">
        <f>IF($A7&lt;Customisation!$H$13,G7,G7*(1-Customisation!$H$24*Customisation!$H$12))</f>
        <v>0</v>
      </c>
      <c r="AZ7" s="53">
        <f>IF($A7&lt;Customisation!$H$13,H7,H7*(1-Customisation!$H$24*Customisation!$H$12))</f>
        <v>0</v>
      </c>
      <c r="BA7" s="53">
        <f>IF($A7&lt;Customisation!$H$13,I7,I7*(1-Customisation!$H$24*Customisation!$H$12))</f>
        <v>0</v>
      </c>
      <c r="BB7" s="53">
        <f>IF($A7&lt;Customisation!$H$13,J7,J7*(1-Customisation!$H$24*Customisation!$H$12))</f>
        <v>0</v>
      </c>
      <c r="BC7" s="53">
        <f>IF($A7&lt;Customisation!$H$13,K7,K7*(1-Customisation!$H$24*Customisation!$H$12))</f>
        <v>0</v>
      </c>
      <c r="BD7" s="53">
        <f>IF($A7&lt;Customisation!$H$13,L7,L7*(1-Customisation!$H$24*Customisation!$H$12))</f>
        <v>0</v>
      </c>
      <c r="BE7" s="53">
        <f>IF($A7&lt;Customisation!$H$13,M7,M7*(1-Customisation!$H$24*Customisation!$H$12))</f>
        <v>0</v>
      </c>
      <c r="BF7" s="53">
        <f>IF($A7&lt;Customisation!$H$13,N7,N7*(1-Customisation!$H$24*Customisation!$H$12))</f>
        <v>0</v>
      </c>
      <c r="BG7" s="53">
        <f>IF($A7&lt;Customisation!$H$13,O7,O7*(1-Customisation!$H$24*Customisation!$H$12))</f>
        <v>0</v>
      </c>
      <c r="BH7" s="53">
        <f>IF($A7&lt;Customisation!$H$13,P7,P7*(1-Customisation!$H$24*Customisation!$H$12))</f>
        <v>0</v>
      </c>
      <c r="BI7" s="53">
        <f t="shared" si="13"/>
        <v>0</v>
      </c>
      <c r="BJ7" s="53">
        <f t="shared" si="14"/>
        <v>0</v>
      </c>
      <c r="BK7" s="53">
        <f t="shared" si="15"/>
        <v>0</v>
      </c>
      <c r="BL7" s="53">
        <f t="shared" si="16"/>
        <v>0</v>
      </c>
      <c r="BM7" s="53">
        <f t="shared" si="17"/>
        <v>0</v>
      </c>
      <c r="BN7" s="53">
        <f t="shared" si="18"/>
        <v>0</v>
      </c>
      <c r="BO7" s="53">
        <f t="shared" si="19"/>
        <v>0</v>
      </c>
      <c r="BP7" s="53">
        <f t="shared" si="20"/>
        <v>0</v>
      </c>
      <c r="BQ7" s="53">
        <f t="shared" si="21"/>
        <v>0</v>
      </c>
      <c r="BR7" s="53">
        <f t="shared" si="22"/>
        <v>0</v>
      </c>
    </row>
    <row r="8" spans="1:70" ht="14.25" customHeight="1" x14ac:dyDescent="0.3">
      <c r="A8" s="1">
        <f t="shared" si="10"/>
        <v>4</v>
      </c>
      <c r="B8" s="52">
        <f>'Life table'!D6</f>
        <v>0.98727430925614867</v>
      </c>
      <c r="C8" s="52">
        <f>IF($A8&lt;Customisation!$H$13,0,B8)/LOOKUP(Customisation!$H$13,$A$4:$A$104,$B$4:$B$104)</f>
        <v>0</v>
      </c>
      <c r="D8" s="1">
        <f>IF($A8&lt;=Customisation!$H$13,1,1/(1+Customisation!$H$21)^($A8-Customisation!$H$13))</f>
        <v>1</v>
      </c>
      <c r="E8" s="1">
        <f t="shared" si="11"/>
        <v>4</v>
      </c>
      <c r="F8" s="1">
        <f t="shared" si="2"/>
        <v>0</v>
      </c>
      <c r="G8" s="53">
        <f>'Age data'!M12*Customisation!$H$22</f>
        <v>0</v>
      </c>
      <c r="H8" s="53">
        <f t="shared" si="3"/>
        <v>0</v>
      </c>
      <c r="I8" s="53">
        <f>'Age data'!N12*Customisation!$H$22</f>
        <v>0</v>
      </c>
      <c r="J8" s="54">
        <f t="shared" si="4"/>
        <v>0</v>
      </c>
      <c r="K8" s="53">
        <f>I8*'Life table'!I6</f>
        <v>0</v>
      </c>
      <c r="L8" s="53">
        <f>J8*'Life table'!J6</f>
        <v>0</v>
      </c>
      <c r="M8" s="53">
        <f t="shared" si="5"/>
        <v>0</v>
      </c>
      <c r="N8" s="53">
        <f>((G8-I8)*$AW$5+I8*$AW$6)/(1+Customisation!$H$21)^($A8-Customisation!$E$13)</f>
        <v>0</v>
      </c>
      <c r="O8" s="53">
        <f>G8*Customisation!$H$17</f>
        <v>0</v>
      </c>
      <c r="P8" s="109">
        <f>O8/(1+Customisation!$H$21)^($A8-Customisation!$E$13)</f>
        <v>0</v>
      </c>
      <c r="Q8" s="53">
        <f>IF($A8&lt;Customisation!$H$13,G8,G8*(1-Customisation!$H$11*Customisation!$H$12))</f>
        <v>0</v>
      </c>
      <c r="R8" s="53">
        <f>IF($A8&lt;Customisation!$H$13,H8,H8*(1-Customisation!$H$11*Customisation!$H$12))</f>
        <v>0</v>
      </c>
      <c r="S8" s="53">
        <f>IF($A8&lt;Customisation!$H$13,I8,I8*(1-Customisation!$H$11*Customisation!$H$12))</f>
        <v>0</v>
      </c>
      <c r="T8" s="53">
        <f>IF($A8&lt;Customisation!$H$13,J8,J8*(1-Customisation!$H$11*Customisation!$H$12))</f>
        <v>0</v>
      </c>
      <c r="U8" s="53">
        <f>IF($A8&lt;Customisation!$H$13,K8,K8*(1-Customisation!$H$11*Customisation!$H$12))</f>
        <v>0</v>
      </c>
      <c r="V8" s="53">
        <f>IF($A8&lt;Customisation!$H$13,L8,L8*(1-Customisation!$H$11*Customisation!$H$12))</f>
        <v>0</v>
      </c>
      <c r="W8" s="53">
        <f>IF($A8&lt;Customisation!$H$13,M8,M8*(1-Customisation!$H$11*Customisation!$H$12))</f>
        <v>0</v>
      </c>
      <c r="X8" s="53">
        <f>IF($A8&lt;Customisation!$H$13,N8,N8*(1-Customisation!$H$11*Customisation!$H$12))</f>
        <v>0</v>
      </c>
      <c r="Y8" s="53">
        <f>IF($A8&lt;Customisation!$H$13,O8,O8*(1-Customisation!$H$11*Customisation!$H$12))</f>
        <v>0</v>
      </c>
      <c r="Z8" s="53">
        <f>IF($A8&lt;Customisation!$H$13,P8,P8*(1-Customisation!$H$11*Customisation!$H$12))</f>
        <v>0</v>
      </c>
      <c r="AA8" s="53">
        <f t="shared" ref="AA8:AJ8" si="25">G8-Q8</f>
        <v>0</v>
      </c>
      <c r="AB8" s="53">
        <f t="shared" si="25"/>
        <v>0</v>
      </c>
      <c r="AC8" s="53">
        <f t="shared" si="25"/>
        <v>0</v>
      </c>
      <c r="AD8" s="53">
        <f t="shared" si="25"/>
        <v>0</v>
      </c>
      <c r="AE8" s="53">
        <f t="shared" si="25"/>
        <v>0</v>
      </c>
      <c r="AF8" s="53">
        <f t="shared" si="25"/>
        <v>0</v>
      </c>
      <c r="AG8" s="53">
        <f t="shared" si="25"/>
        <v>0</v>
      </c>
      <c r="AH8" s="53">
        <f t="shared" si="25"/>
        <v>0</v>
      </c>
      <c r="AI8" s="53">
        <f t="shared" si="25"/>
        <v>0</v>
      </c>
      <c r="AJ8" s="53">
        <f t="shared" si="25"/>
        <v>0</v>
      </c>
      <c r="AK8" s="1"/>
      <c r="AL8" s="55">
        <f t="shared" si="7"/>
        <v>0</v>
      </c>
      <c r="AM8" s="55">
        <f t="shared" si="8"/>
        <v>0</v>
      </c>
      <c r="AN8" s="1"/>
      <c r="AO8" s="1"/>
      <c r="AP8" s="1"/>
      <c r="AQ8" s="1"/>
      <c r="AR8" s="1"/>
      <c r="AS8" s="1"/>
      <c r="AT8" s="1"/>
      <c r="AU8" s="1"/>
      <c r="AV8" s="1"/>
      <c r="AW8" s="1"/>
      <c r="AX8" s="1"/>
      <c r="AY8" s="53">
        <f>IF($A8&lt;Customisation!$H$13,G8,G8*(1-Customisation!$H$24*Customisation!$H$12))</f>
        <v>0</v>
      </c>
      <c r="AZ8" s="53">
        <f>IF($A8&lt;Customisation!$H$13,H8,H8*(1-Customisation!$H$24*Customisation!$H$12))</f>
        <v>0</v>
      </c>
      <c r="BA8" s="53">
        <f>IF($A8&lt;Customisation!$H$13,I8,I8*(1-Customisation!$H$24*Customisation!$H$12))</f>
        <v>0</v>
      </c>
      <c r="BB8" s="53">
        <f>IF($A8&lt;Customisation!$H$13,J8,J8*(1-Customisation!$H$24*Customisation!$H$12))</f>
        <v>0</v>
      </c>
      <c r="BC8" s="53">
        <f>IF($A8&lt;Customisation!$H$13,K8,K8*(1-Customisation!$H$24*Customisation!$H$12))</f>
        <v>0</v>
      </c>
      <c r="BD8" s="53">
        <f>IF($A8&lt;Customisation!$H$13,L8,L8*(1-Customisation!$H$24*Customisation!$H$12))</f>
        <v>0</v>
      </c>
      <c r="BE8" s="53">
        <f>IF($A8&lt;Customisation!$H$13,M8,M8*(1-Customisation!$H$24*Customisation!$H$12))</f>
        <v>0</v>
      </c>
      <c r="BF8" s="53">
        <f>IF($A8&lt;Customisation!$H$13,N8,N8*(1-Customisation!$H$24*Customisation!$H$12))</f>
        <v>0</v>
      </c>
      <c r="BG8" s="53">
        <f>IF($A8&lt;Customisation!$H$13,O8,O8*(1-Customisation!$H$24*Customisation!$H$12))</f>
        <v>0</v>
      </c>
      <c r="BH8" s="53">
        <f>IF($A8&lt;Customisation!$H$13,P8,P8*(1-Customisation!$H$24*Customisation!$H$12))</f>
        <v>0</v>
      </c>
      <c r="BI8" s="53">
        <f t="shared" si="13"/>
        <v>0</v>
      </c>
      <c r="BJ8" s="53">
        <f t="shared" si="14"/>
        <v>0</v>
      </c>
      <c r="BK8" s="53">
        <f t="shared" si="15"/>
        <v>0</v>
      </c>
      <c r="BL8" s="53">
        <f t="shared" si="16"/>
        <v>0</v>
      </c>
      <c r="BM8" s="53">
        <f t="shared" si="17"/>
        <v>0</v>
      </c>
      <c r="BN8" s="53">
        <f t="shared" si="18"/>
        <v>0</v>
      </c>
      <c r="BO8" s="53">
        <f t="shared" si="19"/>
        <v>0</v>
      </c>
      <c r="BP8" s="53">
        <f t="shared" si="20"/>
        <v>0</v>
      </c>
      <c r="BQ8" s="53">
        <f t="shared" si="21"/>
        <v>0</v>
      </c>
      <c r="BR8" s="53">
        <f t="shared" si="22"/>
        <v>0</v>
      </c>
    </row>
    <row r="9" spans="1:70" ht="14.25" customHeight="1" x14ac:dyDescent="0.3">
      <c r="A9" s="1">
        <f t="shared" si="10"/>
        <v>5</v>
      </c>
      <c r="B9" s="52">
        <f>'Life table'!D7</f>
        <v>0.98704723616501977</v>
      </c>
      <c r="C9" s="52">
        <f>IF($A9&lt;Customisation!$H$13,0,B9)/LOOKUP(Customisation!$H$13,$A$4:$A$104,$B$4:$B$104)</f>
        <v>0</v>
      </c>
      <c r="D9" s="1">
        <f>IF($A9&lt;=Customisation!$H$13,1,1/(1+Customisation!$H$21)^($A9-Customisation!$H$13))</f>
        <v>1</v>
      </c>
      <c r="E9" s="1">
        <f t="shared" si="11"/>
        <v>5</v>
      </c>
      <c r="F9" s="1">
        <f t="shared" si="2"/>
        <v>0</v>
      </c>
      <c r="G9" s="53">
        <f>'Age data'!M13*Customisation!$H$22</f>
        <v>0</v>
      </c>
      <c r="H9" s="53">
        <f t="shared" si="3"/>
        <v>0</v>
      </c>
      <c r="I9" s="53">
        <f>'Age data'!N13*Customisation!$H$22</f>
        <v>0</v>
      </c>
      <c r="J9" s="54">
        <f t="shared" si="4"/>
        <v>0</v>
      </c>
      <c r="K9" s="53">
        <f>I9*'Life table'!I7</f>
        <v>0</v>
      </c>
      <c r="L9" s="53">
        <f>J9*'Life table'!J7</f>
        <v>0</v>
      </c>
      <c r="M9" s="53">
        <f t="shared" si="5"/>
        <v>0</v>
      </c>
      <c r="N9" s="53">
        <f>((G9-I9)*$AW$5+I9*$AW$6)/(1+Customisation!$H$21)^($A9-Customisation!$E$13)</f>
        <v>0</v>
      </c>
      <c r="O9" s="53">
        <f>G9*Customisation!$H$17</f>
        <v>0</v>
      </c>
      <c r="P9" s="109">
        <f>O9/(1+Customisation!$H$21)^($A9-Customisation!$E$13)</f>
        <v>0</v>
      </c>
      <c r="Q9" s="53">
        <f>IF($A9&lt;Customisation!$H$13,G9,G9*(1-Customisation!$H$11*Customisation!$H$12))</f>
        <v>0</v>
      </c>
      <c r="R9" s="53">
        <f>IF($A9&lt;Customisation!$H$13,H9,H9*(1-Customisation!$H$11*Customisation!$H$12))</f>
        <v>0</v>
      </c>
      <c r="S9" s="53">
        <f>IF($A9&lt;Customisation!$H$13,I9,I9*(1-Customisation!$H$11*Customisation!$H$12))</f>
        <v>0</v>
      </c>
      <c r="T9" s="53">
        <f>IF($A9&lt;Customisation!$H$13,J9,J9*(1-Customisation!$H$11*Customisation!$H$12))</f>
        <v>0</v>
      </c>
      <c r="U9" s="53">
        <f>IF($A9&lt;Customisation!$H$13,K9,K9*(1-Customisation!$H$11*Customisation!$H$12))</f>
        <v>0</v>
      </c>
      <c r="V9" s="53">
        <f>IF($A9&lt;Customisation!$H$13,L9,L9*(1-Customisation!$H$11*Customisation!$H$12))</f>
        <v>0</v>
      </c>
      <c r="W9" s="53">
        <f>IF($A9&lt;Customisation!$H$13,M9,M9*(1-Customisation!$H$11*Customisation!$H$12))</f>
        <v>0</v>
      </c>
      <c r="X9" s="53">
        <f>IF($A9&lt;Customisation!$H$13,N9,N9*(1-Customisation!$H$11*Customisation!$H$12))</f>
        <v>0</v>
      </c>
      <c r="Y9" s="53">
        <f>IF($A9&lt;Customisation!$H$13,O9,O9*(1-Customisation!$H$11*Customisation!$H$12))</f>
        <v>0</v>
      </c>
      <c r="Z9" s="53">
        <f>IF($A9&lt;Customisation!$H$13,P9,P9*(1-Customisation!$H$11*Customisation!$H$12))</f>
        <v>0</v>
      </c>
      <c r="AA9" s="53">
        <f t="shared" ref="AA9:AJ9" si="26">G9-Q9</f>
        <v>0</v>
      </c>
      <c r="AB9" s="53">
        <f t="shared" si="26"/>
        <v>0</v>
      </c>
      <c r="AC9" s="53">
        <f t="shared" si="26"/>
        <v>0</v>
      </c>
      <c r="AD9" s="53">
        <f t="shared" si="26"/>
        <v>0</v>
      </c>
      <c r="AE9" s="53">
        <f t="shared" si="26"/>
        <v>0</v>
      </c>
      <c r="AF9" s="53">
        <f t="shared" si="26"/>
        <v>0</v>
      </c>
      <c r="AG9" s="53">
        <f t="shared" si="26"/>
        <v>0</v>
      </c>
      <c r="AH9" s="53">
        <f t="shared" si="26"/>
        <v>0</v>
      </c>
      <c r="AI9" s="53">
        <f t="shared" si="26"/>
        <v>0</v>
      </c>
      <c r="AJ9" s="53">
        <f t="shared" si="26"/>
        <v>0</v>
      </c>
      <c r="AK9" s="1"/>
      <c r="AL9" s="55">
        <f t="shared" si="7"/>
        <v>0</v>
      </c>
      <c r="AM9" s="55">
        <f t="shared" si="8"/>
        <v>0</v>
      </c>
      <c r="AN9" s="1"/>
      <c r="AO9" s="1"/>
      <c r="AP9" s="1"/>
      <c r="AQ9" s="1"/>
      <c r="AR9" s="1"/>
      <c r="AS9" s="1"/>
      <c r="AT9" s="1"/>
      <c r="AU9" s="1"/>
      <c r="AV9" s="1"/>
      <c r="AW9" s="1"/>
      <c r="AX9" s="1"/>
      <c r="AY9" s="53">
        <f>IF($A9&lt;Customisation!$H$13,G9,G9*(1-Customisation!$H$24*Customisation!$H$12))</f>
        <v>0</v>
      </c>
      <c r="AZ9" s="53">
        <f>IF($A9&lt;Customisation!$H$13,H9,H9*(1-Customisation!$H$24*Customisation!$H$12))</f>
        <v>0</v>
      </c>
      <c r="BA9" s="53">
        <f>IF($A9&lt;Customisation!$H$13,I9,I9*(1-Customisation!$H$24*Customisation!$H$12))</f>
        <v>0</v>
      </c>
      <c r="BB9" s="53">
        <f>IF($A9&lt;Customisation!$H$13,J9,J9*(1-Customisation!$H$24*Customisation!$H$12))</f>
        <v>0</v>
      </c>
      <c r="BC9" s="53">
        <f>IF($A9&lt;Customisation!$H$13,K9,K9*(1-Customisation!$H$24*Customisation!$H$12))</f>
        <v>0</v>
      </c>
      <c r="BD9" s="53">
        <f>IF($A9&lt;Customisation!$H$13,L9,L9*(1-Customisation!$H$24*Customisation!$H$12))</f>
        <v>0</v>
      </c>
      <c r="BE9" s="53">
        <f>IF($A9&lt;Customisation!$H$13,M9,M9*(1-Customisation!$H$24*Customisation!$H$12))</f>
        <v>0</v>
      </c>
      <c r="BF9" s="53">
        <f>IF($A9&lt;Customisation!$H$13,N9,N9*(1-Customisation!$H$24*Customisation!$H$12))</f>
        <v>0</v>
      </c>
      <c r="BG9" s="53">
        <f>IF($A9&lt;Customisation!$H$13,O9,O9*(1-Customisation!$H$24*Customisation!$H$12))</f>
        <v>0</v>
      </c>
      <c r="BH9" s="53">
        <f>IF($A9&lt;Customisation!$H$13,P9,P9*(1-Customisation!$H$24*Customisation!$H$12))</f>
        <v>0</v>
      </c>
      <c r="BI9" s="53">
        <f t="shared" si="13"/>
        <v>0</v>
      </c>
      <c r="BJ9" s="53">
        <f t="shared" si="14"/>
        <v>0</v>
      </c>
      <c r="BK9" s="53">
        <f t="shared" si="15"/>
        <v>0</v>
      </c>
      <c r="BL9" s="53">
        <f t="shared" si="16"/>
        <v>0</v>
      </c>
      <c r="BM9" s="53">
        <f t="shared" si="17"/>
        <v>0</v>
      </c>
      <c r="BN9" s="53">
        <f t="shared" si="18"/>
        <v>0</v>
      </c>
      <c r="BO9" s="53">
        <f t="shared" si="19"/>
        <v>0</v>
      </c>
      <c r="BP9" s="53">
        <f t="shared" si="20"/>
        <v>0</v>
      </c>
      <c r="BQ9" s="53">
        <f t="shared" si="21"/>
        <v>0</v>
      </c>
      <c r="BR9" s="53">
        <f t="shared" si="22"/>
        <v>0</v>
      </c>
    </row>
    <row r="10" spans="1:70" ht="14.25" customHeight="1" x14ac:dyDescent="0.3">
      <c r="A10" s="1">
        <f t="shared" si="10"/>
        <v>6</v>
      </c>
      <c r="B10" s="52">
        <f>'Life table'!D8</f>
        <v>0.98686956766251011</v>
      </c>
      <c r="C10" s="52">
        <f>IF($A10&lt;Customisation!$H$13,0,B10)/LOOKUP(Customisation!$H$13,$A$4:$A$104,$B$4:$B$104)</f>
        <v>0</v>
      </c>
      <c r="D10" s="1">
        <f>IF($A10&lt;=Customisation!$H$13,1,1/(1+Customisation!$H$21)^($A10-Customisation!$H$13))</f>
        <v>1</v>
      </c>
      <c r="E10" s="1">
        <f t="shared" si="11"/>
        <v>6</v>
      </c>
      <c r="F10" s="1">
        <f t="shared" si="2"/>
        <v>0</v>
      </c>
      <c r="G10" s="53">
        <f>'Age data'!M14*Customisation!$H$22</f>
        <v>0</v>
      </c>
      <c r="H10" s="53">
        <f t="shared" si="3"/>
        <v>0</v>
      </c>
      <c r="I10" s="53">
        <f>'Age data'!N14*Customisation!$H$22</f>
        <v>0</v>
      </c>
      <c r="J10" s="54">
        <f t="shared" si="4"/>
        <v>0</v>
      </c>
      <c r="K10" s="53">
        <f>I10*'Life table'!I8</f>
        <v>0</v>
      </c>
      <c r="L10" s="53">
        <f>J10*'Life table'!J8</f>
        <v>0</v>
      </c>
      <c r="M10" s="53">
        <f t="shared" si="5"/>
        <v>0</v>
      </c>
      <c r="N10" s="53">
        <f>((G10-I10)*$AW$5+I10*$AW$6)/(1+Customisation!$H$21)^($A10-Customisation!$E$13)</f>
        <v>0</v>
      </c>
      <c r="O10" s="53">
        <f>G10*Customisation!$H$17</f>
        <v>0</v>
      </c>
      <c r="P10" s="109">
        <f>O10/(1+Customisation!$H$21)^($A10-Customisation!$E$13)</f>
        <v>0</v>
      </c>
      <c r="Q10" s="53">
        <f>IF($A10&lt;Customisation!$H$13,G10,G10*(1-Customisation!$H$11*Customisation!$H$12))</f>
        <v>0</v>
      </c>
      <c r="R10" s="53">
        <f>IF($A10&lt;Customisation!$H$13,H10,H10*(1-Customisation!$H$11*Customisation!$H$12))</f>
        <v>0</v>
      </c>
      <c r="S10" s="53">
        <f>IF($A10&lt;Customisation!$H$13,I10,I10*(1-Customisation!$H$11*Customisation!$H$12))</f>
        <v>0</v>
      </c>
      <c r="T10" s="53">
        <f>IF($A10&lt;Customisation!$H$13,J10,J10*(1-Customisation!$H$11*Customisation!$H$12))</f>
        <v>0</v>
      </c>
      <c r="U10" s="53">
        <f>IF($A10&lt;Customisation!$H$13,K10,K10*(1-Customisation!$H$11*Customisation!$H$12))</f>
        <v>0</v>
      </c>
      <c r="V10" s="53">
        <f>IF($A10&lt;Customisation!$H$13,L10,L10*(1-Customisation!$H$11*Customisation!$H$12))</f>
        <v>0</v>
      </c>
      <c r="W10" s="53">
        <f>IF($A10&lt;Customisation!$H$13,M10,M10*(1-Customisation!$H$11*Customisation!$H$12))</f>
        <v>0</v>
      </c>
      <c r="X10" s="53">
        <f>IF($A10&lt;Customisation!$H$13,N10,N10*(1-Customisation!$H$11*Customisation!$H$12))</f>
        <v>0</v>
      </c>
      <c r="Y10" s="53">
        <f>IF($A10&lt;Customisation!$H$13,O10,O10*(1-Customisation!$H$11*Customisation!$H$12))</f>
        <v>0</v>
      </c>
      <c r="Z10" s="53">
        <f>IF($A10&lt;Customisation!$H$13,P10,P10*(1-Customisation!$H$11*Customisation!$H$12))</f>
        <v>0</v>
      </c>
      <c r="AA10" s="53">
        <f t="shared" ref="AA10:AJ10" si="27">G10-Q10</f>
        <v>0</v>
      </c>
      <c r="AB10" s="53">
        <f t="shared" si="27"/>
        <v>0</v>
      </c>
      <c r="AC10" s="53">
        <f t="shared" si="27"/>
        <v>0</v>
      </c>
      <c r="AD10" s="53">
        <f t="shared" si="27"/>
        <v>0</v>
      </c>
      <c r="AE10" s="53">
        <f t="shared" si="27"/>
        <v>0</v>
      </c>
      <c r="AF10" s="53">
        <f t="shared" si="27"/>
        <v>0</v>
      </c>
      <c r="AG10" s="53">
        <f t="shared" si="27"/>
        <v>0</v>
      </c>
      <c r="AH10" s="53">
        <f t="shared" si="27"/>
        <v>0</v>
      </c>
      <c r="AI10" s="53">
        <f t="shared" si="27"/>
        <v>0</v>
      </c>
      <c r="AJ10" s="53">
        <f t="shared" si="27"/>
        <v>0</v>
      </c>
      <c r="AK10" s="1"/>
      <c r="AL10" s="55">
        <f t="shared" si="7"/>
        <v>0</v>
      </c>
      <c r="AM10" s="55">
        <f t="shared" si="8"/>
        <v>0</v>
      </c>
      <c r="AN10" s="1"/>
      <c r="AO10" s="1"/>
      <c r="AP10" s="1"/>
      <c r="AQ10" s="1"/>
      <c r="AR10" s="1"/>
      <c r="AS10" s="1"/>
      <c r="AT10" s="1"/>
      <c r="AU10" s="1"/>
      <c r="AV10" s="1"/>
      <c r="AW10" s="1"/>
      <c r="AX10" s="1"/>
      <c r="AY10" s="53">
        <f>IF($A10&lt;Customisation!$H$13,G10,G10*(1-Customisation!$H$24*Customisation!$H$12))</f>
        <v>0</v>
      </c>
      <c r="AZ10" s="53">
        <f>IF($A10&lt;Customisation!$H$13,H10,H10*(1-Customisation!$H$24*Customisation!$H$12))</f>
        <v>0</v>
      </c>
      <c r="BA10" s="53">
        <f>IF($A10&lt;Customisation!$H$13,I10,I10*(1-Customisation!$H$24*Customisation!$H$12))</f>
        <v>0</v>
      </c>
      <c r="BB10" s="53">
        <f>IF($A10&lt;Customisation!$H$13,J10,J10*(1-Customisation!$H$24*Customisation!$H$12))</f>
        <v>0</v>
      </c>
      <c r="BC10" s="53">
        <f>IF($A10&lt;Customisation!$H$13,K10,K10*(1-Customisation!$H$24*Customisation!$H$12))</f>
        <v>0</v>
      </c>
      <c r="BD10" s="53">
        <f>IF($A10&lt;Customisation!$H$13,L10,L10*(1-Customisation!$H$24*Customisation!$H$12))</f>
        <v>0</v>
      </c>
      <c r="BE10" s="53">
        <f>IF($A10&lt;Customisation!$H$13,M10,M10*(1-Customisation!$H$24*Customisation!$H$12))</f>
        <v>0</v>
      </c>
      <c r="BF10" s="53">
        <f>IF($A10&lt;Customisation!$H$13,N10,N10*(1-Customisation!$H$24*Customisation!$H$12))</f>
        <v>0</v>
      </c>
      <c r="BG10" s="53">
        <f>IF($A10&lt;Customisation!$H$13,O10,O10*(1-Customisation!$H$24*Customisation!$H$12))</f>
        <v>0</v>
      </c>
      <c r="BH10" s="53">
        <f>IF($A10&lt;Customisation!$H$13,P10,P10*(1-Customisation!$H$24*Customisation!$H$12))</f>
        <v>0</v>
      </c>
      <c r="BI10" s="53">
        <f t="shared" si="13"/>
        <v>0</v>
      </c>
      <c r="BJ10" s="53">
        <f t="shared" si="14"/>
        <v>0</v>
      </c>
      <c r="BK10" s="53">
        <f t="shared" si="15"/>
        <v>0</v>
      </c>
      <c r="BL10" s="53">
        <f t="shared" si="16"/>
        <v>0</v>
      </c>
      <c r="BM10" s="53">
        <f t="shared" si="17"/>
        <v>0</v>
      </c>
      <c r="BN10" s="53">
        <f t="shared" si="18"/>
        <v>0</v>
      </c>
      <c r="BO10" s="53">
        <f t="shared" si="19"/>
        <v>0</v>
      </c>
      <c r="BP10" s="53">
        <f t="shared" si="20"/>
        <v>0</v>
      </c>
      <c r="BQ10" s="53">
        <f t="shared" si="21"/>
        <v>0</v>
      </c>
      <c r="BR10" s="53">
        <f t="shared" si="22"/>
        <v>0</v>
      </c>
    </row>
    <row r="11" spans="1:70" ht="14.25" customHeight="1" x14ac:dyDescent="0.3">
      <c r="A11" s="1">
        <f t="shared" si="10"/>
        <v>7</v>
      </c>
      <c r="B11" s="52">
        <f>'Life table'!D9</f>
        <v>0.98672153722736078</v>
      </c>
      <c r="C11" s="52">
        <f>IF($A11&lt;Customisation!$H$13,0,B11)/LOOKUP(Customisation!$H$13,$A$4:$A$104,$B$4:$B$104)</f>
        <v>0</v>
      </c>
      <c r="D11" s="1">
        <f>IF($A11&lt;=Customisation!$H$13,1,1/(1+Customisation!$H$21)^($A11-Customisation!$H$13))</f>
        <v>1</v>
      </c>
      <c r="E11" s="1">
        <f t="shared" si="11"/>
        <v>7</v>
      </c>
      <c r="F11" s="1">
        <f t="shared" si="2"/>
        <v>0</v>
      </c>
      <c r="G11" s="53">
        <f>'Age data'!M15*Customisation!$H$22</f>
        <v>0</v>
      </c>
      <c r="H11" s="53">
        <f t="shared" si="3"/>
        <v>0</v>
      </c>
      <c r="I11" s="53">
        <f>'Age data'!N15*Customisation!$H$22</f>
        <v>0</v>
      </c>
      <c r="J11" s="54">
        <f t="shared" si="4"/>
        <v>0</v>
      </c>
      <c r="K11" s="53">
        <f>I11*'Life table'!I9</f>
        <v>0</v>
      </c>
      <c r="L11" s="53">
        <f>J11*'Life table'!J9</f>
        <v>0</v>
      </c>
      <c r="M11" s="53">
        <f t="shared" si="5"/>
        <v>0</v>
      </c>
      <c r="N11" s="53">
        <f>((G11-I11)*$AW$5+I11*$AW$6)/(1+Customisation!$H$21)^($A11-Customisation!$E$13)</f>
        <v>0</v>
      </c>
      <c r="O11" s="53">
        <f>G11*Customisation!$H$17</f>
        <v>0</v>
      </c>
      <c r="P11" s="109">
        <f>O11/(1+Customisation!$H$21)^($A11-Customisation!$E$13)</f>
        <v>0</v>
      </c>
      <c r="Q11" s="53">
        <f>IF($A11&lt;Customisation!$H$13,G11,G11*(1-Customisation!$H$11*Customisation!$H$12))</f>
        <v>0</v>
      </c>
      <c r="R11" s="53">
        <f>IF($A11&lt;Customisation!$H$13,H11,H11*(1-Customisation!$H$11*Customisation!$H$12))</f>
        <v>0</v>
      </c>
      <c r="S11" s="53">
        <f>IF($A11&lt;Customisation!$H$13,I11,I11*(1-Customisation!$H$11*Customisation!$H$12))</f>
        <v>0</v>
      </c>
      <c r="T11" s="53">
        <f>IF($A11&lt;Customisation!$H$13,J11,J11*(1-Customisation!$H$11*Customisation!$H$12))</f>
        <v>0</v>
      </c>
      <c r="U11" s="53">
        <f>IF($A11&lt;Customisation!$H$13,K11,K11*(1-Customisation!$H$11*Customisation!$H$12))</f>
        <v>0</v>
      </c>
      <c r="V11" s="53">
        <f>IF($A11&lt;Customisation!$H$13,L11,L11*(1-Customisation!$H$11*Customisation!$H$12))</f>
        <v>0</v>
      </c>
      <c r="W11" s="53">
        <f>IF($A11&lt;Customisation!$H$13,M11,M11*(1-Customisation!$H$11*Customisation!$H$12))</f>
        <v>0</v>
      </c>
      <c r="X11" s="53">
        <f>IF($A11&lt;Customisation!$H$13,N11,N11*(1-Customisation!$H$11*Customisation!$H$12))</f>
        <v>0</v>
      </c>
      <c r="Y11" s="53">
        <f>IF($A11&lt;Customisation!$H$13,O11,O11*(1-Customisation!$H$11*Customisation!$H$12))</f>
        <v>0</v>
      </c>
      <c r="Z11" s="53">
        <f>IF($A11&lt;Customisation!$H$13,P11,P11*(1-Customisation!$H$11*Customisation!$H$12))</f>
        <v>0</v>
      </c>
      <c r="AA11" s="53">
        <f t="shared" ref="AA11:AJ11" si="28">G11-Q11</f>
        <v>0</v>
      </c>
      <c r="AB11" s="53">
        <f t="shared" si="28"/>
        <v>0</v>
      </c>
      <c r="AC11" s="53">
        <f t="shared" si="28"/>
        <v>0</v>
      </c>
      <c r="AD11" s="53">
        <f t="shared" si="28"/>
        <v>0</v>
      </c>
      <c r="AE11" s="53">
        <f t="shared" si="28"/>
        <v>0</v>
      </c>
      <c r="AF11" s="53">
        <f t="shared" si="28"/>
        <v>0</v>
      </c>
      <c r="AG11" s="53">
        <f t="shared" si="28"/>
        <v>0</v>
      </c>
      <c r="AH11" s="53">
        <f t="shared" si="28"/>
        <v>0</v>
      </c>
      <c r="AI11" s="53">
        <f t="shared" si="28"/>
        <v>0</v>
      </c>
      <c r="AJ11" s="53">
        <f t="shared" si="28"/>
        <v>0</v>
      </c>
      <c r="AK11" s="1"/>
      <c r="AL11" s="55">
        <f t="shared" si="7"/>
        <v>0</v>
      </c>
      <c r="AM11" s="55">
        <f t="shared" si="8"/>
        <v>0</v>
      </c>
      <c r="AN11" s="1"/>
      <c r="AO11" s="1"/>
      <c r="AP11" s="1"/>
      <c r="AQ11" s="1"/>
      <c r="AR11" s="1"/>
      <c r="AS11" s="1"/>
      <c r="AT11" s="1"/>
      <c r="AU11" s="1"/>
      <c r="AV11" s="1"/>
      <c r="AW11" s="1"/>
      <c r="AX11" s="1"/>
      <c r="AY11" s="53">
        <f>IF($A11&lt;Customisation!$H$13,G11,G11*(1-Customisation!$H$24*Customisation!$H$12))</f>
        <v>0</v>
      </c>
      <c r="AZ11" s="53">
        <f>IF($A11&lt;Customisation!$H$13,H11,H11*(1-Customisation!$H$24*Customisation!$H$12))</f>
        <v>0</v>
      </c>
      <c r="BA11" s="53">
        <f>IF($A11&lt;Customisation!$H$13,I11,I11*(1-Customisation!$H$24*Customisation!$H$12))</f>
        <v>0</v>
      </c>
      <c r="BB11" s="53">
        <f>IF($A11&lt;Customisation!$H$13,J11,J11*(1-Customisation!$H$24*Customisation!$H$12))</f>
        <v>0</v>
      </c>
      <c r="BC11" s="53">
        <f>IF($A11&lt;Customisation!$H$13,K11,K11*(1-Customisation!$H$24*Customisation!$H$12))</f>
        <v>0</v>
      </c>
      <c r="BD11" s="53">
        <f>IF($A11&lt;Customisation!$H$13,L11,L11*(1-Customisation!$H$24*Customisation!$H$12))</f>
        <v>0</v>
      </c>
      <c r="BE11" s="53">
        <f>IF($A11&lt;Customisation!$H$13,M11,M11*(1-Customisation!$H$24*Customisation!$H$12))</f>
        <v>0</v>
      </c>
      <c r="BF11" s="53">
        <f>IF($A11&lt;Customisation!$H$13,N11,N11*(1-Customisation!$H$24*Customisation!$H$12))</f>
        <v>0</v>
      </c>
      <c r="BG11" s="53">
        <f>IF($A11&lt;Customisation!$H$13,O11,O11*(1-Customisation!$H$24*Customisation!$H$12))</f>
        <v>0</v>
      </c>
      <c r="BH11" s="53">
        <f>IF($A11&lt;Customisation!$H$13,P11,P11*(1-Customisation!$H$24*Customisation!$H$12))</f>
        <v>0</v>
      </c>
      <c r="BI11" s="53">
        <f t="shared" si="13"/>
        <v>0</v>
      </c>
      <c r="BJ11" s="53">
        <f t="shared" si="14"/>
        <v>0</v>
      </c>
      <c r="BK11" s="53">
        <f t="shared" si="15"/>
        <v>0</v>
      </c>
      <c r="BL11" s="53">
        <f t="shared" si="16"/>
        <v>0</v>
      </c>
      <c r="BM11" s="53">
        <f t="shared" si="17"/>
        <v>0</v>
      </c>
      <c r="BN11" s="53">
        <f t="shared" si="18"/>
        <v>0</v>
      </c>
      <c r="BO11" s="53">
        <f t="shared" si="19"/>
        <v>0</v>
      </c>
      <c r="BP11" s="53">
        <f t="shared" si="20"/>
        <v>0</v>
      </c>
      <c r="BQ11" s="53">
        <f t="shared" si="21"/>
        <v>0</v>
      </c>
      <c r="BR11" s="53">
        <f t="shared" si="22"/>
        <v>0</v>
      </c>
    </row>
    <row r="12" spans="1:70" ht="14.25" customHeight="1" x14ac:dyDescent="0.3">
      <c r="A12" s="1">
        <f t="shared" si="10"/>
        <v>8</v>
      </c>
      <c r="B12" s="52">
        <f>'Life table'!D10</f>
        <v>0.98658339621214897</v>
      </c>
      <c r="C12" s="52">
        <f>IF($A12&lt;Customisation!$H$13,0,B12)/LOOKUP(Customisation!$H$13,$A$4:$A$104,$B$4:$B$104)</f>
        <v>0</v>
      </c>
      <c r="D12" s="1">
        <f>IF($A12&lt;=Customisation!$H$13,1,1/(1+Customisation!$H$21)^($A12-Customisation!$H$13))</f>
        <v>1</v>
      </c>
      <c r="E12" s="1">
        <f t="shared" si="11"/>
        <v>8</v>
      </c>
      <c r="F12" s="1">
        <f t="shared" si="2"/>
        <v>0</v>
      </c>
      <c r="G12" s="53">
        <f>'Age data'!M16*Customisation!$H$22</f>
        <v>0</v>
      </c>
      <c r="H12" s="53">
        <f t="shared" si="3"/>
        <v>0</v>
      </c>
      <c r="I12" s="53">
        <f>'Age data'!N16*Customisation!$H$22</f>
        <v>0</v>
      </c>
      <c r="J12" s="54">
        <f t="shared" si="4"/>
        <v>0</v>
      </c>
      <c r="K12" s="53">
        <f>I12*'Life table'!I10</f>
        <v>0</v>
      </c>
      <c r="L12" s="53">
        <f>J12*'Life table'!J10</f>
        <v>0</v>
      </c>
      <c r="M12" s="53">
        <f t="shared" si="5"/>
        <v>0</v>
      </c>
      <c r="N12" s="53">
        <f>((G12-I12)*$AW$5+I12*$AW$6)/(1+Customisation!$H$21)^($A12-Customisation!$E$13)</f>
        <v>0</v>
      </c>
      <c r="O12" s="53">
        <f>G12*Customisation!$H$17</f>
        <v>0</v>
      </c>
      <c r="P12" s="109">
        <f>O12/(1+Customisation!$H$21)^($A12-Customisation!$E$13)</f>
        <v>0</v>
      </c>
      <c r="Q12" s="53">
        <f>IF($A12&lt;Customisation!$H$13,G12,G12*(1-Customisation!$H$11*Customisation!$H$12))</f>
        <v>0</v>
      </c>
      <c r="R12" s="53">
        <f>IF($A12&lt;Customisation!$H$13,H12,H12*(1-Customisation!$H$11*Customisation!$H$12))</f>
        <v>0</v>
      </c>
      <c r="S12" s="53">
        <f>IF($A12&lt;Customisation!$H$13,I12,I12*(1-Customisation!$H$11*Customisation!$H$12))</f>
        <v>0</v>
      </c>
      <c r="T12" s="53">
        <f>IF($A12&lt;Customisation!$H$13,J12,J12*(1-Customisation!$H$11*Customisation!$H$12))</f>
        <v>0</v>
      </c>
      <c r="U12" s="53">
        <f>IF($A12&lt;Customisation!$H$13,K12,K12*(1-Customisation!$H$11*Customisation!$H$12))</f>
        <v>0</v>
      </c>
      <c r="V12" s="53">
        <f>IF($A12&lt;Customisation!$H$13,L12,L12*(1-Customisation!$H$11*Customisation!$H$12))</f>
        <v>0</v>
      </c>
      <c r="W12" s="53">
        <f>IF($A12&lt;Customisation!$H$13,M12,M12*(1-Customisation!$H$11*Customisation!$H$12))</f>
        <v>0</v>
      </c>
      <c r="X12" s="53">
        <f>IF($A12&lt;Customisation!$H$13,N12,N12*(1-Customisation!$H$11*Customisation!$H$12))</f>
        <v>0</v>
      </c>
      <c r="Y12" s="53">
        <f>IF($A12&lt;Customisation!$H$13,O12,O12*(1-Customisation!$H$11*Customisation!$H$12))</f>
        <v>0</v>
      </c>
      <c r="Z12" s="53">
        <f>IF($A12&lt;Customisation!$H$13,P12,P12*(1-Customisation!$H$11*Customisation!$H$12))</f>
        <v>0</v>
      </c>
      <c r="AA12" s="53">
        <f t="shared" ref="AA12:AJ12" si="29">G12-Q12</f>
        <v>0</v>
      </c>
      <c r="AB12" s="53">
        <f t="shared" si="29"/>
        <v>0</v>
      </c>
      <c r="AC12" s="53">
        <f t="shared" si="29"/>
        <v>0</v>
      </c>
      <c r="AD12" s="53">
        <f t="shared" si="29"/>
        <v>0</v>
      </c>
      <c r="AE12" s="53">
        <f t="shared" si="29"/>
        <v>0</v>
      </c>
      <c r="AF12" s="53">
        <f t="shared" si="29"/>
        <v>0</v>
      </c>
      <c r="AG12" s="53">
        <f t="shared" si="29"/>
        <v>0</v>
      </c>
      <c r="AH12" s="53">
        <f t="shared" si="29"/>
        <v>0</v>
      </c>
      <c r="AI12" s="53">
        <f t="shared" si="29"/>
        <v>0</v>
      </c>
      <c r="AJ12" s="53">
        <f t="shared" si="29"/>
        <v>0</v>
      </c>
      <c r="AK12" s="1"/>
      <c r="AL12" s="55">
        <f t="shared" si="7"/>
        <v>0</v>
      </c>
      <c r="AM12" s="55">
        <f t="shared" si="8"/>
        <v>0</v>
      </c>
      <c r="AN12" s="1"/>
      <c r="AO12" s="1"/>
      <c r="AP12" s="1"/>
      <c r="AQ12" s="1"/>
      <c r="AR12" s="1"/>
      <c r="AS12" s="1"/>
      <c r="AT12" s="1"/>
      <c r="AU12" s="1"/>
      <c r="AV12" s="1"/>
      <c r="AW12" s="1"/>
      <c r="AX12" s="1"/>
      <c r="AY12" s="53">
        <f>IF($A12&lt;Customisation!$H$13,G12,G12*(1-Customisation!$H$24*Customisation!$H$12))</f>
        <v>0</v>
      </c>
      <c r="AZ12" s="53">
        <f>IF($A12&lt;Customisation!$H$13,H12,H12*(1-Customisation!$H$24*Customisation!$H$12))</f>
        <v>0</v>
      </c>
      <c r="BA12" s="53">
        <f>IF($A12&lt;Customisation!$H$13,I12,I12*(1-Customisation!$H$24*Customisation!$H$12))</f>
        <v>0</v>
      </c>
      <c r="BB12" s="53">
        <f>IF($A12&lt;Customisation!$H$13,J12,J12*(1-Customisation!$H$24*Customisation!$H$12))</f>
        <v>0</v>
      </c>
      <c r="BC12" s="53">
        <f>IF($A12&lt;Customisation!$H$13,K12,K12*(1-Customisation!$H$24*Customisation!$H$12))</f>
        <v>0</v>
      </c>
      <c r="BD12" s="53">
        <f>IF($A12&lt;Customisation!$H$13,L12,L12*(1-Customisation!$H$24*Customisation!$H$12))</f>
        <v>0</v>
      </c>
      <c r="BE12" s="53">
        <f>IF($A12&lt;Customisation!$H$13,M12,M12*(1-Customisation!$H$24*Customisation!$H$12))</f>
        <v>0</v>
      </c>
      <c r="BF12" s="53">
        <f>IF($A12&lt;Customisation!$H$13,N12,N12*(1-Customisation!$H$24*Customisation!$H$12))</f>
        <v>0</v>
      </c>
      <c r="BG12" s="53">
        <f>IF($A12&lt;Customisation!$H$13,O12,O12*(1-Customisation!$H$24*Customisation!$H$12))</f>
        <v>0</v>
      </c>
      <c r="BH12" s="53">
        <f>IF($A12&lt;Customisation!$H$13,P12,P12*(1-Customisation!$H$24*Customisation!$H$12))</f>
        <v>0</v>
      </c>
      <c r="BI12" s="53">
        <f t="shared" si="13"/>
        <v>0</v>
      </c>
      <c r="BJ12" s="53">
        <f t="shared" si="14"/>
        <v>0</v>
      </c>
      <c r="BK12" s="53">
        <f t="shared" si="15"/>
        <v>0</v>
      </c>
      <c r="BL12" s="53">
        <f t="shared" si="16"/>
        <v>0</v>
      </c>
      <c r="BM12" s="53">
        <f t="shared" si="17"/>
        <v>0</v>
      </c>
      <c r="BN12" s="53">
        <f t="shared" si="18"/>
        <v>0</v>
      </c>
      <c r="BO12" s="53">
        <f t="shared" si="19"/>
        <v>0</v>
      </c>
      <c r="BP12" s="53">
        <f t="shared" si="20"/>
        <v>0</v>
      </c>
      <c r="BQ12" s="53">
        <f t="shared" si="21"/>
        <v>0</v>
      </c>
      <c r="BR12" s="53">
        <f t="shared" si="22"/>
        <v>0</v>
      </c>
    </row>
    <row r="13" spans="1:70" ht="14.25" customHeight="1" x14ac:dyDescent="0.3">
      <c r="A13" s="1">
        <f t="shared" si="10"/>
        <v>9</v>
      </c>
      <c r="B13" s="52">
        <f>'Life table'!D11</f>
        <v>0.98644527453667918</v>
      </c>
      <c r="C13" s="52">
        <f>IF($A13&lt;Customisation!$H$13,0,B13)/LOOKUP(Customisation!$H$13,$A$4:$A$104,$B$4:$B$104)</f>
        <v>0</v>
      </c>
      <c r="D13" s="1">
        <f>IF($A13&lt;=Customisation!$H$13,1,1/(1+Customisation!$H$21)^($A13-Customisation!$H$13))</f>
        <v>1</v>
      </c>
      <c r="E13" s="1">
        <f t="shared" si="11"/>
        <v>9</v>
      </c>
      <c r="F13" s="1">
        <f t="shared" si="2"/>
        <v>0</v>
      </c>
      <c r="G13" s="53">
        <f>'Age data'!M17*Customisation!$H$22</f>
        <v>0</v>
      </c>
      <c r="H13" s="53">
        <f t="shared" si="3"/>
        <v>0</v>
      </c>
      <c r="I13" s="53">
        <f>'Age data'!N17*Customisation!$H$22</f>
        <v>0</v>
      </c>
      <c r="J13" s="54">
        <f t="shared" si="4"/>
        <v>0</v>
      </c>
      <c r="K13" s="53">
        <f>I13*'Life table'!I11</f>
        <v>0</v>
      </c>
      <c r="L13" s="53">
        <f>J13*'Life table'!J11</f>
        <v>0</v>
      </c>
      <c r="M13" s="53">
        <f t="shared" si="5"/>
        <v>0</v>
      </c>
      <c r="N13" s="53">
        <f>((G13-I13)*$AW$5+I13*$AW$6)/(1+Customisation!$H$21)^($A13-Customisation!$E$13)</f>
        <v>0</v>
      </c>
      <c r="O13" s="53">
        <f>G13*Customisation!$H$17</f>
        <v>0</v>
      </c>
      <c r="P13" s="109">
        <f>O13/(1+Customisation!$H$21)^($A13-Customisation!$E$13)</f>
        <v>0</v>
      </c>
      <c r="Q13" s="53">
        <f>IF($A13&lt;Customisation!$H$13,G13,G13*(1-Customisation!$H$11*Customisation!$H$12))</f>
        <v>0</v>
      </c>
      <c r="R13" s="53">
        <f>IF($A13&lt;Customisation!$H$13,H13,H13*(1-Customisation!$H$11*Customisation!$H$12))</f>
        <v>0</v>
      </c>
      <c r="S13" s="53">
        <f>IF($A13&lt;Customisation!$H$13,I13,I13*(1-Customisation!$H$11*Customisation!$H$12))</f>
        <v>0</v>
      </c>
      <c r="T13" s="53">
        <f>IF($A13&lt;Customisation!$H$13,J13,J13*(1-Customisation!$H$11*Customisation!$H$12))</f>
        <v>0</v>
      </c>
      <c r="U13" s="53">
        <f>IF($A13&lt;Customisation!$H$13,K13,K13*(1-Customisation!$H$11*Customisation!$H$12))</f>
        <v>0</v>
      </c>
      <c r="V13" s="53">
        <f>IF($A13&lt;Customisation!$H$13,L13,L13*(1-Customisation!$H$11*Customisation!$H$12))</f>
        <v>0</v>
      </c>
      <c r="W13" s="53">
        <f>IF($A13&lt;Customisation!$H$13,M13,M13*(1-Customisation!$H$11*Customisation!$H$12))</f>
        <v>0</v>
      </c>
      <c r="X13" s="53">
        <f>IF($A13&lt;Customisation!$H$13,N13,N13*(1-Customisation!$H$11*Customisation!$H$12))</f>
        <v>0</v>
      </c>
      <c r="Y13" s="53">
        <f>IF($A13&lt;Customisation!$H$13,O13,O13*(1-Customisation!$H$11*Customisation!$H$12))</f>
        <v>0</v>
      </c>
      <c r="Z13" s="53">
        <f>IF($A13&lt;Customisation!$H$13,P13,P13*(1-Customisation!$H$11*Customisation!$H$12))</f>
        <v>0</v>
      </c>
      <c r="AA13" s="53">
        <f t="shared" ref="AA13:AJ13" si="30">G13-Q13</f>
        <v>0</v>
      </c>
      <c r="AB13" s="53">
        <f t="shared" si="30"/>
        <v>0</v>
      </c>
      <c r="AC13" s="53">
        <f t="shared" si="30"/>
        <v>0</v>
      </c>
      <c r="AD13" s="53">
        <f t="shared" si="30"/>
        <v>0</v>
      </c>
      <c r="AE13" s="53">
        <f t="shared" si="30"/>
        <v>0</v>
      </c>
      <c r="AF13" s="53">
        <f t="shared" si="30"/>
        <v>0</v>
      </c>
      <c r="AG13" s="53">
        <f t="shared" si="30"/>
        <v>0</v>
      </c>
      <c r="AH13" s="53">
        <f t="shared" si="30"/>
        <v>0</v>
      </c>
      <c r="AI13" s="53">
        <f t="shared" si="30"/>
        <v>0</v>
      </c>
      <c r="AJ13" s="53">
        <f t="shared" si="30"/>
        <v>0</v>
      </c>
      <c r="AK13" s="1"/>
      <c r="AL13" s="55">
        <f t="shared" si="7"/>
        <v>0</v>
      </c>
      <c r="AM13" s="55">
        <f t="shared" si="8"/>
        <v>0</v>
      </c>
      <c r="AN13" s="1"/>
      <c r="AO13" s="1"/>
      <c r="AP13" s="1"/>
      <c r="AQ13" s="1"/>
      <c r="AR13" s="1"/>
      <c r="AS13" s="1"/>
      <c r="AT13" s="1"/>
      <c r="AU13" s="1"/>
      <c r="AV13" s="1"/>
      <c r="AW13" s="1"/>
      <c r="AX13" s="1"/>
      <c r="AY13" s="53">
        <f>IF($A13&lt;Customisation!$H$13,G13,G13*(1-Customisation!$H$24*Customisation!$H$12))</f>
        <v>0</v>
      </c>
      <c r="AZ13" s="53">
        <f>IF($A13&lt;Customisation!$H$13,H13,H13*(1-Customisation!$H$24*Customisation!$H$12))</f>
        <v>0</v>
      </c>
      <c r="BA13" s="53">
        <f>IF($A13&lt;Customisation!$H$13,I13,I13*(1-Customisation!$H$24*Customisation!$H$12))</f>
        <v>0</v>
      </c>
      <c r="BB13" s="53">
        <f>IF($A13&lt;Customisation!$H$13,J13,J13*(1-Customisation!$H$24*Customisation!$H$12))</f>
        <v>0</v>
      </c>
      <c r="BC13" s="53">
        <f>IF($A13&lt;Customisation!$H$13,K13,K13*(1-Customisation!$H$24*Customisation!$H$12))</f>
        <v>0</v>
      </c>
      <c r="BD13" s="53">
        <f>IF($A13&lt;Customisation!$H$13,L13,L13*(1-Customisation!$H$24*Customisation!$H$12))</f>
        <v>0</v>
      </c>
      <c r="BE13" s="53">
        <f>IF($A13&lt;Customisation!$H$13,M13,M13*(1-Customisation!$H$24*Customisation!$H$12))</f>
        <v>0</v>
      </c>
      <c r="BF13" s="53">
        <f>IF($A13&lt;Customisation!$H$13,N13,N13*(1-Customisation!$H$24*Customisation!$H$12))</f>
        <v>0</v>
      </c>
      <c r="BG13" s="53">
        <f>IF($A13&lt;Customisation!$H$13,O13,O13*(1-Customisation!$H$24*Customisation!$H$12))</f>
        <v>0</v>
      </c>
      <c r="BH13" s="53">
        <f>IF($A13&lt;Customisation!$H$13,P13,P13*(1-Customisation!$H$24*Customisation!$H$12))</f>
        <v>0</v>
      </c>
      <c r="BI13" s="53">
        <f t="shared" si="13"/>
        <v>0</v>
      </c>
      <c r="BJ13" s="53">
        <f t="shared" si="14"/>
        <v>0</v>
      </c>
      <c r="BK13" s="53">
        <f t="shared" si="15"/>
        <v>0</v>
      </c>
      <c r="BL13" s="53">
        <f t="shared" si="16"/>
        <v>0</v>
      </c>
      <c r="BM13" s="53">
        <f t="shared" si="17"/>
        <v>0</v>
      </c>
      <c r="BN13" s="53">
        <f t="shared" si="18"/>
        <v>0</v>
      </c>
      <c r="BO13" s="53">
        <f t="shared" si="19"/>
        <v>0</v>
      </c>
      <c r="BP13" s="53">
        <f t="shared" si="20"/>
        <v>0</v>
      </c>
      <c r="BQ13" s="53">
        <f t="shared" si="21"/>
        <v>0</v>
      </c>
      <c r="BR13" s="53">
        <f t="shared" si="22"/>
        <v>0</v>
      </c>
    </row>
    <row r="14" spans="1:70" ht="14.25" customHeight="1" x14ac:dyDescent="0.3">
      <c r="A14" s="1">
        <f t="shared" si="10"/>
        <v>10</v>
      </c>
      <c r="B14" s="52">
        <f>'Life table'!D12</f>
        <v>0.98630717219824404</v>
      </c>
      <c r="C14" s="52">
        <f>IF($A14&lt;Customisation!$H$13,0,B14)/LOOKUP(Customisation!$H$13,$A$4:$A$104,$B$4:$B$104)</f>
        <v>0</v>
      </c>
      <c r="D14" s="1">
        <f>IF($A14&lt;=Customisation!$H$13,1,1/(1+Customisation!$H$21)^($A14-Customisation!$H$13))</f>
        <v>1</v>
      </c>
      <c r="E14" s="1">
        <f t="shared" si="11"/>
        <v>10</v>
      </c>
      <c r="F14" s="1">
        <f t="shared" si="2"/>
        <v>0</v>
      </c>
      <c r="G14" s="53">
        <f>'Age data'!M18*Customisation!$H$22</f>
        <v>0</v>
      </c>
      <c r="H14" s="53">
        <f t="shared" si="3"/>
        <v>0</v>
      </c>
      <c r="I14" s="53">
        <f>'Age data'!N18*Customisation!$H$22</f>
        <v>0</v>
      </c>
      <c r="J14" s="54">
        <f t="shared" si="4"/>
        <v>0</v>
      </c>
      <c r="K14" s="53">
        <f>I14*'Life table'!I12</f>
        <v>0</v>
      </c>
      <c r="L14" s="53">
        <f>J14*'Life table'!J12</f>
        <v>0</v>
      </c>
      <c r="M14" s="53">
        <f t="shared" si="5"/>
        <v>0</v>
      </c>
      <c r="N14" s="53">
        <f>((G14-I14)*$AW$5+I14*$AW$6)/(1+Customisation!$H$21)^($A14-Customisation!$E$13)</f>
        <v>0</v>
      </c>
      <c r="O14" s="53">
        <f>G14*Customisation!$H$17</f>
        <v>0</v>
      </c>
      <c r="P14" s="109">
        <f>O14/(1+Customisation!$H$21)^($A14-Customisation!$E$13)</f>
        <v>0</v>
      </c>
      <c r="Q14" s="53">
        <f>IF($A14&lt;Customisation!$H$13,G14,G14*(1-Customisation!$H$11*Customisation!$H$12))</f>
        <v>0</v>
      </c>
      <c r="R14" s="53">
        <f>IF($A14&lt;Customisation!$H$13,H14,H14*(1-Customisation!$H$11*Customisation!$H$12))</f>
        <v>0</v>
      </c>
      <c r="S14" s="53">
        <f>IF($A14&lt;Customisation!$H$13,I14,I14*(1-Customisation!$H$11*Customisation!$H$12))</f>
        <v>0</v>
      </c>
      <c r="T14" s="53">
        <f>IF($A14&lt;Customisation!$H$13,J14,J14*(1-Customisation!$H$11*Customisation!$H$12))</f>
        <v>0</v>
      </c>
      <c r="U14" s="53">
        <f>IF($A14&lt;Customisation!$H$13,K14,K14*(1-Customisation!$H$11*Customisation!$H$12))</f>
        <v>0</v>
      </c>
      <c r="V14" s="53">
        <f>IF($A14&lt;Customisation!$H$13,L14,L14*(1-Customisation!$H$11*Customisation!$H$12))</f>
        <v>0</v>
      </c>
      <c r="W14" s="53">
        <f>IF($A14&lt;Customisation!$H$13,M14,M14*(1-Customisation!$H$11*Customisation!$H$12))</f>
        <v>0</v>
      </c>
      <c r="X14" s="53">
        <f>IF($A14&lt;Customisation!$H$13,N14,N14*(1-Customisation!$H$11*Customisation!$H$12))</f>
        <v>0</v>
      </c>
      <c r="Y14" s="53">
        <f>IF($A14&lt;Customisation!$H$13,O14,O14*(1-Customisation!$H$11*Customisation!$H$12))</f>
        <v>0</v>
      </c>
      <c r="Z14" s="53">
        <f>IF($A14&lt;Customisation!$H$13,P14,P14*(1-Customisation!$H$11*Customisation!$H$12))</f>
        <v>0</v>
      </c>
      <c r="AA14" s="53">
        <f t="shared" ref="AA14:AJ14" si="31">G14-Q14</f>
        <v>0</v>
      </c>
      <c r="AB14" s="53">
        <f t="shared" si="31"/>
        <v>0</v>
      </c>
      <c r="AC14" s="53">
        <f t="shared" si="31"/>
        <v>0</v>
      </c>
      <c r="AD14" s="53">
        <f t="shared" si="31"/>
        <v>0</v>
      </c>
      <c r="AE14" s="53">
        <f t="shared" si="31"/>
        <v>0</v>
      </c>
      <c r="AF14" s="53">
        <f t="shared" si="31"/>
        <v>0</v>
      </c>
      <c r="AG14" s="53">
        <f t="shared" si="31"/>
        <v>0</v>
      </c>
      <c r="AH14" s="53">
        <f t="shared" si="31"/>
        <v>0</v>
      </c>
      <c r="AI14" s="53">
        <f t="shared" si="31"/>
        <v>0</v>
      </c>
      <c r="AJ14" s="53">
        <f t="shared" si="31"/>
        <v>0</v>
      </c>
      <c r="AK14" s="1"/>
      <c r="AL14" s="55">
        <f t="shared" si="7"/>
        <v>0</v>
      </c>
      <c r="AM14" s="55">
        <f t="shared" si="8"/>
        <v>0</v>
      </c>
      <c r="AN14" s="1"/>
      <c r="AO14" s="1"/>
      <c r="AP14" s="1"/>
      <c r="AQ14" s="1"/>
      <c r="AR14" s="1"/>
      <c r="AS14" s="1"/>
      <c r="AT14" s="1"/>
      <c r="AU14" s="1"/>
      <c r="AV14" s="1"/>
      <c r="AW14" s="1"/>
      <c r="AX14" s="1"/>
      <c r="AY14" s="53">
        <f>IF($A14&lt;Customisation!$H$13,G14,G14*(1-Customisation!$H$24*Customisation!$H$12))</f>
        <v>0</v>
      </c>
      <c r="AZ14" s="53">
        <f>IF($A14&lt;Customisation!$H$13,H14,H14*(1-Customisation!$H$24*Customisation!$H$12))</f>
        <v>0</v>
      </c>
      <c r="BA14" s="53">
        <f>IF($A14&lt;Customisation!$H$13,I14,I14*(1-Customisation!$H$24*Customisation!$H$12))</f>
        <v>0</v>
      </c>
      <c r="BB14" s="53">
        <f>IF($A14&lt;Customisation!$H$13,J14,J14*(1-Customisation!$H$24*Customisation!$H$12))</f>
        <v>0</v>
      </c>
      <c r="BC14" s="53">
        <f>IF($A14&lt;Customisation!$H$13,K14,K14*(1-Customisation!$H$24*Customisation!$H$12))</f>
        <v>0</v>
      </c>
      <c r="BD14" s="53">
        <f>IF($A14&lt;Customisation!$H$13,L14,L14*(1-Customisation!$H$24*Customisation!$H$12))</f>
        <v>0</v>
      </c>
      <c r="BE14" s="53">
        <f>IF($A14&lt;Customisation!$H$13,M14,M14*(1-Customisation!$H$24*Customisation!$H$12))</f>
        <v>0</v>
      </c>
      <c r="BF14" s="53">
        <f>IF($A14&lt;Customisation!$H$13,N14,N14*(1-Customisation!$H$24*Customisation!$H$12))</f>
        <v>0</v>
      </c>
      <c r="BG14" s="53">
        <f>IF($A14&lt;Customisation!$H$13,O14,O14*(1-Customisation!$H$24*Customisation!$H$12))</f>
        <v>0</v>
      </c>
      <c r="BH14" s="53">
        <f>IF($A14&lt;Customisation!$H$13,P14,P14*(1-Customisation!$H$24*Customisation!$H$12))</f>
        <v>0</v>
      </c>
      <c r="BI14" s="53">
        <f t="shared" si="13"/>
        <v>0</v>
      </c>
      <c r="BJ14" s="53">
        <f t="shared" si="14"/>
        <v>0</v>
      </c>
      <c r="BK14" s="53">
        <f t="shared" si="15"/>
        <v>0</v>
      </c>
      <c r="BL14" s="53">
        <f t="shared" si="16"/>
        <v>0</v>
      </c>
      <c r="BM14" s="53">
        <f t="shared" si="17"/>
        <v>0</v>
      </c>
      <c r="BN14" s="53">
        <f t="shared" si="18"/>
        <v>0</v>
      </c>
      <c r="BO14" s="53">
        <f t="shared" si="19"/>
        <v>0</v>
      </c>
      <c r="BP14" s="53">
        <f t="shared" si="20"/>
        <v>0</v>
      </c>
      <c r="BQ14" s="53">
        <f t="shared" si="21"/>
        <v>0</v>
      </c>
      <c r="BR14" s="53">
        <f t="shared" si="22"/>
        <v>0</v>
      </c>
    </row>
    <row r="15" spans="1:70" ht="14.25" customHeight="1" x14ac:dyDescent="0.3">
      <c r="A15" s="1">
        <f t="shared" si="10"/>
        <v>11</v>
      </c>
      <c r="B15" s="52">
        <f>'Life table'!D13</f>
        <v>0.98614936305069223</v>
      </c>
      <c r="C15" s="52">
        <f>IF($A15&lt;Customisation!$H$13,0,B15)/LOOKUP(Customisation!$H$13,$A$4:$A$104,$B$4:$B$104)</f>
        <v>0</v>
      </c>
      <c r="D15" s="1">
        <f>IF($A15&lt;=Customisation!$H$13,1,1/(1+Customisation!$H$21)^($A15-Customisation!$H$13))</f>
        <v>1</v>
      </c>
      <c r="E15" s="1">
        <f t="shared" si="11"/>
        <v>11</v>
      </c>
      <c r="F15" s="1">
        <f t="shared" si="2"/>
        <v>0</v>
      </c>
      <c r="G15" s="53">
        <f>'Age data'!M19*Customisation!$H$22</f>
        <v>0</v>
      </c>
      <c r="H15" s="53">
        <f t="shared" si="3"/>
        <v>0</v>
      </c>
      <c r="I15" s="53">
        <f>'Age data'!N19*Customisation!$H$22</f>
        <v>0</v>
      </c>
      <c r="J15" s="54">
        <f t="shared" si="4"/>
        <v>0</v>
      </c>
      <c r="K15" s="53">
        <f>I15*'Life table'!I13</f>
        <v>0</v>
      </c>
      <c r="L15" s="53">
        <f>J15*'Life table'!J13</f>
        <v>0</v>
      </c>
      <c r="M15" s="53">
        <f t="shared" si="5"/>
        <v>0</v>
      </c>
      <c r="N15" s="53">
        <f>((G15-I15)*$AW$5+I15*$AW$6)/(1+Customisation!$H$21)^($A15-Customisation!$E$13)</f>
        <v>0</v>
      </c>
      <c r="O15" s="53">
        <f>G15*Customisation!$H$17</f>
        <v>0</v>
      </c>
      <c r="P15" s="109">
        <f>O15/(1+Customisation!$H$21)^($A15-Customisation!$E$13)</f>
        <v>0</v>
      </c>
      <c r="Q15" s="53">
        <f>IF($A15&lt;Customisation!$H$13,G15,G15*(1-Customisation!$H$11*Customisation!$H$12))</f>
        <v>0</v>
      </c>
      <c r="R15" s="53">
        <f>IF($A15&lt;Customisation!$H$13,H15,H15*(1-Customisation!$H$11*Customisation!$H$12))</f>
        <v>0</v>
      </c>
      <c r="S15" s="53">
        <f>IF($A15&lt;Customisation!$H$13,I15,I15*(1-Customisation!$H$11*Customisation!$H$12))</f>
        <v>0</v>
      </c>
      <c r="T15" s="53">
        <f>IF($A15&lt;Customisation!$H$13,J15,J15*(1-Customisation!$H$11*Customisation!$H$12))</f>
        <v>0</v>
      </c>
      <c r="U15" s="53">
        <f>IF($A15&lt;Customisation!$H$13,K15,K15*(1-Customisation!$H$11*Customisation!$H$12))</f>
        <v>0</v>
      </c>
      <c r="V15" s="53">
        <f>IF($A15&lt;Customisation!$H$13,L15,L15*(1-Customisation!$H$11*Customisation!$H$12))</f>
        <v>0</v>
      </c>
      <c r="W15" s="53">
        <f>IF($A15&lt;Customisation!$H$13,M15,M15*(1-Customisation!$H$11*Customisation!$H$12))</f>
        <v>0</v>
      </c>
      <c r="X15" s="53">
        <f>IF($A15&lt;Customisation!$H$13,N15,N15*(1-Customisation!$H$11*Customisation!$H$12))</f>
        <v>0</v>
      </c>
      <c r="Y15" s="53">
        <f>IF($A15&lt;Customisation!$H$13,O15,O15*(1-Customisation!$H$11*Customisation!$H$12))</f>
        <v>0</v>
      </c>
      <c r="Z15" s="53">
        <f>IF($A15&lt;Customisation!$H$13,P15,P15*(1-Customisation!$H$11*Customisation!$H$12))</f>
        <v>0</v>
      </c>
      <c r="AA15" s="53">
        <f t="shared" ref="AA15:AJ15" si="32">G15-Q15</f>
        <v>0</v>
      </c>
      <c r="AB15" s="53">
        <f t="shared" si="32"/>
        <v>0</v>
      </c>
      <c r="AC15" s="53">
        <f t="shared" si="32"/>
        <v>0</v>
      </c>
      <c r="AD15" s="53">
        <f t="shared" si="32"/>
        <v>0</v>
      </c>
      <c r="AE15" s="53">
        <f t="shared" si="32"/>
        <v>0</v>
      </c>
      <c r="AF15" s="53">
        <f t="shared" si="32"/>
        <v>0</v>
      </c>
      <c r="AG15" s="53">
        <f t="shared" si="32"/>
        <v>0</v>
      </c>
      <c r="AH15" s="53">
        <f t="shared" si="32"/>
        <v>0</v>
      </c>
      <c r="AI15" s="53">
        <f t="shared" si="32"/>
        <v>0</v>
      </c>
      <c r="AJ15" s="53">
        <f t="shared" si="32"/>
        <v>0</v>
      </c>
      <c r="AK15" s="1"/>
      <c r="AL15" s="55">
        <f t="shared" si="7"/>
        <v>0</v>
      </c>
      <c r="AM15" s="55">
        <f t="shared" si="8"/>
        <v>0</v>
      </c>
      <c r="AN15" s="1"/>
      <c r="AO15" s="1"/>
      <c r="AP15" s="1"/>
      <c r="AQ15" s="1"/>
      <c r="AR15" s="1"/>
      <c r="AS15" s="1"/>
      <c r="AT15" s="1"/>
      <c r="AU15" s="1"/>
      <c r="AV15" s="1"/>
      <c r="AW15" s="1"/>
      <c r="AX15" s="1"/>
      <c r="AY15" s="53">
        <f>IF($A15&lt;Customisation!$H$13,G15,G15*(1-Customisation!$H$24*Customisation!$H$12))</f>
        <v>0</v>
      </c>
      <c r="AZ15" s="53">
        <f>IF($A15&lt;Customisation!$H$13,H15,H15*(1-Customisation!$H$24*Customisation!$H$12))</f>
        <v>0</v>
      </c>
      <c r="BA15" s="53">
        <f>IF($A15&lt;Customisation!$H$13,I15,I15*(1-Customisation!$H$24*Customisation!$H$12))</f>
        <v>0</v>
      </c>
      <c r="BB15" s="53">
        <f>IF($A15&lt;Customisation!$H$13,J15,J15*(1-Customisation!$H$24*Customisation!$H$12))</f>
        <v>0</v>
      </c>
      <c r="BC15" s="53">
        <f>IF($A15&lt;Customisation!$H$13,K15,K15*(1-Customisation!$H$24*Customisation!$H$12))</f>
        <v>0</v>
      </c>
      <c r="BD15" s="53">
        <f>IF($A15&lt;Customisation!$H$13,L15,L15*(1-Customisation!$H$24*Customisation!$H$12))</f>
        <v>0</v>
      </c>
      <c r="BE15" s="53">
        <f>IF($A15&lt;Customisation!$H$13,M15,M15*(1-Customisation!$H$24*Customisation!$H$12))</f>
        <v>0</v>
      </c>
      <c r="BF15" s="53">
        <f>IF($A15&lt;Customisation!$H$13,N15,N15*(1-Customisation!$H$24*Customisation!$H$12))</f>
        <v>0</v>
      </c>
      <c r="BG15" s="53">
        <f>IF($A15&lt;Customisation!$H$13,O15,O15*(1-Customisation!$H$24*Customisation!$H$12))</f>
        <v>0</v>
      </c>
      <c r="BH15" s="53">
        <f>IF($A15&lt;Customisation!$H$13,P15,P15*(1-Customisation!$H$24*Customisation!$H$12))</f>
        <v>0</v>
      </c>
      <c r="BI15" s="53">
        <f t="shared" si="13"/>
        <v>0</v>
      </c>
      <c r="BJ15" s="53">
        <f t="shared" si="14"/>
        <v>0</v>
      </c>
      <c r="BK15" s="53">
        <f t="shared" si="15"/>
        <v>0</v>
      </c>
      <c r="BL15" s="53">
        <f t="shared" si="16"/>
        <v>0</v>
      </c>
      <c r="BM15" s="53">
        <f t="shared" si="17"/>
        <v>0</v>
      </c>
      <c r="BN15" s="53">
        <f t="shared" si="18"/>
        <v>0</v>
      </c>
      <c r="BO15" s="53">
        <f t="shared" si="19"/>
        <v>0</v>
      </c>
      <c r="BP15" s="53">
        <f t="shared" si="20"/>
        <v>0</v>
      </c>
      <c r="BQ15" s="53">
        <f t="shared" si="21"/>
        <v>0</v>
      </c>
      <c r="BR15" s="53">
        <f t="shared" si="22"/>
        <v>0</v>
      </c>
    </row>
    <row r="16" spans="1:70" ht="14.25" customHeight="1" x14ac:dyDescent="0.3">
      <c r="A16" s="1">
        <v>12</v>
      </c>
      <c r="B16" s="52">
        <f>'Life table'!D14</f>
        <v>0.98597185616534311</v>
      </c>
      <c r="C16" s="52">
        <f>IF($A16&lt;Customisation!$H$13,0,B16)/LOOKUP(Customisation!$H$13,$A$4:$A$104,$B$4:$B$104)</f>
        <v>1</v>
      </c>
      <c r="D16" s="1">
        <f>IF($A16&lt;=Customisation!$H$13,1,1/(1+Customisation!$H$21)^($A16-Customisation!$H$13))</f>
        <v>1</v>
      </c>
      <c r="E16" s="1">
        <f t="shared" si="11"/>
        <v>12</v>
      </c>
      <c r="F16" s="1">
        <f t="shared" si="2"/>
        <v>1</v>
      </c>
      <c r="G16" s="53">
        <f>'Age data'!M20*Customisation!$H$22</f>
        <v>0</v>
      </c>
      <c r="H16" s="53">
        <f t="shared" si="3"/>
        <v>0</v>
      </c>
      <c r="I16" s="53">
        <f>'Age data'!N20*Customisation!$H$22</f>
        <v>0</v>
      </c>
      <c r="J16" s="54">
        <f t="shared" si="4"/>
        <v>0</v>
      </c>
      <c r="K16" s="53">
        <f>I16*'Life table'!I14</f>
        <v>0</v>
      </c>
      <c r="L16" s="53">
        <f>J16*'Life table'!J14</f>
        <v>0</v>
      </c>
      <c r="M16" s="53">
        <f t="shared" si="5"/>
        <v>0</v>
      </c>
      <c r="N16" s="53">
        <f>((G16-I16)*$AW$5+I16*$AW$6)/(1+Customisation!$H$21)^($A16-Customisation!$E$13)</f>
        <v>0</v>
      </c>
      <c r="O16" s="53">
        <f>G16*Customisation!$H$17</f>
        <v>0</v>
      </c>
      <c r="P16" s="109">
        <f>O16/(1+Customisation!$H$21)^($A16-Customisation!$E$13)</f>
        <v>0</v>
      </c>
      <c r="Q16" s="53">
        <f>IF($A16&lt;Customisation!$H$13,G16,G16*(1-Customisation!$H$11*Customisation!$H$12))</f>
        <v>0</v>
      </c>
      <c r="R16" s="53">
        <f>IF($A16&lt;Customisation!$H$13,H16,H16*(1-Customisation!$H$11*Customisation!$H$12))</f>
        <v>0</v>
      </c>
      <c r="S16" s="53">
        <f>IF($A16&lt;Customisation!$H$13,I16,I16*(1-Customisation!$H$11*Customisation!$H$12))</f>
        <v>0</v>
      </c>
      <c r="T16" s="53">
        <f>IF($A16&lt;Customisation!$H$13,J16,J16*(1-Customisation!$H$11*Customisation!$H$12))</f>
        <v>0</v>
      </c>
      <c r="U16" s="53">
        <f>IF($A16&lt;Customisation!$H$13,K16,K16*(1-Customisation!$H$11*Customisation!$H$12))</f>
        <v>0</v>
      </c>
      <c r="V16" s="53">
        <f>IF($A16&lt;Customisation!$H$13,L16,L16*(1-Customisation!$H$11*Customisation!$H$12))</f>
        <v>0</v>
      </c>
      <c r="W16" s="53">
        <f>IF($A16&lt;Customisation!$H$13,M16,M16*(1-Customisation!$H$11*Customisation!$H$12))</f>
        <v>0</v>
      </c>
      <c r="X16" s="53">
        <f>IF($A16&lt;Customisation!$H$13,N16,N16*(1-Customisation!$H$11*Customisation!$H$12))</f>
        <v>0</v>
      </c>
      <c r="Y16" s="53">
        <f>IF($A16&lt;Customisation!$H$13,O16,O16*(1-Customisation!$H$11*Customisation!$H$12))</f>
        <v>0</v>
      </c>
      <c r="Z16" s="53">
        <f>IF($A16&lt;Customisation!$H$13,P16,P16*(1-Customisation!$H$11*Customisation!$H$12))</f>
        <v>0</v>
      </c>
      <c r="AA16" s="53">
        <f t="shared" ref="AA16:AJ16" si="33">G16-Q16</f>
        <v>0</v>
      </c>
      <c r="AB16" s="53">
        <f t="shared" si="33"/>
        <v>0</v>
      </c>
      <c r="AC16" s="53">
        <f t="shared" si="33"/>
        <v>0</v>
      </c>
      <c r="AD16" s="53">
        <f t="shared" si="33"/>
        <v>0</v>
      </c>
      <c r="AE16" s="53">
        <f t="shared" si="33"/>
        <v>0</v>
      </c>
      <c r="AF16" s="53">
        <f t="shared" si="33"/>
        <v>0</v>
      </c>
      <c r="AG16" s="53">
        <f t="shared" si="33"/>
        <v>0</v>
      </c>
      <c r="AH16" s="53">
        <f t="shared" si="33"/>
        <v>0</v>
      </c>
      <c r="AI16" s="53">
        <f t="shared" si="33"/>
        <v>0</v>
      </c>
      <c r="AJ16" s="53">
        <f t="shared" si="33"/>
        <v>0</v>
      </c>
      <c r="AK16" s="1"/>
      <c r="AL16" s="55">
        <f t="shared" si="7"/>
        <v>0</v>
      </c>
      <c r="AM16" s="55">
        <f t="shared" si="8"/>
        <v>0</v>
      </c>
      <c r="AN16" s="1"/>
      <c r="AO16" s="1"/>
      <c r="AP16" s="1"/>
      <c r="AQ16" s="1"/>
      <c r="AR16" s="1"/>
      <c r="AS16" s="1"/>
      <c r="AT16" s="1"/>
      <c r="AU16" s="1"/>
      <c r="AV16" s="1"/>
      <c r="AW16" s="1"/>
      <c r="AX16" s="1"/>
      <c r="AY16" s="53">
        <f>IF($A16&lt;Customisation!$H$13,G16,G16*(1-Customisation!$H$24*Customisation!$H$12))</f>
        <v>0</v>
      </c>
      <c r="AZ16" s="53">
        <f>IF($A16&lt;Customisation!$H$13,H16,H16*(1-Customisation!$H$24*Customisation!$H$12))</f>
        <v>0</v>
      </c>
      <c r="BA16" s="53">
        <f>IF($A16&lt;Customisation!$H$13,I16,I16*(1-Customisation!$H$24*Customisation!$H$12))</f>
        <v>0</v>
      </c>
      <c r="BB16" s="53">
        <f>IF($A16&lt;Customisation!$H$13,J16,J16*(1-Customisation!$H$24*Customisation!$H$12))</f>
        <v>0</v>
      </c>
      <c r="BC16" s="53">
        <f>IF($A16&lt;Customisation!$H$13,K16,K16*(1-Customisation!$H$24*Customisation!$H$12))</f>
        <v>0</v>
      </c>
      <c r="BD16" s="53">
        <f>IF($A16&lt;Customisation!$H$13,L16,L16*(1-Customisation!$H$24*Customisation!$H$12))</f>
        <v>0</v>
      </c>
      <c r="BE16" s="53">
        <f>IF($A16&lt;Customisation!$H$13,M16,M16*(1-Customisation!$H$24*Customisation!$H$12))</f>
        <v>0</v>
      </c>
      <c r="BF16" s="53">
        <f>IF($A16&lt;Customisation!$H$13,N16,N16*(1-Customisation!$H$24*Customisation!$H$12))</f>
        <v>0</v>
      </c>
      <c r="BG16" s="53">
        <f>IF($A16&lt;Customisation!$H$13,O16,O16*(1-Customisation!$H$24*Customisation!$H$12))</f>
        <v>0</v>
      </c>
      <c r="BH16" s="53">
        <f>IF($A16&lt;Customisation!$H$13,P16,P16*(1-Customisation!$H$24*Customisation!$H$12))</f>
        <v>0</v>
      </c>
      <c r="BI16" s="53">
        <f t="shared" si="13"/>
        <v>0</v>
      </c>
      <c r="BJ16" s="53">
        <f t="shared" si="14"/>
        <v>0</v>
      </c>
      <c r="BK16" s="53">
        <f t="shared" si="15"/>
        <v>0</v>
      </c>
      <c r="BL16" s="53">
        <f t="shared" si="16"/>
        <v>0</v>
      </c>
      <c r="BM16" s="53">
        <f t="shared" si="17"/>
        <v>0</v>
      </c>
      <c r="BN16" s="53">
        <f t="shared" si="18"/>
        <v>0</v>
      </c>
      <c r="BO16" s="53">
        <f t="shared" si="19"/>
        <v>0</v>
      </c>
      <c r="BP16" s="53">
        <f t="shared" si="20"/>
        <v>0</v>
      </c>
      <c r="BQ16" s="53">
        <f t="shared" si="21"/>
        <v>0</v>
      </c>
      <c r="BR16" s="53">
        <f t="shared" si="22"/>
        <v>0</v>
      </c>
    </row>
    <row r="17" spans="1:70" ht="14.25" customHeight="1" x14ac:dyDescent="0.3">
      <c r="A17" s="1">
        <f t="shared" ref="A17:A104" si="34">A16+1</f>
        <v>13</v>
      </c>
      <c r="B17" s="52">
        <f>'Life table'!D15</f>
        <v>0.9857648020755484</v>
      </c>
      <c r="C17" s="52">
        <f>IF($A17&lt;Customisation!$H$13,0,B17)/LOOKUP(Customisation!$H$13,$A$4:$A$104,$B$4:$B$104)</f>
        <v>0.99978999999999996</v>
      </c>
      <c r="D17" s="1">
        <f>IF($A17&lt;=Customisation!$H$13,1,1/(1+Customisation!$H$21)^($A17-Customisation!$H$13))</f>
        <v>0.95238095238095233</v>
      </c>
      <c r="E17" s="1">
        <f t="shared" si="11"/>
        <v>13</v>
      </c>
      <c r="F17" s="1">
        <f t="shared" si="2"/>
        <v>0.95218095238095224</v>
      </c>
      <c r="G17" s="53">
        <f>'Age data'!M21*Customisation!$H$22</f>
        <v>0</v>
      </c>
      <c r="H17" s="53">
        <f t="shared" si="3"/>
        <v>0</v>
      </c>
      <c r="I17" s="53">
        <f>'Age data'!N21*Customisation!$H$22</f>
        <v>0</v>
      </c>
      <c r="J17" s="54">
        <f t="shared" si="4"/>
        <v>0</v>
      </c>
      <c r="K17" s="53">
        <f>I17*'Life table'!I15</f>
        <v>0</v>
      </c>
      <c r="L17" s="53">
        <f>J17*'Life table'!J15</f>
        <v>0</v>
      </c>
      <c r="M17" s="53">
        <f t="shared" si="5"/>
        <v>0</v>
      </c>
      <c r="N17" s="53">
        <f>((G17-I17)*$AW$5+I17*$AW$6)/(1+Customisation!$H$21)^($A17-Customisation!$E$13)</f>
        <v>0</v>
      </c>
      <c r="O17" s="53">
        <f>G17*Customisation!$H$17</f>
        <v>0</v>
      </c>
      <c r="P17" s="109">
        <f>O17/(1+Customisation!$H$21)^($A17-Customisation!$E$13)</f>
        <v>0</v>
      </c>
      <c r="Q17" s="53">
        <f>IF($A17&lt;Customisation!$H$13,G17,G17*(1-Customisation!$H$11*Customisation!$H$12))</f>
        <v>0</v>
      </c>
      <c r="R17" s="53">
        <f>IF($A17&lt;Customisation!$H$13,H17,H17*(1-Customisation!$H$11*Customisation!$H$12))</f>
        <v>0</v>
      </c>
      <c r="S17" s="53">
        <f>IF($A17&lt;Customisation!$H$13,I17,I17*(1-Customisation!$H$11*Customisation!$H$12))</f>
        <v>0</v>
      </c>
      <c r="T17" s="53">
        <f>IF($A17&lt;Customisation!$H$13,J17,J17*(1-Customisation!$H$11*Customisation!$H$12))</f>
        <v>0</v>
      </c>
      <c r="U17" s="53">
        <f>IF($A17&lt;Customisation!$H$13,K17,K17*(1-Customisation!$H$11*Customisation!$H$12))</f>
        <v>0</v>
      </c>
      <c r="V17" s="53">
        <f>IF($A17&lt;Customisation!$H$13,L17,L17*(1-Customisation!$H$11*Customisation!$H$12))</f>
        <v>0</v>
      </c>
      <c r="W17" s="53">
        <f>IF($A17&lt;Customisation!$H$13,M17,M17*(1-Customisation!$H$11*Customisation!$H$12))</f>
        <v>0</v>
      </c>
      <c r="X17" s="53">
        <f>IF($A17&lt;Customisation!$H$13,N17,N17*(1-Customisation!$H$11*Customisation!$H$12))</f>
        <v>0</v>
      </c>
      <c r="Y17" s="53">
        <f>IF($A17&lt;Customisation!$H$13,O17,O17*(1-Customisation!$H$11*Customisation!$H$12))</f>
        <v>0</v>
      </c>
      <c r="Z17" s="53">
        <f>IF($A17&lt;Customisation!$H$13,P17,P17*(1-Customisation!$H$11*Customisation!$H$12))</f>
        <v>0</v>
      </c>
      <c r="AA17" s="53">
        <f t="shared" ref="AA17:AJ17" si="35">G17-Q17</f>
        <v>0</v>
      </c>
      <c r="AB17" s="53">
        <f t="shared" si="35"/>
        <v>0</v>
      </c>
      <c r="AC17" s="53">
        <f t="shared" si="35"/>
        <v>0</v>
      </c>
      <c r="AD17" s="53">
        <f t="shared" si="35"/>
        <v>0</v>
      </c>
      <c r="AE17" s="53">
        <f t="shared" si="35"/>
        <v>0</v>
      </c>
      <c r="AF17" s="53">
        <f t="shared" si="35"/>
        <v>0</v>
      </c>
      <c r="AG17" s="53">
        <f t="shared" si="35"/>
        <v>0</v>
      </c>
      <c r="AH17" s="53">
        <f t="shared" si="35"/>
        <v>0</v>
      </c>
      <c r="AI17" s="53">
        <f t="shared" si="35"/>
        <v>0</v>
      </c>
      <c r="AJ17" s="53">
        <f t="shared" si="35"/>
        <v>0</v>
      </c>
      <c r="AK17" s="1"/>
      <c r="AL17" s="55">
        <f t="shared" si="7"/>
        <v>0</v>
      </c>
      <c r="AM17" s="55">
        <f t="shared" si="8"/>
        <v>0</v>
      </c>
      <c r="AN17" s="1"/>
      <c r="AO17" s="1"/>
      <c r="AP17" s="1"/>
      <c r="AQ17" s="1"/>
      <c r="AR17" s="1"/>
      <c r="AS17" s="1"/>
      <c r="AT17" s="1"/>
      <c r="AU17" s="1"/>
      <c r="AV17" s="1"/>
      <c r="AW17" s="1"/>
      <c r="AX17" s="1"/>
      <c r="AY17" s="53">
        <f>IF($A17&lt;Customisation!$H$13,G17,G17*(1-Customisation!$H$24*Customisation!$H$12))</f>
        <v>0</v>
      </c>
      <c r="AZ17" s="53">
        <f>IF($A17&lt;Customisation!$H$13,H17,H17*(1-Customisation!$H$24*Customisation!$H$12))</f>
        <v>0</v>
      </c>
      <c r="BA17" s="53">
        <f>IF($A17&lt;Customisation!$H$13,I17,I17*(1-Customisation!$H$24*Customisation!$H$12))</f>
        <v>0</v>
      </c>
      <c r="BB17" s="53">
        <f>IF($A17&lt;Customisation!$H$13,J17,J17*(1-Customisation!$H$24*Customisation!$H$12))</f>
        <v>0</v>
      </c>
      <c r="BC17" s="53">
        <f>IF($A17&lt;Customisation!$H$13,K17,K17*(1-Customisation!$H$24*Customisation!$H$12))</f>
        <v>0</v>
      </c>
      <c r="BD17" s="53">
        <f>IF($A17&lt;Customisation!$H$13,L17,L17*(1-Customisation!$H$24*Customisation!$H$12))</f>
        <v>0</v>
      </c>
      <c r="BE17" s="53">
        <f>IF($A17&lt;Customisation!$H$13,M17,M17*(1-Customisation!$H$24*Customisation!$H$12))</f>
        <v>0</v>
      </c>
      <c r="BF17" s="53">
        <f>IF($A17&lt;Customisation!$H$13,N17,N17*(1-Customisation!$H$24*Customisation!$H$12))</f>
        <v>0</v>
      </c>
      <c r="BG17" s="53">
        <f>IF($A17&lt;Customisation!$H$13,O17,O17*(1-Customisation!$H$24*Customisation!$H$12))</f>
        <v>0</v>
      </c>
      <c r="BH17" s="53">
        <f>IF($A17&lt;Customisation!$H$13,P17,P17*(1-Customisation!$H$24*Customisation!$H$12))</f>
        <v>0</v>
      </c>
      <c r="BI17" s="53">
        <f t="shared" si="13"/>
        <v>0</v>
      </c>
      <c r="BJ17" s="53">
        <f t="shared" si="14"/>
        <v>0</v>
      </c>
      <c r="BK17" s="53">
        <f t="shared" si="15"/>
        <v>0</v>
      </c>
      <c r="BL17" s="53">
        <f t="shared" si="16"/>
        <v>0</v>
      </c>
      <c r="BM17" s="53">
        <f t="shared" si="17"/>
        <v>0</v>
      </c>
      <c r="BN17" s="53">
        <f t="shared" si="18"/>
        <v>0</v>
      </c>
      <c r="BO17" s="53">
        <f t="shared" si="19"/>
        <v>0</v>
      </c>
      <c r="BP17" s="53">
        <f t="shared" si="20"/>
        <v>0</v>
      </c>
      <c r="BQ17" s="53">
        <f t="shared" si="21"/>
        <v>0</v>
      </c>
      <c r="BR17" s="53">
        <f t="shared" si="22"/>
        <v>0</v>
      </c>
    </row>
    <row r="18" spans="1:70" ht="14.25" customHeight="1" x14ac:dyDescent="0.3">
      <c r="A18" s="1">
        <f t="shared" si="34"/>
        <v>14</v>
      </c>
      <c r="B18" s="52">
        <f>'Life table'!D16</f>
        <v>0.98552821852305028</v>
      </c>
      <c r="C18" s="52">
        <f>IF($A18&lt;Customisation!$H$13,0,B18)/LOOKUP(Customisation!$H$13,$A$4:$A$104,$B$4:$B$104)</f>
        <v>0.9995500504</v>
      </c>
      <c r="D18" s="1">
        <f>IF($A18&lt;=Customisation!$H$13,1,1/(1+Customisation!$H$21)^($A18-Customisation!$H$13))</f>
        <v>0.90702947845804982</v>
      </c>
      <c r="E18" s="1">
        <f t="shared" si="11"/>
        <v>13.952380952380953</v>
      </c>
      <c r="F18" s="1">
        <f t="shared" si="2"/>
        <v>0.90662136090702938</v>
      </c>
      <c r="G18" s="53">
        <f>'Age data'!M22*Customisation!$H$22</f>
        <v>0</v>
      </c>
      <c r="H18" s="53">
        <f t="shared" si="3"/>
        <v>0</v>
      </c>
      <c r="I18" s="53">
        <f>'Age data'!N22*Customisation!$H$22</f>
        <v>0</v>
      </c>
      <c r="J18" s="54">
        <f t="shared" si="4"/>
        <v>0</v>
      </c>
      <c r="K18" s="53">
        <f>I18*'Life table'!I16</f>
        <v>0</v>
      </c>
      <c r="L18" s="53">
        <f>J18*'Life table'!J16</f>
        <v>0</v>
      </c>
      <c r="M18" s="53">
        <f t="shared" si="5"/>
        <v>0</v>
      </c>
      <c r="N18" s="53">
        <f>((G18-I18)*$AW$5+I18*$AW$6)/(1+Customisation!$H$21)^($A18-Customisation!$E$13)</f>
        <v>0</v>
      </c>
      <c r="O18" s="53">
        <f>G18*Customisation!$H$17</f>
        <v>0</v>
      </c>
      <c r="P18" s="109">
        <f>O18/(1+Customisation!$H$21)^($A18-Customisation!$E$13)</f>
        <v>0</v>
      </c>
      <c r="Q18" s="53">
        <f>IF($A18&lt;Customisation!$H$13,G18,G18*(1-Customisation!$H$11*Customisation!$H$12))</f>
        <v>0</v>
      </c>
      <c r="R18" s="53">
        <f>IF($A18&lt;Customisation!$H$13,H18,H18*(1-Customisation!$H$11*Customisation!$H$12))</f>
        <v>0</v>
      </c>
      <c r="S18" s="53">
        <f>IF($A18&lt;Customisation!$H$13,I18,I18*(1-Customisation!$H$11*Customisation!$H$12))</f>
        <v>0</v>
      </c>
      <c r="T18" s="53">
        <f>IF($A18&lt;Customisation!$H$13,J18,J18*(1-Customisation!$H$11*Customisation!$H$12))</f>
        <v>0</v>
      </c>
      <c r="U18" s="53">
        <f>IF($A18&lt;Customisation!$H$13,K18,K18*(1-Customisation!$H$11*Customisation!$H$12))</f>
        <v>0</v>
      </c>
      <c r="V18" s="53">
        <f>IF($A18&lt;Customisation!$H$13,L18,L18*(1-Customisation!$H$11*Customisation!$H$12))</f>
        <v>0</v>
      </c>
      <c r="W18" s="53">
        <f>IF($A18&lt;Customisation!$H$13,M18,M18*(1-Customisation!$H$11*Customisation!$H$12))</f>
        <v>0</v>
      </c>
      <c r="X18" s="53">
        <f>IF($A18&lt;Customisation!$H$13,N18,N18*(1-Customisation!$H$11*Customisation!$H$12))</f>
        <v>0</v>
      </c>
      <c r="Y18" s="53">
        <f>IF($A18&lt;Customisation!$H$13,O18,O18*(1-Customisation!$H$11*Customisation!$H$12))</f>
        <v>0</v>
      </c>
      <c r="Z18" s="53">
        <f>IF($A18&lt;Customisation!$H$13,P18,P18*(1-Customisation!$H$11*Customisation!$H$12))</f>
        <v>0</v>
      </c>
      <c r="AA18" s="53">
        <f t="shared" ref="AA18:AJ18" si="36">G18-Q18</f>
        <v>0</v>
      </c>
      <c r="AB18" s="53">
        <f t="shared" si="36"/>
        <v>0</v>
      </c>
      <c r="AC18" s="53">
        <f t="shared" si="36"/>
        <v>0</v>
      </c>
      <c r="AD18" s="53">
        <f t="shared" si="36"/>
        <v>0</v>
      </c>
      <c r="AE18" s="53">
        <f t="shared" si="36"/>
        <v>0</v>
      </c>
      <c r="AF18" s="53">
        <f t="shared" si="36"/>
        <v>0</v>
      </c>
      <c r="AG18" s="53">
        <f t="shared" si="36"/>
        <v>0</v>
      </c>
      <c r="AH18" s="53">
        <f t="shared" si="36"/>
        <v>0</v>
      </c>
      <c r="AI18" s="53">
        <f t="shared" si="36"/>
        <v>0</v>
      </c>
      <c r="AJ18" s="53">
        <f t="shared" si="36"/>
        <v>0</v>
      </c>
      <c r="AK18" s="1"/>
      <c r="AL18" s="55">
        <f t="shared" si="7"/>
        <v>0</v>
      </c>
      <c r="AM18" s="55">
        <f t="shared" si="8"/>
        <v>0</v>
      </c>
      <c r="AN18" s="1"/>
      <c r="AO18" s="1"/>
      <c r="AP18" s="1"/>
      <c r="AQ18" s="1"/>
      <c r="AR18" s="1"/>
      <c r="AS18" s="1"/>
      <c r="AT18" s="1"/>
      <c r="AU18" s="1"/>
      <c r="AV18" s="1"/>
      <c r="AW18" s="1"/>
      <c r="AX18" s="1"/>
      <c r="AY18" s="53">
        <f>IF($A18&lt;Customisation!$H$13,G18,G18*(1-Customisation!$H$24*Customisation!$H$12))</f>
        <v>0</v>
      </c>
      <c r="AZ18" s="53">
        <f>IF($A18&lt;Customisation!$H$13,H18,H18*(1-Customisation!$H$24*Customisation!$H$12))</f>
        <v>0</v>
      </c>
      <c r="BA18" s="53">
        <f>IF($A18&lt;Customisation!$H$13,I18,I18*(1-Customisation!$H$24*Customisation!$H$12))</f>
        <v>0</v>
      </c>
      <c r="BB18" s="53">
        <f>IF($A18&lt;Customisation!$H$13,J18,J18*(1-Customisation!$H$24*Customisation!$H$12))</f>
        <v>0</v>
      </c>
      <c r="BC18" s="53">
        <f>IF($A18&lt;Customisation!$H$13,K18,K18*(1-Customisation!$H$24*Customisation!$H$12))</f>
        <v>0</v>
      </c>
      <c r="BD18" s="53">
        <f>IF($A18&lt;Customisation!$H$13,L18,L18*(1-Customisation!$H$24*Customisation!$H$12))</f>
        <v>0</v>
      </c>
      <c r="BE18" s="53">
        <f>IF($A18&lt;Customisation!$H$13,M18,M18*(1-Customisation!$H$24*Customisation!$H$12))</f>
        <v>0</v>
      </c>
      <c r="BF18" s="53">
        <f>IF($A18&lt;Customisation!$H$13,N18,N18*(1-Customisation!$H$24*Customisation!$H$12))</f>
        <v>0</v>
      </c>
      <c r="BG18" s="53">
        <f>IF($A18&lt;Customisation!$H$13,O18,O18*(1-Customisation!$H$24*Customisation!$H$12))</f>
        <v>0</v>
      </c>
      <c r="BH18" s="53">
        <f>IF($A18&lt;Customisation!$H$13,P18,P18*(1-Customisation!$H$24*Customisation!$H$12))</f>
        <v>0</v>
      </c>
      <c r="BI18" s="53">
        <f t="shared" si="13"/>
        <v>0</v>
      </c>
      <c r="BJ18" s="53">
        <f t="shared" si="14"/>
        <v>0</v>
      </c>
      <c r="BK18" s="53">
        <f t="shared" si="15"/>
        <v>0</v>
      </c>
      <c r="BL18" s="53">
        <f t="shared" si="16"/>
        <v>0</v>
      </c>
      <c r="BM18" s="53">
        <f t="shared" si="17"/>
        <v>0</v>
      </c>
      <c r="BN18" s="53">
        <f t="shared" si="18"/>
        <v>0</v>
      </c>
      <c r="BO18" s="53">
        <f t="shared" si="19"/>
        <v>0</v>
      </c>
      <c r="BP18" s="53">
        <f t="shared" si="20"/>
        <v>0</v>
      </c>
      <c r="BQ18" s="53">
        <f t="shared" si="21"/>
        <v>0</v>
      </c>
      <c r="BR18" s="53">
        <f t="shared" si="22"/>
        <v>0</v>
      </c>
    </row>
    <row r="19" spans="1:70" ht="14.25" customHeight="1" x14ac:dyDescent="0.3">
      <c r="A19" s="1">
        <f t="shared" si="34"/>
        <v>15</v>
      </c>
      <c r="B19" s="52">
        <f>'Life table'!D17</f>
        <v>0.9852424153396786</v>
      </c>
      <c r="C19" s="52">
        <f>IF($A19&lt;Customisation!$H$13,0,B19)/LOOKUP(Customisation!$H$13,$A$4:$A$104,$B$4:$B$104)</f>
        <v>0.99926018088538404</v>
      </c>
      <c r="D19" s="1">
        <f>IF($A19&lt;=Customisation!$H$13,1,1/(1+Customisation!$H$21)^($A19-Customisation!$H$13))</f>
        <v>0.86383759853147601</v>
      </c>
      <c r="E19" s="1">
        <f t="shared" si="11"/>
        <v>14.859410430839002</v>
      </c>
      <c r="F19" s="1">
        <f t="shared" si="2"/>
        <v>0.86319851496415845</v>
      </c>
      <c r="G19" s="53">
        <f>'Age data'!M23*Customisation!$H$22</f>
        <v>2.1299999999999999E-6</v>
      </c>
      <c r="H19" s="53">
        <f t="shared" si="3"/>
        <v>1.8399740848720439E-6</v>
      </c>
      <c r="I19" s="53">
        <f>'Age data'!N23*Customisation!$H$22</f>
        <v>7.0999999999999998E-7</v>
      </c>
      <c r="J19" s="54">
        <f t="shared" si="4"/>
        <v>6.13324694957348E-7</v>
      </c>
      <c r="K19" s="53">
        <f>I19*'Life table'!I17</f>
        <v>4.5087420041721807E-5</v>
      </c>
      <c r="L19" s="53">
        <f>J19*'Life table'!J17</f>
        <v>1.9195673235390242E-5</v>
      </c>
      <c r="M19" s="53">
        <f t="shared" si="5"/>
        <v>1.2751599999999998E-6</v>
      </c>
      <c r="N19" s="53">
        <f>((G19-I19)*$AW$5+I19*$AW$6)/(1+Customisation!$H$21)^($A19-Customisation!$E$13)</f>
        <v>1.0584689283856811E-6</v>
      </c>
      <c r="O19" s="53">
        <f>G19*Customisation!$H$17</f>
        <v>3.6580620000000001E-3</v>
      </c>
      <c r="P19" s="109">
        <f>O19/(1+Customisation!$H$21)^($A19-Customisation!$E$13)</f>
        <v>3.1599714933592481E-3</v>
      </c>
      <c r="Q19" s="53">
        <f>IF($A19&lt;Customisation!$H$13,G19,G19*(1-Customisation!$H$11*Customisation!$H$12))</f>
        <v>8.9289600000000006E-7</v>
      </c>
      <c r="R19" s="53">
        <f>IF($A19&lt;Customisation!$H$13,H19,H19*(1-Customisation!$H$11*Customisation!$H$12))</f>
        <v>7.7131713637836087E-7</v>
      </c>
      <c r="S19" s="53">
        <f>IF($A19&lt;Customisation!$H$13,I19,I19*(1-Customisation!$H$11*Customisation!$H$12))</f>
        <v>2.97632E-7</v>
      </c>
      <c r="T19" s="53">
        <f>IF($A19&lt;Customisation!$H$13,J19,J19*(1-Customisation!$H$11*Customisation!$H$12))</f>
        <v>2.5710571212612031E-7</v>
      </c>
      <c r="U19" s="53">
        <f>IF($A19&lt;Customisation!$H$13,K19,K19*(1-Customisation!$H$11*Customisation!$H$12))</f>
        <v>1.8900646481489783E-5</v>
      </c>
      <c r="V19" s="53">
        <f>IF($A19&lt;Customisation!$H$13,L19,L19*(1-Customisation!$H$11*Customisation!$H$12))</f>
        <v>8.0468262202755902E-6</v>
      </c>
      <c r="W19" s="53">
        <f>IF($A19&lt;Customisation!$H$13,M19,M19*(1-Customisation!$H$11*Customisation!$H$12))</f>
        <v>5.34547072E-7</v>
      </c>
      <c r="X19" s="53">
        <f>IF($A19&lt;Customisation!$H$13,N19,N19*(1-Customisation!$H$11*Customisation!$H$12))</f>
        <v>4.437101747792775E-7</v>
      </c>
      <c r="Y19" s="53">
        <f>IF($A19&lt;Customisation!$H$13,O19,O19*(1-Customisation!$H$11*Customisation!$H$12))</f>
        <v>1.5334595904000002E-3</v>
      </c>
      <c r="Z19" s="53">
        <f>IF($A19&lt;Customisation!$H$13,P19,P19*(1-Customisation!$H$11*Customisation!$H$12))</f>
        <v>1.3246600500161968E-3</v>
      </c>
      <c r="AA19" s="53">
        <f t="shared" ref="AA19:AJ19" si="37">G19-Q19</f>
        <v>1.2371039999999999E-6</v>
      </c>
      <c r="AB19" s="53">
        <f t="shared" si="37"/>
        <v>1.0686569484936831E-6</v>
      </c>
      <c r="AC19" s="53">
        <f t="shared" si="37"/>
        <v>4.1236799999999998E-7</v>
      </c>
      <c r="AD19" s="53">
        <f t="shared" si="37"/>
        <v>3.5621898283122769E-7</v>
      </c>
      <c r="AE19" s="53">
        <f t="shared" si="37"/>
        <v>2.6186773560232024E-5</v>
      </c>
      <c r="AF19" s="53">
        <f t="shared" si="37"/>
        <v>1.1148847015114652E-5</v>
      </c>
      <c r="AG19" s="53">
        <f t="shared" si="37"/>
        <v>7.4061292799999983E-7</v>
      </c>
      <c r="AH19" s="53">
        <f t="shared" si="37"/>
        <v>6.147587536064036E-7</v>
      </c>
      <c r="AI19" s="53">
        <f t="shared" si="37"/>
        <v>2.1246024095999999E-3</v>
      </c>
      <c r="AJ19" s="53">
        <f t="shared" si="37"/>
        <v>1.8353114433430514E-3</v>
      </c>
      <c r="AK19" s="1"/>
      <c r="AL19" s="55">
        <f t="shared" si="7"/>
        <v>0.21299999999999999</v>
      </c>
      <c r="AM19" s="55">
        <f t="shared" si="8"/>
        <v>8.9289600000000011E-2</v>
      </c>
      <c r="AN19" s="1"/>
      <c r="AO19" s="1"/>
      <c r="AP19" s="1"/>
      <c r="AQ19" s="1"/>
      <c r="AR19" s="1"/>
      <c r="AS19" s="1"/>
      <c r="AT19" s="1"/>
      <c r="AU19" s="1"/>
      <c r="AV19" s="1"/>
      <c r="AW19" s="1"/>
      <c r="AX19" s="1"/>
      <c r="AY19" s="53">
        <f>IF($A19&lt;Customisation!$H$13,G19,G19*(1-Customisation!$H$24*Customisation!$H$12))</f>
        <v>7.6168800000000004E-7</v>
      </c>
      <c r="AZ19" s="53">
        <f>IF($A19&lt;Customisation!$H$13,H19,H19*(1-Customisation!$H$24*Customisation!$H$12))</f>
        <v>6.5797473275024294E-7</v>
      </c>
      <c r="BA19" s="53">
        <f>IF($A19&lt;Customisation!$H$13,I19,I19*(1-Customisation!$H$24*Customisation!$H$12))</f>
        <v>2.5389600000000001E-7</v>
      </c>
      <c r="BB19" s="53">
        <f>IF($A19&lt;Customisation!$H$13,J19,J19*(1-Customisation!$H$24*Customisation!$H$12))</f>
        <v>2.1932491091674765E-7</v>
      </c>
      <c r="BC19" s="53">
        <f>IF($A19&lt;Customisation!$H$13,K19,K19*(1-Customisation!$H$24*Customisation!$H$12))</f>
        <v>1.6123261406919719E-5</v>
      </c>
      <c r="BD19" s="53">
        <f>IF($A19&lt;Customisation!$H$13,L19,L19*(1-Customisation!$H$24*Customisation!$H$12))</f>
        <v>6.8643727489755513E-6</v>
      </c>
      <c r="BE19" s="53">
        <f>IF($A19&lt;Customisation!$H$13,M19,M19*(1-Customisation!$H$24*Customisation!$H$12))</f>
        <v>4.5599721599999997E-7</v>
      </c>
      <c r="BF19" s="53">
        <f>IF($A19&lt;Customisation!$H$13,N19,N19*(1-Customisation!$H$24*Customisation!$H$12))</f>
        <v>3.7850848879071959E-7</v>
      </c>
      <c r="BG19" s="53">
        <f>IF($A19&lt;Customisation!$H$13,O19,O19*(1-Customisation!$H$24*Customisation!$H$12))</f>
        <v>1.3081229712000001E-3</v>
      </c>
      <c r="BH19" s="53">
        <f>IF($A19&lt;Customisation!$H$13,P19,P19*(1-Customisation!$H$24*Customisation!$H$12))</f>
        <v>1.1300058060252673E-3</v>
      </c>
      <c r="BI19" s="53">
        <f t="shared" si="13"/>
        <v>1.3120800000000002E-7</v>
      </c>
      <c r="BJ19" s="53">
        <f t="shared" si="14"/>
        <v>1.1334240362811793E-7</v>
      </c>
      <c r="BK19" s="53">
        <f t="shared" si="15"/>
        <v>4.3735999999999989E-8</v>
      </c>
      <c r="BL19" s="53">
        <f t="shared" si="16"/>
        <v>3.7780801209372653E-8</v>
      </c>
      <c r="BM19" s="53">
        <f t="shared" si="17"/>
        <v>2.7773850745700639E-6</v>
      </c>
      <c r="BN19" s="53">
        <f t="shared" si="18"/>
        <v>1.182453471300039E-6</v>
      </c>
      <c r="BO19" s="53">
        <f t="shared" si="19"/>
        <v>7.8549856000000032E-8</v>
      </c>
      <c r="BP19" s="53">
        <f t="shared" si="20"/>
        <v>6.5201685988557911E-8</v>
      </c>
      <c r="BQ19" s="53">
        <f t="shared" si="21"/>
        <v>2.2533661920000011E-4</v>
      </c>
      <c r="BR19" s="53">
        <f t="shared" si="22"/>
        <v>1.9465424399092951E-4</v>
      </c>
    </row>
    <row r="20" spans="1:70" ht="14.25" customHeight="1" x14ac:dyDescent="0.3">
      <c r="A20" s="1">
        <f t="shared" si="34"/>
        <v>16</v>
      </c>
      <c r="B20" s="52">
        <f>'Life table'!D18</f>
        <v>0.98490743291846305</v>
      </c>
      <c r="C20" s="52">
        <f>IF($A20&lt;Customisation!$H$13,0,B20)/LOOKUP(Customisation!$H$13,$A$4:$A$104,$B$4:$B$104)</f>
        <v>0.99892043242388295</v>
      </c>
      <c r="D20" s="1">
        <f>IF($A20&lt;=Customisation!$H$13,1,1/(1+Customisation!$H$21)^($A20-Customisation!$H$13))</f>
        <v>0.82270247479188197</v>
      </c>
      <c r="E20" s="1">
        <f t="shared" si="11"/>
        <v>15.723248029370477</v>
      </c>
      <c r="F20" s="1">
        <f t="shared" si="2"/>
        <v>0.8218143118753054</v>
      </c>
      <c r="G20" s="53">
        <f>'Age data'!M24*Customisation!$H$22</f>
        <v>2.1299999999999999E-6</v>
      </c>
      <c r="H20" s="53">
        <f t="shared" si="3"/>
        <v>1.7523562713067085E-6</v>
      </c>
      <c r="I20" s="53">
        <f>'Age data'!N24*Customisation!$H$22</f>
        <v>7.0999999999999998E-7</v>
      </c>
      <c r="J20" s="54">
        <f t="shared" si="4"/>
        <v>5.8411875710223615E-7</v>
      </c>
      <c r="K20" s="53">
        <f>I20*'Life table'!I18</f>
        <v>4.4392634237362517E-5</v>
      </c>
      <c r="L20" s="53">
        <f>J20*'Life table'!J18</f>
        <v>1.8232968793979725E-5</v>
      </c>
      <c r="M20" s="53">
        <f t="shared" si="5"/>
        <v>1.2751599999999998E-6</v>
      </c>
      <c r="N20" s="53">
        <f>((G20-I20)*$AW$5+I20*$AW$6)/(1+Customisation!$H$21)^($A20-Customisation!$E$13)</f>
        <v>1.0080656460816011E-6</v>
      </c>
      <c r="O20" s="53">
        <f>G20*Customisation!$H$17</f>
        <v>3.6580620000000001E-3</v>
      </c>
      <c r="P20" s="109">
        <f>O20/(1+Customisation!$H$21)^($A20-Customisation!$E$13)</f>
        <v>3.0094966603421416E-3</v>
      </c>
      <c r="Q20" s="53">
        <f>IF($A20&lt;Customisation!$H$13,G20,G20*(1-Customisation!$H$11*Customisation!$H$12))</f>
        <v>8.9289600000000006E-7</v>
      </c>
      <c r="R20" s="53">
        <f>IF($A20&lt;Customisation!$H$13,H20,H20*(1-Customisation!$H$11*Customisation!$H$12))</f>
        <v>7.3458774893177229E-7</v>
      </c>
      <c r="S20" s="53">
        <f>IF($A20&lt;Customisation!$H$13,I20,I20*(1-Customisation!$H$11*Customisation!$H$12))</f>
        <v>2.97632E-7</v>
      </c>
      <c r="T20" s="53">
        <f>IF($A20&lt;Customisation!$H$13,J20,J20*(1-Customisation!$H$11*Customisation!$H$12))</f>
        <v>2.4486258297725741E-7</v>
      </c>
      <c r="U20" s="53">
        <f>IF($A20&lt;Customisation!$H$13,K20,K20*(1-Customisation!$H$11*Customisation!$H$12))</f>
        <v>1.8609392272302366E-5</v>
      </c>
      <c r="V20" s="53">
        <f>IF($A20&lt;Customisation!$H$13,L20,L20*(1-Customisation!$H$11*Customisation!$H$12))</f>
        <v>7.643260518436301E-6</v>
      </c>
      <c r="W20" s="53">
        <f>IF($A20&lt;Customisation!$H$13,M20,M20*(1-Customisation!$H$11*Customisation!$H$12))</f>
        <v>5.34547072E-7</v>
      </c>
      <c r="X20" s="53">
        <f>IF($A20&lt;Customisation!$H$13,N20,N20*(1-Customisation!$H$11*Customisation!$H$12))</f>
        <v>4.2258111883740721E-7</v>
      </c>
      <c r="Y20" s="53">
        <f>IF($A20&lt;Customisation!$H$13,O20,O20*(1-Customisation!$H$11*Customisation!$H$12))</f>
        <v>1.5334595904000002E-3</v>
      </c>
      <c r="Z20" s="53">
        <f>IF($A20&lt;Customisation!$H$13,P20,P20*(1-Customisation!$H$11*Customisation!$H$12))</f>
        <v>1.2615810000154257E-3</v>
      </c>
      <c r="AA20" s="53">
        <f t="shared" ref="AA20:AJ20" si="38">G20-Q20</f>
        <v>1.2371039999999999E-6</v>
      </c>
      <c r="AB20" s="53">
        <f t="shared" si="38"/>
        <v>1.0177685223749364E-6</v>
      </c>
      <c r="AC20" s="53">
        <f t="shared" si="38"/>
        <v>4.1236799999999998E-7</v>
      </c>
      <c r="AD20" s="53">
        <f t="shared" si="38"/>
        <v>3.3925617412497873E-7</v>
      </c>
      <c r="AE20" s="53">
        <f t="shared" si="38"/>
        <v>2.5783241965060151E-5</v>
      </c>
      <c r="AF20" s="53">
        <f t="shared" si="38"/>
        <v>1.0589708275543424E-5</v>
      </c>
      <c r="AG20" s="53">
        <f t="shared" si="38"/>
        <v>7.4061292799999983E-7</v>
      </c>
      <c r="AH20" s="53">
        <f t="shared" si="38"/>
        <v>5.8548452724419392E-7</v>
      </c>
      <c r="AI20" s="53">
        <f t="shared" si="38"/>
        <v>2.1246024095999999E-3</v>
      </c>
      <c r="AJ20" s="53">
        <f t="shared" si="38"/>
        <v>1.7479156603267159E-3</v>
      </c>
      <c r="AK20" s="1"/>
      <c r="AL20" s="55">
        <f t="shared" si="7"/>
        <v>0.21299999999999999</v>
      </c>
      <c r="AM20" s="55">
        <f t="shared" si="8"/>
        <v>8.9289600000000011E-2</v>
      </c>
      <c r="AN20" s="1"/>
      <c r="AO20" s="1"/>
      <c r="AP20" s="1"/>
      <c r="AQ20" s="1"/>
      <c r="AR20" s="1"/>
      <c r="AS20" s="1"/>
      <c r="AT20" s="1"/>
      <c r="AU20" s="1"/>
      <c r="AV20" s="1"/>
      <c r="AW20" s="1"/>
      <c r="AX20" s="1"/>
      <c r="AY20" s="53">
        <f>IF($A20&lt;Customisation!$H$13,G20,G20*(1-Customisation!$H$24*Customisation!$H$12))</f>
        <v>7.6168800000000004E-7</v>
      </c>
      <c r="AZ20" s="53">
        <f>IF($A20&lt;Customisation!$H$13,H20,H20*(1-Customisation!$H$24*Customisation!$H$12))</f>
        <v>6.2664260261927904E-7</v>
      </c>
      <c r="BA20" s="53">
        <f>IF($A20&lt;Customisation!$H$13,I20,I20*(1-Customisation!$H$24*Customisation!$H$12))</f>
        <v>2.5389600000000001E-7</v>
      </c>
      <c r="BB20" s="53">
        <f>IF($A20&lt;Customisation!$H$13,J20,J20*(1-Customisation!$H$24*Customisation!$H$12))</f>
        <v>2.0888086753975967E-7</v>
      </c>
      <c r="BC20" s="53">
        <f>IF($A20&lt;Customisation!$H$13,K20,K20*(1-Customisation!$H$24*Customisation!$H$12))</f>
        <v>1.5874806003280839E-5</v>
      </c>
      <c r="BD20" s="53">
        <f>IF($A20&lt;Customisation!$H$13,L20,L20*(1-Customisation!$H$24*Customisation!$H$12))</f>
        <v>6.5201096407271505E-6</v>
      </c>
      <c r="BE20" s="53">
        <f>IF($A20&lt;Customisation!$H$13,M20,M20*(1-Customisation!$H$24*Customisation!$H$12))</f>
        <v>4.5599721599999997E-7</v>
      </c>
      <c r="BF20" s="53">
        <f>IF($A20&lt;Customisation!$H$13,N20,N20*(1-Customisation!$H$24*Customisation!$H$12))</f>
        <v>3.6048427503878056E-7</v>
      </c>
      <c r="BG20" s="53">
        <f>IF($A20&lt;Customisation!$H$13,O20,O20*(1-Customisation!$H$24*Customisation!$H$12))</f>
        <v>1.3081229712000001E-3</v>
      </c>
      <c r="BH20" s="53">
        <f>IF($A20&lt;Customisation!$H$13,P20,P20*(1-Customisation!$H$24*Customisation!$H$12))</f>
        <v>1.0761960057383499E-3</v>
      </c>
      <c r="BI20" s="53">
        <f t="shared" si="13"/>
        <v>1.3120800000000002E-7</v>
      </c>
      <c r="BJ20" s="53">
        <f t="shared" si="14"/>
        <v>1.0794514631249325E-7</v>
      </c>
      <c r="BK20" s="53">
        <f t="shared" si="15"/>
        <v>4.3735999999999989E-8</v>
      </c>
      <c r="BL20" s="53">
        <f t="shared" si="16"/>
        <v>3.5981715437497741E-8</v>
      </c>
      <c r="BM20" s="53">
        <f t="shared" si="17"/>
        <v>2.7345862690215274E-6</v>
      </c>
      <c r="BN20" s="53">
        <f t="shared" si="18"/>
        <v>1.1231508777091505E-6</v>
      </c>
      <c r="BO20" s="53">
        <f t="shared" si="19"/>
        <v>7.8549856000000032E-8</v>
      </c>
      <c r="BP20" s="53">
        <f t="shared" si="20"/>
        <v>6.2096843798626645E-8</v>
      </c>
      <c r="BQ20" s="53">
        <f t="shared" si="21"/>
        <v>2.2533661920000011E-4</v>
      </c>
      <c r="BR20" s="53">
        <f t="shared" si="22"/>
        <v>1.8538499427707585E-4</v>
      </c>
    </row>
    <row r="21" spans="1:70" ht="14.25" customHeight="1" x14ac:dyDescent="0.3">
      <c r="A21" s="1">
        <f t="shared" si="34"/>
        <v>17</v>
      </c>
      <c r="B21" s="52">
        <f>'Life table'!D19</f>
        <v>0.98452331901962487</v>
      </c>
      <c r="C21" s="52">
        <f>IF($A21&lt;Customisation!$H$13,0,B21)/LOOKUP(Customisation!$H$13,$A$4:$A$104,$B$4:$B$104)</f>
        <v>0.99853085345523762</v>
      </c>
      <c r="D21" s="1">
        <f>IF($A21&lt;=Customisation!$H$13,1,1/(1+Customisation!$H$21)^($A21-Customisation!$H$13))</f>
        <v>0.78352616646845896</v>
      </c>
      <c r="E21" s="1">
        <f t="shared" si="11"/>
        <v>16.545950504162359</v>
      </c>
      <c r="F21" s="1">
        <f t="shared" si="2"/>
        <v>0.78237505170826094</v>
      </c>
      <c r="G21" s="53">
        <f>'Age data'!M25*Customisation!$H$22</f>
        <v>2.1299999999999999E-6</v>
      </c>
      <c r="H21" s="53">
        <f t="shared" si="3"/>
        <v>1.6689107345778175E-6</v>
      </c>
      <c r="I21" s="53">
        <f>'Age data'!N25*Customisation!$H$22</f>
        <v>7.0999999999999998E-7</v>
      </c>
      <c r="J21" s="54">
        <f t="shared" si="4"/>
        <v>5.563035781926058E-7</v>
      </c>
      <c r="K21" s="53">
        <f>I21*'Life table'!I19</f>
        <v>4.3699815615452546E-5</v>
      </c>
      <c r="L21" s="53">
        <f>J21*'Life table'!J19</f>
        <v>1.7316300528793662E-5</v>
      </c>
      <c r="M21" s="53">
        <f t="shared" si="5"/>
        <v>1.2751599999999998E-6</v>
      </c>
      <c r="N21" s="53">
        <f>((G21-I21)*$AW$5+I21*$AW$6)/(1+Customisation!$H$21)^($A21-Customisation!$E$13)</f>
        <v>9.6006252007771518E-7</v>
      </c>
      <c r="O21" s="53">
        <f>G21*Customisation!$H$17</f>
        <v>3.6580620000000001E-3</v>
      </c>
      <c r="P21" s="109">
        <f>O21/(1+Customisation!$H$21)^($A21-Customisation!$E$13)</f>
        <v>2.8661872955639441E-3</v>
      </c>
      <c r="Q21" s="53">
        <f>IF($A21&lt;Customisation!$H$13,G21,G21*(1-Customisation!$H$11*Customisation!$H$12))</f>
        <v>8.9289600000000006E-7</v>
      </c>
      <c r="R21" s="53">
        <f>IF($A21&lt;Customisation!$H$13,H21,H21*(1-Customisation!$H$11*Customisation!$H$12))</f>
        <v>6.9960737993502117E-7</v>
      </c>
      <c r="S21" s="53">
        <f>IF($A21&lt;Customisation!$H$13,I21,I21*(1-Customisation!$H$11*Customisation!$H$12))</f>
        <v>2.97632E-7</v>
      </c>
      <c r="T21" s="53">
        <f>IF($A21&lt;Customisation!$H$13,J21,J21*(1-Customisation!$H$11*Customisation!$H$12))</f>
        <v>2.3320245997834036E-7</v>
      </c>
      <c r="U21" s="53">
        <f>IF($A21&lt;Customisation!$H$13,K21,K21*(1-Customisation!$H$11*Customisation!$H$12))</f>
        <v>1.8318962705997707E-5</v>
      </c>
      <c r="V21" s="53">
        <f>IF($A21&lt;Customisation!$H$13,L21,L21*(1-Customisation!$H$11*Customisation!$H$12))</f>
        <v>7.2589931816703038E-6</v>
      </c>
      <c r="W21" s="53">
        <f>IF($A21&lt;Customisation!$H$13,M21,M21*(1-Customisation!$H$11*Customisation!$H$12))</f>
        <v>5.34547072E-7</v>
      </c>
      <c r="X21" s="53">
        <f>IF($A21&lt;Customisation!$H$13,N21,N21*(1-Customisation!$H$11*Customisation!$H$12))</f>
        <v>4.0245820841657824E-7</v>
      </c>
      <c r="Y21" s="53">
        <f>IF($A21&lt;Customisation!$H$13,O21,O21*(1-Customisation!$H$11*Customisation!$H$12))</f>
        <v>1.5334595904000002E-3</v>
      </c>
      <c r="Z21" s="53">
        <f>IF($A21&lt;Customisation!$H$13,P21,P21*(1-Customisation!$H$11*Customisation!$H$12))</f>
        <v>1.2015057143004053E-3</v>
      </c>
      <c r="AA21" s="53">
        <f t="shared" ref="AA21:AJ21" si="39">G21-Q21</f>
        <v>1.2371039999999999E-6</v>
      </c>
      <c r="AB21" s="53">
        <f t="shared" si="39"/>
        <v>9.6930335464279623E-7</v>
      </c>
      <c r="AC21" s="53">
        <f t="shared" si="39"/>
        <v>4.1236799999999998E-7</v>
      </c>
      <c r="AD21" s="53">
        <f t="shared" si="39"/>
        <v>3.2310111821426541E-7</v>
      </c>
      <c r="AE21" s="53">
        <f t="shared" si="39"/>
        <v>2.5380852909454839E-5</v>
      </c>
      <c r="AF21" s="53">
        <f t="shared" si="39"/>
        <v>1.0057307347123358E-5</v>
      </c>
      <c r="AG21" s="53">
        <f t="shared" si="39"/>
        <v>7.4061292799999983E-7</v>
      </c>
      <c r="AH21" s="53">
        <f t="shared" si="39"/>
        <v>5.5760431166113699E-7</v>
      </c>
      <c r="AI21" s="53">
        <f t="shared" si="39"/>
        <v>2.1246024095999999E-3</v>
      </c>
      <c r="AJ21" s="53">
        <f t="shared" si="39"/>
        <v>1.6646815812635387E-3</v>
      </c>
      <c r="AK21" s="1"/>
      <c r="AL21" s="55">
        <f t="shared" si="7"/>
        <v>0.21299999999999999</v>
      </c>
      <c r="AM21" s="55">
        <f t="shared" si="8"/>
        <v>8.9289600000000011E-2</v>
      </c>
      <c r="AN21" s="1"/>
      <c r="AO21" s="1"/>
      <c r="AP21" s="1"/>
      <c r="AQ21" s="1"/>
      <c r="AR21" s="1"/>
      <c r="AS21" s="1"/>
      <c r="AT21" s="1"/>
      <c r="AU21" s="1"/>
      <c r="AV21" s="1"/>
      <c r="AW21" s="1"/>
      <c r="AX21" s="1"/>
      <c r="AY21" s="53">
        <f>IF($A21&lt;Customisation!$H$13,G21,G21*(1-Customisation!$H$24*Customisation!$H$12))</f>
        <v>7.6168800000000004E-7</v>
      </c>
      <c r="AZ21" s="53">
        <f>IF($A21&lt;Customisation!$H$13,H21,H21*(1-Customisation!$H$24*Customisation!$H$12))</f>
        <v>5.9680247868502756E-7</v>
      </c>
      <c r="BA21" s="53">
        <f>IF($A21&lt;Customisation!$H$13,I21,I21*(1-Customisation!$H$24*Customisation!$H$12))</f>
        <v>2.5389600000000001E-7</v>
      </c>
      <c r="BB21" s="53">
        <f>IF($A21&lt;Customisation!$H$13,J21,J21*(1-Customisation!$H$24*Customisation!$H$12))</f>
        <v>1.9893415956167585E-7</v>
      </c>
      <c r="BC21" s="53">
        <f>IF($A21&lt;Customisation!$H$13,K21,K21*(1-Customisation!$H$24*Customisation!$H$12))</f>
        <v>1.5627054064085831E-5</v>
      </c>
      <c r="BD21" s="53">
        <f>IF($A21&lt;Customisation!$H$13,L21,L21*(1-Customisation!$H$24*Customisation!$H$12))</f>
        <v>6.192309069096614E-6</v>
      </c>
      <c r="BE21" s="53">
        <f>IF($A21&lt;Customisation!$H$13,M21,M21*(1-Customisation!$H$24*Customisation!$H$12))</f>
        <v>4.5599721599999997E-7</v>
      </c>
      <c r="BF21" s="53">
        <f>IF($A21&lt;Customisation!$H$13,N21,N21*(1-Customisation!$H$24*Customisation!$H$12))</f>
        <v>3.43318357179791E-7</v>
      </c>
      <c r="BG21" s="53">
        <f>IF($A21&lt;Customisation!$H$13,O21,O21*(1-Customisation!$H$24*Customisation!$H$12))</f>
        <v>1.3081229712000001E-3</v>
      </c>
      <c r="BH21" s="53">
        <f>IF($A21&lt;Customisation!$H$13,P21,P21*(1-Customisation!$H$24*Customisation!$H$12))</f>
        <v>1.0249485768936664E-3</v>
      </c>
      <c r="BI21" s="53">
        <f t="shared" si="13"/>
        <v>1.3120800000000002E-7</v>
      </c>
      <c r="BJ21" s="53">
        <f t="shared" si="14"/>
        <v>1.0280490124999361E-7</v>
      </c>
      <c r="BK21" s="53">
        <f t="shared" si="15"/>
        <v>4.3735999999999989E-8</v>
      </c>
      <c r="BL21" s="53">
        <f t="shared" si="16"/>
        <v>3.4268300416664509E-8</v>
      </c>
      <c r="BM21" s="53">
        <f t="shared" si="17"/>
        <v>2.6919086419118766E-6</v>
      </c>
      <c r="BN21" s="53">
        <f t="shared" si="18"/>
        <v>1.0666841125736898E-6</v>
      </c>
      <c r="BO21" s="53">
        <f t="shared" si="19"/>
        <v>7.8549856000000032E-8</v>
      </c>
      <c r="BP21" s="53">
        <f t="shared" si="20"/>
        <v>5.9139851236787241E-8</v>
      </c>
      <c r="BQ21" s="53">
        <f t="shared" si="21"/>
        <v>2.2533661920000011E-4</v>
      </c>
      <c r="BR21" s="53">
        <f t="shared" si="22"/>
        <v>1.7655713740673891E-4</v>
      </c>
    </row>
    <row r="22" spans="1:70" ht="14.25" customHeight="1" x14ac:dyDescent="0.3">
      <c r="A22" s="1">
        <f t="shared" si="34"/>
        <v>18</v>
      </c>
      <c r="B22" s="52">
        <f>'Life table'!D20</f>
        <v>0.98409012875925628</v>
      </c>
      <c r="C22" s="52">
        <f>IF($A22&lt;Customisation!$H$13,0,B22)/LOOKUP(Customisation!$H$13,$A$4:$A$104,$B$4:$B$104)</f>
        <v>0.99809149987971735</v>
      </c>
      <c r="D22" s="1">
        <f>IF($A22&lt;=Customisation!$H$13,1,1/(1+Customisation!$H$21)^($A22-Customisation!$H$13))</f>
        <v>0.74621539663662761</v>
      </c>
      <c r="E22" s="1">
        <f t="shared" si="11"/>
        <v>17.329476670630818</v>
      </c>
      <c r="F22" s="1">
        <f t="shared" si="2"/>
        <v>0.74479124446238987</v>
      </c>
      <c r="G22" s="53">
        <f>'Age data'!M26*Customisation!$H$22</f>
        <v>2.1299999999999999E-6</v>
      </c>
      <c r="H22" s="53">
        <f t="shared" si="3"/>
        <v>1.5894387948360167E-6</v>
      </c>
      <c r="I22" s="53">
        <f>'Age data'!N26*Customisation!$H$22</f>
        <v>7.0999999999999998E-7</v>
      </c>
      <c r="J22" s="54">
        <f t="shared" si="4"/>
        <v>5.2981293161200555E-7</v>
      </c>
      <c r="K22" s="53">
        <f>I22*'Life table'!I20</f>
        <v>4.3008895729573547E-5</v>
      </c>
      <c r="L22" s="53">
        <f>J22*'Life table'!J20</f>
        <v>1.64434780509568E-5</v>
      </c>
      <c r="M22" s="53">
        <f t="shared" si="5"/>
        <v>1.2751599999999998E-6</v>
      </c>
      <c r="N22" s="53">
        <f>((G22-I22)*$AW$5+I22*$AW$6)/(1+Customisation!$H$21)^($A22-Customisation!$E$13)</f>
        <v>9.143452572168717E-7</v>
      </c>
      <c r="O22" s="53">
        <f>G22*Customisation!$H$17</f>
        <v>3.6580620000000001E-3</v>
      </c>
      <c r="P22" s="109">
        <f>O22/(1+Customisation!$H$21)^($A22-Customisation!$E$13)</f>
        <v>2.7297021862513755E-3</v>
      </c>
      <c r="Q22" s="53">
        <f>IF($A22&lt;Customisation!$H$13,G22,G22*(1-Customisation!$H$11*Customisation!$H$12))</f>
        <v>8.9289600000000006E-7</v>
      </c>
      <c r="R22" s="53">
        <f>IF($A22&lt;Customisation!$H$13,H22,H22*(1-Customisation!$H$11*Customisation!$H$12))</f>
        <v>6.6629274279525828E-7</v>
      </c>
      <c r="S22" s="53">
        <f>IF($A22&lt;Customisation!$H$13,I22,I22*(1-Customisation!$H$11*Customisation!$H$12))</f>
        <v>2.97632E-7</v>
      </c>
      <c r="T22" s="53">
        <f>IF($A22&lt;Customisation!$H$13,J22,J22*(1-Customisation!$H$11*Customisation!$H$12))</f>
        <v>2.2209758093175273E-7</v>
      </c>
      <c r="U22" s="53">
        <f>IF($A22&lt;Customisation!$H$13,K22,K22*(1-Customisation!$H$11*Customisation!$H$12))</f>
        <v>1.8029329089837232E-5</v>
      </c>
      <c r="V22" s="53">
        <f>IF($A22&lt;Customisation!$H$13,L22,L22*(1-Customisation!$H$11*Customisation!$H$12))</f>
        <v>6.8931059989610911E-6</v>
      </c>
      <c r="W22" s="53">
        <f>IF($A22&lt;Customisation!$H$13,M22,M22*(1-Customisation!$H$11*Customisation!$H$12))</f>
        <v>5.34547072E-7</v>
      </c>
      <c r="X22" s="53">
        <f>IF($A22&lt;Customisation!$H$13,N22,N22*(1-Customisation!$H$11*Customisation!$H$12))</f>
        <v>3.8329353182531262E-7</v>
      </c>
      <c r="Y22" s="53">
        <f>IF($A22&lt;Customisation!$H$13,O22,O22*(1-Customisation!$H$11*Customisation!$H$12))</f>
        <v>1.5334595904000002E-3</v>
      </c>
      <c r="Z22" s="53">
        <f>IF($A22&lt;Customisation!$H$13,P22,P22*(1-Customisation!$H$11*Customisation!$H$12))</f>
        <v>1.1442911564765767E-3</v>
      </c>
      <c r="AA22" s="53">
        <f t="shared" ref="AA22:AJ22" si="40">G22-Q22</f>
        <v>1.2371039999999999E-6</v>
      </c>
      <c r="AB22" s="53">
        <f t="shared" si="40"/>
        <v>9.2314605204075846E-7</v>
      </c>
      <c r="AC22" s="53">
        <f t="shared" si="40"/>
        <v>4.1236799999999998E-7</v>
      </c>
      <c r="AD22" s="53">
        <f t="shared" si="40"/>
        <v>3.0771535068025282E-7</v>
      </c>
      <c r="AE22" s="53">
        <f t="shared" si="40"/>
        <v>2.4979566639736315E-5</v>
      </c>
      <c r="AF22" s="53">
        <f t="shared" si="40"/>
        <v>9.5503720519957097E-6</v>
      </c>
      <c r="AG22" s="53">
        <f t="shared" si="40"/>
        <v>7.4061292799999983E-7</v>
      </c>
      <c r="AH22" s="53">
        <f t="shared" si="40"/>
        <v>5.3105172539155908E-7</v>
      </c>
      <c r="AI22" s="53">
        <f t="shared" si="40"/>
        <v>2.1246024095999999E-3</v>
      </c>
      <c r="AJ22" s="53">
        <f t="shared" si="40"/>
        <v>1.5854110297747988E-3</v>
      </c>
      <c r="AK22" s="1"/>
      <c r="AL22" s="55">
        <f t="shared" si="7"/>
        <v>0.21299999999999999</v>
      </c>
      <c r="AM22" s="55">
        <f t="shared" si="8"/>
        <v>8.9289600000000011E-2</v>
      </c>
      <c r="AN22" s="1"/>
      <c r="AO22" s="1"/>
      <c r="AP22" s="1"/>
      <c r="AQ22" s="1"/>
      <c r="AR22" s="1"/>
      <c r="AS22" s="1"/>
      <c r="AT22" s="1"/>
      <c r="AU22" s="1"/>
      <c r="AV22" s="1"/>
      <c r="AW22" s="1"/>
      <c r="AX22" s="1"/>
      <c r="AY22" s="53">
        <f>IF($A22&lt;Customisation!$H$13,G22,G22*(1-Customisation!$H$24*Customisation!$H$12))</f>
        <v>7.6168800000000004E-7</v>
      </c>
      <c r="AZ22" s="53">
        <f>IF($A22&lt;Customisation!$H$13,H22,H22*(1-Customisation!$H$24*Customisation!$H$12))</f>
        <v>5.6838331303335961E-7</v>
      </c>
      <c r="BA22" s="53">
        <f>IF($A22&lt;Customisation!$H$13,I22,I22*(1-Customisation!$H$24*Customisation!$H$12))</f>
        <v>2.5389600000000001E-7</v>
      </c>
      <c r="BB22" s="53">
        <f>IF($A22&lt;Customisation!$H$13,J22,J22*(1-Customisation!$H$24*Customisation!$H$12))</f>
        <v>1.8946110434445319E-7</v>
      </c>
      <c r="BC22" s="53">
        <f>IF($A22&lt;Customisation!$H$13,K22,K22*(1-Customisation!$H$24*Customisation!$H$12))</f>
        <v>1.5379981112895502E-5</v>
      </c>
      <c r="BD22" s="53">
        <f>IF($A22&lt;Customisation!$H$13,L22,L22*(1-Customisation!$H$24*Customisation!$H$12))</f>
        <v>5.8801877510221518E-6</v>
      </c>
      <c r="BE22" s="53">
        <f>IF($A22&lt;Customisation!$H$13,M22,M22*(1-Customisation!$H$24*Customisation!$H$12))</f>
        <v>4.5599721599999997E-7</v>
      </c>
      <c r="BF22" s="53">
        <f>IF($A22&lt;Customisation!$H$13,N22,N22*(1-Customisation!$H$24*Customisation!$H$12))</f>
        <v>3.2696986398075335E-7</v>
      </c>
      <c r="BG22" s="53">
        <f>IF($A22&lt;Customisation!$H$13,O22,O22*(1-Customisation!$H$24*Customisation!$H$12))</f>
        <v>1.3081229712000001E-3</v>
      </c>
      <c r="BH22" s="53">
        <f>IF($A22&lt;Customisation!$H$13,P22,P22*(1-Customisation!$H$24*Customisation!$H$12))</f>
        <v>9.7614150180349191E-4</v>
      </c>
      <c r="BI22" s="53">
        <f t="shared" si="13"/>
        <v>1.3120800000000002E-7</v>
      </c>
      <c r="BJ22" s="53">
        <f t="shared" si="14"/>
        <v>9.7909429761898673E-8</v>
      </c>
      <c r="BK22" s="53">
        <f t="shared" si="15"/>
        <v>4.3735999999999989E-8</v>
      </c>
      <c r="BL22" s="53">
        <f t="shared" si="16"/>
        <v>3.263647658729954E-8</v>
      </c>
      <c r="BM22" s="53">
        <f t="shared" si="17"/>
        <v>2.6493479769417301E-6</v>
      </c>
      <c r="BN22" s="53">
        <f t="shared" si="18"/>
        <v>1.0129182479389393E-6</v>
      </c>
      <c r="BO22" s="53">
        <f t="shared" si="19"/>
        <v>7.8549856000000032E-8</v>
      </c>
      <c r="BP22" s="53">
        <f t="shared" si="20"/>
        <v>5.6323667844559272E-8</v>
      </c>
      <c r="BQ22" s="53">
        <f t="shared" si="21"/>
        <v>2.2533661920000011E-4</v>
      </c>
      <c r="BR22" s="53">
        <f t="shared" si="22"/>
        <v>1.6814965467308476E-4</v>
      </c>
    </row>
    <row r="23" spans="1:70" ht="14.25" customHeight="1" x14ac:dyDescent="0.3">
      <c r="A23" s="1">
        <f t="shared" si="34"/>
        <v>19</v>
      </c>
      <c r="B23" s="52">
        <f>'Life table'!D21</f>
        <v>0.98361776549745183</v>
      </c>
      <c r="C23" s="52">
        <f>IF($A23&lt;Customisation!$H$13,0,B23)/LOOKUP(Customisation!$H$13,$A$4:$A$104,$B$4:$B$104)</f>
        <v>0.99761241595977512</v>
      </c>
      <c r="D23" s="1">
        <f>IF($A23&lt;=Customisation!$H$13,1,1/(1+Customisation!$H$21)^($A23-Customisation!$H$13))</f>
        <v>0.71068133013012147</v>
      </c>
      <c r="E23" s="1">
        <f t="shared" si="11"/>
        <v>18.075692067267447</v>
      </c>
      <c r="F23" s="1">
        <f t="shared" si="2"/>
        <v>0.70898451872861701</v>
      </c>
      <c r="G23" s="53">
        <f>'Age data'!M27*Customisation!$H$22</f>
        <v>2.1299999999999999E-6</v>
      </c>
      <c r="H23" s="53">
        <f t="shared" si="3"/>
        <v>1.5137512331771587E-6</v>
      </c>
      <c r="I23" s="53">
        <f>'Age data'!N27*Customisation!$H$22</f>
        <v>7.0999999999999998E-7</v>
      </c>
      <c r="J23" s="54">
        <f t="shared" si="4"/>
        <v>5.0458374439238622E-7</v>
      </c>
      <c r="K23" s="53">
        <f>I23*'Life table'!I21</f>
        <v>4.2319379431700766E-5</v>
      </c>
      <c r="L23" s="53">
        <f>J23*'Life table'!J21</f>
        <v>1.5612384429256426E-5</v>
      </c>
      <c r="M23" s="53">
        <f t="shared" si="5"/>
        <v>1.2751599999999998E-6</v>
      </c>
      <c r="N23" s="53">
        <f>((G23-I23)*$AW$5+I23*$AW$6)/(1+Customisation!$H$21)^($A23-Customisation!$E$13)</f>
        <v>8.7080500687321097E-7</v>
      </c>
      <c r="O23" s="53">
        <f>G23*Customisation!$H$17</f>
        <v>3.6580620000000001E-3</v>
      </c>
      <c r="P23" s="109">
        <f>O23/(1+Customisation!$H$21)^($A23-Customisation!$E$13)</f>
        <v>2.5997163678584522E-3</v>
      </c>
      <c r="Q23" s="53">
        <f>IF($A23&lt;Customisation!$H$13,G23,G23*(1-Customisation!$H$11*Customisation!$H$12))</f>
        <v>8.9289600000000006E-7</v>
      </c>
      <c r="R23" s="53">
        <f>IF($A23&lt;Customisation!$H$13,H23,H23*(1-Customisation!$H$11*Customisation!$H$12))</f>
        <v>6.3456451694786498E-7</v>
      </c>
      <c r="S23" s="53">
        <f>IF($A23&lt;Customisation!$H$13,I23,I23*(1-Customisation!$H$11*Customisation!$H$12))</f>
        <v>2.97632E-7</v>
      </c>
      <c r="T23" s="53">
        <f>IF($A23&lt;Customisation!$H$13,J23,J23*(1-Customisation!$H$11*Customisation!$H$12))</f>
        <v>2.1152150564928833E-7</v>
      </c>
      <c r="U23" s="53">
        <f>IF($A23&lt;Customisation!$H$13,K23,K23*(1-Customisation!$H$11*Customisation!$H$12))</f>
        <v>1.7740283857768961E-5</v>
      </c>
      <c r="V23" s="53">
        <f>IF($A23&lt;Customisation!$H$13,L23,L23*(1-Customisation!$H$11*Customisation!$H$12))</f>
        <v>6.5447115527442935E-6</v>
      </c>
      <c r="W23" s="53">
        <f>IF($A23&lt;Customisation!$H$13,M23,M23*(1-Customisation!$H$11*Customisation!$H$12))</f>
        <v>5.34547072E-7</v>
      </c>
      <c r="X23" s="53">
        <f>IF($A23&lt;Customisation!$H$13,N23,N23*(1-Customisation!$H$11*Customisation!$H$12))</f>
        <v>3.6504145888125005E-7</v>
      </c>
      <c r="Y23" s="53">
        <f>IF($A23&lt;Customisation!$H$13,O23,O23*(1-Customisation!$H$11*Customisation!$H$12))</f>
        <v>1.5334595904000002E-3</v>
      </c>
      <c r="Z23" s="53">
        <f>IF($A23&lt;Customisation!$H$13,P23,P23*(1-Customisation!$H$11*Customisation!$H$12))</f>
        <v>1.0898011014062632E-3</v>
      </c>
      <c r="AA23" s="53">
        <f t="shared" ref="AA23:AJ23" si="41">G23-Q23</f>
        <v>1.2371039999999999E-6</v>
      </c>
      <c r="AB23" s="53">
        <f t="shared" si="41"/>
        <v>8.791867162292937E-7</v>
      </c>
      <c r="AC23" s="53">
        <f t="shared" si="41"/>
        <v>4.1236799999999998E-7</v>
      </c>
      <c r="AD23" s="53">
        <f t="shared" si="41"/>
        <v>2.930622387430979E-7</v>
      </c>
      <c r="AE23" s="53">
        <f t="shared" si="41"/>
        <v>2.4579095573931805E-5</v>
      </c>
      <c r="AF23" s="53">
        <f t="shared" si="41"/>
        <v>9.0676728765121313E-6</v>
      </c>
      <c r="AG23" s="53">
        <f t="shared" si="41"/>
        <v>7.4061292799999983E-7</v>
      </c>
      <c r="AH23" s="53">
        <f t="shared" si="41"/>
        <v>5.0576354799196092E-7</v>
      </c>
      <c r="AI23" s="53">
        <f t="shared" si="41"/>
        <v>2.1246024095999999E-3</v>
      </c>
      <c r="AJ23" s="53">
        <f t="shared" si="41"/>
        <v>1.509915266452189E-3</v>
      </c>
      <c r="AK23" s="1"/>
      <c r="AL23" s="55">
        <f t="shared" si="7"/>
        <v>0.21299999999999999</v>
      </c>
      <c r="AM23" s="55">
        <f t="shared" si="8"/>
        <v>8.9289600000000011E-2</v>
      </c>
      <c r="AN23" s="1"/>
      <c r="AO23" s="1"/>
      <c r="AP23" s="1"/>
      <c r="AQ23" s="1"/>
      <c r="AR23" s="1"/>
      <c r="AS23" s="1"/>
      <c r="AT23" s="1"/>
      <c r="AU23" s="1"/>
      <c r="AV23" s="1"/>
      <c r="AW23" s="1"/>
      <c r="AX23" s="1"/>
      <c r="AY23" s="53">
        <f>IF($A23&lt;Customisation!$H$13,G23,G23*(1-Customisation!$H$24*Customisation!$H$12))</f>
        <v>7.6168800000000004E-7</v>
      </c>
      <c r="AZ23" s="53">
        <f>IF($A23&lt;Customisation!$H$13,H23,H23*(1-Customisation!$H$24*Customisation!$H$12))</f>
        <v>5.4131744098415197E-7</v>
      </c>
      <c r="BA23" s="53">
        <f>IF($A23&lt;Customisation!$H$13,I23,I23*(1-Customisation!$H$24*Customisation!$H$12))</f>
        <v>2.5389600000000001E-7</v>
      </c>
      <c r="BB23" s="53">
        <f>IF($A23&lt;Customisation!$H$13,J23,J23*(1-Customisation!$H$24*Customisation!$H$12))</f>
        <v>1.8043914699471732E-7</v>
      </c>
      <c r="BC23" s="53">
        <f>IF($A23&lt;Customisation!$H$13,K23,K23*(1-Customisation!$H$24*Customisation!$H$12))</f>
        <v>1.5133410084776196E-5</v>
      </c>
      <c r="BD23" s="53">
        <f>IF($A23&lt;Customisation!$H$13,L23,L23*(1-Customisation!$H$24*Customisation!$H$12))</f>
        <v>5.5829886719020984E-6</v>
      </c>
      <c r="BE23" s="53">
        <f>IF($A23&lt;Customisation!$H$13,M23,M23*(1-Customisation!$H$24*Customisation!$H$12))</f>
        <v>4.5599721599999997E-7</v>
      </c>
      <c r="BF23" s="53">
        <f>IF($A23&lt;Customisation!$H$13,N23,N23*(1-Customisation!$H$24*Customisation!$H$12))</f>
        <v>3.1139987045786027E-7</v>
      </c>
      <c r="BG23" s="53">
        <f>IF($A23&lt;Customisation!$H$13,O23,O23*(1-Customisation!$H$24*Customisation!$H$12))</f>
        <v>1.3081229712000001E-3</v>
      </c>
      <c r="BH23" s="53">
        <f>IF($A23&lt;Customisation!$H$13,P23,P23*(1-Customisation!$H$24*Customisation!$H$12))</f>
        <v>9.2965857314618262E-4</v>
      </c>
      <c r="BI23" s="53">
        <f t="shared" si="13"/>
        <v>1.3120800000000002E-7</v>
      </c>
      <c r="BJ23" s="53">
        <f t="shared" si="14"/>
        <v>9.3247075963713002E-8</v>
      </c>
      <c r="BK23" s="53">
        <f t="shared" si="15"/>
        <v>4.3735999999999989E-8</v>
      </c>
      <c r="BL23" s="53">
        <f t="shared" si="16"/>
        <v>3.1082358654571009E-8</v>
      </c>
      <c r="BM23" s="53">
        <f t="shared" si="17"/>
        <v>2.6068737729927655E-6</v>
      </c>
      <c r="BN23" s="53">
        <f t="shared" si="18"/>
        <v>9.6172288084219515E-7</v>
      </c>
      <c r="BO23" s="53">
        <f t="shared" si="19"/>
        <v>7.8549856000000032E-8</v>
      </c>
      <c r="BP23" s="53">
        <f t="shared" si="20"/>
        <v>5.3641588423389775E-8</v>
      </c>
      <c r="BQ23" s="53">
        <f t="shared" si="21"/>
        <v>2.2533661920000011E-4</v>
      </c>
      <c r="BR23" s="53">
        <f t="shared" si="22"/>
        <v>1.6014252826008059E-4</v>
      </c>
    </row>
    <row r="24" spans="1:70" ht="14.25" customHeight="1" x14ac:dyDescent="0.3">
      <c r="A24" s="1">
        <f t="shared" si="34"/>
        <v>20</v>
      </c>
      <c r="B24" s="52">
        <f>'Life table'!D22</f>
        <v>0.98310628425939317</v>
      </c>
      <c r="C24" s="52">
        <f>IF($A24&lt;Customisation!$H$13,0,B24)/LOOKUP(Customisation!$H$13,$A$4:$A$104,$B$4:$B$104)</f>
        <v>0.99709365750347601</v>
      </c>
      <c r="D24" s="1">
        <f>IF($A24&lt;=Customisation!$H$13,1,1/(1+Customisation!$H$21)^($A24-Customisation!$H$13))</f>
        <v>0.67683936202868722</v>
      </c>
      <c r="E24" s="1">
        <f t="shared" si="11"/>
        <v>18.786373397397568</v>
      </c>
      <c r="F24" s="1">
        <f t="shared" si="2"/>
        <v>0.67487223502750304</v>
      </c>
      <c r="G24" s="53">
        <f>'Age data'!M28*Customisation!$H$22</f>
        <v>2.6269999999999998E-5</v>
      </c>
      <c r="H24" s="53">
        <f t="shared" si="3"/>
        <v>1.7780570040493611E-5</v>
      </c>
      <c r="I24" s="53">
        <f>'Age data'!N28*Customisation!$H$22</f>
        <v>3.5500000000000003E-6</v>
      </c>
      <c r="J24" s="54">
        <f t="shared" si="4"/>
        <v>2.4027797352018399E-6</v>
      </c>
      <c r="K24" s="53">
        <f>I24*'Life table'!I22</f>
        <v>2.0815606131038527E-4</v>
      </c>
      <c r="L24" s="53">
        <f>J24*'Life table'!J22</f>
        <v>7.4105167316598953E-5</v>
      </c>
      <c r="M24" s="53">
        <f t="shared" si="5"/>
        <v>1.3935879999999998E-5</v>
      </c>
      <c r="N24" s="53">
        <f>((G24-I24)*$AW$5+I24*$AW$6)/(1+Customisation!$H$21)^($A24-Customisation!$E$13)</f>
        <v>9.0284347450633462E-6</v>
      </c>
      <c r="O24" s="53">
        <f>G24*Customisation!$H$17</f>
        <v>4.5116098E-2</v>
      </c>
      <c r="P24" s="109">
        <f>O24/(1+Customisation!$H$21)^($A24-Customisation!$E$13)</f>
        <v>3.0536350987543731E-2</v>
      </c>
      <c r="Q24" s="53">
        <f>IF($A24&lt;Customisation!$H$13,G24,G24*(1-Customisation!$H$11*Customisation!$H$12))</f>
        <v>1.1012383999999999E-5</v>
      </c>
      <c r="R24" s="53">
        <f>IF($A24&lt;Customisation!$H$13,H24,H24*(1-Customisation!$H$11*Customisation!$H$12))</f>
        <v>7.4536149609749224E-6</v>
      </c>
      <c r="S24" s="53">
        <f>IF($A24&lt;Customisation!$H$13,I24,I24*(1-Customisation!$H$11*Customisation!$H$12))</f>
        <v>1.4881600000000002E-6</v>
      </c>
      <c r="T24" s="53">
        <f>IF($A24&lt;Customisation!$H$13,J24,J24*(1-Customisation!$H$11*Customisation!$H$12))</f>
        <v>1.0072452649966113E-6</v>
      </c>
      <c r="U24" s="53">
        <f>IF($A24&lt;Customisation!$H$13,K24,K24*(1-Customisation!$H$11*Customisation!$H$12))</f>
        <v>8.7259020901313503E-5</v>
      </c>
      <c r="V24" s="53">
        <f>IF($A24&lt;Customisation!$H$13,L24,L24*(1-Customisation!$H$11*Customisation!$H$12))</f>
        <v>3.106488613911828E-5</v>
      </c>
      <c r="W24" s="53">
        <f>IF($A24&lt;Customisation!$H$13,M24,M24*(1-Customisation!$H$11*Customisation!$H$12))</f>
        <v>5.8419208959999995E-6</v>
      </c>
      <c r="X24" s="53">
        <f>IF($A24&lt;Customisation!$H$13,N24,N24*(1-Customisation!$H$11*Customisation!$H$12))</f>
        <v>3.7847198451305547E-6</v>
      </c>
      <c r="Y24" s="53">
        <f>IF($A24&lt;Customisation!$H$13,O24,O24*(1-Customisation!$H$11*Customisation!$H$12))</f>
        <v>1.8912668281600001E-2</v>
      </c>
      <c r="Z24" s="53">
        <f>IF($A24&lt;Customisation!$H$13,P24,P24*(1-Customisation!$H$11*Customisation!$H$12))</f>
        <v>1.2800838333978333E-2</v>
      </c>
      <c r="AA24" s="53">
        <f t="shared" ref="AA24:AJ24" si="42">G24-Q24</f>
        <v>1.5257615999999998E-5</v>
      </c>
      <c r="AB24" s="53">
        <f t="shared" si="42"/>
        <v>1.0326955079518689E-5</v>
      </c>
      <c r="AC24" s="53">
        <f t="shared" si="42"/>
        <v>2.0618400000000002E-6</v>
      </c>
      <c r="AD24" s="53">
        <f t="shared" si="42"/>
        <v>1.3955344702052286E-6</v>
      </c>
      <c r="AE24" s="53">
        <f t="shared" si="42"/>
        <v>1.2089704040907176E-4</v>
      </c>
      <c r="AF24" s="53">
        <f t="shared" si="42"/>
        <v>4.3040281177480673E-5</v>
      </c>
      <c r="AG24" s="53">
        <f t="shared" si="42"/>
        <v>8.0939591039999981E-6</v>
      </c>
      <c r="AH24" s="53">
        <f t="shared" si="42"/>
        <v>5.243714899932791E-6</v>
      </c>
      <c r="AI24" s="53">
        <f t="shared" si="42"/>
        <v>2.62034297184E-2</v>
      </c>
      <c r="AJ24" s="53">
        <f t="shared" si="42"/>
        <v>1.7735512653565398E-2</v>
      </c>
      <c r="AK24" s="1"/>
      <c r="AL24" s="55">
        <f t="shared" si="7"/>
        <v>2.6269999999999998</v>
      </c>
      <c r="AM24" s="55">
        <f t="shared" si="8"/>
        <v>1.1012384</v>
      </c>
      <c r="AN24" s="1"/>
      <c r="AO24" s="1"/>
      <c r="AP24" s="1"/>
      <c r="AQ24" s="1"/>
      <c r="AR24" s="1"/>
      <c r="AS24" s="1"/>
      <c r="AT24" s="1"/>
      <c r="AU24" s="1"/>
      <c r="AV24" s="1"/>
      <c r="AW24" s="1"/>
      <c r="AX24" s="1"/>
      <c r="AY24" s="53">
        <f>IF($A24&lt;Customisation!$H$13,G24,G24*(1-Customisation!$H$24*Customisation!$H$12))</f>
        <v>9.3941519999999993E-6</v>
      </c>
      <c r="AZ24" s="53">
        <f>IF($A24&lt;Customisation!$H$13,H24,H24*(1-Customisation!$H$24*Customisation!$H$12))</f>
        <v>6.3583318464805162E-6</v>
      </c>
      <c r="BA24" s="53">
        <f>IF($A24&lt;Customisation!$H$13,I24,I24*(1-Customisation!$H$24*Customisation!$H$12))</f>
        <v>1.2694800000000002E-6</v>
      </c>
      <c r="BB24" s="53">
        <f>IF($A24&lt;Customisation!$H$13,J24,J24*(1-Customisation!$H$24*Customisation!$H$12))</f>
        <v>8.5923403330817797E-7</v>
      </c>
      <c r="BC24" s="53">
        <f>IF($A24&lt;Customisation!$H$13,K24,K24*(1-Customisation!$H$24*Customisation!$H$12))</f>
        <v>7.4436607524593773E-5</v>
      </c>
      <c r="BD24" s="53">
        <f>IF($A24&lt;Customisation!$H$13,L24,L24*(1-Customisation!$H$24*Customisation!$H$12))</f>
        <v>2.6500007832415787E-5</v>
      </c>
      <c r="BE24" s="53">
        <f>IF($A24&lt;Customisation!$H$13,M24,M24*(1-Customisation!$H$24*Customisation!$H$12))</f>
        <v>4.9834706880000002E-6</v>
      </c>
      <c r="BF24" s="53">
        <f>IF($A24&lt;Customisation!$H$13,N24,N24*(1-Customisation!$H$24*Customisation!$H$12))</f>
        <v>3.2285682648346527E-6</v>
      </c>
      <c r="BG24" s="53">
        <f>IF($A24&lt;Customisation!$H$13,O24,O24*(1-Customisation!$H$24*Customisation!$H$12))</f>
        <v>1.6133516644800002E-2</v>
      </c>
      <c r="BH24" s="53">
        <f>IF($A24&lt;Customisation!$H$13,P24,P24*(1-Customisation!$H$24*Customisation!$H$12))</f>
        <v>1.091979911314564E-2</v>
      </c>
      <c r="BI24" s="53">
        <f t="shared" si="13"/>
        <v>1.6182320000000001E-6</v>
      </c>
      <c r="BJ24" s="53">
        <f t="shared" si="14"/>
        <v>1.0952831144944062E-6</v>
      </c>
      <c r="BK24" s="53">
        <f t="shared" si="15"/>
        <v>2.1868E-7</v>
      </c>
      <c r="BL24" s="53">
        <f t="shared" si="16"/>
        <v>1.4801123168843331E-7</v>
      </c>
      <c r="BM24" s="53">
        <f t="shared" si="17"/>
        <v>1.2822413376719729E-5</v>
      </c>
      <c r="BN24" s="53">
        <f t="shared" si="18"/>
        <v>4.5648783067024927E-6</v>
      </c>
      <c r="BO24" s="53">
        <f t="shared" si="19"/>
        <v>8.5845020799999929E-7</v>
      </c>
      <c r="BP24" s="53">
        <f t="shared" si="20"/>
        <v>5.5615158029590204E-7</v>
      </c>
      <c r="BQ24" s="53">
        <f t="shared" si="21"/>
        <v>2.7791516367999987E-3</v>
      </c>
      <c r="BR24" s="53">
        <f t="shared" si="22"/>
        <v>1.8810392208326934E-3</v>
      </c>
    </row>
    <row r="25" spans="1:70" ht="14.25" customHeight="1" x14ac:dyDescent="0.3">
      <c r="A25" s="1">
        <f t="shared" si="34"/>
        <v>21</v>
      </c>
      <c r="B25" s="52">
        <f>'Life table'!D23</f>
        <v>0.9825557447402079</v>
      </c>
      <c r="C25" s="52">
        <f>IF($A25&lt;Customisation!$H$13,0,B25)/LOOKUP(Customisation!$H$13,$A$4:$A$104,$B$4:$B$104)</f>
        <v>0.99653528505527411</v>
      </c>
      <c r="D25" s="1">
        <f>IF($A25&lt;=Customisation!$H$13,1,1/(1+Customisation!$H$21)^($A25-Customisation!$H$13))</f>
        <v>0.64460891621779726</v>
      </c>
      <c r="E25" s="1">
        <f t="shared" si="11"/>
        <v>19.463212759426256</v>
      </c>
      <c r="F25" s="1">
        <f t="shared" si="2"/>
        <v>0.64237553007227388</v>
      </c>
      <c r="G25" s="53">
        <f>'Age data'!M29*Customisation!$H$22</f>
        <v>2.6269999999999998E-5</v>
      </c>
      <c r="H25" s="53">
        <f t="shared" si="3"/>
        <v>1.6933876229041532E-5</v>
      </c>
      <c r="I25" s="53">
        <f>'Age data'!N29*Customisation!$H$22</f>
        <v>3.5500000000000003E-6</v>
      </c>
      <c r="J25" s="54">
        <f t="shared" si="4"/>
        <v>2.2883616525731806E-6</v>
      </c>
      <c r="K25" s="53">
        <f>I25*'Life table'!I23</f>
        <v>2.04721699462084E-4</v>
      </c>
      <c r="L25" s="53">
        <f>J25*'Life table'!J23</f>
        <v>7.033766678562212E-5</v>
      </c>
      <c r="M25" s="53">
        <f t="shared" si="5"/>
        <v>1.3935879999999998E-5</v>
      </c>
      <c r="N25" s="53">
        <f>((G25-I25)*$AW$5+I25*$AW$6)/(1+Customisation!$H$21)^($A25-Customisation!$E$13)</f>
        <v>8.5985092810127098E-6</v>
      </c>
      <c r="O25" s="53">
        <f>G25*Customisation!$H$17</f>
        <v>4.5116098E-2</v>
      </c>
      <c r="P25" s="109">
        <f>O25/(1+Customisation!$H$21)^($A25-Customisation!$E$13)</f>
        <v>2.9082239035755932E-2</v>
      </c>
      <c r="Q25" s="53">
        <f>IF($A25&lt;Customisation!$H$13,G25,G25*(1-Customisation!$H$11*Customisation!$H$12))</f>
        <v>1.1012383999999999E-5</v>
      </c>
      <c r="R25" s="53">
        <f>IF($A25&lt;Customisation!$H$13,H25,H25*(1-Customisation!$H$11*Customisation!$H$12))</f>
        <v>7.0986809152142111E-6</v>
      </c>
      <c r="S25" s="53">
        <f>IF($A25&lt;Customisation!$H$13,I25,I25*(1-Customisation!$H$11*Customisation!$H$12))</f>
        <v>1.4881600000000002E-6</v>
      </c>
      <c r="T25" s="53">
        <f>IF($A25&lt;Customisation!$H$13,J25,J25*(1-Customisation!$H$11*Customisation!$H$12))</f>
        <v>9.5928120475867732E-7</v>
      </c>
      <c r="U25" s="53">
        <f>IF($A25&lt;Customisation!$H$13,K25,K25*(1-Customisation!$H$11*Customisation!$H$12))</f>
        <v>8.5819336414505614E-5</v>
      </c>
      <c r="V25" s="53">
        <f>IF($A25&lt;Customisation!$H$13,L25,L25*(1-Customisation!$H$11*Customisation!$H$12))</f>
        <v>2.9485549916532795E-5</v>
      </c>
      <c r="W25" s="53">
        <f>IF($A25&lt;Customisation!$H$13,M25,M25*(1-Customisation!$H$11*Customisation!$H$12))</f>
        <v>5.8419208959999995E-6</v>
      </c>
      <c r="X25" s="53">
        <f>IF($A25&lt;Customisation!$H$13,N25,N25*(1-Customisation!$H$11*Customisation!$H$12))</f>
        <v>3.6044950906005279E-6</v>
      </c>
      <c r="Y25" s="53">
        <f>IF($A25&lt;Customisation!$H$13,O25,O25*(1-Customisation!$H$11*Customisation!$H$12))</f>
        <v>1.8912668281600001E-2</v>
      </c>
      <c r="Z25" s="53">
        <f>IF($A25&lt;Customisation!$H$13,P25,P25*(1-Customisation!$H$11*Customisation!$H$12))</f>
        <v>1.2191274603788887E-2</v>
      </c>
      <c r="AA25" s="53">
        <f t="shared" ref="AA25:AJ25" si="43">G25-Q25</f>
        <v>1.5257615999999998E-5</v>
      </c>
      <c r="AB25" s="53">
        <f t="shared" si="43"/>
        <v>9.8351953138273213E-6</v>
      </c>
      <c r="AC25" s="53">
        <f t="shared" si="43"/>
        <v>2.0618400000000002E-6</v>
      </c>
      <c r="AD25" s="53">
        <f t="shared" si="43"/>
        <v>1.3290804478145033E-6</v>
      </c>
      <c r="AE25" s="53">
        <f t="shared" si="43"/>
        <v>1.1890236304757839E-4</v>
      </c>
      <c r="AF25" s="53">
        <f t="shared" si="43"/>
        <v>4.0852116869089325E-5</v>
      </c>
      <c r="AG25" s="53">
        <f t="shared" si="43"/>
        <v>8.0939591039999981E-6</v>
      </c>
      <c r="AH25" s="53">
        <f t="shared" si="43"/>
        <v>4.9940141904121815E-6</v>
      </c>
      <c r="AI25" s="53">
        <f t="shared" si="43"/>
        <v>2.62034297184E-2</v>
      </c>
      <c r="AJ25" s="53">
        <f t="shared" si="43"/>
        <v>1.6890964431967047E-2</v>
      </c>
      <c r="AK25" s="1"/>
      <c r="AL25" s="55">
        <f t="shared" si="7"/>
        <v>2.6269999999999998</v>
      </c>
      <c r="AM25" s="55">
        <f t="shared" si="8"/>
        <v>1.1012384</v>
      </c>
      <c r="AN25" s="1"/>
      <c r="AO25" s="1"/>
      <c r="AP25" s="1"/>
      <c r="AQ25" s="1"/>
      <c r="AR25" s="1"/>
      <c r="AS25" s="1"/>
      <c r="AT25" s="1"/>
      <c r="AU25" s="1"/>
      <c r="AV25" s="1"/>
      <c r="AW25" s="1"/>
      <c r="AX25" s="1"/>
      <c r="AY25" s="53">
        <f>IF($A25&lt;Customisation!$H$13,G25,G25*(1-Customisation!$H$24*Customisation!$H$12))</f>
        <v>9.3941519999999993E-6</v>
      </c>
      <c r="AZ25" s="53">
        <f>IF($A25&lt;Customisation!$H$13,H25,H25*(1-Customisation!$H$24*Customisation!$H$12))</f>
        <v>6.0555541395052525E-6</v>
      </c>
      <c r="BA25" s="53">
        <f>IF($A25&lt;Customisation!$H$13,I25,I25*(1-Customisation!$H$24*Customisation!$H$12))</f>
        <v>1.2694800000000002E-6</v>
      </c>
      <c r="BB25" s="53">
        <f>IF($A25&lt;Customisation!$H$13,J25,J25*(1-Customisation!$H$24*Customisation!$H$12))</f>
        <v>8.1831812696016941E-7</v>
      </c>
      <c r="BC25" s="53">
        <f>IF($A25&lt;Customisation!$H$13,K25,K25*(1-Customisation!$H$24*Customisation!$H$12))</f>
        <v>7.3208479727641246E-5</v>
      </c>
      <c r="BD25" s="53">
        <f>IF($A25&lt;Customisation!$H$13,L25,L25*(1-Customisation!$H$24*Customisation!$H$12))</f>
        <v>2.5152749642538473E-5</v>
      </c>
      <c r="BE25" s="53">
        <f>IF($A25&lt;Customisation!$H$13,M25,M25*(1-Customisation!$H$24*Customisation!$H$12))</f>
        <v>4.9834706880000002E-6</v>
      </c>
      <c r="BF25" s="53">
        <f>IF($A25&lt;Customisation!$H$13,N25,N25*(1-Customisation!$H$24*Customisation!$H$12))</f>
        <v>3.0748269188901454E-6</v>
      </c>
      <c r="BG25" s="53">
        <f>IF($A25&lt;Customisation!$H$13,O25,O25*(1-Customisation!$H$24*Customisation!$H$12))</f>
        <v>1.6133516644800002E-2</v>
      </c>
      <c r="BH25" s="53">
        <f>IF($A25&lt;Customisation!$H$13,P25,P25*(1-Customisation!$H$24*Customisation!$H$12))</f>
        <v>1.0399808679186322E-2</v>
      </c>
      <c r="BI25" s="53">
        <f t="shared" si="13"/>
        <v>1.6182320000000001E-6</v>
      </c>
      <c r="BJ25" s="53">
        <f t="shared" si="14"/>
        <v>1.0431267757089586E-6</v>
      </c>
      <c r="BK25" s="53">
        <f t="shared" si="15"/>
        <v>2.1868E-7</v>
      </c>
      <c r="BL25" s="53">
        <f t="shared" si="16"/>
        <v>1.4096307779850792E-7</v>
      </c>
      <c r="BM25" s="53">
        <f t="shared" si="17"/>
        <v>1.2610856686864368E-5</v>
      </c>
      <c r="BN25" s="53">
        <f t="shared" si="18"/>
        <v>4.3328002739943217E-6</v>
      </c>
      <c r="BO25" s="53">
        <f t="shared" si="19"/>
        <v>8.5845020799999929E-7</v>
      </c>
      <c r="BP25" s="53">
        <f t="shared" si="20"/>
        <v>5.2966817171038243E-7</v>
      </c>
      <c r="BQ25" s="53">
        <f t="shared" si="21"/>
        <v>2.7791516367999987E-3</v>
      </c>
      <c r="BR25" s="53">
        <f t="shared" si="22"/>
        <v>1.7914659246025654E-3</v>
      </c>
    </row>
    <row r="26" spans="1:70" ht="14.25" customHeight="1" x14ac:dyDescent="0.3">
      <c r="A26" s="1">
        <f t="shared" si="34"/>
        <v>22</v>
      </c>
      <c r="B26" s="52">
        <f>'Life table'!D24</f>
        <v>0.98198586240825858</v>
      </c>
      <c r="C26" s="52">
        <f>IF($A26&lt;Customisation!$H$13,0,B26)/LOOKUP(Customisation!$H$13,$A$4:$A$104,$B$4:$B$104)</f>
        <v>0.99595729458994209</v>
      </c>
      <c r="D26" s="1">
        <f>IF($A26&lt;=Customisation!$H$13,1,1/(1+Customisation!$H$21)^($A26-Customisation!$H$13))</f>
        <v>0.61391325354075932</v>
      </c>
      <c r="E26" s="1">
        <f t="shared" si="11"/>
        <v>20.107821675644054</v>
      </c>
      <c r="F26" s="1">
        <f t="shared" si="2"/>
        <v>0.61143138310936385</v>
      </c>
      <c r="G26" s="53">
        <f>'Age data'!M30*Customisation!$H$22</f>
        <v>2.6269999999999998E-5</v>
      </c>
      <c r="H26" s="53">
        <f t="shared" si="3"/>
        <v>1.6127501170515746E-5</v>
      </c>
      <c r="I26" s="53">
        <f>'Age data'!N30*Customisation!$H$22</f>
        <v>3.5500000000000003E-6</v>
      </c>
      <c r="J26" s="54">
        <f t="shared" si="4"/>
        <v>2.1793920500696956E-6</v>
      </c>
      <c r="K26" s="53">
        <f>I26*'Life table'!I24</f>
        <v>2.0128947685866207E-4</v>
      </c>
      <c r="L26" s="53">
        <f>J26*'Life table'!J24</f>
        <v>6.6750119574026661E-5</v>
      </c>
      <c r="M26" s="53">
        <f t="shared" si="5"/>
        <v>1.3935879999999998E-5</v>
      </c>
      <c r="N26" s="53">
        <f>((G26-I26)*$AW$5+I26*$AW$6)/(1+Customisation!$H$21)^($A26-Customisation!$E$13)</f>
        <v>8.1890564581073431E-6</v>
      </c>
      <c r="O26" s="53">
        <f>G26*Customisation!$H$17</f>
        <v>4.5116098E-2</v>
      </c>
      <c r="P26" s="109">
        <f>O26/(1+Customisation!$H$21)^($A26-Customisation!$E$13)</f>
        <v>2.7697370510243745E-2</v>
      </c>
      <c r="Q26" s="53">
        <f>IF($A26&lt;Customisation!$H$13,G26,G26*(1-Customisation!$H$11*Customisation!$H$12))</f>
        <v>1.1012383999999999E-5</v>
      </c>
      <c r="R26" s="53">
        <f>IF($A26&lt;Customisation!$H$13,H26,H26*(1-Customisation!$H$11*Customisation!$H$12))</f>
        <v>6.760648490680201E-6</v>
      </c>
      <c r="S26" s="53">
        <f>IF($A26&lt;Customisation!$H$13,I26,I26*(1-Customisation!$H$11*Customisation!$H$12))</f>
        <v>1.4881600000000002E-6</v>
      </c>
      <c r="T26" s="53">
        <f>IF($A26&lt;Customisation!$H$13,J26,J26*(1-Customisation!$H$11*Customisation!$H$12))</f>
        <v>9.1360114738921646E-7</v>
      </c>
      <c r="U26" s="53">
        <f>IF($A26&lt;Customisation!$H$13,K26,K26*(1-Customisation!$H$11*Customisation!$H$12))</f>
        <v>8.438054869915114E-5</v>
      </c>
      <c r="V26" s="53">
        <f>IF($A26&lt;Customisation!$H$13,L26,L26*(1-Customisation!$H$11*Customisation!$H$12))</f>
        <v>2.7981650125431976E-5</v>
      </c>
      <c r="W26" s="53">
        <f>IF($A26&lt;Customisation!$H$13,M26,M26*(1-Customisation!$H$11*Customisation!$H$12))</f>
        <v>5.8419208959999995E-6</v>
      </c>
      <c r="X26" s="53">
        <f>IF($A26&lt;Customisation!$H$13,N26,N26*(1-Customisation!$H$11*Customisation!$H$12))</f>
        <v>3.4328524672385984E-6</v>
      </c>
      <c r="Y26" s="53">
        <f>IF($A26&lt;Customisation!$H$13,O26,O26*(1-Customisation!$H$11*Customisation!$H$12))</f>
        <v>1.8912668281600001E-2</v>
      </c>
      <c r="Z26" s="53">
        <f>IF($A26&lt;Customisation!$H$13,P26,P26*(1-Customisation!$H$11*Customisation!$H$12))</f>
        <v>1.1610737717894179E-2</v>
      </c>
      <c r="AA26" s="53">
        <f t="shared" ref="AA26:AJ26" si="44">G26-Q26</f>
        <v>1.5257615999999998E-5</v>
      </c>
      <c r="AB26" s="53">
        <f t="shared" si="44"/>
        <v>9.3668526798355438E-6</v>
      </c>
      <c r="AC26" s="53">
        <f t="shared" si="44"/>
        <v>2.0618400000000002E-6</v>
      </c>
      <c r="AD26" s="53">
        <f t="shared" si="44"/>
        <v>1.2657909026804792E-6</v>
      </c>
      <c r="AE26" s="53">
        <f t="shared" si="44"/>
        <v>1.1690892815951093E-4</v>
      </c>
      <c r="AF26" s="53">
        <f t="shared" si="44"/>
        <v>3.8768469448594682E-5</v>
      </c>
      <c r="AG26" s="53">
        <f t="shared" si="44"/>
        <v>8.0939591039999981E-6</v>
      </c>
      <c r="AH26" s="53">
        <f t="shared" si="44"/>
        <v>4.7562039908687447E-6</v>
      </c>
      <c r="AI26" s="53">
        <f t="shared" si="44"/>
        <v>2.62034297184E-2</v>
      </c>
      <c r="AJ26" s="53">
        <f t="shared" si="44"/>
        <v>1.6086632792349564E-2</v>
      </c>
      <c r="AK26" s="1"/>
      <c r="AL26" s="55">
        <f t="shared" si="7"/>
        <v>2.6269999999999998</v>
      </c>
      <c r="AM26" s="55">
        <f t="shared" si="8"/>
        <v>1.1012384</v>
      </c>
      <c r="AN26" s="1"/>
      <c r="AO26" s="1"/>
      <c r="AP26" s="1"/>
      <c r="AQ26" s="1"/>
      <c r="AR26" s="1"/>
      <c r="AS26" s="1"/>
      <c r="AT26" s="1"/>
      <c r="AU26" s="1"/>
      <c r="AV26" s="1"/>
      <c r="AW26" s="1"/>
      <c r="AX26" s="1"/>
      <c r="AY26" s="53">
        <f>IF($A26&lt;Customisation!$H$13,G26,G26*(1-Customisation!$H$24*Customisation!$H$12))</f>
        <v>9.3941519999999993E-6</v>
      </c>
      <c r="AZ26" s="53">
        <f>IF($A26&lt;Customisation!$H$13,H26,H26*(1-Customisation!$H$24*Customisation!$H$12))</f>
        <v>5.7671944185764308E-6</v>
      </c>
      <c r="BA26" s="53">
        <f>IF($A26&lt;Customisation!$H$13,I26,I26*(1-Customisation!$H$24*Customisation!$H$12))</f>
        <v>1.2694800000000002E-6</v>
      </c>
      <c r="BB26" s="53">
        <f>IF($A26&lt;Customisation!$H$13,J26,J26*(1-Customisation!$H$24*Customisation!$H$12))</f>
        <v>7.7935059710492318E-7</v>
      </c>
      <c r="BC26" s="53">
        <f>IF($A26&lt;Customisation!$H$13,K26,K26*(1-Customisation!$H$24*Customisation!$H$12))</f>
        <v>7.1981116924657565E-5</v>
      </c>
      <c r="BD26" s="53">
        <f>IF($A26&lt;Customisation!$H$13,L26,L26*(1-Customisation!$H$24*Customisation!$H$12))</f>
        <v>2.3869842759671935E-5</v>
      </c>
      <c r="BE26" s="53">
        <f>IF($A26&lt;Customisation!$H$13,M26,M26*(1-Customisation!$H$24*Customisation!$H$12))</f>
        <v>4.9834706880000002E-6</v>
      </c>
      <c r="BF26" s="53">
        <f>IF($A26&lt;Customisation!$H$13,N26,N26*(1-Customisation!$H$24*Customisation!$H$12))</f>
        <v>2.9284065894191863E-6</v>
      </c>
      <c r="BG26" s="53">
        <f>IF($A26&lt;Customisation!$H$13,O26,O26*(1-Customisation!$H$24*Customisation!$H$12))</f>
        <v>1.6133516644800002E-2</v>
      </c>
      <c r="BH26" s="53">
        <f>IF($A26&lt;Customisation!$H$13,P26,P26*(1-Customisation!$H$24*Customisation!$H$12))</f>
        <v>9.9045796944631642E-3</v>
      </c>
      <c r="BI26" s="53">
        <f t="shared" si="13"/>
        <v>1.6182320000000001E-6</v>
      </c>
      <c r="BJ26" s="53">
        <f t="shared" si="14"/>
        <v>9.9345407210377016E-7</v>
      </c>
      <c r="BK26" s="53">
        <f t="shared" si="15"/>
        <v>2.1868E-7</v>
      </c>
      <c r="BL26" s="53">
        <f t="shared" si="16"/>
        <v>1.3425055028429328E-7</v>
      </c>
      <c r="BM26" s="53">
        <f t="shared" si="17"/>
        <v>1.2399431774493574E-5</v>
      </c>
      <c r="BN26" s="53">
        <f t="shared" si="18"/>
        <v>4.1118073657600406E-6</v>
      </c>
      <c r="BO26" s="53">
        <f t="shared" si="19"/>
        <v>8.5845020799999929E-7</v>
      </c>
      <c r="BP26" s="53">
        <f t="shared" si="20"/>
        <v>5.0444587781941212E-7</v>
      </c>
      <c r="BQ26" s="53">
        <f t="shared" si="21"/>
        <v>2.7791516367999987E-3</v>
      </c>
      <c r="BR26" s="53">
        <f t="shared" si="22"/>
        <v>1.7061580234310151E-3</v>
      </c>
    </row>
    <row r="27" spans="1:70" ht="14.25" customHeight="1" x14ac:dyDescent="0.3">
      <c r="A27" s="1">
        <f t="shared" si="34"/>
        <v>23</v>
      </c>
      <c r="B27" s="52">
        <f>'Life table'!D25</f>
        <v>0.98139667089081362</v>
      </c>
      <c r="C27" s="52">
        <f>IF($A27&lt;Customisation!$H$13,0,B27)/LOOKUP(Customisation!$H$13,$A$4:$A$104,$B$4:$B$104)</f>
        <v>0.99535972021318808</v>
      </c>
      <c r="D27" s="1">
        <f>IF($A27&lt;=Customisation!$H$13,1,1/(1+Customisation!$H$21)^($A27-Customisation!$H$13))</f>
        <v>0.5846792890864374</v>
      </c>
      <c r="E27" s="1">
        <f t="shared" si="11"/>
        <v>20.721734929184812</v>
      </c>
      <c r="F27" s="1">
        <f t="shared" si="2"/>
        <v>0.58196621359952205</v>
      </c>
      <c r="G27" s="53">
        <f>'Age data'!M31*Customisation!$H$22</f>
        <v>2.6269999999999998E-5</v>
      </c>
      <c r="H27" s="53">
        <f t="shared" si="3"/>
        <v>1.5359524924300709E-5</v>
      </c>
      <c r="I27" s="53">
        <f>'Age data'!N31*Customisation!$H$22</f>
        <v>3.5500000000000003E-6</v>
      </c>
      <c r="J27" s="54">
        <f t="shared" si="4"/>
        <v>2.0756114762568528E-6</v>
      </c>
      <c r="K27" s="53">
        <f>I27*'Life table'!I25</f>
        <v>1.9785925741310994E-4</v>
      </c>
      <c r="L27" s="53">
        <f>J27*'Life table'!J25</f>
        <v>6.3333954021220569E-5</v>
      </c>
      <c r="M27" s="53">
        <f t="shared" si="5"/>
        <v>1.3935879999999998E-5</v>
      </c>
      <c r="N27" s="53">
        <f>((G27-I27)*$AW$5+I27*$AW$6)/(1+Customisation!$H$21)^($A27-Customisation!$E$13)</f>
        <v>7.7991013886736588E-6</v>
      </c>
      <c r="O27" s="53">
        <f>G27*Customisation!$H$17</f>
        <v>4.5116098E-2</v>
      </c>
      <c r="P27" s="109">
        <f>O27/(1+Customisation!$H$21)^($A27-Customisation!$E$13)</f>
        <v>2.637844810499404E-2</v>
      </c>
      <c r="Q27" s="53">
        <f>IF($A27&lt;Customisation!$H$13,G27,G27*(1-Customisation!$H$11*Customisation!$H$12))</f>
        <v>1.1012383999999999E-5</v>
      </c>
      <c r="R27" s="53">
        <f>IF($A27&lt;Customisation!$H$13,H27,H27*(1-Customisation!$H$11*Customisation!$H$12))</f>
        <v>6.4387128482668576E-6</v>
      </c>
      <c r="S27" s="53">
        <f>IF($A27&lt;Customisation!$H$13,I27,I27*(1-Customisation!$H$11*Customisation!$H$12))</f>
        <v>1.4881600000000002E-6</v>
      </c>
      <c r="T27" s="53">
        <f>IF($A27&lt;Customisation!$H$13,J27,J27*(1-Customisation!$H$11*Customisation!$H$12))</f>
        <v>8.7009633084687272E-7</v>
      </c>
      <c r="U27" s="53">
        <f>IF($A27&lt;Customisation!$H$13,K27,K27*(1-Customisation!$H$11*Customisation!$H$12))</f>
        <v>8.2942600707575689E-5</v>
      </c>
      <c r="V27" s="53">
        <f>IF($A27&lt;Customisation!$H$13,L27,L27*(1-Customisation!$H$11*Customisation!$H$12))</f>
        <v>2.6549593525695662E-5</v>
      </c>
      <c r="W27" s="53">
        <f>IF($A27&lt;Customisation!$H$13,M27,M27*(1-Customisation!$H$11*Customisation!$H$12))</f>
        <v>5.8419208959999995E-6</v>
      </c>
      <c r="X27" s="53">
        <f>IF($A27&lt;Customisation!$H$13,N27,N27*(1-Customisation!$H$11*Customisation!$H$12))</f>
        <v>3.269383302131998E-6</v>
      </c>
      <c r="Y27" s="53">
        <f>IF($A27&lt;Customisation!$H$13,O27,O27*(1-Customisation!$H$11*Customisation!$H$12))</f>
        <v>1.8912668281600001E-2</v>
      </c>
      <c r="Z27" s="53">
        <f>IF($A27&lt;Customisation!$H$13,P27,P27*(1-Customisation!$H$11*Customisation!$H$12))</f>
        <v>1.1057845445613503E-2</v>
      </c>
      <c r="AA27" s="53">
        <f t="shared" ref="AA27:AJ27" si="45">G27-Q27</f>
        <v>1.5257615999999998E-5</v>
      </c>
      <c r="AB27" s="53">
        <f t="shared" si="45"/>
        <v>8.9208120760338521E-6</v>
      </c>
      <c r="AC27" s="53">
        <f t="shared" si="45"/>
        <v>2.0618400000000002E-6</v>
      </c>
      <c r="AD27" s="53">
        <f t="shared" si="45"/>
        <v>1.20551514540998E-6</v>
      </c>
      <c r="AE27" s="53">
        <f t="shared" si="45"/>
        <v>1.1491665670553425E-4</v>
      </c>
      <c r="AF27" s="53">
        <f t="shared" si="45"/>
        <v>3.6784360495524903E-5</v>
      </c>
      <c r="AG27" s="53">
        <f t="shared" si="45"/>
        <v>8.0939591039999981E-6</v>
      </c>
      <c r="AH27" s="53">
        <f t="shared" si="45"/>
        <v>4.5297180865416604E-6</v>
      </c>
      <c r="AI27" s="53">
        <f t="shared" si="45"/>
        <v>2.62034297184E-2</v>
      </c>
      <c r="AJ27" s="53">
        <f t="shared" si="45"/>
        <v>1.5320602659380537E-2</v>
      </c>
      <c r="AK27" s="1"/>
      <c r="AL27" s="55">
        <f t="shared" si="7"/>
        <v>2.6269999999999998</v>
      </c>
      <c r="AM27" s="55">
        <f t="shared" si="8"/>
        <v>1.1012384</v>
      </c>
      <c r="AN27" s="1"/>
      <c r="AO27" s="1"/>
      <c r="AP27" s="1"/>
      <c r="AQ27" s="1"/>
      <c r="AR27" s="1"/>
      <c r="AS27" s="1"/>
      <c r="AT27" s="1"/>
      <c r="AU27" s="1"/>
      <c r="AV27" s="1"/>
      <c r="AW27" s="1"/>
      <c r="AX27" s="1"/>
      <c r="AY27" s="53">
        <f>IF($A27&lt;Customisation!$H$13,G27,G27*(1-Customisation!$H$24*Customisation!$H$12))</f>
        <v>9.3941519999999993E-6</v>
      </c>
      <c r="AZ27" s="53">
        <f>IF($A27&lt;Customisation!$H$13,H27,H27*(1-Customisation!$H$24*Customisation!$H$12))</f>
        <v>5.4925661129299342E-6</v>
      </c>
      <c r="BA27" s="53">
        <f>IF($A27&lt;Customisation!$H$13,I27,I27*(1-Customisation!$H$24*Customisation!$H$12))</f>
        <v>1.2694800000000002E-6</v>
      </c>
      <c r="BB27" s="53">
        <f>IF($A27&lt;Customisation!$H$13,J27,J27*(1-Customisation!$H$24*Customisation!$H$12))</f>
        <v>7.4223866390945062E-7</v>
      </c>
      <c r="BC27" s="53">
        <f>IF($A27&lt;Customisation!$H$13,K27,K27*(1-Customisation!$H$24*Customisation!$H$12))</f>
        <v>7.0754470450928126E-5</v>
      </c>
      <c r="BD27" s="53">
        <f>IF($A27&lt;Customisation!$H$13,L27,L27*(1-Customisation!$H$24*Customisation!$H$12))</f>
        <v>2.2648221957988478E-5</v>
      </c>
      <c r="BE27" s="53">
        <f>IF($A27&lt;Customisation!$H$13,M27,M27*(1-Customisation!$H$24*Customisation!$H$12))</f>
        <v>4.9834706880000002E-6</v>
      </c>
      <c r="BF27" s="53">
        <f>IF($A27&lt;Customisation!$H$13,N27,N27*(1-Customisation!$H$24*Customisation!$H$12))</f>
        <v>2.7889586565897008E-6</v>
      </c>
      <c r="BG27" s="53">
        <f>IF($A27&lt;Customisation!$H$13,O27,O27*(1-Customisation!$H$24*Customisation!$H$12))</f>
        <v>1.6133516644800002E-2</v>
      </c>
      <c r="BH27" s="53">
        <f>IF($A27&lt;Customisation!$H$13,P27,P27*(1-Customisation!$H$24*Customisation!$H$12))</f>
        <v>9.4329330423458691E-3</v>
      </c>
      <c r="BI27" s="53">
        <f t="shared" si="13"/>
        <v>1.6182320000000001E-6</v>
      </c>
      <c r="BJ27" s="53">
        <f t="shared" si="14"/>
        <v>9.461467353369234E-7</v>
      </c>
      <c r="BK27" s="53">
        <f t="shared" si="15"/>
        <v>2.1868E-7</v>
      </c>
      <c r="BL27" s="53">
        <f t="shared" si="16"/>
        <v>1.2785766693742209E-7</v>
      </c>
      <c r="BM27" s="53">
        <f t="shared" si="17"/>
        <v>1.2188130256647563E-5</v>
      </c>
      <c r="BN27" s="53">
        <f t="shared" si="18"/>
        <v>3.9013715677071839E-6</v>
      </c>
      <c r="BO27" s="53">
        <f t="shared" si="19"/>
        <v>8.5845020799999929E-7</v>
      </c>
      <c r="BP27" s="53">
        <f t="shared" si="20"/>
        <v>4.804246455422972E-7</v>
      </c>
      <c r="BQ27" s="53">
        <f t="shared" si="21"/>
        <v>2.7791516367999987E-3</v>
      </c>
      <c r="BR27" s="53">
        <f t="shared" si="22"/>
        <v>1.6249124032676338E-3</v>
      </c>
    </row>
    <row r="28" spans="1:70" ht="14.25" customHeight="1" x14ac:dyDescent="0.3">
      <c r="A28" s="1">
        <f t="shared" si="34"/>
        <v>24</v>
      </c>
      <c r="B28" s="52">
        <f>'Life table'!D26</f>
        <v>0.98078820495486141</v>
      </c>
      <c r="C28" s="52">
        <f>IF($A28&lt;Customisation!$H$13,0,B28)/LOOKUP(Customisation!$H$13,$A$4:$A$104,$B$4:$B$104)</f>
        <v>0.99474259718665603</v>
      </c>
      <c r="D28" s="1">
        <f>IF($A28&lt;=Customisation!$H$13,1,1/(1+Customisation!$H$21)^($A28-Customisation!$H$13))</f>
        <v>0.5568374181775595</v>
      </c>
      <c r="E28" s="1">
        <f t="shared" si="11"/>
        <v>21.30641421827125</v>
      </c>
      <c r="F28" s="1">
        <f t="shared" si="2"/>
        <v>0.55390989956865755</v>
      </c>
      <c r="G28" s="53">
        <f>'Age data'!M32*Customisation!$H$22</f>
        <v>2.6269999999999998E-5</v>
      </c>
      <c r="H28" s="53">
        <f t="shared" si="3"/>
        <v>1.4628118975524487E-5</v>
      </c>
      <c r="I28" s="53">
        <f>'Age data'!N32*Customisation!$H$22</f>
        <v>3.5500000000000003E-6</v>
      </c>
      <c r="J28" s="54">
        <f t="shared" si="4"/>
        <v>1.9767728345303364E-6</v>
      </c>
      <c r="K28" s="53">
        <f>I28*'Life table'!I26</f>
        <v>1.944309050742559E-4</v>
      </c>
      <c r="L28" s="53">
        <f>J28*'Life table'!J26</f>
        <v>6.008100617858001E-5</v>
      </c>
      <c r="M28" s="53">
        <f t="shared" si="5"/>
        <v>1.3935879999999998E-5</v>
      </c>
      <c r="N28" s="53">
        <f>((G28-I28)*$AW$5+I28*$AW$6)/(1+Customisation!$H$21)^($A28-Customisation!$E$13)</f>
        <v>7.4277156082606294E-6</v>
      </c>
      <c r="O28" s="53">
        <f>G28*Customisation!$H$17</f>
        <v>4.5116098E-2</v>
      </c>
      <c r="P28" s="109">
        <f>O28/(1+Customisation!$H$21)^($A28-Customisation!$E$13)</f>
        <v>2.5122331528565755E-2</v>
      </c>
      <c r="Q28" s="53">
        <f>IF($A28&lt;Customisation!$H$13,G28,G28*(1-Customisation!$H$11*Customisation!$H$12))</f>
        <v>1.1012383999999999E-5</v>
      </c>
      <c r="R28" s="53">
        <f>IF($A28&lt;Customisation!$H$13,H28,H28*(1-Customisation!$H$11*Customisation!$H$12))</f>
        <v>6.1321074745398648E-6</v>
      </c>
      <c r="S28" s="53">
        <f>IF($A28&lt;Customisation!$H$13,I28,I28*(1-Customisation!$H$11*Customisation!$H$12))</f>
        <v>1.4881600000000002E-6</v>
      </c>
      <c r="T28" s="53">
        <f>IF($A28&lt;Customisation!$H$13,J28,J28*(1-Customisation!$H$11*Customisation!$H$12))</f>
        <v>8.286631722351171E-7</v>
      </c>
      <c r="U28" s="53">
        <f>IF($A28&lt;Customisation!$H$13,K28,K28*(1-Customisation!$H$11*Customisation!$H$12))</f>
        <v>8.1505435407128076E-5</v>
      </c>
      <c r="V28" s="53">
        <f>IF($A28&lt;Customisation!$H$13,L28,L28*(1-Customisation!$H$11*Customisation!$H$12))</f>
        <v>2.518595779006074E-5</v>
      </c>
      <c r="W28" s="53">
        <f>IF($A28&lt;Customisation!$H$13,M28,M28*(1-Customisation!$H$11*Customisation!$H$12))</f>
        <v>5.8419208959999995E-6</v>
      </c>
      <c r="X28" s="53">
        <f>IF($A28&lt;Customisation!$H$13,N28,N28*(1-Customisation!$H$11*Customisation!$H$12))</f>
        <v>3.1136983829828562E-6</v>
      </c>
      <c r="Y28" s="53">
        <f>IF($A28&lt;Customisation!$H$13,O28,O28*(1-Customisation!$H$11*Customisation!$H$12))</f>
        <v>1.8912668281600001E-2</v>
      </c>
      <c r="Z28" s="53">
        <f>IF($A28&lt;Customisation!$H$13,P28,P28*(1-Customisation!$H$11*Customisation!$H$12))</f>
        <v>1.0531281376774764E-2</v>
      </c>
      <c r="AA28" s="53">
        <f t="shared" ref="AA28:AJ28" si="46">G28-Q28</f>
        <v>1.5257615999999998E-5</v>
      </c>
      <c r="AB28" s="53">
        <f t="shared" si="46"/>
        <v>8.496011500984621E-6</v>
      </c>
      <c r="AC28" s="53">
        <f t="shared" si="46"/>
        <v>2.0618400000000002E-6</v>
      </c>
      <c r="AD28" s="53">
        <f t="shared" si="46"/>
        <v>1.1481096622952193E-6</v>
      </c>
      <c r="AE28" s="53">
        <f t="shared" si="46"/>
        <v>1.1292546966712783E-4</v>
      </c>
      <c r="AF28" s="53">
        <f t="shared" si="46"/>
        <v>3.489504838851927E-5</v>
      </c>
      <c r="AG28" s="53">
        <f t="shared" si="46"/>
        <v>8.0939591039999981E-6</v>
      </c>
      <c r="AH28" s="53">
        <f t="shared" si="46"/>
        <v>4.3140172252777733E-6</v>
      </c>
      <c r="AI28" s="53">
        <f t="shared" si="46"/>
        <v>2.62034297184E-2</v>
      </c>
      <c r="AJ28" s="53">
        <f t="shared" si="46"/>
        <v>1.4591050151790991E-2</v>
      </c>
      <c r="AK28" s="1"/>
      <c r="AL28" s="55">
        <f t="shared" si="7"/>
        <v>2.6269999999999998</v>
      </c>
      <c r="AM28" s="55">
        <f t="shared" si="8"/>
        <v>1.1012384</v>
      </c>
      <c r="AN28" s="1"/>
      <c r="AO28" s="1"/>
      <c r="AP28" s="1"/>
      <c r="AQ28" s="1"/>
      <c r="AR28" s="1"/>
      <c r="AS28" s="1"/>
      <c r="AT28" s="1"/>
      <c r="AU28" s="1"/>
      <c r="AV28" s="1"/>
      <c r="AW28" s="1"/>
      <c r="AX28" s="1"/>
      <c r="AY28" s="53">
        <f>IF($A28&lt;Customisation!$H$13,G28,G28*(1-Customisation!$H$24*Customisation!$H$12))</f>
        <v>9.3941519999999993E-6</v>
      </c>
      <c r="AZ28" s="53">
        <f>IF($A28&lt;Customisation!$H$13,H28,H28*(1-Customisation!$H$24*Customisation!$H$12))</f>
        <v>5.2310153456475572E-6</v>
      </c>
      <c r="BA28" s="53">
        <f>IF($A28&lt;Customisation!$H$13,I28,I28*(1-Customisation!$H$24*Customisation!$H$12))</f>
        <v>1.2694800000000002E-6</v>
      </c>
      <c r="BB28" s="53">
        <f>IF($A28&lt;Customisation!$H$13,J28,J28*(1-Customisation!$H$24*Customisation!$H$12))</f>
        <v>7.0689396562804834E-7</v>
      </c>
      <c r="BC28" s="53">
        <f>IF($A28&lt;Customisation!$H$13,K28,K28*(1-Customisation!$H$24*Customisation!$H$12))</f>
        <v>6.9528491654553918E-5</v>
      </c>
      <c r="BD28" s="53">
        <f>IF($A28&lt;Customisation!$H$13,L28,L28*(1-Customisation!$H$24*Customisation!$H$12))</f>
        <v>2.1484967809460214E-5</v>
      </c>
      <c r="BE28" s="53">
        <f>IF($A28&lt;Customisation!$H$13,M28,M28*(1-Customisation!$H$24*Customisation!$H$12))</f>
        <v>4.9834706880000002E-6</v>
      </c>
      <c r="BF28" s="53">
        <f>IF($A28&lt;Customisation!$H$13,N28,N28*(1-Customisation!$H$24*Customisation!$H$12))</f>
        <v>2.6561511015140012E-6</v>
      </c>
      <c r="BG28" s="53">
        <f>IF($A28&lt;Customisation!$H$13,O28,O28*(1-Customisation!$H$24*Customisation!$H$12))</f>
        <v>1.6133516644800002E-2</v>
      </c>
      <c r="BH28" s="53">
        <f>IF($A28&lt;Customisation!$H$13,P28,P28*(1-Customisation!$H$24*Customisation!$H$12))</f>
        <v>8.9837457546151148E-3</v>
      </c>
      <c r="BI28" s="53">
        <f t="shared" si="13"/>
        <v>1.6182320000000001E-6</v>
      </c>
      <c r="BJ28" s="53">
        <f t="shared" si="14"/>
        <v>9.0109212889230767E-7</v>
      </c>
      <c r="BK28" s="53">
        <f t="shared" si="15"/>
        <v>2.1868E-7</v>
      </c>
      <c r="BL28" s="53">
        <f t="shared" si="16"/>
        <v>1.2176920660706877E-7</v>
      </c>
      <c r="BM28" s="53">
        <f t="shared" si="17"/>
        <v>1.1976943752574159E-5</v>
      </c>
      <c r="BN28" s="53">
        <f t="shared" si="18"/>
        <v>3.7009899806005263E-6</v>
      </c>
      <c r="BO28" s="53">
        <f t="shared" si="19"/>
        <v>8.5845020799999929E-7</v>
      </c>
      <c r="BP28" s="53">
        <f t="shared" si="20"/>
        <v>4.5754728146885492E-7</v>
      </c>
      <c r="BQ28" s="53">
        <f t="shared" si="21"/>
        <v>2.7791516367999987E-3</v>
      </c>
      <c r="BR28" s="53">
        <f t="shared" si="22"/>
        <v>1.5475356221596494E-3</v>
      </c>
    </row>
    <row r="29" spans="1:70" ht="14.25" customHeight="1" x14ac:dyDescent="0.3">
      <c r="A29" s="1">
        <f t="shared" si="34"/>
        <v>25</v>
      </c>
      <c r="B29" s="52">
        <f>'Life table'!D27</f>
        <v>0.9801605005036903</v>
      </c>
      <c r="C29" s="52">
        <f>IF($A29&lt;Customisation!$H$13,0,B29)/LOOKUP(Customisation!$H$13,$A$4:$A$104,$B$4:$B$104)</f>
        <v>0.99410596192445655</v>
      </c>
      <c r="D29" s="1">
        <f>IF($A29&lt;=Customisation!$H$13,1,1/(1+Customisation!$H$21)^($A29-Customisation!$H$13))</f>
        <v>0.53032135064529462</v>
      </c>
      <c r="E29" s="1">
        <f t="shared" si="11"/>
        <v>21.863251636448808</v>
      </c>
      <c r="F29" s="1">
        <f t="shared" si="2"/>
        <v>0.5271956164123176</v>
      </c>
      <c r="G29" s="53">
        <f>'Age data'!M33*Customisation!$H$22</f>
        <v>5.8929999999999993E-5</v>
      </c>
      <c r="H29" s="53">
        <f t="shared" si="3"/>
        <v>3.1251837193527207E-5</v>
      </c>
      <c r="I29" s="53">
        <f>'Age data'!N33*Customisation!$H$22</f>
        <v>1.9879999999999999E-5</v>
      </c>
      <c r="J29" s="54">
        <f t="shared" si="4"/>
        <v>1.0542788450828457E-5</v>
      </c>
      <c r="K29" s="53">
        <f>I29*'Life table'!I27</f>
        <v>1.0696239893690292E-3</v>
      </c>
      <c r="L29" s="53">
        <f>J29*'Life table'!J27</f>
        <v>3.1910760220604404E-4</v>
      </c>
      <c r="M29" s="53">
        <f t="shared" si="5"/>
        <v>3.5360839999999998E-5</v>
      </c>
      <c r="N29" s="53">
        <f>((G29-I29)*$AW$5+I29*$AW$6)/(1+Customisation!$H$21)^($A29-Customisation!$E$13)</f>
        <v>1.8020764430398213E-5</v>
      </c>
      <c r="O29" s="53">
        <f>G29*Customisation!$H$17</f>
        <v>0.101206382</v>
      </c>
      <c r="P29" s="109">
        <f>O29/(1+Customisation!$H$21)^($A29-Customisation!$E$13)</f>
        <v>5.367190519616364E-2</v>
      </c>
      <c r="Q29" s="53">
        <f>IF($A29&lt;Customisation!$H$13,G29,G29*(1-Customisation!$H$11*Customisation!$H$12))</f>
        <v>2.4703455999999998E-5</v>
      </c>
      <c r="R29" s="53">
        <f>IF($A29&lt;Customisation!$H$13,H29,H29*(1-Customisation!$H$11*Customisation!$H$12))</f>
        <v>1.3100770151526606E-5</v>
      </c>
      <c r="S29" s="53">
        <f>IF($A29&lt;Customisation!$H$13,I29,I29*(1-Customisation!$H$11*Customisation!$H$12))</f>
        <v>8.3336960000000002E-6</v>
      </c>
      <c r="T29" s="53">
        <f>IF($A29&lt;Customisation!$H$13,J29,J29*(1-Customisation!$H$11*Customisation!$H$12))</f>
        <v>4.4195369185872895E-6</v>
      </c>
      <c r="U29" s="53">
        <f>IF($A29&lt;Customisation!$H$13,K29,K29*(1-Customisation!$H$11*Customisation!$H$12))</f>
        <v>4.4838637634349706E-4</v>
      </c>
      <c r="V29" s="53">
        <f>IF($A29&lt;Customisation!$H$13,L29,L29*(1-Customisation!$H$11*Customisation!$H$12))</f>
        <v>1.3376990684477367E-4</v>
      </c>
      <c r="W29" s="53">
        <f>IF($A29&lt;Customisation!$H$13,M29,M29*(1-Customisation!$H$11*Customisation!$H$12))</f>
        <v>1.4823264127999999E-5</v>
      </c>
      <c r="X29" s="53">
        <f>IF($A29&lt;Customisation!$H$13,N29,N29*(1-Customisation!$H$11*Customisation!$H$12))</f>
        <v>7.5543044492229316E-6</v>
      </c>
      <c r="Y29" s="53">
        <f>IF($A29&lt;Customisation!$H$13,O29,O29*(1-Customisation!$H$11*Customisation!$H$12))</f>
        <v>4.2425715334400003E-2</v>
      </c>
      <c r="Z29" s="53">
        <f>IF($A29&lt;Customisation!$H$13,P29,P29*(1-Customisation!$H$11*Customisation!$H$12))</f>
        <v>2.2499262658231798E-2</v>
      </c>
      <c r="AA29" s="53">
        <f t="shared" ref="AA29:AJ29" si="47">G29-Q29</f>
        <v>3.4226543999999995E-5</v>
      </c>
      <c r="AB29" s="53">
        <f t="shared" si="47"/>
        <v>1.8151067042000602E-5</v>
      </c>
      <c r="AC29" s="53">
        <f t="shared" si="47"/>
        <v>1.1546303999999999E-5</v>
      </c>
      <c r="AD29" s="53">
        <f t="shared" si="47"/>
        <v>6.1232515322411675E-6</v>
      </c>
      <c r="AE29" s="53">
        <f t="shared" si="47"/>
        <v>6.2123761302553221E-4</v>
      </c>
      <c r="AF29" s="53">
        <f t="shared" si="47"/>
        <v>1.8533769536127037E-4</v>
      </c>
      <c r="AG29" s="53">
        <f t="shared" si="47"/>
        <v>2.0537575871999999E-5</v>
      </c>
      <c r="AH29" s="53">
        <f t="shared" si="47"/>
        <v>1.0466459981175282E-5</v>
      </c>
      <c r="AI29" s="53">
        <f t="shared" si="47"/>
        <v>5.8780666665599994E-2</v>
      </c>
      <c r="AJ29" s="53">
        <f t="shared" si="47"/>
        <v>3.1172642537931842E-2</v>
      </c>
      <c r="AK29" s="1"/>
      <c r="AL29" s="55">
        <f t="shared" si="7"/>
        <v>5.8929999999999989</v>
      </c>
      <c r="AM29" s="55">
        <f t="shared" si="8"/>
        <v>2.4703455999999999</v>
      </c>
      <c r="AN29" s="1"/>
      <c r="AO29" s="1"/>
      <c r="AP29" s="1"/>
      <c r="AQ29" s="1"/>
      <c r="AR29" s="1"/>
      <c r="AS29" s="1"/>
      <c r="AT29" s="1"/>
      <c r="AU29" s="1"/>
      <c r="AV29" s="1"/>
      <c r="AW29" s="1"/>
      <c r="AX29" s="1"/>
      <c r="AY29" s="53">
        <f>IF($A29&lt;Customisation!$H$13,G29,G29*(1-Customisation!$H$24*Customisation!$H$12))</f>
        <v>2.1073368E-5</v>
      </c>
      <c r="AZ29" s="53">
        <f>IF($A29&lt;Customisation!$H$13,H29,H29*(1-Customisation!$H$24*Customisation!$H$12))</f>
        <v>1.117565698040533E-5</v>
      </c>
      <c r="BA29" s="53">
        <f>IF($A29&lt;Customisation!$H$13,I29,I29*(1-Customisation!$H$24*Customisation!$H$12))</f>
        <v>7.1090880000000008E-6</v>
      </c>
      <c r="BB29" s="53">
        <f>IF($A29&lt;Customisation!$H$13,J29,J29*(1-Customisation!$H$24*Customisation!$H$12))</f>
        <v>3.7701011500162565E-6</v>
      </c>
      <c r="BC29" s="53">
        <f>IF($A29&lt;Customisation!$H$13,K29,K29*(1-Customisation!$H$24*Customisation!$H$12))</f>
        <v>3.8249753859836489E-4</v>
      </c>
      <c r="BD29" s="53">
        <f>IF($A29&lt;Customisation!$H$13,L29,L29*(1-Customisation!$H$24*Customisation!$H$12))</f>
        <v>1.1411287854888136E-4</v>
      </c>
      <c r="BE29" s="53">
        <f>IF($A29&lt;Customisation!$H$13,M29,M29*(1-Customisation!$H$24*Customisation!$H$12))</f>
        <v>1.2645036384E-5</v>
      </c>
      <c r="BF29" s="53">
        <f>IF($A29&lt;Customisation!$H$13,N29,N29*(1-Customisation!$H$24*Customisation!$H$12))</f>
        <v>6.4442253603104017E-6</v>
      </c>
      <c r="BG29" s="53">
        <f>IF($A29&lt;Customisation!$H$13,O29,O29*(1-Customisation!$H$24*Customisation!$H$12))</f>
        <v>3.6191402203200003E-2</v>
      </c>
      <c r="BH29" s="53">
        <f>IF($A29&lt;Customisation!$H$13,P29,P29*(1-Customisation!$H$24*Customisation!$H$12))</f>
        <v>1.9193073298148119E-2</v>
      </c>
      <c r="BI29" s="53">
        <f t="shared" si="13"/>
        <v>3.6300879999999982E-6</v>
      </c>
      <c r="BJ29" s="53">
        <f t="shared" si="14"/>
        <v>1.9251131711212757E-6</v>
      </c>
      <c r="BK29" s="53">
        <f t="shared" si="15"/>
        <v>1.2246079999999995E-6</v>
      </c>
      <c r="BL29" s="53">
        <f t="shared" si="16"/>
        <v>6.49435768571033E-7</v>
      </c>
      <c r="BM29" s="53">
        <f t="shared" si="17"/>
        <v>6.5888837745132166E-5</v>
      </c>
      <c r="BN29" s="53">
        <f t="shared" si="18"/>
        <v>1.9657028295892313E-5</v>
      </c>
      <c r="BO29" s="53">
        <f t="shared" si="19"/>
        <v>2.1782277439999996E-6</v>
      </c>
      <c r="BP29" s="53">
        <f t="shared" si="20"/>
        <v>1.1100790889125299E-6</v>
      </c>
      <c r="BQ29" s="53">
        <f t="shared" si="21"/>
        <v>6.2343131312000005E-3</v>
      </c>
      <c r="BR29" s="53">
        <f t="shared" si="22"/>
        <v>3.3061893600836792E-3</v>
      </c>
    </row>
    <row r="30" spans="1:70" ht="14.25" customHeight="1" x14ac:dyDescent="0.3">
      <c r="A30" s="1">
        <f t="shared" si="34"/>
        <v>26</v>
      </c>
      <c r="B30" s="52">
        <f>'Life table'!D28</f>
        <v>0.97952339617836282</v>
      </c>
      <c r="C30" s="52">
        <f>IF($A30&lt;Customisation!$H$13,0,B30)/LOOKUP(Customisation!$H$13,$A$4:$A$104,$B$4:$B$104)</f>
        <v>0.99345979304920551</v>
      </c>
      <c r="D30" s="1">
        <f>IF($A30&lt;=Customisation!$H$13,1,1/(1+Customisation!$H$21)^($A30-Customisation!$H$13))</f>
        <v>0.50506795299551888</v>
      </c>
      <c r="E30" s="1">
        <f t="shared" si="11"/>
        <v>22.393572987094103</v>
      </c>
      <c r="F30" s="1">
        <f t="shared" si="2"/>
        <v>0.50176470405871398</v>
      </c>
      <c r="G30" s="53">
        <f>'Age data'!M34*Customisation!$H$22</f>
        <v>5.8929999999999993E-5</v>
      </c>
      <c r="H30" s="53">
        <f t="shared" si="3"/>
        <v>2.9763654470025923E-5</v>
      </c>
      <c r="I30" s="53">
        <f>'Age data'!N34*Customisation!$H$22</f>
        <v>1.9879999999999999E-5</v>
      </c>
      <c r="J30" s="54">
        <f t="shared" si="4"/>
        <v>1.0040750905550915E-5</v>
      </c>
      <c r="K30" s="53">
        <f>I30*'Life table'!I28</f>
        <v>1.0504332319698094E-3</v>
      </c>
      <c r="L30" s="53">
        <f>J30*'Life table'!J28</f>
        <v>3.0258981135217747E-4</v>
      </c>
      <c r="M30" s="53">
        <f t="shared" si="5"/>
        <v>3.5360839999999998E-5</v>
      </c>
      <c r="N30" s="53">
        <f>((G30-I30)*$AW$5+I30*$AW$6)/(1+Customisation!$H$21)^($A30-Customisation!$E$13)</f>
        <v>1.7162632790855444E-5</v>
      </c>
      <c r="O30" s="53">
        <f>G30*Customisation!$H$17</f>
        <v>0.101206382</v>
      </c>
      <c r="P30" s="109">
        <f>O30/(1+Customisation!$H$21)^($A30-Customisation!$E$13)</f>
        <v>5.1116100186822527E-2</v>
      </c>
      <c r="Q30" s="53">
        <f>IF($A30&lt;Customisation!$H$13,G30,G30*(1-Customisation!$H$11*Customisation!$H$12))</f>
        <v>2.4703455999999998E-5</v>
      </c>
      <c r="R30" s="53">
        <f>IF($A30&lt;Customisation!$H$13,H30,H30*(1-Customisation!$H$11*Customisation!$H$12))</f>
        <v>1.2476923953834868E-5</v>
      </c>
      <c r="S30" s="53">
        <f>IF($A30&lt;Customisation!$H$13,I30,I30*(1-Customisation!$H$11*Customisation!$H$12))</f>
        <v>8.3336960000000002E-6</v>
      </c>
      <c r="T30" s="53">
        <f>IF($A30&lt;Customisation!$H$13,J30,J30*(1-Customisation!$H$11*Customisation!$H$12))</f>
        <v>4.2090827796069435E-6</v>
      </c>
      <c r="U30" s="53">
        <f>IF($A30&lt;Customisation!$H$13,K30,K30*(1-Customisation!$H$11*Customisation!$H$12))</f>
        <v>4.4034161084174412E-4</v>
      </c>
      <c r="V30" s="53">
        <f>IF($A30&lt;Customisation!$H$13,L30,L30*(1-Customisation!$H$11*Customisation!$H$12))</f>
        <v>1.2684564891883281E-4</v>
      </c>
      <c r="W30" s="53">
        <f>IF($A30&lt;Customisation!$H$13,M30,M30*(1-Customisation!$H$11*Customisation!$H$12))</f>
        <v>1.4823264127999999E-5</v>
      </c>
      <c r="X30" s="53">
        <f>IF($A30&lt;Customisation!$H$13,N30,N30*(1-Customisation!$H$11*Customisation!$H$12))</f>
        <v>7.1945756659266022E-6</v>
      </c>
      <c r="Y30" s="53">
        <f>IF($A30&lt;Customisation!$H$13,O30,O30*(1-Customisation!$H$11*Customisation!$H$12))</f>
        <v>4.2425715334400003E-2</v>
      </c>
      <c r="Z30" s="53">
        <f>IF($A30&lt;Customisation!$H$13,P30,P30*(1-Customisation!$H$11*Customisation!$H$12))</f>
        <v>2.1427869198316005E-2</v>
      </c>
      <c r="AA30" s="53">
        <f t="shared" ref="AA30:AJ30" si="48">G30-Q30</f>
        <v>3.4226543999999995E-5</v>
      </c>
      <c r="AB30" s="53">
        <f t="shared" si="48"/>
        <v>1.7286730516191054E-5</v>
      </c>
      <c r="AC30" s="53">
        <f t="shared" si="48"/>
        <v>1.1546303999999999E-5</v>
      </c>
      <c r="AD30" s="53">
        <f t="shared" si="48"/>
        <v>5.8316681259439715E-6</v>
      </c>
      <c r="AE30" s="53">
        <f t="shared" si="48"/>
        <v>6.1009162112806532E-4</v>
      </c>
      <c r="AF30" s="53">
        <f t="shared" si="48"/>
        <v>1.7574416243334466E-4</v>
      </c>
      <c r="AG30" s="53">
        <f t="shared" si="48"/>
        <v>2.0537575871999999E-5</v>
      </c>
      <c r="AH30" s="53">
        <f t="shared" si="48"/>
        <v>9.9680571249288413E-6</v>
      </c>
      <c r="AI30" s="53">
        <f t="shared" si="48"/>
        <v>5.8780666665599994E-2</v>
      </c>
      <c r="AJ30" s="53">
        <f t="shared" si="48"/>
        <v>2.9688230988506523E-2</v>
      </c>
      <c r="AK30" s="1"/>
      <c r="AL30" s="55">
        <f t="shared" si="7"/>
        <v>5.8929999999999989</v>
      </c>
      <c r="AM30" s="55">
        <f t="shared" si="8"/>
        <v>2.4703455999999999</v>
      </c>
      <c r="AN30" s="1"/>
      <c r="AO30" s="1"/>
      <c r="AP30" s="1"/>
      <c r="AQ30" s="1"/>
      <c r="AR30" s="1"/>
      <c r="AS30" s="1"/>
      <c r="AT30" s="1"/>
      <c r="AU30" s="1"/>
      <c r="AV30" s="1"/>
      <c r="AW30" s="1"/>
      <c r="AX30" s="1"/>
      <c r="AY30" s="53">
        <f>IF($A30&lt;Customisation!$H$13,G30,G30*(1-Customisation!$H$24*Customisation!$H$12))</f>
        <v>2.1073368E-5</v>
      </c>
      <c r="AZ30" s="53">
        <f>IF($A30&lt;Customisation!$H$13,H30,H30*(1-Customisation!$H$24*Customisation!$H$12))</f>
        <v>1.064348283848127E-5</v>
      </c>
      <c r="BA30" s="53">
        <f>IF($A30&lt;Customisation!$H$13,I30,I30*(1-Customisation!$H$24*Customisation!$H$12))</f>
        <v>7.1090880000000008E-6</v>
      </c>
      <c r="BB30" s="53">
        <f>IF($A30&lt;Customisation!$H$13,J30,J30*(1-Customisation!$H$24*Customisation!$H$12))</f>
        <v>3.5905725238250075E-6</v>
      </c>
      <c r="BC30" s="53">
        <f>IF($A30&lt;Customisation!$H$13,K30,K30*(1-Customisation!$H$24*Customisation!$H$12))</f>
        <v>3.7563492375240385E-4</v>
      </c>
      <c r="BD30" s="53">
        <f>IF($A30&lt;Customisation!$H$13,L30,L30*(1-Customisation!$H$24*Customisation!$H$12))</f>
        <v>1.0820611653953867E-4</v>
      </c>
      <c r="BE30" s="53">
        <f>IF($A30&lt;Customisation!$H$13,M30,M30*(1-Customisation!$H$24*Customisation!$H$12))</f>
        <v>1.2645036384E-5</v>
      </c>
      <c r="BF30" s="53">
        <f>IF($A30&lt;Customisation!$H$13,N30,N30*(1-Customisation!$H$24*Customisation!$H$12))</f>
        <v>6.1373574860099069E-6</v>
      </c>
      <c r="BG30" s="53">
        <f>IF($A30&lt;Customisation!$H$13,O30,O30*(1-Customisation!$H$24*Customisation!$H$12))</f>
        <v>3.6191402203200003E-2</v>
      </c>
      <c r="BH30" s="53">
        <f>IF($A30&lt;Customisation!$H$13,P30,P30*(1-Customisation!$H$24*Customisation!$H$12))</f>
        <v>1.8279117426807736E-2</v>
      </c>
      <c r="BI30" s="53">
        <f t="shared" si="13"/>
        <v>3.6300879999999982E-6</v>
      </c>
      <c r="BJ30" s="53">
        <f t="shared" si="14"/>
        <v>1.8334411153535976E-6</v>
      </c>
      <c r="BK30" s="53">
        <f t="shared" si="15"/>
        <v>1.2246079999999995E-6</v>
      </c>
      <c r="BL30" s="53">
        <f t="shared" si="16"/>
        <v>6.1851025578193605E-7</v>
      </c>
      <c r="BM30" s="53">
        <f t="shared" si="17"/>
        <v>6.4706687089340271E-5</v>
      </c>
      <c r="BN30" s="53">
        <f t="shared" si="18"/>
        <v>1.8639532379294141E-5</v>
      </c>
      <c r="BO30" s="53">
        <f t="shared" si="19"/>
        <v>2.1782277439999996E-6</v>
      </c>
      <c r="BP30" s="53">
        <f t="shared" si="20"/>
        <v>1.0572181799166953E-6</v>
      </c>
      <c r="BQ30" s="53">
        <f t="shared" si="21"/>
        <v>6.2343131312000005E-3</v>
      </c>
      <c r="BR30" s="53">
        <f t="shared" si="22"/>
        <v>3.1487517715082687E-3</v>
      </c>
    </row>
    <row r="31" spans="1:70" ht="14.25" customHeight="1" x14ac:dyDescent="0.3">
      <c r="A31" s="1">
        <f t="shared" si="34"/>
        <v>27</v>
      </c>
      <c r="B31" s="52">
        <f>'Life table'!D29</f>
        <v>0.97886711550292338</v>
      </c>
      <c r="C31" s="52">
        <f>IF($A31&lt;Customisation!$H$13,0,B31)/LOOKUP(Customisation!$H$13,$A$4:$A$104,$B$4:$B$104)</f>
        <v>0.9927941749878626</v>
      </c>
      <c r="D31" s="1">
        <f>IF($A31&lt;=Customisation!$H$13,1,1/(1+Customisation!$H$21)^($A31-Customisation!$H$13))</f>
        <v>0.48101709809097021</v>
      </c>
      <c r="E31" s="1">
        <f t="shared" si="11"/>
        <v>22.898640940089621</v>
      </c>
      <c r="F31" s="1">
        <f t="shared" si="2"/>
        <v>0.47755097305428057</v>
      </c>
      <c r="G31" s="53">
        <f>'Age data'!M35*Customisation!$H$22</f>
        <v>5.8929999999999993E-5</v>
      </c>
      <c r="H31" s="53">
        <f t="shared" si="3"/>
        <v>2.8346337590500872E-5</v>
      </c>
      <c r="I31" s="53">
        <f>'Age data'!N35*Customisation!$H$22</f>
        <v>1.9879999999999999E-5</v>
      </c>
      <c r="J31" s="54">
        <f t="shared" si="4"/>
        <v>9.5626199100484877E-6</v>
      </c>
      <c r="K31" s="53">
        <f>I31*'Life table'!I29</f>
        <v>1.0312508298257928E-3</v>
      </c>
      <c r="L31" s="53">
        <f>J31*'Life table'!J29</f>
        <v>2.868615360696409E-4</v>
      </c>
      <c r="M31" s="53">
        <f t="shared" si="5"/>
        <v>3.5360839999999998E-5</v>
      </c>
      <c r="N31" s="53">
        <f>((G31-I31)*$AW$5+I31*$AW$6)/(1+Customisation!$H$21)^($A31-Customisation!$E$13)</f>
        <v>1.6345364562719467E-5</v>
      </c>
      <c r="O31" s="53">
        <f>G31*Customisation!$H$17</f>
        <v>0.101206382</v>
      </c>
      <c r="P31" s="109">
        <f>O31/(1+Customisation!$H$21)^($A31-Customisation!$E$13)</f>
        <v>4.8682000177926198E-2</v>
      </c>
      <c r="Q31" s="53">
        <f>IF($A31&lt;Customisation!$H$13,G31,G31*(1-Customisation!$H$11*Customisation!$H$12))</f>
        <v>2.4703455999999998E-5</v>
      </c>
      <c r="R31" s="53">
        <f>IF($A31&lt;Customisation!$H$13,H31,H31*(1-Customisation!$H$11*Customisation!$H$12))</f>
        <v>1.1882784717937966E-5</v>
      </c>
      <c r="S31" s="53">
        <f>IF($A31&lt;Customisation!$H$13,I31,I31*(1-Customisation!$H$11*Customisation!$H$12))</f>
        <v>8.3336960000000002E-6</v>
      </c>
      <c r="T31" s="53">
        <f>IF($A31&lt;Customisation!$H$13,J31,J31*(1-Customisation!$H$11*Customisation!$H$12))</f>
        <v>4.0086502662923264E-6</v>
      </c>
      <c r="U31" s="53">
        <f>IF($A31&lt;Customisation!$H$13,K31,K31*(1-Customisation!$H$11*Customisation!$H$12))</f>
        <v>4.3230034786297236E-4</v>
      </c>
      <c r="V31" s="53">
        <f>IF($A31&lt;Customisation!$H$13,L31,L31*(1-Customisation!$H$11*Customisation!$H$12))</f>
        <v>1.2025235592039347E-4</v>
      </c>
      <c r="W31" s="53">
        <f>IF($A31&lt;Customisation!$H$13,M31,M31*(1-Customisation!$H$11*Customisation!$H$12))</f>
        <v>1.4823264127999999E-5</v>
      </c>
      <c r="X31" s="53">
        <f>IF($A31&lt;Customisation!$H$13,N31,N31*(1-Customisation!$H$11*Customisation!$H$12))</f>
        <v>6.8519768246920009E-6</v>
      </c>
      <c r="Y31" s="53">
        <f>IF($A31&lt;Customisation!$H$13,O31,O31*(1-Customisation!$H$11*Customisation!$H$12))</f>
        <v>4.2425715334400003E-2</v>
      </c>
      <c r="Z31" s="53">
        <f>IF($A31&lt;Customisation!$H$13,P31,P31*(1-Customisation!$H$11*Customisation!$H$12))</f>
        <v>2.0407494474586663E-2</v>
      </c>
      <c r="AA31" s="53">
        <f t="shared" ref="AA31:AJ31" si="49">G31-Q31</f>
        <v>3.4226543999999995E-5</v>
      </c>
      <c r="AB31" s="53">
        <f t="shared" si="49"/>
        <v>1.6463552872562905E-5</v>
      </c>
      <c r="AC31" s="53">
        <f t="shared" si="49"/>
        <v>1.1546303999999999E-5</v>
      </c>
      <c r="AD31" s="53">
        <f t="shared" si="49"/>
        <v>5.5539696437561613E-6</v>
      </c>
      <c r="AE31" s="53">
        <f t="shared" si="49"/>
        <v>5.9895048196282035E-4</v>
      </c>
      <c r="AF31" s="53">
        <f t="shared" si="49"/>
        <v>1.6660918014924742E-4</v>
      </c>
      <c r="AG31" s="53">
        <f t="shared" si="49"/>
        <v>2.0537575871999999E-5</v>
      </c>
      <c r="AH31" s="53">
        <f t="shared" si="49"/>
        <v>9.4933877380274648E-6</v>
      </c>
      <c r="AI31" s="53">
        <f t="shared" si="49"/>
        <v>5.8780666665599994E-2</v>
      </c>
      <c r="AJ31" s="53">
        <f t="shared" si="49"/>
        <v>2.8274505703339534E-2</v>
      </c>
      <c r="AK31" s="1"/>
      <c r="AL31" s="55">
        <f t="shared" si="7"/>
        <v>5.8929999999999989</v>
      </c>
      <c r="AM31" s="55">
        <f t="shared" si="8"/>
        <v>2.4703455999999999</v>
      </c>
      <c r="AN31" s="1"/>
      <c r="AO31" s="1"/>
      <c r="AP31" s="1"/>
      <c r="AQ31" s="1"/>
      <c r="AR31" s="1"/>
      <c r="AS31" s="1"/>
      <c r="AT31" s="1"/>
      <c r="AU31" s="1"/>
      <c r="AV31" s="1"/>
      <c r="AW31" s="1"/>
      <c r="AX31" s="1"/>
      <c r="AY31" s="53">
        <f>IF($A31&lt;Customisation!$H$13,G31,G31*(1-Customisation!$H$24*Customisation!$H$12))</f>
        <v>2.1073368E-5</v>
      </c>
      <c r="AZ31" s="53">
        <f>IF($A31&lt;Customisation!$H$13,H31,H31*(1-Customisation!$H$24*Customisation!$H$12))</f>
        <v>1.0136650322363112E-5</v>
      </c>
      <c r="BA31" s="53">
        <f>IF($A31&lt;Customisation!$H$13,I31,I31*(1-Customisation!$H$24*Customisation!$H$12))</f>
        <v>7.1090880000000008E-6</v>
      </c>
      <c r="BB31" s="53">
        <f>IF($A31&lt;Customisation!$H$13,J31,J31*(1-Customisation!$H$24*Customisation!$H$12))</f>
        <v>3.4195928798333393E-6</v>
      </c>
      <c r="BC31" s="53">
        <f>IF($A31&lt;Customisation!$H$13,K31,K31*(1-Customisation!$H$24*Customisation!$H$12))</f>
        <v>3.6877529674570354E-4</v>
      </c>
      <c r="BD31" s="53">
        <f>IF($A31&lt;Customisation!$H$13,L31,L31*(1-Customisation!$H$24*Customisation!$H$12))</f>
        <v>1.025816852985036E-4</v>
      </c>
      <c r="BE31" s="53">
        <f>IF($A31&lt;Customisation!$H$13,M31,M31*(1-Customisation!$H$24*Customisation!$H$12))</f>
        <v>1.2645036384E-5</v>
      </c>
      <c r="BF31" s="53">
        <f>IF($A31&lt;Customisation!$H$13,N31,N31*(1-Customisation!$H$24*Customisation!$H$12))</f>
        <v>5.8451023676284815E-6</v>
      </c>
      <c r="BG31" s="53">
        <f>IF($A31&lt;Customisation!$H$13,O31,O31*(1-Customisation!$H$24*Customisation!$H$12))</f>
        <v>3.6191402203200003E-2</v>
      </c>
      <c r="BH31" s="53">
        <f>IF($A31&lt;Customisation!$H$13,P31,P31*(1-Customisation!$H$24*Customisation!$H$12))</f>
        <v>1.740868326362641E-2</v>
      </c>
      <c r="BI31" s="53">
        <f t="shared" si="13"/>
        <v>3.6300879999999982E-6</v>
      </c>
      <c r="BJ31" s="53">
        <f t="shared" si="14"/>
        <v>1.7461343955748538E-6</v>
      </c>
      <c r="BK31" s="53">
        <f t="shared" si="15"/>
        <v>1.2246079999999995E-6</v>
      </c>
      <c r="BL31" s="53">
        <f t="shared" si="16"/>
        <v>5.8905738645898704E-7</v>
      </c>
      <c r="BM31" s="53">
        <f t="shared" si="17"/>
        <v>6.3525051117268823E-5</v>
      </c>
      <c r="BN31" s="53">
        <f t="shared" si="18"/>
        <v>1.7670670621889873E-5</v>
      </c>
      <c r="BO31" s="53">
        <f t="shared" si="19"/>
        <v>2.1782277439999996E-6</v>
      </c>
      <c r="BP31" s="53">
        <f t="shared" si="20"/>
        <v>1.0068744570635195E-6</v>
      </c>
      <c r="BQ31" s="53">
        <f t="shared" si="21"/>
        <v>6.2343131312000005E-3</v>
      </c>
      <c r="BR31" s="53">
        <f t="shared" si="22"/>
        <v>2.9988112109602533E-3</v>
      </c>
    </row>
    <row r="32" spans="1:70" ht="14.25" customHeight="1" x14ac:dyDescent="0.3">
      <c r="A32" s="1">
        <f t="shared" si="34"/>
        <v>28</v>
      </c>
      <c r="B32" s="52">
        <f>'Life table'!D30</f>
        <v>0.97818190852207132</v>
      </c>
      <c r="C32" s="52">
        <f>IF($A32&lt;Customisation!$H$13,0,B32)/LOOKUP(Customisation!$H$13,$A$4:$A$104,$B$4:$B$104)</f>
        <v>0.99209921906537113</v>
      </c>
      <c r="D32" s="1">
        <f>IF($A32&lt;=Customisation!$H$13,1,1/(1+Customisation!$H$21)^($A32-Customisation!$H$13))</f>
        <v>0.45811152199140021</v>
      </c>
      <c r="E32" s="1">
        <f t="shared" si="11"/>
        <v>23.37965803818059</v>
      </c>
      <c r="F32" s="1">
        <f t="shared" si="2"/>
        <v>0.45449208321251672</v>
      </c>
      <c r="G32" s="53">
        <f>'Age data'!M36*Customisation!$H$22</f>
        <v>5.8929999999999993E-5</v>
      </c>
      <c r="H32" s="53">
        <f t="shared" si="3"/>
        <v>2.6996511990953211E-5</v>
      </c>
      <c r="I32" s="53">
        <f>'Age data'!N36*Customisation!$H$22</f>
        <v>1.9879999999999999E-5</v>
      </c>
      <c r="J32" s="54">
        <f t="shared" si="4"/>
        <v>9.1072570571890362E-6</v>
      </c>
      <c r="K32" s="53">
        <f>I32*'Life table'!I30</f>
        <v>1.0120862481995325E-3</v>
      </c>
      <c r="L32" s="53">
        <f>J32*'Life table'!J30</f>
        <v>2.7188588798677361E-4</v>
      </c>
      <c r="M32" s="53">
        <f t="shared" si="5"/>
        <v>3.5360839999999998E-5</v>
      </c>
      <c r="N32" s="53">
        <f>((G32-I32)*$AW$5+I32*$AW$6)/(1+Customisation!$H$21)^($A32-Customisation!$E$13)</f>
        <v>1.5567013869256636E-5</v>
      </c>
      <c r="O32" s="53">
        <f>G32*Customisation!$H$17</f>
        <v>0.101206382</v>
      </c>
      <c r="P32" s="109">
        <f>O32/(1+Customisation!$H$21)^($A32-Customisation!$E$13)</f>
        <v>4.636380969326305E-2</v>
      </c>
      <c r="Q32" s="53">
        <f>IF($A32&lt;Customisation!$H$13,G32,G32*(1-Customisation!$H$11*Customisation!$H$12))</f>
        <v>2.4703455999999998E-5</v>
      </c>
      <c r="R32" s="53">
        <f>IF($A32&lt;Customisation!$H$13,H32,H32*(1-Customisation!$H$11*Customisation!$H$12))</f>
        <v>1.1316937826607586E-5</v>
      </c>
      <c r="S32" s="53">
        <f>IF($A32&lt;Customisation!$H$13,I32,I32*(1-Customisation!$H$11*Customisation!$H$12))</f>
        <v>8.3336960000000002E-6</v>
      </c>
      <c r="T32" s="53">
        <f>IF($A32&lt;Customisation!$H$13,J32,J32*(1-Customisation!$H$11*Customisation!$H$12))</f>
        <v>3.8177621583736443E-6</v>
      </c>
      <c r="U32" s="53">
        <f>IF($A32&lt;Customisation!$H$13,K32,K32*(1-Customisation!$H$11*Customisation!$H$12))</f>
        <v>4.2426655524524401E-4</v>
      </c>
      <c r="V32" s="53">
        <f>IF($A32&lt;Customisation!$H$13,L32,L32*(1-Customisation!$H$11*Customisation!$H$12))</f>
        <v>1.1397456424405549E-4</v>
      </c>
      <c r="W32" s="53">
        <f>IF($A32&lt;Customisation!$H$13,M32,M32*(1-Customisation!$H$11*Customisation!$H$12))</f>
        <v>1.4823264127999999E-5</v>
      </c>
      <c r="X32" s="53">
        <f>IF($A32&lt;Customisation!$H$13,N32,N32*(1-Customisation!$H$11*Customisation!$H$12))</f>
        <v>6.5256922139923818E-6</v>
      </c>
      <c r="Y32" s="53">
        <f>IF($A32&lt;Customisation!$H$13,O32,O32*(1-Customisation!$H$11*Customisation!$H$12))</f>
        <v>4.2425715334400003E-2</v>
      </c>
      <c r="Z32" s="53">
        <f>IF($A32&lt;Customisation!$H$13,P32,P32*(1-Customisation!$H$11*Customisation!$H$12))</f>
        <v>1.9435709023415872E-2</v>
      </c>
      <c r="AA32" s="53">
        <f t="shared" ref="AA32:AJ32" si="50">G32-Q32</f>
        <v>3.4226543999999995E-5</v>
      </c>
      <c r="AB32" s="53">
        <f t="shared" si="50"/>
        <v>1.5679574164345626E-5</v>
      </c>
      <c r="AC32" s="53">
        <f t="shared" si="50"/>
        <v>1.1546303999999999E-5</v>
      </c>
      <c r="AD32" s="53">
        <f t="shared" si="50"/>
        <v>5.2894948988153919E-6</v>
      </c>
      <c r="AE32" s="53">
        <f t="shared" si="50"/>
        <v>5.8781969295428841E-4</v>
      </c>
      <c r="AF32" s="53">
        <f t="shared" si="50"/>
        <v>1.5791132374271813E-4</v>
      </c>
      <c r="AG32" s="53">
        <f t="shared" si="50"/>
        <v>2.0537575871999999E-5</v>
      </c>
      <c r="AH32" s="53">
        <f t="shared" si="50"/>
        <v>9.0413216552642544E-6</v>
      </c>
      <c r="AI32" s="53">
        <f t="shared" si="50"/>
        <v>5.8780666665599994E-2</v>
      </c>
      <c r="AJ32" s="53">
        <f t="shared" si="50"/>
        <v>2.6928100669847178E-2</v>
      </c>
      <c r="AK32" s="1"/>
      <c r="AL32" s="55">
        <f t="shared" si="7"/>
        <v>5.8929999999999989</v>
      </c>
      <c r="AM32" s="55">
        <f t="shared" si="8"/>
        <v>2.4703455999999999</v>
      </c>
      <c r="AN32" s="1"/>
      <c r="AO32" s="1"/>
      <c r="AP32" s="1"/>
      <c r="AQ32" s="1"/>
      <c r="AR32" s="1"/>
      <c r="AS32" s="1"/>
      <c r="AT32" s="1"/>
      <c r="AU32" s="1"/>
      <c r="AV32" s="1"/>
      <c r="AW32" s="1"/>
      <c r="AX32" s="1"/>
      <c r="AY32" s="53">
        <f>IF($A32&lt;Customisation!$H$13,G32,G32*(1-Customisation!$H$24*Customisation!$H$12))</f>
        <v>2.1073368E-5</v>
      </c>
      <c r="AZ32" s="53">
        <f>IF($A32&lt;Customisation!$H$13,H32,H32*(1-Customisation!$H$24*Customisation!$H$12))</f>
        <v>9.653952687964869E-6</v>
      </c>
      <c r="BA32" s="53">
        <f>IF($A32&lt;Customisation!$H$13,I32,I32*(1-Customisation!$H$24*Customisation!$H$12))</f>
        <v>7.1090880000000008E-6</v>
      </c>
      <c r="BB32" s="53">
        <f>IF($A32&lt;Customisation!$H$13,J32,J32*(1-Customisation!$H$24*Customisation!$H$12))</f>
        <v>3.2567551236507994E-6</v>
      </c>
      <c r="BC32" s="53">
        <f>IF($A32&lt;Customisation!$H$13,K32,K32*(1-Customisation!$H$24*Customisation!$H$12))</f>
        <v>3.6192204235615285E-4</v>
      </c>
      <c r="BD32" s="53">
        <f>IF($A32&lt;Customisation!$H$13,L32,L32*(1-Customisation!$H$24*Customisation!$H$12))</f>
        <v>9.722639354407025E-5</v>
      </c>
      <c r="BE32" s="53">
        <f>IF($A32&lt;Customisation!$H$13,M32,M32*(1-Customisation!$H$24*Customisation!$H$12))</f>
        <v>1.2645036384E-5</v>
      </c>
      <c r="BF32" s="53">
        <f>IF($A32&lt;Customisation!$H$13,N32,N32*(1-Customisation!$H$24*Customisation!$H$12))</f>
        <v>5.5667641596461734E-6</v>
      </c>
      <c r="BG32" s="53">
        <f>IF($A32&lt;Customisation!$H$13,O32,O32*(1-Customisation!$H$24*Customisation!$H$12))</f>
        <v>3.6191402203200003E-2</v>
      </c>
      <c r="BH32" s="53">
        <f>IF($A32&lt;Customisation!$H$13,P32,P32*(1-Customisation!$H$24*Customisation!$H$12))</f>
        <v>1.6579698346310869E-2</v>
      </c>
      <c r="BI32" s="53">
        <f t="shared" si="13"/>
        <v>3.6300879999999982E-6</v>
      </c>
      <c r="BJ32" s="53">
        <f t="shared" si="14"/>
        <v>1.6629851386427168E-6</v>
      </c>
      <c r="BK32" s="53">
        <f t="shared" si="15"/>
        <v>1.2246079999999995E-6</v>
      </c>
      <c r="BL32" s="53">
        <f t="shared" si="16"/>
        <v>5.610070347228449E-7</v>
      </c>
      <c r="BM32" s="53">
        <f t="shared" si="17"/>
        <v>6.2344512889091154E-5</v>
      </c>
      <c r="BN32" s="53">
        <f t="shared" si="18"/>
        <v>1.6748170699985244E-5</v>
      </c>
      <c r="BO32" s="53">
        <f t="shared" si="19"/>
        <v>2.1782277439999996E-6</v>
      </c>
      <c r="BP32" s="53">
        <f t="shared" si="20"/>
        <v>9.5892805434620837E-7</v>
      </c>
      <c r="BQ32" s="53">
        <f t="shared" si="21"/>
        <v>6.2343131312000005E-3</v>
      </c>
      <c r="BR32" s="53">
        <f t="shared" si="22"/>
        <v>2.8560106771050031E-3</v>
      </c>
    </row>
    <row r="33" spans="1:70" ht="14.25" customHeight="1" x14ac:dyDescent="0.3">
      <c r="A33" s="1">
        <f t="shared" si="34"/>
        <v>29</v>
      </c>
      <c r="B33" s="52">
        <f>'Life table'!D31</f>
        <v>0.97745805390976503</v>
      </c>
      <c r="C33" s="52">
        <f>IF($A33&lt;Customisation!$H$13,0,B33)/LOOKUP(Customisation!$H$13,$A$4:$A$104,$B$4:$B$104)</f>
        <v>0.99136506564326277</v>
      </c>
      <c r="D33" s="1">
        <f>IF($A33&lt;=Customisation!$H$13,1,1/(1+Customisation!$H$21)^($A33-Customisation!$H$13))</f>
        <v>0.43629668761085727</v>
      </c>
      <c r="E33" s="1">
        <f t="shared" si="11"/>
        <v>23.837769560171992</v>
      </c>
      <c r="F33" s="1">
        <f t="shared" si="2"/>
        <v>0.43252929435327564</v>
      </c>
      <c r="G33" s="53">
        <f>'Age data'!M37*Customisation!$H$22</f>
        <v>5.8219999999999995E-5</v>
      </c>
      <c r="H33" s="53">
        <f t="shared" si="3"/>
        <v>2.5401193152704107E-5</v>
      </c>
      <c r="I33" s="53">
        <f>'Age data'!N37*Customisation!$H$22</f>
        <v>1.9879999999999999E-5</v>
      </c>
      <c r="J33" s="54">
        <f t="shared" si="4"/>
        <v>8.6735781497038417E-6</v>
      </c>
      <c r="K33" s="53">
        <f>I33*'Life table'!I31</f>
        <v>9.9294838560488007E-4</v>
      </c>
      <c r="L33" s="53">
        <f>J33*'Life table'!J31</f>
        <v>2.5762772699731339E-4</v>
      </c>
      <c r="M33" s="53">
        <f t="shared" si="5"/>
        <v>3.5017200000000001E-5</v>
      </c>
      <c r="N33" s="53">
        <f>((G33-I33)*$AW$5+I33*$AW$6)/(1+Customisation!$H$21)^($A33-Customisation!$E$13)</f>
        <v>1.4682690409924998E-5</v>
      </c>
      <c r="O33" s="53">
        <f>G33*Customisation!$H$17</f>
        <v>9.9987027999999992E-2</v>
      </c>
      <c r="P33" s="109">
        <f>O33/(1+Customisation!$H$21)^($A33-Customisation!$E$13)</f>
        <v>4.3624009120454041E-2</v>
      </c>
      <c r="Q33" s="53">
        <f>IF($A33&lt;Customisation!$H$13,G33,G33*(1-Customisation!$H$11*Customisation!$H$12))</f>
        <v>2.4405823999999998E-5</v>
      </c>
      <c r="R33" s="53">
        <f>IF($A33&lt;Customisation!$H$13,H33,H33*(1-Customisation!$H$11*Customisation!$H$12))</f>
        <v>1.0648180169613561E-5</v>
      </c>
      <c r="S33" s="53">
        <f>IF($A33&lt;Customisation!$H$13,I33,I33*(1-Customisation!$H$11*Customisation!$H$12))</f>
        <v>8.3336960000000002E-6</v>
      </c>
      <c r="T33" s="53">
        <f>IF($A33&lt;Customisation!$H$13,J33,J33*(1-Customisation!$H$11*Customisation!$H$12))</f>
        <v>3.6359639603558505E-6</v>
      </c>
      <c r="U33" s="53">
        <f>IF($A33&lt;Customisation!$H$13,K33,K33*(1-Customisation!$H$11*Customisation!$H$12))</f>
        <v>4.1624396324556573E-4</v>
      </c>
      <c r="V33" s="53">
        <f>IF($A33&lt;Customisation!$H$13,L33,L33*(1-Customisation!$H$11*Customisation!$H$12))</f>
        <v>1.0799754315727377E-4</v>
      </c>
      <c r="W33" s="53">
        <f>IF($A33&lt;Customisation!$H$13,M33,M33*(1-Customisation!$H$11*Customisation!$H$12))</f>
        <v>1.4679210240000002E-5</v>
      </c>
      <c r="X33" s="53">
        <f>IF($A33&lt;Customisation!$H$13,N33,N33*(1-Customisation!$H$11*Customisation!$H$12))</f>
        <v>6.1549838198405593E-6</v>
      </c>
      <c r="Y33" s="53">
        <f>IF($A33&lt;Customisation!$H$13,O33,O33*(1-Customisation!$H$11*Customisation!$H$12))</f>
        <v>4.1914562137599996E-2</v>
      </c>
      <c r="Z33" s="53">
        <f>IF($A33&lt;Customisation!$H$13,P33,P33*(1-Customisation!$H$11*Customisation!$H$12))</f>
        <v>1.8287184623294334E-2</v>
      </c>
      <c r="AA33" s="53">
        <f t="shared" ref="AA33:AJ33" si="51">G33-Q33</f>
        <v>3.3814176E-5</v>
      </c>
      <c r="AB33" s="53">
        <f t="shared" si="51"/>
        <v>1.4753012983090546E-5</v>
      </c>
      <c r="AC33" s="53">
        <f t="shared" si="51"/>
        <v>1.1546303999999999E-5</v>
      </c>
      <c r="AD33" s="53">
        <f t="shared" si="51"/>
        <v>5.0376141893479912E-6</v>
      </c>
      <c r="AE33" s="53">
        <f t="shared" si="51"/>
        <v>5.7670442235931434E-4</v>
      </c>
      <c r="AF33" s="53">
        <f t="shared" si="51"/>
        <v>1.4963018384003962E-4</v>
      </c>
      <c r="AG33" s="53">
        <f t="shared" si="51"/>
        <v>2.0337989759999998E-5</v>
      </c>
      <c r="AH33" s="53">
        <f t="shared" si="51"/>
        <v>8.5277065900844383E-6</v>
      </c>
      <c r="AI33" s="53">
        <f t="shared" si="51"/>
        <v>5.8072465862399995E-2</v>
      </c>
      <c r="AJ33" s="53">
        <f t="shared" si="51"/>
        <v>2.5336824497159707E-2</v>
      </c>
      <c r="AK33" s="1"/>
      <c r="AL33" s="55">
        <f t="shared" si="7"/>
        <v>5.8219999999999992</v>
      </c>
      <c r="AM33" s="55">
        <f t="shared" si="8"/>
        <v>2.4405823999999998</v>
      </c>
      <c r="AN33" s="1"/>
      <c r="AO33" s="1"/>
      <c r="AP33" s="1"/>
      <c r="AQ33" s="1"/>
      <c r="AR33" s="1"/>
      <c r="AS33" s="1"/>
      <c r="AT33" s="1"/>
      <c r="AU33" s="1"/>
      <c r="AV33" s="1"/>
      <c r="AW33" s="1"/>
      <c r="AX33" s="1"/>
      <c r="AY33" s="53">
        <f>IF($A33&lt;Customisation!$H$13,G33,G33*(1-Customisation!$H$24*Customisation!$H$12))</f>
        <v>2.0819472E-5</v>
      </c>
      <c r="AZ33" s="53">
        <f>IF($A33&lt;Customisation!$H$13,H33,H33*(1-Customisation!$H$24*Customisation!$H$12))</f>
        <v>9.0834666714069886E-6</v>
      </c>
      <c r="BA33" s="53">
        <f>IF($A33&lt;Customisation!$H$13,I33,I33*(1-Customisation!$H$24*Customisation!$H$12))</f>
        <v>7.1090880000000008E-6</v>
      </c>
      <c r="BB33" s="53">
        <f>IF($A33&lt;Customisation!$H$13,J33,J33*(1-Customisation!$H$24*Customisation!$H$12))</f>
        <v>3.1016715463340941E-6</v>
      </c>
      <c r="BC33" s="53">
        <f>IF($A33&lt;Customisation!$H$13,K33,K33*(1-Customisation!$H$24*Customisation!$H$12))</f>
        <v>3.5507834269230513E-4</v>
      </c>
      <c r="BD33" s="53">
        <f>IF($A33&lt;Customisation!$H$13,L33,L33*(1-Customisation!$H$24*Customisation!$H$12))</f>
        <v>9.2127675174239279E-5</v>
      </c>
      <c r="BE33" s="53">
        <f>IF($A33&lt;Customisation!$H$13,M33,M33*(1-Customisation!$H$24*Customisation!$H$12))</f>
        <v>1.2522150720000001E-5</v>
      </c>
      <c r="BF33" s="53">
        <f>IF($A33&lt;Customisation!$H$13,N33,N33*(1-Customisation!$H$24*Customisation!$H$12))</f>
        <v>5.2505300905891797E-6</v>
      </c>
      <c r="BG33" s="53">
        <f>IF($A33&lt;Customisation!$H$13,O33,O33*(1-Customisation!$H$24*Customisation!$H$12))</f>
        <v>3.5755361212799999E-2</v>
      </c>
      <c r="BH33" s="53">
        <f>IF($A33&lt;Customisation!$H$13,P33,P33*(1-Customisation!$H$24*Customisation!$H$12))</f>
        <v>1.5599945661474367E-2</v>
      </c>
      <c r="BI33" s="53">
        <f t="shared" si="13"/>
        <v>3.5863519999999988E-6</v>
      </c>
      <c r="BJ33" s="53">
        <f t="shared" si="14"/>
        <v>1.5647134982065728E-6</v>
      </c>
      <c r="BK33" s="53">
        <f t="shared" si="15"/>
        <v>1.2246079999999995E-6</v>
      </c>
      <c r="BL33" s="53">
        <f t="shared" si="16"/>
        <v>5.3429241402175638E-7</v>
      </c>
      <c r="BM33" s="53">
        <f t="shared" si="17"/>
        <v>6.1165620553260594E-5</v>
      </c>
      <c r="BN33" s="53">
        <f t="shared" si="18"/>
        <v>1.5869867983034494E-5</v>
      </c>
      <c r="BO33" s="53">
        <f t="shared" si="19"/>
        <v>2.1570595200000006E-6</v>
      </c>
      <c r="BP33" s="53">
        <f t="shared" si="20"/>
        <v>9.0445372925137964E-7</v>
      </c>
      <c r="BQ33" s="53">
        <f t="shared" si="21"/>
        <v>6.1592009247999971E-3</v>
      </c>
      <c r="BR33" s="53">
        <f t="shared" si="22"/>
        <v>2.6872389618199672E-3</v>
      </c>
    </row>
    <row r="34" spans="1:70" ht="14.25" customHeight="1" x14ac:dyDescent="0.3">
      <c r="A34" s="1">
        <f t="shared" si="34"/>
        <v>30</v>
      </c>
      <c r="B34" s="52">
        <f>'Life table'!D32</f>
        <v>0.97669563662771541</v>
      </c>
      <c r="C34" s="52">
        <f>IF($A34&lt;Customisation!$H$13,0,B34)/LOOKUP(Customisation!$H$13,$A$4:$A$104,$B$4:$B$104)</f>
        <v>0.990591800892061</v>
      </c>
      <c r="D34" s="1">
        <f>IF($A34&lt;=Customisation!$H$13,1,1/(1+Customisation!$H$21)^($A34-Customisation!$H$13))</f>
        <v>0.41552065486748313</v>
      </c>
      <c r="E34" s="1">
        <f t="shared" si="11"/>
        <v>24.274066247782848</v>
      </c>
      <c r="F34" s="1">
        <f t="shared" si="2"/>
        <v>0.41161135381302866</v>
      </c>
      <c r="G34" s="53">
        <f>'Age data'!M38*Customisation!$H$22</f>
        <v>9.0879999999999997E-5</v>
      </c>
      <c r="H34" s="53">
        <f t="shared" si="3"/>
        <v>3.7762517114356864E-5</v>
      </c>
      <c r="I34" s="53">
        <f>'Age data'!N38*Customisation!$H$22</f>
        <v>3.9050000000000001E-5</v>
      </c>
      <c r="J34" s="54">
        <f t="shared" si="4"/>
        <v>1.6226081572575216E-5</v>
      </c>
      <c r="K34" s="53">
        <f>I34*'Life table'!I32</f>
        <v>1.9128916138255129E-3</v>
      </c>
      <c r="L34" s="53">
        <f>J34*'Life table'!J32</f>
        <v>4.7938956587573341E-4</v>
      </c>
      <c r="M34" s="53">
        <f t="shared" si="5"/>
        <v>5.7419120000000002E-5</v>
      </c>
      <c r="N34" s="53">
        <f>((G34-I34)*$AW$5+I34*$AW$6)/(1+Customisation!$H$21)^($A34-Customisation!$E$13)</f>
        <v>2.296243646943969E-5</v>
      </c>
      <c r="O34" s="53">
        <f>G34*Customisation!$H$17</f>
        <v>0.156077312</v>
      </c>
      <c r="P34" s="109">
        <f>O34/(1+Customisation!$H$21)^($A34-Customisation!$E$13)</f>
        <v>6.485334689219649E-2</v>
      </c>
      <c r="Q34" s="53">
        <f>IF($A34&lt;Customisation!$H$13,G34,G34*(1-Customisation!$H$11*Customisation!$H$12))</f>
        <v>3.8096896E-5</v>
      </c>
      <c r="R34" s="53">
        <f>IF($A34&lt;Customisation!$H$13,H34,H34*(1-Customisation!$H$11*Customisation!$H$12))</f>
        <v>1.5830047174338399E-5</v>
      </c>
      <c r="S34" s="53">
        <f>IF($A34&lt;Customisation!$H$13,I34,I34*(1-Customisation!$H$11*Customisation!$H$12))</f>
        <v>1.6369760000000001E-5</v>
      </c>
      <c r="T34" s="53">
        <f>IF($A34&lt;Customisation!$H$13,J34,J34*(1-Customisation!$H$11*Customisation!$H$12))</f>
        <v>6.8019733952235307E-6</v>
      </c>
      <c r="U34" s="53">
        <f>IF($A34&lt;Customisation!$H$13,K34,K34*(1-Customisation!$H$11*Customisation!$H$12))</f>
        <v>8.01884164515655E-4</v>
      </c>
      <c r="V34" s="53">
        <f>IF($A34&lt;Customisation!$H$13,L34,L34*(1-Customisation!$H$11*Customisation!$H$12))</f>
        <v>2.0096010601510745E-4</v>
      </c>
      <c r="W34" s="53">
        <f>IF($A34&lt;Customisation!$H$13,M34,M34*(1-Customisation!$H$11*Customisation!$H$12))</f>
        <v>2.4070095104000001E-5</v>
      </c>
      <c r="X34" s="53">
        <f>IF($A34&lt;Customisation!$H$13,N34,N34*(1-Customisation!$H$11*Customisation!$H$12))</f>
        <v>9.6258533679891189E-6</v>
      </c>
      <c r="Y34" s="53">
        <f>IF($A34&lt;Customisation!$H$13,O34,O34*(1-Customisation!$H$11*Customisation!$H$12))</f>
        <v>6.5427609190399999E-2</v>
      </c>
      <c r="Z34" s="53">
        <f>IF($A34&lt;Customisation!$H$13,P34,P34*(1-Customisation!$H$11*Customisation!$H$12))</f>
        <v>2.718652301720877E-2</v>
      </c>
      <c r="AA34" s="53">
        <f t="shared" ref="AA34:AJ34" si="52">G34-Q34</f>
        <v>5.2783103999999997E-5</v>
      </c>
      <c r="AB34" s="53">
        <f t="shared" si="52"/>
        <v>2.1932469940018465E-5</v>
      </c>
      <c r="AC34" s="53">
        <f t="shared" si="52"/>
        <v>2.268024E-5</v>
      </c>
      <c r="AD34" s="53">
        <f t="shared" si="52"/>
        <v>9.424108177351686E-6</v>
      </c>
      <c r="AE34" s="53">
        <f t="shared" si="52"/>
        <v>1.1110074493098578E-3</v>
      </c>
      <c r="AF34" s="53">
        <f t="shared" si="52"/>
        <v>2.7842945986062599E-4</v>
      </c>
      <c r="AG34" s="53">
        <f t="shared" si="52"/>
        <v>3.3349024895999998E-5</v>
      </c>
      <c r="AH34" s="53">
        <f t="shared" si="52"/>
        <v>1.3336583101450571E-5</v>
      </c>
      <c r="AI34" s="53">
        <f t="shared" si="52"/>
        <v>9.0649702809599997E-2</v>
      </c>
      <c r="AJ34" s="53">
        <f t="shared" si="52"/>
        <v>3.7666823874987723E-2</v>
      </c>
      <c r="AK34" s="1"/>
      <c r="AL34" s="55">
        <f t="shared" si="7"/>
        <v>9.0879999999999992</v>
      </c>
      <c r="AM34" s="55">
        <f t="shared" si="8"/>
        <v>3.8096896</v>
      </c>
      <c r="AN34" s="1"/>
      <c r="AO34" s="1"/>
      <c r="AP34" s="1"/>
      <c r="AQ34" s="1"/>
      <c r="AR34" s="1"/>
      <c r="AS34" s="1"/>
      <c r="AT34" s="1"/>
      <c r="AU34" s="1"/>
      <c r="AV34" s="1"/>
      <c r="AW34" s="1"/>
      <c r="AX34" s="1"/>
      <c r="AY34" s="53">
        <f>IF($A34&lt;Customisation!$H$13,G34,G34*(1-Customisation!$H$24*Customisation!$H$12))</f>
        <v>3.2498688000000002E-5</v>
      </c>
      <c r="AZ34" s="53">
        <f>IF($A34&lt;Customisation!$H$13,H34,H34*(1-Customisation!$H$24*Customisation!$H$12))</f>
        <v>1.3503876120094016E-5</v>
      </c>
      <c r="BA34" s="53">
        <f>IF($A34&lt;Customisation!$H$13,I34,I34*(1-Customisation!$H$24*Customisation!$H$12))</f>
        <v>1.3964280000000001E-5</v>
      </c>
      <c r="BB34" s="53">
        <f>IF($A34&lt;Customisation!$H$13,J34,J34*(1-Customisation!$H$24*Customisation!$H$12))</f>
        <v>5.8024467703528974E-6</v>
      </c>
      <c r="BC34" s="53">
        <f>IF($A34&lt;Customisation!$H$13,K34,K34*(1-Customisation!$H$24*Customisation!$H$12))</f>
        <v>6.8405004110400351E-4</v>
      </c>
      <c r="BD34" s="53">
        <f>IF($A34&lt;Customisation!$H$13,L34,L34*(1-Customisation!$H$24*Customisation!$H$12))</f>
        <v>1.7142970875716227E-4</v>
      </c>
      <c r="BE34" s="53">
        <f>IF($A34&lt;Customisation!$H$13,M34,M34*(1-Customisation!$H$24*Customisation!$H$12))</f>
        <v>2.0533077312000001E-5</v>
      </c>
      <c r="BF34" s="53">
        <f>IF($A34&lt;Customisation!$H$13,N34,N34*(1-Customisation!$H$24*Customisation!$H$12))</f>
        <v>8.2113672814716339E-6</v>
      </c>
      <c r="BG34" s="53">
        <f>IF($A34&lt;Customisation!$H$13,O34,O34*(1-Customisation!$H$24*Customisation!$H$12))</f>
        <v>5.5813246771200004E-2</v>
      </c>
      <c r="BH34" s="53">
        <f>IF($A34&lt;Customisation!$H$13,P34,P34*(1-Customisation!$H$24*Customisation!$H$12))</f>
        <v>2.3191556848649465E-2</v>
      </c>
      <c r="BI34" s="53">
        <f t="shared" si="13"/>
        <v>5.5982079999999986E-6</v>
      </c>
      <c r="BJ34" s="53">
        <f t="shared" si="14"/>
        <v>2.3261710542443835E-6</v>
      </c>
      <c r="BK34" s="53">
        <f t="shared" si="15"/>
        <v>2.4054799999999995E-6</v>
      </c>
      <c r="BL34" s="53">
        <f t="shared" si="16"/>
        <v>9.9952662487063334E-7</v>
      </c>
      <c r="BM34" s="53">
        <f t="shared" si="17"/>
        <v>1.1783412341165149E-4</v>
      </c>
      <c r="BN34" s="53">
        <f t="shared" si="18"/>
        <v>2.9530397257945178E-5</v>
      </c>
      <c r="BO34" s="53">
        <f t="shared" si="19"/>
        <v>3.5370177920000004E-6</v>
      </c>
      <c r="BP34" s="53">
        <f t="shared" si="20"/>
        <v>1.4144860865174849E-6</v>
      </c>
      <c r="BQ34" s="53">
        <f t="shared" si="21"/>
        <v>9.6143624191999955E-3</v>
      </c>
      <c r="BR34" s="53">
        <f t="shared" si="22"/>
        <v>3.9949661685593045E-3</v>
      </c>
    </row>
    <row r="35" spans="1:70" ht="14.25" customHeight="1" x14ac:dyDescent="0.3">
      <c r="A35" s="1">
        <f t="shared" si="34"/>
        <v>31</v>
      </c>
      <c r="B35" s="52">
        <f>'Life table'!D33</f>
        <v>0.97588497924931439</v>
      </c>
      <c r="C35" s="52">
        <f>IF($A35&lt;Customisation!$H$13,0,B35)/LOOKUP(Customisation!$H$13,$A$4:$A$104,$B$4:$B$104)</f>
        <v>0.98976960969732064</v>
      </c>
      <c r="D35" s="1">
        <f>IF($A35&lt;=Customisation!$H$13,1,1/(1+Customisation!$H$21)^($A35-Customisation!$H$13))</f>
        <v>0.39573395701665059</v>
      </c>
      <c r="E35" s="1">
        <f t="shared" si="11"/>
        <v>24.68958690265033</v>
      </c>
      <c r="F35" s="1">
        <f t="shared" si="2"/>
        <v>0.39168544418034651</v>
      </c>
      <c r="G35" s="53">
        <f>'Age data'!M39*Customisation!$H$22</f>
        <v>9.0169999999999999E-5</v>
      </c>
      <c r="H35" s="53">
        <f t="shared" si="3"/>
        <v>3.5683330904191381E-5</v>
      </c>
      <c r="I35" s="53">
        <f>'Age data'!N39*Customisation!$H$22</f>
        <v>3.8339999999999995E-5</v>
      </c>
      <c r="J35" s="54">
        <f t="shared" si="4"/>
        <v>1.5172439912018381E-5</v>
      </c>
      <c r="K35" s="53">
        <f>I35*'Life table'!I33</f>
        <v>1.8413159696562271E-3</v>
      </c>
      <c r="L35" s="53">
        <f>J35*'Life table'!J33</f>
        <v>4.4574624889672166E-4</v>
      </c>
      <c r="M35" s="53">
        <f t="shared" si="5"/>
        <v>5.6831240000000002E-5</v>
      </c>
      <c r="N35" s="53">
        <f>((G35-I35)*$AW$5+I35*$AW$6)/(1+Customisation!$H$21)^($A35-Customisation!$E$13)</f>
        <v>2.1643568006487808E-5</v>
      </c>
      <c r="O35" s="53">
        <f>G35*Customisation!$H$17</f>
        <v>0.15485795800000002</v>
      </c>
      <c r="P35" s="109">
        <f>O35/(1+Customisation!$H$21)^($A35-Customisation!$E$13)</f>
        <v>6.128255249485829E-2</v>
      </c>
      <c r="Q35" s="53">
        <f>IF($A35&lt;Customisation!$H$13,G35,G35*(1-Customisation!$H$11*Customisation!$H$12))</f>
        <v>3.7799264000000004E-5</v>
      </c>
      <c r="R35" s="53">
        <f>IF($A35&lt;Customisation!$H$13,H35,H35*(1-Customisation!$H$11*Customisation!$H$12))</f>
        <v>1.4958452315037028E-5</v>
      </c>
      <c r="S35" s="53">
        <f>IF($A35&lt;Customisation!$H$13,I35,I35*(1-Customisation!$H$11*Customisation!$H$12))</f>
        <v>1.6072127999999998E-5</v>
      </c>
      <c r="T35" s="53">
        <f>IF($A35&lt;Customisation!$H$13,J35,J35*(1-Customisation!$H$11*Customisation!$H$12))</f>
        <v>6.3602868111181056E-6</v>
      </c>
      <c r="U35" s="53">
        <f>IF($A35&lt;Customisation!$H$13,K35,K35*(1-Customisation!$H$11*Customisation!$H$12))</f>
        <v>7.7187965447989048E-4</v>
      </c>
      <c r="V35" s="53">
        <f>IF($A35&lt;Customisation!$H$13,L35,L35*(1-Customisation!$H$11*Customisation!$H$12))</f>
        <v>1.8685682753750573E-4</v>
      </c>
      <c r="W35" s="53">
        <f>IF($A35&lt;Customisation!$H$13,M35,M35*(1-Customisation!$H$11*Customisation!$H$12))</f>
        <v>2.3823655808000003E-5</v>
      </c>
      <c r="X35" s="53">
        <f>IF($A35&lt;Customisation!$H$13,N35,N35*(1-Customisation!$H$11*Customisation!$H$12))</f>
        <v>9.0729837083196888E-6</v>
      </c>
      <c r="Y35" s="53">
        <f>IF($A35&lt;Customisation!$H$13,O35,O35*(1-Customisation!$H$11*Customisation!$H$12))</f>
        <v>6.4916455993600006E-2</v>
      </c>
      <c r="Z35" s="53">
        <f>IF($A35&lt;Customisation!$H$13,P35,P35*(1-Customisation!$H$11*Customisation!$H$12))</f>
        <v>2.5689646005844596E-2</v>
      </c>
      <c r="AA35" s="53">
        <f t="shared" ref="AA35:AJ35" si="53">G35-Q35</f>
        <v>5.2370735999999995E-5</v>
      </c>
      <c r="AB35" s="53">
        <f t="shared" si="53"/>
        <v>2.0724878589154351E-5</v>
      </c>
      <c r="AC35" s="53">
        <f t="shared" si="53"/>
        <v>2.2267871999999997E-5</v>
      </c>
      <c r="AD35" s="53">
        <f t="shared" si="53"/>
        <v>8.8121531009002755E-6</v>
      </c>
      <c r="AE35" s="53">
        <f t="shared" si="53"/>
        <v>1.0694363151763366E-3</v>
      </c>
      <c r="AF35" s="53">
        <f t="shared" si="53"/>
        <v>2.5888942135921596E-4</v>
      </c>
      <c r="AG35" s="53">
        <f t="shared" si="53"/>
        <v>3.3007584191999996E-5</v>
      </c>
      <c r="AH35" s="53">
        <f t="shared" si="53"/>
        <v>1.2570584298168119E-5</v>
      </c>
      <c r="AI35" s="53">
        <f t="shared" si="53"/>
        <v>8.9941502006400012E-2</v>
      </c>
      <c r="AJ35" s="53">
        <f t="shared" si="53"/>
        <v>3.5592906489013698E-2</v>
      </c>
      <c r="AK35" s="1"/>
      <c r="AL35" s="55">
        <f t="shared" si="7"/>
        <v>9.0169999999999995</v>
      </c>
      <c r="AM35" s="55">
        <f t="shared" si="8"/>
        <v>3.7799264000000004</v>
      </c>
      <c r="AN35" s="1"/>
      <c r="AO35" s="1"/>
      <c r="AP35" s="1"/>
      <c r="AQ35" s="1"/>
      <c r="AR35" s="1"/>
      <c r="AS35" s="1"/>
      <c r="AT35" s="1"/>
      <c r="AU35" s="1"/>
      <c r="AV35" s="1"/>
      <c r="AW35" s="1"/>
      <c r="AX35" s="1"/>
      <c r="AY35" s="53">
        <f>IF($A35&lt;Customisation!$H$13,G35,G35*(1-Customisation!$H$24*Customisation!$H$12))</f>
        <v>3.2244792000000005E-5</v>
      </c>
      <c r="AZ35" s="53">
        <f>IF($A35&lt;Customisation!$H$13,H35,H35*(1-Customisation!$H$24*Customisation!$H$12))</f>
        <v>1.2760359131338839E-5</v>
      </c>
      <c r="BA35" s="53">
        <f>IF($A35&lt;Customisation!$H$13,I35,I35*(1-Customisation!$H$24*Customisation!$H$12))</f>
        <v>1.3710384E-5</v>
      </c>
      <c r="BB35" s="53">
        <f>IF($A35&lt;Customisation!$H$13,J35,J35*(1-Customisation!$H$24*Customisation!$H$12))</f>
        <v>5.4256645125377732E-6</v>
      </c>
      <c r="BC35" s="53">
        <f>IF($A35&lt;Customisation!$H$13,K35,K35*(1-Customisation!$H$24*Customisation!$H$12))</f>
        <v>6.584545907490669E-4</v>
      </c>
      <c r="BD35" s="53">
        <f>IF($A35&lt;Customisation!$H$13,L35,L35*(1-Customisation!$H$24*Customisation!$H$12))</f>
        <v>1.5939885860546767E-4</v>
      </c>
      <c r="BE35" s="53">
        <f>IF($A35&lt;Customisation!$H$13,M35,M35*(1-Customisation!$H$24*Customisation!$H$12))</f>
        <v>2.0322851424000002E-5</v>
      </c>
      <c r="BF35" s="53">
        <f>IF($A35&lt;Customisation!$H$13,N35,N35*(1-Customisation!$H$24*Customisation!$H$12))</f>
        <v>7.7397399191200401E-6</v>
      </c>
      <c r="BG35" s="53">
        <f>IF($A35&lt;Customisation!$H$13,O35,O35*(1-Customisation!$H$24*Customisation!$H$12))</f>
        <v>5.5377205780800014E-2</v>
      </c>
      <c r="BH35" s="53">
        <f>IF($A35&lt;Customisation!$H$13,P35,P35*(1-Customisation!$H$24*Customisation!$H$12))</f>
        <v>2.1914640772161327E-2</v>
      </c>
      <c r="BI35" s="53">
        <f t="shared" si="13"/>
        <v>5.5544719999999992E-6</v>
      </c>
      <c r="BJ35" s="53">
        <f t="shared" si="14"/>
        <v>2.1980931836981895E-6</v>
      </c>
      <c r="BK35" s="53">
        <f t="shared" si="15"/>
        <v>2.3617439999999984E-6</v>
      </c>
      <c r="BL35" s="53">
        <f t="shared" si="16"/>
        <v>9.3462229858033246E-7</v>
      </c>
      <c r="BM35" s="53">
        <f t="shared" si="17"/>
        <v>1.1342506373082358E-4</v>
      </c>
      <c r="BN35" s="53">
        <f t="shared" si="18"/>
        <v>2.7457968932038056E-5</v>
      </c>
      <c r="BO35" s="53">
        <f t="shared" si="19"/>
        <v>3.5008043840000011E-6</v>
      </c>
      <c r="BP35" s="53">
        <f t="shared" si="20"/>
        <v>1.3332437891996488E-6</v>
      </c>
      <c r="BQ35" s="53">
        <f t="shared" si="21"/>
        <v>9.539250212799992E-3</v>
      </c>
      <c r="BR35" s="53">
        <f t="shared" si="22"/>
        <v>3.7750052336832686E-3</v>
      </c>
    </row>
    <row r="36" spans="1:70" ht="14.25" customHeight="1" x14ac:dyDescent="0.3">
      <c r="A36" s="1">
        <f t="shared" si="34"/>
        <v>32</v>
      </c>
      <c r="B36" s="52">
        <f>'Life table'!D34</f>
        <v>0.97501644161778256</v>
      </c>
      <c r="C36" s="52">
        <f>IF($A36&lt;Customisation!$H$13,0,B36)/LOOKUP(Customisation!$H$13,$A$4:$A$104,$B$4:$B$104)</f>
        <v>0.98888871474469009</v>
      </c>
      <c r="D36" s="1">
        <f>IF($A36&lt;=Customisation!$H$13,1,1/(1+Customisation!$H$21)^($A36-Customisation!$H$13))</f>
        <v>0.37688948287300061</v>
      </c>
      <c r="E36" s="1">
        <f t="shared" si="11"/>
        <v>25.085320859666979</v>
      </c>
      <c r="F36" s="1">
        <f t="shared" si="2"/>
        <v>0.37270175631907249</v>
      </c>
      <c r="G36" s="53">
        <f>'Age data'!M40*Customisation!$H$22</f>
        <v>8.9460000000000001E-5</v>
      </c>
      <c r="H36" s="53">
        <f t="shared" si="3"/>
        <v>3.3716533137818635E-5</v>
      </c>
      <c r="I36" s="53">
        <f>'Age data'!N40*Customisation!$H$22</f>
        <v>3.8339999999999995E-5</v>
      </c>
      <c r="J36" s="54">
        <f t="shared" si="4"/>
        <v>1.4449942773350842E-5</v>
      </c>
      <c r="K36" s="53">
        <f>I36*'Life table'!I34</f>
        <v>1.8045991241767447E-3</v>
      </c>
      <c r="L36" s="53">
        <f>J36*'Life table'!J34</f>
        <v>4.2201474762880176E-4</v>
      </c>
      <c r="M36" s="53">
        <f t="shared" si="5"/>
        <v>5.6487599999999998E-5</v>
      </c>
      <c r="N36" s="53">
        <f>((G36-I36)*$AW$5+I36*$AW$6)/(1+Customisation!$H$21)^($A36-Customisation!$E$13)</f>
        <v>2.0489361099274536E-5</v>
      </c>
      <c r="O36" s="53">
        <f>G36*Customisation!$H$17</f>
        <v>0.15363860400000001</v>
      </c>
      <c r="P36" s="109">
        <f>O36/(1+Customisation!$H$21)^($A36-Customisation!$E$13)</f>
        <v>5.7904774010889726E-2</v>
      </c>
      <c r="Q36" s="53">
        <f>IF($A36&lt;Customisation!$H$13,G36,G36*(1-Customisation!$H$11*Customisation!$H$12))</f>
        <v>3.7501632000000001E-5</v>
      </c>
      <c r="R36" s="53">
        <f>IF($A36&lt;Customisation!$H$13,H36,H36*(1-Customisation!$H$11*Customisation!$H$12))</f>
        <v>1.4133970691373572E-5</v>
      </c>
      <c r="S36" s="53">
        <f>IF($A36&lt;Customisation!$H$13,I36,I36*(1-Customisation!$H$11*Customisation!$H$12))</f>
        <v>1.6072127999999998E-5</v>
      </c>
      <c r="T36" s="53">
        <f>IF($A36&lt;Customisation!$H$13,J36,J36*(1-Customisation!$H$11*Customisation!$H$12))</f>
        <v>6.0574160105886736E-6</v>
      </c>
      <c r="U36" s="53">
        <f>IF($A36&lt;Customisation!$H$13,K36,K36*(1-Customisation!$H$11*Customisation!$H$12))</f>
        <v>7.5648795285489137E-4</v>
      </c>
      <c r="V36" s="53">
        <f>IF($A36&lt;Customisation!$H$13,L36,L36*(1-Customisation!$H$11*Customisation!$H$12))</f>
        <v>1.7690858220599371E-4</v>
      </c>
      <c r="W36" s="53">
        <f>IF($A36&lt;Customisation!$H$13,M36,M36*(1-Customisation!$H$11*Customisation!$H$12))</f>
        <v>2.367960192E-5</v>
      </c>
      <c r="X36" s="53">
        <f>IF($A36&lt;Customisation!$H$13,N36,N36*(1-Customisation!$H$11*Customisation!$H$12))</f>
        <v>8.5891401728158851E-6</v>
      </c>
      <c r="Y36" s="53">
        <f>IF($A36&lt;Customisation!$H$13,O36,O36*(1-Customisation!$H$11*Customisation!$H$12))</f>
        <v>6.4405302796800012E-2</v>
      </c>
      <c r="Z36" s="53">
        <f>IF($A36&lt;Customisation!$H$13,P36,P36*(1-Customisation!$H$11*Customisation!$H$12))</f>
        <v>2.4273681265364975E-2</v>
      </c>
      <c r="AA36" s="53">
        <f t="shared" ref="AA36:AJ36" si="54">G36-Q36</f>
        <v>5.1958368E-5</v>
      </c>
      <c r="AB36" s="53">
        <f t="shared" si="54"/>
        <v>1.9582562446445063E-5</v>
      </c>
      <c r="AC36" s="53">
        <f t="shared" si="54"/>
        <v>2.2267871999999997E-5</v>
      </c>
      <c r="AD36" s="53">
        <f t="shared" si="54"/>
        <v>8.3925267627621687E-6</v>
      </c>
      <c r="AE36" s="53">
        <f t="shared" si="54"/>
        <v>1.0481111713218534E-3</v>
      </c>
      <c r="AF36" s="53">
        <f t="shared" si="54"/>
        <v>2.4510616542280808E-4</v>
      </c>
      <c r="AG36" s="53">
        <f t="shared" si="54"/>
        <v>3.2807998079999995E-5</v>
      </c>
      <c r="AH36" s="53">
        <f t="shared" si="54"/>
        <v>1.190022092645865E-5</v>
      </c>
      <c r="AI36" s="53">
        <f t="shared" si="54"/>
        <v>8.9233301203199999E-2</v>
      </c>
      <c r="AJ36" s="53">
        <f t="shared" si="54"/>
        <v>3.3631092745524754E-2</v>
      </c>
      <c r="AK36" s="1"/>
      <c r="AL36" s="55">
        <f t="shared" si="7"/>
        <v>8.9459999999999997</v>
      </c>
      <c r="AM36" s="55">
        <f t="shared" si="8"/>
        <v>3.7501632000000003</v>
      </c>
      <c r="AN36" s="1"/>
      <c r="AO36" s="1"/>
      <c r="AP36" s="1"/>
      <c r="AQ36" s="1"/>
      <c r="AR36" s="1"/>
      <c r="AS36" s="1"/>
      <c r="AT36" s="1"/>
      <c r="AU36" s="1"/>
      <c r="AV36" s="1"/>
      <c r="AW36" s="1"/>
      <c r="AX36" s="1"/>
      <c r="AY36" s="53">
        <f>IF($A36&lt;Customisation!$H$13,G36,G36*(1-Customisation!$H$24*Customisation!$H$12))</f>
        <v>3.1990896000000001E-5</v>
      </c>
      <c r="AZ36" s="53">
        <f>IF($A36&lt;Customisation!$H$13,H36,H36*(1-Customisation!$H$24*Customisation!$H$12))</f>
        <v>1.2057032250083944E-5</v>
      </c>
      <c r="BA36" s="53">
        <f>IF($A36&lt;Customisation!$H$13,I36,I36*(1-Customisation!$H$24*Customisation!$H$12))</f>
        <v>1.3710384E-5</v>
      </c>
      <c r="BB36" s="53">
        <f>IF($A36&lt;Customisation!$H$13,J36,J36*(1-Customisation!$H$24*Customisation!$H$12))</f>
        <v>5.1672995357502613E-6</v>
      </c>
      <c r="BC36" s="53">
        <f>IF($A36&lt;Customisation!$H$13,K36,K36*(1-Customisation!$H$24*Customisation!$H$12))</f>
        <v>6.4532464680560394E-4</v>
      </c>
      <c r="BD36" s="53">
        <f>IF($A36&lt;Customisation!$H$13,L36,L36*(1-Customisation!$H$24*Customisation!$H$12))</f>
        <v>1.5091247375205954E-4</v>
      </c>
      <c r="BE36" s="53">
        <f>IF($A36&lt;Customisation!$H$13,M36,M36*(1-Customisation!$H$24*Customisation!$H$12))</f>
        <v>2.0199965760000001E-5</v>
      </c>
      <c r="BF36" s="53">
        <f>IF($A36&lt;Customisation!$H$13,N36,N36*(1-Customisation!$H$24*Customisation!$H$12))</f>
        <v>7.3269955291005747E-6</v>
      </c>
      <c r="BG36" s="53">
        <f>IF($A36&lt;Customisation!$H$13,O36,O36*(1-Customisation!$H$24*Customisation!$H$12))</f>
        <v>5.494116479040001E-2</v>
      </c>
      <c r="BH36" s="53">
        <f>IF($A36&lt;Customisation!$H$13,P36,P36*(1-Customisation!$H$24*Customisation!$H$12))</f>
        <v>2.0706747186294169E-2</v>
      </c>
      <c r="BI36" s="53">
        <f t="shared" si="13"/>
        <v>5.5107359999999997E-6</v>
      </c>
      <c r="BJ36" s="53">
        <f t="shared" si="14"/>
        <v>2.0769384412896281E-6</v>
      </c>
      <c r="BK36" s="53">
        <f t="shared" si="15"/>
        <v>2.3617439999999984E-6</v>
      </c>
      <c r="BL36" s="53">
        <f t="shared" si="16"/>
        <v>8.9011647483841227E-7</v>
      </c>
      <c r="BM36" s="53">
        <f t="shared" si="17"/>
        <v>1.1116330604928743E-4</v>
      </c>
      <c r="BN36" s="53">
        <f t="shared" si="18"/>
        <v>2.5996108453934174E-5</v>
      </c>
      <c r="BO36" s="53">
        <f t="shared" si="19"/>
        <v>3.4796361599999987E-6</v>
      </c>
      <c r="BP36" s="53">
        <f t="shared" si="20"/>
        <v>1.2621446437153104E-6</v>
      </c>
      <c r="BQ36" s="53">
        <f t="shared" si="21"/>
        <v>9.4641380064000025E-3</v>
      </c>
      <c r="BR36" s="53">
        <f t="shared" si="22"/>
        <v>3.5669340790708062E-3</v>
      </c>
    </row>
    <row r="37" spans="1:70" ht="14.25" customHeight="1" x14ac:dyDescent="0.3">
      <c r="A37" s="1">
        <f t="shared" si="34"/>
        <v>33</v>
      </c>
      <c r="B37" s="52">
        <f>'Life table'!D35</f>
        <v>0.97409017599824566</v>
      </c>
      <c r="C37" s="52">
        <f>IF($A37&lt;Customisation!$H$13,0,B37)/LOOKUP(Customisation!$H$13,$A$4:$A$104,$B$4:$B$104)</f>
        <v>0.98794927046568259</v>
      </c>
      <c r="D37" s="1">
        <f>IF($A37&lt;=Customisation!$H$13,1,1/(1+Customisation!$H$21)^($A37-Customisation!$H$13))</f>
        <v>0.35894236464095297</v>
      </c>
      <c r="E37" s="1">
        <f t="shared" si="11"/>
        <v>25.462210342539979</v>
      </c>
      <c r="F37" s="1">
        <f t="shared" si="2"/>
        <v>0.35461684728625653</v>
      </c>
      <c r="G37" s="53">
        <f>'Age data'!M41*Customisation!$H$22</f>
        <v>8.9460000000000001E-5</v>
      </c>
      <c r="H37" s="53">
        <f t="shared" si="3"/>
        <v>3.2110983940779652E-5</v>
      </c>
      <c r="I37" s="53">
        <f>'Age data'!N41*Customisation!$H$22</f>
        <v>3.8339999999999995E-5</v>
      </c>
      <c r="J37" s="54">
        <f t="shared" si="4"/>
        <v>1.3761850260334136E-5</v>
      </c>
      <c r="K37" s="53">
        <f>I37*'Life table'!I35</f>
        <v>1.7679568947267345E-3</v>
      </c>
      <c r="L37" s="53">
        <f>J37*'Life table'!J35</f>
        <v>3.9942369725217704E-4</v>
      </c>
      <c r="M37" s="53">
        <f t="shared" si="5"/>
        <v>5.6487599999999998E-5</v>
      </c>
      <c r="N37" s="53">
        <f>((G37-I37)*$AW$5+I37*$AW$6)/(1+Customisation!$H$21)^($A37-Customisation!$E$13)</f>
        <v>1.9513677237404321E-5</v>
      </c>
      <c r="O37" s="53">
        <f>G37*Customisation!$H$17</f>
        <v>0.15363860400000001</v>
      </c>
      <c r="P37" s="109">
        <f>O37/(1+Customisation!$H$21)^($A37-Customisation!$E$13)</f>
        <v>5.5147403819894976E-2</v>
      </c>
      <c r="Q37" s="53">
        <f>IF($A37&lt;Customisation!$H$13,G37,G37*(1-Customisation!$H$11*Customisation!$H$12))</f>
        <v>3.7501632000000001E-5</v>
      </c>
      <c r="R37" s="53">
        <f>IF($A37&lt;Customisation!$H$13,H37,H37*(1-Customisation!$H$11*Customisation!$H$12))</f>
        <v>1.346092446797483E-5</v>
      </c>
      <c r="S37" s="53">
        <f>IF($A37&lt;Customisation!$H$13,I37,I37*(1-Customisation!$H$11*Customisation!$H$12))</f>
        <v>1.6072127999999998E-5</v>
      </c>
      <c r="T37" s="53">
        <f>IF($A37&lt;Customisation!$H$13,J37,J37*(1-Customisation!$H$11*Customisation!$H$12))</f>
        <v>5.7689676291320697E-6</v>
      </c>
      <c r="U37" s="53">
        <f>IF($A37&lt;Customisation!$H$13,K37,K37*(1-Customisation!$H$11*Customisation!$H$12))</f>
        <v>7.4112753026944712E-4</v>
      </c>
      <c r="V37" s="53">
        <f>IF($A37&lt;Customisation!$H$13,L37,L37*(1-Customisation!$H$11*Customisation!$H$12))</f>
        <v>1.6743841388811262E-4</v>
      </c>
      <c r="W37" s="53">
        <f>IF($A37&lt;Customisation!$H$13,M37,M37*(1-Customisation!$H$11*Customisation!$H$12))</f>
        <v>2.367960192E-5</v>
      </c>
      <c r="X37" s="53">
        <f>IF($A37&lt;Customisation!$H$13,N37,N37*(1-Customisation!$H$11*Customisation!$H$12))</f>
        <v>8.1801334979198919E-6</v>
      </c>
      <c r="Y37" s="53">
        <f>IF($A37&lt;Customisation!$H$13,O37,O37*(1-Customisation!$H$11*Customisation!$H$12))</f>
        <v>6.4405302796800012E-2</v>
      </c>
      <c r="Z37" s="53">
        <f>IF($A37&lt;Customisation!$H$13,P37,P37*(1-Customisation!$H$11*Customisation!$H$12))</f>
        <v>2.3117791681299973E-2</v>
      </c>
      <c r="AA37" s="53">
        <f t="shared" ref="AA37:AJ37" si="55">G37-Q37</f>
        <v>5.1958368E-5</v>
      </c>
      <c r="AB37" s="53">
        <f t="shared" si="55"/>
        <v>1.865005947280482E-5</v>
      </c>
      <c r="AC37" s="53">
        <f t="shared" si="55"/>
        <v>2.2267871999999997E-5</v>
      </c>
      <c r="AD37" s="53">
        <f t="shared" si="55"/>
        <v>7.992882631202066E-6</v>
      </c>
      <c r="AE37" s="53">
        <f t="shared" si="55"/>
        <v>1.0268293644572874E-3</v>
      </c>
      <c r="AF37" s="53">
        <f t="shared" si="55"/>
        <v>2.3198528336406443E-4</v>
      </c>
      <c r="AG37" s="53">
        <f t="shared" si="55"/>
        <v>3.2807998079999995E-5</v>
      </c>
      <c r="AH37" s="53">
        <f t="shared" si="55"/>
        <v>1.1333543739484429E-5</v>
      </c>
      <c r="AI37" s="53">
        <f t="shared" si="55"/>
        <v>8.9233301203199999E-2</v>
      </c>
      <c r="AJ37" s="53">
        <f t="shared" si="55"/>
        <v>3.2029612138595003E-2</v>
      </c>
      <c r="AK37" s="1"/>
      <c r="AL37" s="55">
        <f t="shared" si="7"/>
        <v>8.9459999999999997</v>
      </c>
      <c r="AM37" s="55">
        <f t="shared" si="8"/>
        <v>3.7501632000000003</v>
      </c>
      <c r="AN37" s="1"/>
      <c r="AO37" s="1"/>
      <c r="AP37" s="1"/>
      <c r="AQ37" s="1"/>
      <c r="AR37" s="1"/>
      <c r="AS37" s="1"/>
      <c r="AT37" s="1"/>
      <c r="AU37" s="1"/>
      <c r="AV37" s="1"/>
      <c r="AW37" s="1"/>
      <c r="AX37" s="1"/>
      <c r="AY37" s="53">
        <f>IF($A37&lt;Customisation!$H$13,G37,G37*(1-Customisation!$H$24*Customisation!$H$12))</f>
        <v>3.1990896000000001E-5</v>
      </c>
      <c r="AZ37" s="53">
        <f>IF($A37&lt;Customisation!$H$13,H37,H37*(1-Customisation!$H$24*Customisation!$H$12))</f>
        <v>1.1482887857222804E-5</v>
      </c>
      <c r="BA37" s="53">
        <f>IF($A37&lt;Customisation!$H$13,I37,I37*(1-Customisation!$H$24*Customisation!$H$12))</f>
        <v>1.3710384E-5</v>
      </c>
      <c r="BB37" s="53">
        <f>IF($A37&lt;Customisation!$H$13,J37,J37*(1-Customisation!$H$24*Customisation!$H$12))</f>
        <v>4.9212376530954874E-6</v>
      </c>
      <c r="BC37" s="53">
        <f>IF($A37&lt;Customisation!$H$13,K37,K37*(1-Customisation!$H$24*Customisation!$H$12))</f>
        <v>6.3222138555428032E-4</v>
      </c>
      <c r="BD37" s="53">
        <f>IF($A37&lt;Customisation!$H$13,L37,L37*(1-Customisation!$H$24*Customisation!$H$12))</f>
        <v>1.4283391413737851E-4</v>
      </c>
      <c r="BE37" s="53">
        <f>IF($A37&lt;Customisation!$H$13,M37,M37*(1-Customisation!$H$24*Customisation!$H$12))</f>
        <v>2.0199965760000001E-5</v>
      </c>
      <c r="BF37" s="53">
        <f>IF($A37&lt;Customisation!$H$13,N37,N37*(1-Customisation!$H$24*Customisation!$H$12))</f>
        <v>6.9780909800957859E-6</v>
      </c>
      <c r="BG37" s="53">
        <f>IF($A37&lt;Customisation!$H$13,O37,O37*(1-Customisation!$H$24*Customisation!$H$12))</f>
        <v>5.494116479040001E-2</v>
      </c>
      <c r="BH37" s="53">
        <f>IF($A37&lt;Customisation!$H$13,P37,P37*(1-Customisation!$H$24*Customisation!$H$12))</f>
        <v>1.9720711605994444E-2</v>
      </c>
      <c r="BI37" s="53">
        <f t="shared" si="13"/>
        <v>5.5107359999999997E-6</v>
      </c>
      <c r="BJ37" s="53">
        <f t="shared" si="14"/>
        <v>1.9780366107520263E-6</v>
      </c>
      <c r="BK37" s="53">
        <f t="shared" si="15"/>
        <v>2.3617439999999984E-6</v>
      </c>
      <c r="BL37" s="53">
        <f t="shared" si="16"/>
        <v>8.4772997603658235E-7</v>
      </c>
      <c r="BM37" s="53">
        <f t="shared" si="17"/>
        <v>1.089061447151668E-4</v>
      </c>
      <c r="BN37" s="53">
        <f t="shared" si="18"/>
        <v>2.4604499750734105E-5</v>
      </c>
      <c r="BO37" s="53">
        <f t="shared" si="19"/>
        <v>3.4796361599999987E-6</v>
      </c>
      <c r="BP37" s="53">
        <f t="shared" si="20"/>
        <v>1.2020425178241059E-6</v>
      </c>
      <c r="BQ37" s="53">
        <f t="shared" si="21"/>
        <v>9.4641380064000025E-3</v>
      </c>
      <c r="BR37" s="53">
        <f t="shared" si="22"/>
        <v>3.3970800753055294E-3</v>
      </c>
    </row>
    <row r="38" spans="1:70" ht="14.25" customHeight="1" x14ac:dyDescent="0.3">
      <c r="A38" s="1">
        <f t="shared" si="34"/>
        <v>34</v>
      </c>
      <c r="B38" s="52">
        <f>'Life table'!D36</f>
        <v>0.97308686311696746</v>
      </c>
      <c r="C38" s="52">
        <f>IF($A38&lt;Customisation!$H$13,0,B38)/LOOKUP(Customisation!$H$13,$A$4:$A$104,$B$4:$B$104)</f>
        <v>0.98693168271710296</v>
      </c>
      <c r="D38" s="1">
        <f>IF($A38&lt;=Customisation!$H$13,1,1/(1+Customisation!$H$21)^($A38-Customisation!$H$13))</f>
        <v>0.3418498710866219</v>
      </c>
      <c r="E38" s="1">
        <f t="shared" si="11"/>
        <v>25.821152707180932</v>
      </c>
      <c r="F38" s="1">
        <f t="shared" si="2"/>
        <v>0.33738246850814446</v>
      </c>
      <c r="G38" s="53">
        <f>'Age data'!M42*Customisation!$H$22</f>
        <v>8.8750000000000002E-5</v>
      </c>
      <c r="H38" s="53">
        <f t="shared" si="3"/>
        <v>3.0339176058937694E-5</v>
      </c>
      <c r="I38" s="53">
        <f>'Age data'!N42*Customisation!$H$22</f>
        <v>3.7629999999999997E-5</v>
      </c>
      <c r="J38" s="54">
        <f t="shared" si="4"/>
        <v>1.2863810648989581E-5</v>
      </c>
      <c r="K38" s="53">
        <f>I38*'Life table'!I36</f>
        <v>1.6993566690509179E-3</v>
      </c>
      <c r="L38" s="53">
        <f>J38*'Life table'!J36</f>
        <v>3.7092259292967089E-4</v>
      </c>
      <c r="M38" s="53">
        <f t="shared" si="5"/>
        <v>5.5899719999999997E-5</v>
      </c>
      <c r="N38" s="53">
        <f>((G38-I38)*$AW$5+I38*$AW$6)/(1+Customisation!$H$21)^($A38-Customisation!$E$13)</f>
        <v>1.8389729011531361E-5</v>
      </c>
      <c r="O38" s="53">
        <f>G38*Customisation!$H$17</f>
        <v>0.15241925000000001</v>
      </c>
      <c r="P38" s="109">
        <f>O38/(1+Customisation!$H$21)^($A38-Customisation!$E$13)</f>
        <v>5.2104500963619592E-2</v>
      </c>
      <c r="Q38" s="53">
        <f>IF($A38&lt;Customisation!$H$13,G38,G38*(1-Customisation!$H$11*Customisation!$H$12))</f>
        <v>3.7204000000000005E-5</v>
      </c>
      <c r="R38" s="53">
        <f>IF($A38&lt;Customisation!$H$13,H38,H38*(1-Customisation!$H$11*Customisation!$H$12))</f>
        <v>1.2718182603906682E-5</v>
      </c>
      <c r="S38" s="53">
        <f>IF($A38&lt;Customisation!$H$13,I38,I38*(1-Customisation!$H$11*Customisation!$H$12))</f>
        <v>1.5774495999999999E-5</v>
      </c>
      <c r="T38" s="53">
        <f>IF($A38&lt;Customisation!$H$13,J38,J38*(1-Customisation!$H$11*Customisation!$H$12))</f>
        <v>5.3925094240564326E-6</v>
      </c>
      <c r="U38" s="53">
        <f>IF($A38&lt;Customisation!$H$13,K38,K38*(1-Customisation!$H$11*Customisation!$H$12))</f>
        <v>7.1237031566614485E-4</v>
      </c>
      <c r="V38" s="53">
        <f>IF($A38&lt;Customisation!$H$13,L38,L38*(1-Customisation!$H$11*Customisation!$H$12))</f>
        <v>1.5549075095611805E-4</v>
      </c>
      <c r="W38" s="53">
        <f>IF($A38&lt;Customisation!$H$13,M38,M38*(1-Customisation!$H$11*Customisation!$H$12))</f>
        <v>2.3433162624000001E-5</v>
      </c>
      <c r="X38" s="53">
        <f>IF($A38&lt;Customisation!$H$13,N38,N38*(1-Customisation!$H$11*Customisation!$H$12))</f>
        <v>7.7089744016339474E-6</v>
      </c>
      <c r="Y38" s="53">
        <f>IF($A38&lt;Customisation!$H$13,O38,O38*(1-Customisation!$H$11*Customisation!$H$12))</f>
        <v>6.3894149600000005E-2</v>
      </c>
      <c r="Z38" s="53">
        <f>IF($A38&lt;Customisation!$H$13,P38,P38*(1-Customisation!$H$11*Customisation!$H$12))</f>
        <v>2.1842206803949334E-2</v>
      </c>
      <c r="AA38" s="53">
        <f t="shared" ref="AA38:AJ38" si="56">G38-Q38</f>
        <v>5.1545999999999997E-5</v>
      </c>
      <c r="AB38" s="53">
        <f t="shared" si="56"/>
        <v>1.7620993455031012E-5</v>
      </c>
      <c r="AC38" s="53">
        <f t="shared" si="56"/>
        <v>2.1855503999999999E-5</v>
      </c>
      <c r="AD38" s="53">
        <f t="shared" si="56"/>
        <v>7.4713012249331484E-6</v>
      </c>
      <c r="AE38" s="53">
        <f t="shared" si="56"/>
        <v>9.8698635338477308E-4</v>
      </c>
      <c r="AF38" s="53">
        <f t="shared" si="56"/>
        <v>2.1543184197355284E-4</v>
      </c>
      <c r="AG38" s="53">
        <f t="shared" si="56"/>
        <v>3.2466557375999993E-5</v>
      </c>
      <c r="AH38" s="53">
        <f t="shared" si="56"/>
        <v>1.0680754609897414E-5</v>
      </c>
      <c r="AI38" s="53">
        <f t="shared" si="56"/>
        <v>8.8525100400000001E-2</v>
      </c>
      <c r="AJ38" s="53">
        <f t="shared" si="56"/>
        <v>3.0262294159670258E-2</v>
      </c>
      <c r="AK38" s="1"/>
      <c r="AL38" s="55">
        <f t="shared" si="7"/>
        <v>8.875</v>
      </c>
      <c r="AM38" s="55">
        <f t="shared" si="8"/>
        <v>3.7204000000000006</v>
      </c>
      <c r="AN38" s="1"/>
      <c r="AO38" s="1"/>
      <c r="AP38" s="1"/>
      <c r="AQ38" s="1"/>
      <c r="AR38" s="1"/>
      <c r="AS38" s="1"/>
      <c r="AT38" s="1"/>
      <c r="AU38" s="1"/>
      <c r="AV38" s="1"/>
      <c r="AW38" s="1"/>
      <c r="AX38" s="1"/>
      <c r="AY38" s="53">
        <f>IF($A38&lt;Customisation!$H$13,G38,G38*(1-Customisation!$H$24*Customisation!$H$12))</f>
        <v>3.1737000000000005E-5</v>
      </c>
      <c r="AZ38" s="53">
        <f>IF($A38&lt;Customisation!$H$13,H38,H38*(1-Customisation!$H$24*Customisation!$H$12))</f>
        <v>1.084928935867612E-5</v>
      </c>
      <c r="BA38" s="53">
        <f>IF($A38&lt;Customisation!$H$13,I38,I38*(1-Customisation!$H$24*Customisation!$H$12))</f>
        <v>1.3456487999999999E-5</v>
      </c>
      <c r="BB38" s="53">
        <f>IF($A38&lt;Customisation!$H$13,J38,J38*(1-Customisation!$H$24*Customisation!$H$12))</f>
        <v>4.6000986880786747E-6</v>
      </c>
      <c r="BC38" s="53">
        <f>IF($A38&lt;Customisation!$H$13,K38,K38*(1-Customisation!$H$24*Customisation!$H$12))</f>
        <v>6.0768994485260828E-4</v>
      </c>
      <c r="BD38" s="53">
        <f>IF($A38&lt;Customisation!$H$13,L38,L38*(1-Customisation!$H$24*Customisation!$H$12))</f>
        <v>1.3264191923165032E-4</v>
      </c>
      <c r="BE38" s="53">
        <f>IF($A38&lt;Customisation!$H$13,M38,M38*(1-Customisation!$H$24*Customisation!$H$12))</f>
        <v>1.9989739872000002E-5</v>
      </c>
      <c r="BF38" s="53">
        <f>IF($A38&lt;Customisation!$H$13,N38,N38*(1-Customisation!$H$24*Customisation!$H$12))</f>
        <v>6.5761670945236155E-6</v>
      </c>
      <c r="BG38" s="53">
        <f>IF($A38&lt;Customisation!$H$13,O38,O38*(1-Customisation!$H$24*Customisation!$H$12))</f>
        <v>5.4505123800000006E-2</v>
      </c>
      <c r="BH38" s="53">
        <f>IF($A38&lt;Customisation!$H$13,P38,P38*(1-Customisation!$H$24*Customisation!$H$12))</f>
        <v>1.8632569544590367E-2</v>
      </c>
      <c r="BI38" s="53">
        <f t="shared" si="13"/>
        <v>5.4670000000000003E-6</v>
      </c>
      <c r="BJ38" s="53">
        <f t="shared" si="14"/>
        <v>1.8688932452305623E-6</v>
      </c>
      <c r="BK38" s="53">
        <f t="shared" si="15"/>
        <v>2.318007999999999E-6</v>
      </c>
      <c r="BL38" s="53">
        <f t="shared" si="16"/>
        <v>7.9241073597775798E-7</v>
      </c>
      <c r="BM38" s="53">
        <f t="shared" si="17"/>
        <v>1.0468037081353657E-4</v>
      </c>
      <c r="BN38" s="53">
        <f t="shared" si="18"/>
        <v>2.2848831724467736E-5</v>
      </c>
      <c r="BO38" s="53">
        <f t="shared" si="19"/>
        <v>3.4434227519999995E-6</v>
      </c>
      <c r="BP38" s="53">
        <f t="shared" si="20"/>
        <v>1.1328073071103319E-6</v>
      </c>
      <c r="BQ38" s="53">
        <f t="shared" si="21"/>
        <v>9.389025799999999E-3</v>
      </c>
      <c r="BR38" s="53">
        <f t="shared" si="22"/>
        <v>3.2096372593589662E-3</v>
      </c>
    </row>
    <row r="39" spans="1:70" ht="14.25" customHeight="1" x14ac:dyDescent="0.3">
      <c r="A39" s="1">
        <f t="shared" si="34"/>
        <v>35</v>
      </c>
      <c r="B39" s="52">
        <f>'Life table'!D37</f>
        <v>0.97200673669890758</v>
      </c>
      <c r="C39" s="52">
        <f>IF($A39&lt;Customisation!$H$13,0,B39)/LOOKUP(Customisation!$H$13,$A$4:$A$104,$B$4:$B$104)</f>
        <v>0.9858361885492869</v>
      </c>
      <c r="D39" s="1">
        <f>IF($A39&lt;=Customisation!$H$13,1,1/(1+Customisation!$H$21)^($A39-Customisation!$H$13))</f>
        <v>0.32557130579678267</v>
      </c>
      <c r="E39" s="1">
        <f t="shared" si="11"/>
        <v>26.163002578267555</v>
      </c>
      <c r="F39" s="1">
        <f t="shared" si="2"/>
        <v>0.32095997520771458</v>
      </c>
      <c r="G39" s="53">
        <f>'Age data'!M43*Customisation!$H$22</f>
        <v>1.2212E-4</v>
      </c>
      <c r="H39" s="53">
        <f t="shared" si="3"/>
        <v>3.9758767863903098E-5</v>
      </c>
      <c r="I39" s="53">
        <f>'Age data'!N43*Customisation!$H$22</f>
        <v>5.6089999999999993E-5</v>
      </c>
      <c r="J39" s="54">
        <f t="shared" si="4"/>
        <v>1.8261294542141538E-5</v>
      </c>
      <c r="K39" s="53">
        <f>I39*'Life table'!I37</f>
        <v>2.4796969304299943E-3</v>
      </c>
      <c r="L39" s="53">
        <f>J39*'Life table'!J37</f>
        <v>5.2294367658647315E-4</v>
      </c>
      <c r="M39" s="53">
        <f t="shared" si="5"/>
        <v>7.840104E-5</v>
      </c>
      <c r="N39" s="53">
        <f>((G39-I39)*$AW$5+I39*$AW$6)/(1+Customisation!$H$21)^($A39-Customisation!$E$13)</f>
        <v>2.4577267894003522E-5</v>
      </c>
      <c r="O39" s="53">
        <f>G39*Customisation!$H$17</f>
        <v>0.20972888800000003</v>
      </c>
      <c r="P39" s="109">
        <f>O39/(1+Customisation!$H$21)^($A39-Customisation!$E$13)</f>
        <v>6.8281707929467195E-2</v>
      </c>
      <c r="Q39" s="53">
        <f>IF($A39&lt;Customisation!$H$13,G39,G39*(1-Customisation!$H$11*Customisation!$H$12))</f>
        <v>5.1192704000000006E-5</v>
      </c>
      <c r="R39" s="53">
        <f>IF($A39&lt;Customisation!$H$13,H39,H39*(1-Customisation!$H$11*Customisation!$H$12))</f>
        <v>1.666687548854818E-5</v>
      </c>
      <c r="S39" s="53">
        <f>IF($A39&lt;Customisation!$H$13,I39,I39*(1-Customisation!$H$11*Customisation!$H$12))</f>
        <v>2.3512928E-5</v>
      </c>
      <c r="T39" s="53">
        <f>IF($A39&lt;Customisation!$H$13,J39,J39*(1-Customisation!$H$11*Customisation!$H$12))</f>
        <v>7.6551346720657325E-6</v>
      </c>
      <c r="U39" s="53">
        <f>IF($A39&lt;Customisation!$H$13,K39,K39*(1-Customisation!$H$11*Customisation!$H$12))</f>
        <v>1.0394889532362537E-3</v>
      </c>
      <c r="V39" s="53">
        <f>IF($A39&lt;Customisation!$H$13,L39,L39*(1-Customisation!$H$11*Customisation!$H$12))</f>
        <v>2.1921798922504954E-4</v>
      </c>
      <c r="W39" s="53">
        <f>IF($A39&lt;Customisation!$H$13,M39,M39*(1-Customisation!$H$11*Customisation!$H$12))</f>
        <v>3.2865715968E-5</v>
      </c>
      <c r="X39" s="53">
        <f>IF($A39&lt;Customisation!$H$13,N39,N39*(1-Customisation!$H$11*Customisation!$H$12))</f>
        <v>1.0302790701166278E-5</v>
      </c>
      <c r="Y39" s="53">
        <f>IF($A39&lt;Customisation!$H$13,O39,O39*(1-Customisation!$H$11*Customisation!$H$12))</f>
        <v>8.7918349849600022E-2</v>
      </c>
      <c r="Z39" s="53">
        <f>IF($A39&lt;Customisation!$H$13,P39,P39*(1-Customisation!$H$11*Customisation!$H$12))</f>
        <v>2.8623691964032649E-2</v>
      </c>
      <c r="AA39" s="53">
        <f t="shared" ref="AA39:AJ39" si="57">G39-Q39</f>
        <v>7.092729599999999E-5</v>
      </c>
      <c r="AB39" s="53">
        <f t="shared" si="57"/>
        <v>2.3091892375354919E-5</v>
      </c>
      <c r="AC39" s="53">
        <f t="shared" si="57"/>
        <v>3.2577071999999993E-5</v>
      </c>
      <c r="AD39" s="53">
        <f t="shared" si="57"/>
        <v>1.0606159870075806E-5</v>
      </c>
      <c r="AE39" s="53">
        <f t="shared" si="57"/>
        <v>1.4402079771937406E-3</v>
      </c>
      <c r="AF39" s="53">
        <f t="shared" si="57"/>
        <v>3.0372568736142361E-4</v>
      </c>
      <c r="AG39" s="53">
        <f t="shared" si="57"/>
        <v>4.5535324032E-5</v>
      </c>
      <c r="AH39" s="53">
        <f t="shared" si="57"/>
        <v>1.4274477192837244E-5</v>
      </c>
      <c r="AI39" s="53">
        <f t="shared" si="57"/>
        <v>0.12181053815040001</v>
      </c>
      <c r="AJ39" s="53">
        <f t="shared" si="57"/>
        <v>3.9658015965434543E-2</v>
      </c>
      <c r="AK39" s="1"/>
      <c r="AL39" s="55">
        <f t="shared" si="7"/>
        <v>12.212</v>
      </c>
      <c r="AM39" s="55">
        <f t="shared" si="8"/>
        <v>5.1192704000000004</v>
      </c>
      <c r="AN39" s="1"/>
      <c r="AO39" s="1"/>
      <c r="AP39" s="1"/>
      <c r="AQ39" s="1"/>
      <c r="AR39" s="1"/>
      <c r="AS39" s="1"/>
      <c r="AT39" s="1"/>
      <c r="AU39" s="1"/>
      <c r="AV39" s="1"/>
      <c r="AW39" s="1"/>
      <c r="AX39" s="1"/>
      <c r="AY39" s="53">
        <f>IF($A39&lt;Customisation!$H$13,G39,G39*(1-Customisation!$H$24*Customisation!$H$12))</f>
        <v>4.3670112000000007E-5</v>
      </c>
      <c r="AZ39" s="53">
        <f>IF($A39&lt;Customisation!$H$13,H39,H39*(1-Customisation!$H$24*Customisation!$H$12))</f>
        <v>1.4217735388131749E-5</v>
      </c>
      <c r="BA39" s="53">
        <f>IF($A39&lt;Customisation!$H$13,I39,I39*(1-Customisation!$H$24*Customisation!$H$12))</f>
        <v>2.0057783999999999E-5</v>
      </c>
      <c r="BB39" s="53">
        <f>IF($A39&lt;Customisation!$H$13,J39,J39*(1-Customisation!$H$24*Customisation!$H$12))</f>
        <v>6.5302389282698142E-6</v>
      </c>
      <c r="BC39" s="53">
        <f>IF($A39&lt;Customisation!$H$13,K39,K39*(1-Customisation!$H$24*Customisation!$H$12))</f>
        <v>8.8673962232176605E-4</v>
      </c>
      <c r="BD39" s="53">
        <f>IF($A39&lt;Customisation!$H$13,L39,L39*(1-Customisation!$H$24*Customisation!$H$12))</f>
        <v>1.870046587473228E-4</v>
      </c>
      <c r="BE39" s="53">
        <f>IF($A39&lt;Customisation!$H$13,M39,M39*(1-Customisation!$H$24*Customisation!$H$12))</f>
        <v>2.8036211904000004E-5</v>
      </c>
      <c r="BF39" s="53">
        <f>IF($A39&lt;Customisation!$H$13,N39,N39*(1-Customisation!$H$24*Customisation!$H$12))</f>
        <v>8.7888309988956599E-6</v>
      </c>
      <c r="BG39" s="53">
        <f>IF($A39&lt;Customisation!$H$13,O39,O39*(1-Customisation!$H$24*Customisation!$H$12))</f>
        <v>7.4999050348800014E-2</v>
      </c>
      <c r="BH39" s="53">
        <f>IF($A39&lt;Customisation!$H$13,P39,P39*(1-Customisation!$H$24*Customisation!$H$12))</f>
        <v>2.4417538755577471E-2</v>
      </c>
      <c r="BI39" s="53">
        <f t="shared" si="13"/>
        <v>7.5225919999999995E-6</v>
      </c>
      <c r="BJ39" s="53">
        <f t="shared" si="14"/>
        <v>2.4491401004164312E-6</v>
      </c>
      <c r="BK39" s="53">
        <f t="shared" si="15"/>
        <v>3.4551440000000005E-6</v>
      </c>
      <c r="BL39" s="53">
        <f t="shared" si="16"/>
        <v>1.1248957437959183E-6</v>
      </c>
      <c r="BM39" s="53">
        <f t="shared" si="17"/>
        <v>1.5274933091448764E-4</v>
      </c>
      <c r="BN39" s="53">
        <f t="shared" si="18"/>
        <v>3.2213330477726739E-5</v>
      </c>
      <c r="BO39" s="53">
        <f t="shared" si="19"/>
        <v>4.8295040639999962E-6</v>
      </c>
      <c r="BP39" s="53">
        <f t="shared" si="20"/>
        <v>1.5139597022706177E-6</v>
      </c>
      <c r="BQ39" s="53">
        <f t="shared" si="21"/>
        <v>1.2919299500800008E-2</v>
      </c>
      <c r="BR39" s="53">
        <f t="shared" si="22"/>
        <v>4.2061532084551774E-3</v>
      </c>
    </row>
    <row r="40" spans="1:70" ht="14.25" customHeight="1" x14ac:dyDescent="0.3">
      <c r="A40" s="1">
        <f t="shared" si="34"/>
        <v>36</v>
      </c>
      <c r="B40" s="52">
        <f>'Life table'!D38</f>
        <v>0.9708500486822359</v>
      </c>
      <c r="C40" s="52">
        <f>IF($A40&lt;Customisation!$H$13,0,B40)/LOOKUP(Customisation!$H$13,$A$4:$A$104,$B$4:$B$104)</f>
        <v>0.98466304348491329</v>
      </c>
      <c r="D40" s="1">
        <f>IF($A40&lt;=Customisation!$H$13,1,1/(1+Customisation!$H$21)^($A40-Customisation!$H$13))</f>
        <v>0.31006791028265024</v>
      </c>
      <c r="E40" s="1">
        <f t="shared" si="11"/>
        <v>26.488573884064337</v>
      </c>
      <c r="F40" s="1">
        <f t="shared" si="2"/>
        <v>0.30531241222592143</v>
      </c>
      <c r="G40" s="53">
        <f>'Age data'!M44*Customisation!$H$22</f>
        <v>1.2282999999999999E-4</v>
      </c>
      <c r="H40" s="53">
        <f t="shared" si="3"/>
        <v>3.8085641420017928E-5</v>
      </c>
      <c r="I40" s="53">
        <f>'Age data'!N44*Customisation!$H$22</f>
        <v>5.6089999999999993E-5</v>
      </c>
      <c r="J40" s="54">
        <f t="shared" si="4"/>
        <v>1.7391709087753849E-5</v>
      </c>
      <c r="K40" s="53">
        <f>I40*'Life table'!I38</f>
        <v>2.4265278721478508E-3</v>
      </c>
      <c r="L40" s="53">
        <f>J40*'Life table'!J38</f>
        <v>4.9444693402940975E-4</v>
      </c>
      <c r="M40" s="53">
        <f t="shared" si="5"/>
        <v>7.8744679999999997E-5</v>
      </c>
      <c r="N40" s="53">
        <f>((G40-I40)*$AW$5+I40*$AW$6)/(1+Customisation!$H$21)^($A40-Customisation!$E$13)</f>
        <v>2.3508575589357985E-5</v>
      </c>
      <c r="O40" s="53">
        <f>G40*Customisation!$H$17</f>
        <v>0.21094824199999998</v>
      </c>
      <c r="P40" s="109">
        <f>O40/(1+Customisation!$H$21)^($A40-Customisation!$E$13)</f>
        <v>6.5408280574738784E-2</v>
      </c>
      <c r="Q40" s="53">
        <f>IF($A40&lt;Customisation!$H$13,G40,G40*(1-Customisation!$H$11*Customisation!$H$12))</f>
        <v>5.1490335999999996E-5</v>
      </c>
      <c r="R40" s="53">
        <f>IF($A40&lt;Customisation!$H$13,H40,H40*(1-Customisation!$H$11*Customisation!$H$12))</f>
        <v>1.5965500883271515E-5</v>
      </c>
      <c r="S40" s="53">
        <f>IF($A40&lt;Customisation!$H$13,I40,I40*(1-Customisation!$H$11*Customisation!$H$12))</f>
        <v>2.3512928E-5</v>
      </c>
      <c r="T40" s="53">
        <f>IF($A40&lt;Customisation!$H$13,J40,J40*(1-Customisation!$H$11*Customisation!$H$12))</f>
        <v>7.2906044495864141E-6</v>
      </c>
      <c r="U40" s="53">
        <f>IF($A40&lt;Customisation!$H$13,K40,K40*(1-Customisation!$H$11*Customisation!$H$12))</f>
        <v>1.0172004840043791E-3</v>
      </c>
      <c r="V40" s="53">
        <f>IF($A40&lt;Customisation!$H$13,L40,L40*(1-Customisation!$H$11*Customisation!$H$12))</f>
        <v>2.0727215474512857E-4</v>
      </c>
      <c r="W40" s="53">
        <f>IF($A40&lt;Customisation!$H$13,M40,M40*(1-Customisation!$H$11*Customisation!$H$12))</f>
        <v>3.3009769856000003E-5</v>
      </c>
      <c r="X40" s="53">
        <f>IF($A40&lt;Customisation!$H$13,N40,N40*(1-Customisation!$H$11*Customisation!$H$12))</f>
        <v>9.8547948870588669E-6</v>
      </c>
      <c r="Y40" s="53">
        <f>IF($A40&lt;Customisation!$H$13,O40,O40*(1-Customisation!$H$11*Customisation!$H$12))</f>
        <v>8.8429503046400001E-2</v>
      </c>
      <c r="Z40" s="53">
        <f>IF($A40&lt;Customisation!$H$13,P40,P40*(1-Customisation!$H$11*Customisation!$H$12))</f>
        <v>2.7419151216930501E-2</v>
      </c>
      <c r="AA40" s="53">
        <f t="shared" ref="AA40:AJ40" si="58">G40-Q40</f>
        <v>7.1339663999999992E-5</v>
      </c>
      <c r="AB40" s="53">
        <f t="shared" si="58"/>
        <v>2.2120140536746413E-5</v>
      </c>
      <c r="AC40" s="53">
        <f t="shared" si="58"/>
        <v>3.2577071999999993E-5</v>
      </c>
      <c r="AD40" s="53">
        <f t="shared" si="58"/>
        <v>1.0101104638167435E-5</v>
      </c>
      <c r="AE40" s="53">
        <f t="shared" si="58"/>
        <v>1.4093273881434717E-3</v>
      </c>
      <c r="AF40" s="53">
        <f t="shared" si="58"/>
        <v>2.8717477928428116E-4</v>
      </c>
      <c r="AG40" s="53">
        <f t="shared" si="58"/>
        <v>4.5734910143999994E-5</v>
      </c>
      <c r="AH40" s="53">
        <f t="shared" si="58"/>
        <v>1.3653780702299118E-5</v>
      </c>
      <c r="AI40" s="53">
        <f t="shared" si="58"/>
        <v>0.12251873895359998</v>
      </c>
      <c r="AJ40" s="53">
        <f t="shared" si="58"/>
        <v>3.7989129357808279E-2</v>
      </c>
      <c r="AK40" s="1"/>
      <c r="AL40" s="55">
        <f t="shared" si="7"/>
        <v>12.282999999999999</v>
      </c>
      <c r="AM40" s="55">
        <f t="shared" si="8"/>
        <v>5.1490335999999992</v>
      </c>
      <c r="AN40" s="1"/>
      <c r="AO40" s="1"/>
      <c r="AP40" s="1"/>
      <c r="AQ40" s="1"/>
      <c r="AR40" s="1"/>
      <c r="AS40" s="1"/>
      <c r="AT40" s="1"/>
      <c r="AU40" s="1"/>
      <c r="AV40" s="1"/>
      <c r="AW40" s="1"/>
      <c r="AX40" s="1"/>
      <c r="AY40" s="53">
        <f>IF($A40&lt;Customisation!$H$13,G40,G40*(1-Customisation!$H$24*Customisation!$H$12))</f>
        <v>4.3924007999999997E-5</v>
      </c>
      <c r="AZ40" s="53">
        <f>IF($A40&lt;Customisation!$H$13,H40,H40*(1-Customisation!$H$24*Customisation!$H$12))</f>
        <v>1.3619425371798413E-5</v>
      </c>
      <c r="BA40" s="53">
        <f>IF($A40&lt;Customisation!$H$13,I40,I40*(1-Customisation!$H$24*Customisation!$H$12))</f>
        <v>2.0057783999999999E-5</v>
      </c>
      <c r="BB40" s="53">
        <f>IF($A40&lt;Customisation!$H$13,J40,J40*(1-Customisation!$H$24*Customisation!$H$12))</f>
        <v>6.2192751697807771E-6</v>
      </c>
      <c r="BC40" s="53">
        <f>IF($A40&lt;Customisation!$H$13,K40,K40*(1-Customisation!$H$24*Customisation!$H$12))</f>
        <v>8.6772636708007151E-4</v>
      </c>
      <c r="BD40" s="53">
        <f>IF($A40&lt;Customisation!$H$13,L40,L40*(1-Customisation!$H$24*Customisation!$H$12))</f>
        <v>1.7681422360891694E-4</v>
      </c>
      <c r="BE40" s="53">
        <f>IF($A40&lt;Customisation!$H$13,M40,M40*(1-Customisation!$H$24*Customisation!$H$12))</f>
        <v>2.8159097568000001E-5</v>
      </c>
      <c r="BF40" s="53">
        <f>IF($A40&lt;Customisation!$H$13,N40,N40*(1-Customisation!$H$24*Customisation!$H$12))</f>
        <v>8.4066666307544164E-6</v>
      </c>
      <c r="BG40" s="53">
        <f>IF($A40&lt;Customisation!$H$13,O40,O40*(1-Customisation!$H$24*Customisation!$H$12))</f>
        <v>7.5435091339199997E-2</v>
      </c>
      <c r="BH40" s="53">
        <f>IF($A40&lt;Customisation!$H$13,P40,P40*(1-Customisation!$H$24*Customisation!$H$12))</f>
        <v>2.339000113352659E-2</v>
      </c>
      <c r="BI40" s="53">
        <f t="shared" si="13"/>
        <v>7.566327999999999E-6</v>
      </c>
      <c r="BJ40" s="53">
        <f t="shared" si="14"/>
        <v>2.3460755114731027E-6</v>
      </c>
      <c r="BK40" s="53">
        <f t="shared" si="15"/>
        <v>3.4551440000000005E-6</v>
      </c>
      <c r="BL40" s="53">
        <f t="shared" si="16"/>
        <v>1.071329279805637E-6</v>
      </c>
      <c r="BM40" s="53">
        <f t="shared" si="17"/>
        <v>1.4947411692430761E-4</v>
      </c>
      <c r="BN40" s="53">
        <f t="shared" si="18"/>
        <v>3.0457931136211629E-5</v>
      </c>
      <c r="BO40" s="53">
        <f t="shared" si="19"/>
        <v>4.850672288000002E-6</v>
      </c>
      <c r="BP40" s="53">
        <f t="shared" si="20"/>
        <v>1.4481282563044505E-6</v>
      </c>
      <c r="BQ40" s="53">
        <f t="shared" si="21"/>
        <v>1.2994411707200004E-2</v>
      </c>
      <c r="BR40" s="53">
        <f t="shared" si="22"/>
        <v>4.029150083403911E-3</v>
      </c>
    </row>
    <row r="41" spans="1:70" ht="14.25" customHeight="1" x14ac:dyDescent="0.3">
      <c r="A41" s="1">
        <f t="shared" si="34"/>
        <v>37</v>
      </c>
      <c r="B41" s="52">
        <f>'Life table'!D39</f>
        <v>0.96959765211943583</v>
      </c>
      <c r="C41" s="52">
        <f>IF($A41&lt;Customisation!$H$13,0,B41)/LOOKUP(Customisation!$H$13,$A$4:$A$104,$B$4:$B$104)</f>
        <v>0.98339282815881779</v>
      </c>
      <c r="D41" s="1">
        <f>IF($A41&lt;=Customisation!$H$13,1,1/(1+Customisation!$H$21)^($A41-Customisation!$H$13))</f>
        <v>0.29530277169776209</v>
      </c>
      <c r="E41" s="1">
        <f t="shared" si="11"/>
        <v>26.798641794346988</v>
      </c>
      <c r="F41" s="1">
        <f t="shared" si="2"/>
        <v>0.29039862782299997</v>
      </c>
      <c r="G41" s="53">
        <f>'Age data'!M45*Customisation!$H$22</f>
        <v>1.2282999999999999E-4</v>
      </c>
      <c r="H41" s="53">
        <f t="shared" si="3"/>
        <v>3.6272039447636111E-5</v>
      </c>
      <c r="I41" s="53">
        <f>'Age data'!N45*Customisation!$H$22</f>
        <v>5.6089999999999993E-5</v>
      </c>
      <c r="J41" s="54">
        <f t="shared" si="4"/>
        <v>1.6563532464527474E-5</v>
      </c>
      <c r="K41" s="53">
        <f>I41*'Life table'!I39</f>
        <v>2.3735359115237163E-3</v>
      </c>
      <c r="L41" s="53">
        <f>J41*'Life table'!J39</f>
        <v>4.6732878334642574E-4</v>
      </c>
      <c r="M41" s="53">
        <f t="shared" si="5"/>
        <v>7.8744679999999997E-5</v>
      </c>
      <c r="N41" s="53">
        <f>((G41-I41)*$AW$5+I41*$AW$6)/(1+Customisation!$H$21)^($A41-Customisation!$E$13)</f>
        <v>2.2389119608912366E-5</v>
      </c>
      <c r="O41" s="53">
        <f>G41*Customisation!$H$17</f>
        <v>0.21094824199999998</v>
      </c>
      <c r="P41" s="109">
        <f>O41/(1+Customisation!$H$21)^($A41-Customisation!$E$13)</f>
        <v>6.2293600547370265E-2</v>
      </c>
      <c r="Q41" s="53">
        <f>IF($A41&lt;Customisation!$H$13,G41,G41*(1-Customisation!$H$11*Customisation!$H$12))</f>
        <v>5.1490335999999996E-5</v>
      </c>
      <c r="R41" s="53">
        <f>IF($A41&lt;Customisation!$H$13,H41,H41*(1-Customisation!$H$11*Customisation!$H$12))</f>
        <v>1.5205238936449057E-5</v>
      </c>
      <c r="S41" s="53">
        <f>IF($A41&lt;Customisation!$H$13,I41,I41*(1-Customisation!$H$11*Customisation!$H$12))</f>
        <v>2.3512928E-5</v>
      </c>
      <c r="T41" s="53">
        <f>IF($A41&lt;Customisation!$H$13,J41,J41*(1-Customisation!$H$11*Customisation!$H$12))</f>
        <v>6.9434328091299173E-6</v>
      </c>
      <c r="U41" s="53">
        <f>IF($A41&lt;Customisation!$H$13,K41,K41*(1-Customisation!$H$11*Customisation!$H$12))</f>
        <v>9.94986254110742E-4</v>
      </c>
      <c r="V41" s="53">
        <f>IF($A41&lt;Customisation!$H$13,L41,L41*(1-Customisation!$H$11*Customisation!$H$12))</f>
        <v>1.9590422597882167E-4</v>
      </c>
      <c r="W41" s="53">
        <f>IF($A41&lt;Customisation!$H$13,M41,M41*(1-Customisation!$H$11*Customisation!$H$12))</f>
        <v>3.3009769856000003E-5</v>
      </c>
      <c r="X41" s="53">
        <f>IF($A41&lt;Customisation!$H$13,N41,N41*(1-Customisation!$H$11*Customisation!$H$12))</f>
        <v>9.385518940056065E-6</v>
      </c>
      <c r="Y41" s="53">
        <f>IF($A41&lt;Customisation!$H$13,O41,O41*(1-Customisation!$H$11*Customisation!$H$12))</f>
        <v>8.8429503046400001E-2</v>
      </c>
      <c r="Z41" s="53">
        <f>IF($A41&lt;Customisation!$H$13,P41,P41*(1-Customisation!$H$11*Customisation!$H$12))</f>
        <v>2.6113477349457615E-2</v>
      </c>
      <c r="AA41" s="53">
        <f t="shared" ref="AA41:AJ41" si="59">G41-Q41</f>
        <v>7.1339663999999992E-5</v>
      </c>
      <c r="AB41" s="53">
        <f t="shared" si="59"/>
        <v>2.1066800511187053E-5</v>
      </c>
      <c r="AC41" s="53">
        <f t="shared" si="59"/>
        <v>3.2577071999999993E-5</v>
      </c>
      <c r="AD41" s="53">
        <f t="shared" si="59"/>
        <v>9.6200996553975572E-6</v>
      </c>
      <c r="AE41" s="53">
        <f t="shared" si="59"/>
        <v>1.3785496574129743E-3</v>
      </c>
      <c r="AF41" s="53">
        <f t="shared" si="59"/>
        <v>2.7142455736760404E-4</v>
      </c>
      <c r="AG41" s="53">
        <f t="shared" si="59"/>
        <v>4.5734910143999994E-5</v>
      </c>
      <c r="AH41" s="53">
        <f t="shared" si="59"/>
        <v>1.3003600668856301E-5</v>
      </c>
      <c r="AI41" s="53">
        <f t="shared" si="59"/>
        <v>0.12251873895359998</v>
      </c>
      <c r="AJ41" s="53">
        <f t="shared" si="59"/>
        <v>3.6180123197912653E-2</v>
      </c>
      <c r="AK41" s="1"/>
      <c r="AL41" s="55">
        <f t="shared" si="7"/>
        <v>12.282999999999999</v>
      </c>
      <c r="AM41" s="55">
        <f t="shared" si="8"/>
        <v>5.1490335999999992</v>
      </c>
      <c r="AN41" s="1"/>
      <c r="AO41" s="1"/>
      <c r="AP41" s="1"/>
      <c r="AQ41" s="1"/>
      <c r="AR41" s="1"/>
      <c r="AS41" s="1"/>
      <c r="AT41" s="1"/>
      <c r="AU41" s="1"/>
      <c r="AV41" s="1"/>
      <c r="AW41" s="1"/>
      <c r="AX41" s="1"/>
      <c r="AY41" s="53">
        <f>IF($A41&lt;Customisation!$H$13,G41,G41*(1-Customisation!$H$24*Customisation!$H$12))</f>
        <v>4.3924007999999997E-5</v>
      </c>
      <c r="AZ41" s="53">
        <f>IF($A41&lt;Customisation!$H$13,H41,H41*(1-Customisation!$H$24*Customisation!$H$12))</f>
        <v>1.2970881306474673E-5</v>
      </c>
      <c r="BA41" s="53">
        <f>IF($A41&lt;Customisation!$H$13,I41,I41*(1-Customisation!$H$24*Customisation!$H$12))</f>
        <v>2.0057783999999999E-5</v>
      </c>
      <c r="BB41" s="53">
        <f>IF($A41&lt;Customisation!$H$13,J41,J41*(1-Customisation!$H$24*Customisation!$H$12))</f>
        <v>5.9231192093150249E-6</v>
      </c>
      <c r="BC41" s="53">
        <f>IF($A41&lt;Customisation!$H$13,K41,K41*(1-Customisation!$H$24*Customisation!$H$12))</f>
        <v>8.4877644196088096E-4</v>
      </c>
      <c r="BD41" s="53">
        <f>IF($A41&lt;Customisation!$H$13,L41,L41*(1-Customisation!$H$24*Customisation!$H$12))</f>
        <v>1.6711677292468186E-4</v>
      </c>
      <c r="BE41" s="53">
        <f>IF($A41&lt;Customisation!$H$13,M41,M41*(1-Customisation!$H$24*Customisation!$H$12))</f>
        <v>2.8159097568000001E-5</v>
      </c>
      <c r="BF41" s="53">
        <f>IF($A41&lt;Customisation!$H$13,N41,N41*(1-Customisation!$H$24*Customisation!$H$12))</f>
        <v>8.0063491721470635E-6</v>
      </c>
      <c r="BG41" s="53">
        <f>IF($A41&lt;Customisation!$H$13,O41,O41*(1-Customisation!$H$24*Customisation!$H$12))</f>
        <v>7.5435091339199997E-2</v>
      </c>
      <c r="BH41" s="53">
        <f>IF($A41&lt;Customisation!$H$13,P41,P41*(1-Customisation!$H$24*Customisation!$H$12))</f>
        <v>2.2276191555739608E-2</v>
      </c>
      <c r="BI41" s="53">
        <f t="shared" si="13"/>
        <v>7.566327999999999E-6</v>
      </c>
      <c r="BJ41" s="53">
        <f t="shared" si="14"/>
        <v>2.234357629974384E-6</v>
      </c>
      <c r="BK41" s="53">
        <f t="shared" si="15"/>
        <v>3.4551440000000005E-6</v>
      </c>
      <c r="BL41" s="53">
        <f t="shared" si="16"/>
        <v>1.0203135998148924E-6</v>
      </c>
      <c r="BM41" s="53">
        <f t="shared" si="17"/>
        <v>1.4620981214986104E-4</v>
      </c>
      <c r="BN41" s="53">
        <f t="shared" si="18"/>
        <v>2.8787453054139812E-5</v>
      </c>
      <c r="BO41" s="53">
        <f t="shared" si="19"/>
        <v>4.850672288000002E-6</v>
      </c>
      <c r="BP41" s="53">
        <f t="shared" si="20"/>
        <v>1.3791697679090014E-6</v>
      </c>
      <c r="BQ41" s="53">
        <f t="shared" si="21"/>
        <v>1.2994411707200004E-2</v>
      </c>
      <c r="BR41" s="53">
        <f t="shared" si="22"/>
        <v>3.8372857937180073E-3</v>
      </c>
    </row>
    <row r="42" spans="1:70" ht="14.25" customHeight="1" x14ac:dyDescent="0.3">
      <c r="A42" s="1">
        <f t="shared" si="34"/>
        <v>38</v>
      </c>
      <c r="B42" s="52">
        <f>'Life table'!D40</f>
        <v>0.96824991138298977</v>
      </c>
      <c r="C42" s="52">
        <f>IF($A42&lt;Customisation!$H$13,0,B42)/LOOKUP(Customisation!$H$13,$A$4:$A$104,$B$4:$B$104)</f>
        <v>0.98202591212767698</v>
      </c>
      <c r="D42" s="1">
        <f>IF($A42&lt;=Customisation!$H$13,1,1/(1+Customisation!$H$21)^($A42-Customisation!$H$13))</f>
        <v>0.28124073495024959</v>
      </c>
      <c r="E42" s="1">
        <f t="shared" si="11"/>
        <v>27.093944566044751</v>
      </c>
      <c r="F42" s="1">
        <f t="shared" si="2"/>
        <v>0.27618568926697712</v>
      </c>
      <c r="G42" s="53">
        <f>'Age data'!M46*Customisation!$H$22</f>
        <v>1.2424999999999998E-4</v>
      </c>
      <c r="H42" s="53">
        <f t="shared" si="3"/>
        <v>3.4944161317568505E-5</v>
      </c>
      <c r="I42" s="53">
        <f>'Age data'!N46*Customisation!$H$22</f>
        <v>5.6800000000000005E-5</v>
      </c>
      <c r="J42" s="54">
        <f t="shared" si="4"/>
        <v>1.597447374517418E-5</v>
      </c>
      <c r="K42" s="53">
        <f>I42*'Life table'!I40</f>
        <v>2.3500867665028737E-3</v>
      </c>
      <c r="L42" s="53">
        <f>J42*'Life table'!J40</f>
        <v>4.4711234957183507E-4</v>
      </c>
      <c r="M42" s="53">
        <f t="shared" si="5"/>
        <v>7.9676200000000001E-5</v>
      </c>
      <c r="N42" s="53">
        <f>((G42-I42)*$AW$5+I42*$AW$6)/(1+Customisation!$H$21)^($A42-Customisation!$E$13)</f>
        <v>2.1575375187180595E-5</v>
      </c>
      <c r="O42" s="53">
        <f>G42*Customisation!$H$17</f>
        <v>0.21338694999999999</v>
      </c>
      <c r="P42" s="109">
        <f>O42/(1+Customisation!$H$21)^($A42-Customisation!$E$13)</f>
        <v>6.0013102646792167E-2</v>
      </c>
      <c r="Q42" s="53">
        <f>IF($A42&lt;Customisation!$H$13,G42,G42*(1-Customisation!$H$11*Customisation!$H$12))</f>
        <v>5.2085599999999995E-5</v>
      </c>
      <c r="R42" s="53">
        <f>IF($A42&lt;Customisation!$H$13,H42,H42*(1-Customisation!$H$11*Customisation!$H$12))</f>
        <v>1.4648592424324718E-5</v>
      </c>
      <c r="S42" s="53">
        <f>IF($A42&lt;Customisation!$H$13,I42,I42*(1-Customisation!$H$11*Customisation!$H$12))</f>
        <v>2.3810560000000003E-5</v>
      </c>
      <c r="T42" s="53">
        <f>IF($A42&lt;Customisation!$H$13,J42,J42*(1-Customisation!$H$11*Customisation!$H$12))</f>
        <v>6.6964993939770161E-6</v>
      </c>
      <c r="U42" s="53">
        <f>IF($A42&lt;Customisation!$H$13,K42,K42*(1-Customisation!$H$11*Customisation!$H$12))</f>
        <v>9.8515637251800478E-4</v>
      </c>
      <c r="V42" s="53">
        <f>IF($A42&lt;Customisation!$H$13,L42,L42*(1-Customisation!$H$11*Customisation!$H$12))</f>
        <v>1.8742949694051326E-4</v>
      </c>
      <c r="W42" s="53">
        <f>IF($A42&lt;Customisation!$H$13,M42,M42*(1-Customisation!$H$11*Customisation!$H$12))</f>
        <v>3.3400263040000004E-5</v>
      </c>
      <c r="X42" s="53">
        <f>IF($A42&lt;Customisation!$H$13,N42,N42*(1-Customisation!$H$11*Customisation!$H$12))</f>
        <v>9.044397278466106E-6</v>
      </c>
      <c r="Y42" s="53">
        <f>IF($A42&lt;Customisation!$H$13,O42,O42*(1-Customisation!$H$11*Customisation!$H$12))</f>
        <v>8.9451809440000002E-2</v>
      </c>
      <c r="Z42" s="53">
        <f>IF($A42&lt;Customisation!$H$13,P42,P42*(1-Customisation!$H$11*Customisation!$H$12))</f>
        <v>2.5157492629535278E-2</v>
      </c>
      <c r="AA42" s="53">
        <f t="shared" ref="AA42:AJ42" si="60">G42-Q42</f>
        <v>7.2164399999999996E-5</v>
      </c>
      <c r="AB42" s="53">
        <f t="shared" si="60"/>
        <v>2.0295568893243787E-5</v>
      </c>
      <c r="AC42" s="53">
        <f t="shared" si="60"/>
        <v>3.2989440000000002E-5</v>
      </c>
      <c r="AD42" s="53">
        <f t="shared" si="60"/>
        <v>9.2779743511971636E-6</v>
      </c>
      <c r="AE42" s="53">
        <f t="shared" si="60"/>
        <v>1.3649303939848689E-3</v>
      </c>
      <c r="AF42" s="53">
        <f t="shared" si="60"/>
        <v>2.5968285263132179E-4</v>
      </c>
      <c r="AG42" s="53">
        <f t="shared" si="60"/>
        <v>4.6275936959999997E-5</v>
      </c>
      <c r="AH42" s="53">
        <f t="shared" si="60"/>
        <v>1.2530977908714489E-5</v>
      </c>
      <c r="AI42" s="53">
        <f t="shared" si="60"/>
        <v>0.12393514055999999</v>
      </c>
      <c r="AJ42" s="53">
        <f t="shared" si="60"/>
        <v>3.4855610017256886E-2</v>
      </c>
      <c r="AK42" s="1"/>
      <c r="AL42" s="55">
        <f t="shared" si="7"/>
        <v>12.424999999999999</v>
      </c>
      <c r="AM42" s="55">
        <f t="shared" si="8"/>
        <v>5.2085599999999994</v>
      </c>
      <c r="AN42" s="1"/>
      <c r="AO42" s="1"/>
      <c r="AP42" s="1"/>
      <c r="AQ42" s="1"/>
      <c r="AR42" s="1"/>
      <c r="AS42" s="1"/>
      <c r="AT42" s="1"/>
      <c r="AU42" s="1"/>
      <c r="AV42" s="1"/>
      <c r="AW42" s="1"/>
      <c r="AX42" s="1"/>
      <c r="AY42" s="53">
        <f>IF($A42&lt;Customisation!$H$13,G42,G42*(1-Customisation!$H$24*Customisation!$H$12))</f>
        <v>4.4431799999999997E-5</v>
      </c>
      <c r="AZ42" s="53">
        <f>IF($A42&lt;Customisation!$H$13,H42,H42*(1-Customisation!$H$24*Customisation!$H$12))</f>
        <v>1.2496032087162499E-5</v>
      </c>
      <c r="BA42" s="53">
        <f>IF($A42&lt;Customisation!$H$13,I42,I42*(1-Customisation!$H$24*Customisation!$H$12))</f>
        <v>2.0311680000000003E-5</v>
      </c>
      <c r="BB42" s="53">
        <f>IF($A42&lt;Customisation!$H$13,J42,J42*(1-Customisation!$H$24*Customisation!$H$12))</f>
        <v>5.7124718112742873E-6</v>
      </c>
      <c r="BC42" s="53">
        <f>IF($A42&lt;Customisation!$H$13,K42,K42*(1-Customisation!$H$24*Customisation!$H$12))</f>
        <v>8.4039102770142775E-4</v>
      </c>
      <c r="BD42" s="53">
        <f>IF($A42&lt;Customisation!$H$13,L42,L42*(1-Customisation!$H$24*Customisation!$H$12))</f>
        <v>1.5988737620688823E-4</v>
      </c>
      <c r="BE42" s="53">
        <f>IF($A42&lt;Customisation!$H$13,M42,M42*(1-Customisation!$H$24*Customisation!$H$12))</f>
        <v>2.8492209120000004E-5</v>
      </c>
      <c r="BF42" s="53">
        <f>IF($A42&lt;Customisation!$H$13,N42,N42*(1-Customisation!$H$24*Customisation!$H$12))</f>
        <v>7.7153541669357806E-6</v>
      </c>
      <c r="BG42" s="53">
        <f>IF($A42&lt;Customisation!$H$13,O42,O42*(1-Customisation!$H$24*Customisation!$H$12))</f>
        <v>7.6307173320000005E-2</v>
      </c>
      <c r="BH42" s="53">
        <f>IF($A42&lt;Customisation!$H$13,P42,P42*(1-Customisation!$H$24*Customisation!$H$12))</f>
        <v>2.1460685506492879E-2</v>
      </c>
      <c r="BI42" s="53">
        <f t="shared" si="13"/>
        <v>7.6537999999999978E-6</v>
      </c>
      <c r="BJ42" s="53">
        <f t="shared" si="14"/>
        <v>2.1525603371622195E-6</v>
      </c>
      <c r="BK42" s="53">
        <f t="shared" si="15"/>
        <v>3.4988799999999999E-6</v>
      </c>
      <c r="BL42" s="53">
        <f t="shared" si="16"/>
        <v>9.8402758270272873E-7</v>
      </c>
      <c r="BM42" s="53">
        <f t="shared" si="17"/>
        <v>1.4476534481657703E-4</v>
      </c>
      <c r="BN42" s="53">
        <f t="shared" si="18"/>
        <v>2.7542120733625031E-5</v>
      </c>
      <c r="BO42" s="53">
        <f t="shared" si="19"/>
        <v>4.9080539200000002E-6</v>
      </c>
      <c r="BP42" s="53">
        <f t="shared" si="20"/>
        <v>1.3290431115303253E-6</v>
      </c>
      <c r="BQ42" s="53">
        <f t="shared" si="21"/>
        <v>1.3144636119999997E-2</v>
      </c>
      <c r="BR42" s="53">
        <f t="shared" si="22"/>
        <v>3.6968071230423991E-3</v>
      </c>
    </row>
    <row r="43" spans="1:70" ht="14.25" customHeight="1" x14ac:dyDescent="0.3">
      <c r="A43" s="1">
        <f t="shared" si="34"/>
        <v>39</v>
      </c>
      <c r="B43" s="52">
        <f>'Life table'!D41</f>
        <v>0.96678785401680145</v>
      </c>
      <c r="C43" s="52">
        <f>IF($A43&lt;Customisation!$H$13,0,B43)/LOOKUP(Customisation!$H$13,$A$4:$A$104,$B$4:$B$104)</f>
        <v>0.98054305300036415</v>
      </c>
      <c r="D43" s="1">
        <f>IF($A43&lt;=Customisation!$H$13,1,1/(1+Customisation!$H$21)^($A43-Customisation!$H$13))</f>
        <v>0.2678483190002377</v>
      </c>
      <c r="E43" s="1">
        <f t="shared" si="11"/>
        <v>27.375185300995</v>
      </c>
      <c r="F43" s="1">
        <f t="shared" si="2"/>
        <v>0.26263680845350851</v>
      </c>
      <c r="G43" s="53">
        <f>'Age data'!M47*Customisation!$H$22</f>
        <v>1.2637999999999999E-4</v>
      </c>
      <c r="H43" s="53">
        <f t="shared" si="3"/>
        <v>3.3850670555250042E-5</v>
      </c>
      <c r="I43" s="53">
        <f>'Age data'!N47*Customisation!$H$22</f>
        <v>5.7509999999999997E-5</v>
      </c>
      <c r="J43" s="54">
        <f t="shared" si="4"/>
        <v>1.5403956825703668E-5</v>
      </c>
      <c r="K43" s="53">
        <f>I43*'Life table'!I41</f>
        <v>2.3255077878938787E-3</v>
      </c>
      <c r="L43" s="53">
        <f>J43*'Life table'!J41</f>
        <v>4.275276212202491E-4</v>
      </c>
      <c r="M43" s="53">
        <f t="shared" si="5"/>
        <v>8.0951360000000003E-5</v>
      </c>
      <c r="N43" s="53">
        <f>((G43-I43)*$AW$5+I43*$AW$6)/(1+Customisation!$H$21)^($A43-Customisation!$E$13)</f>
        <v>2.0876173617467084E-5</v>
      </c>
      <c r="O43" s="53">
        <f>G43*Customisation!$H$17</f>
        <v>0.21704501200000001</v>
      </c>
      <c r="P43" s="109">
        <f>O43/(1+Customisation!$H$21)^($A43-Customisation!$E$13)</f>
        <v>5.8135141611586422E-2</v>
      </c>
      <c r="Q43" s="53">
        <f>IF($A43&lt;Customisation!$H$13,G43,G43*(1-Customisation!$H$11*Customisation!$H$12))</f>
        <v>5.2978495999999997E-5</v>
      </c>
      <c r="R43" s="53">
        <f>IF($A43&lt;Customisation!$H$13,H43,H43*(1-Customisation!$H$11*Customisation!$H$12))</f>
        <v>1.4190201096760818E-5</v>
      </c>
      <c r="S43" s="53">
        <f>IF($A43&lt;Customisation!$H$13,I43,I43*(1-Customisation!$H$11*Customisation!$H$12))</f>
        <v>2.4108191999999999E-5</v>
      </c>
      <c r="T43" s="53">
        <f>IF($A43&lt;Customisation!$H$13,J43,J43*(1-Customisation!$H$11*Customisation!$H$12))</f>
        <v>6.4573387013349783E-6</v>
      </c>
      <c r="U43" s="53">
        <f>IF($A43&lt;Customisation!$H$13,K43,K43*(1-Customisation!$H$11*Customisation!$H$12))</f>
        <v>9.7485286468511399E-4</v>
      </c>
      <c r="V43" s="53">
        <f>IF($A43&lt;Customisation!$H$13,L43,L43*(1-Customisation!$H$11*Customisation!$H$12))</f>
        <v>1.7921957881552843E-4</v>
      </c>
      <c r="W43" s="53">
        <f>IF($A43&lt;Customisation!$H$13,M43,M43*(1-Customisation!$H$11*Customisation!$H$12))</f>
        <v>3.3934810112000002E-5</v>
      </c>
      <c r="X43" s="53">
        <f>IF($A43&lt;Customisation!$H$13,N43,N43*(1-Customisation!$H$11*Customisation!$H$12))</f>
        <v>8.7512919804422025E-6</v>
      </c>
      <c r="Y43" s="53">
        <f>IF($A43&lt;Customisation!$H$13,O43,O43*(1-Customisation!$H$11*Customisation!$H$12))</f>
        <v>9.0985269030400009E-2</v>
      </c>
      <c r="Z43" s="53">
        <f>IF($A43&lt;Customisation!$H$13,P43,P43*(1-Customisation!$H$11*Customisation!$H$12))</f>
        <v>2.4370251363577029E-2</v>
      </c>
      <c r="AA43" s="53">
        <f t="shared" ref="AA43:AJ43" si="61">G43-Q43</f>
        <v>7.3401504000000003E-5</v>
      </c>
      <c r="AB43" s="53">
        <f t="shared" si="61"/>
        <v>1.9660469458489225E-5</v>
      </c>
      <c r="AC43" s="53">
        <f t="shared" si="61"/>
        <v>3.3401807999999998E-5</v>
      </c>
      <c r="AD43" s="53">
        <f t="shared" si="61"/>
        <v>8.9466181243686899E-6</v>
      </c>
      <c r="AE43" s="53">
        <f t="shared" si="61"/>
        <v>1.3506549232087648E-3</v>
      </c>
      <c r="AF43" s="53">
        <f t="shared" si="61"/>
        <v>2.4830804240472067E-4</v>
      </c>
      <c r="AG43" s="53">
        <f t="shared" si="61"/>
        <v>4.7016549888000001E-5</v>
      </c>
      <c r="AH43" s="53">
        <f t="shared" si="61"/>
        <v>1.2124881637024882E-5</v>
      </c>
      <c r="AI43" s="53">
        <f t="shared" si="61"/>
        <v>0.12605974296959999</v>
      </c>
      <c r="AJ43" s="53">
        <f t="shared" si="61"/>
        <v>3.3764890248009397E-2</v>
      </c>
      <c r="AK43" s="1"/>
      <c r="AL43" s="55">
        <f t="shared" si="7"/>
        <v>12.638</v>
      </c>
      <c r="AM43" s="55">
        <f t="shared" si="8"/>
        <v>5.2978495999999993</v>
      </c>
      <c r="AN43" s="1"/>
      <c r="AO43" s="1"/>
      <c r="AP43" s="1"/>
      <c r="AQ43" s="1"/>
      <c r="AR43" s="1"/>
      <c r="AS43" s="1"/>
      <c r="AT43" s="1"/>
      <c r="AU43" s="1"/>
      <c r="AV43" s="1"/>
      <c r="AW43" s="1"/>
      <c r="AX43" s="1"/>
      <c r="AY43" s="53">
        <f>IF($A43&lt;Customisation!$H$13,G43,G43*(1-Customisation!$H$24*Customisation!$H$12))</f>
        <v>4.5193488000000001E-5</v>
      </c>
      <c r="AZ43" s="53">
        <f>IF($A43&lt;Customisation!$H$13,H43,H43*(1-Customisation!$H$24*Customisation!$H$12))</f>
        <v>1.2104999790557416E-5</v>
      </c>
      <c r="BA43" s="53">
        <f>IF($A43&lt;Customisation!$H$13,I43,I43*(1-Customisation!$H$24*Customisation!$H$12))</f>
        <v>2.0565575999999999E-5</v>
      </c>
      <c r="BB43" s="53">
        <f>IF($A43&lt;Customisation!$H$13,J43,J43*(1-Customisation!$H$24*Customisation!$H$12))</f>
        <v>5.5084549608716324E-6</v>
      </c>
      <c r="BC43" s="53">
        <f>IF($A43&lt;Customisation!$H$13,K43,K43*(1-Customisation!$H$24*Customisation!$H$12))</f>
        <v>8.3160158495085106E-4</v>
      </c>
      <c r="BD43" s="53">
        <f>IF($A43&lt;Customisation!$H$13,L43,L43*(1-Customisation!$H$24*Customisation!$H$12))</f>
        <v>1.528838773483611E-4</v>
      </c>
      <c r="BE43" s="53">
        <f>IF($A43&lt;Customisation!$H$13,M43,M43*(1-Customisation!$H$24*Customisation!$H$12))</f>
        <v>2.8948206336000004E-5</v>
      </c>
      <c r="BF43" s="53">
        <f>IF($A43&lt;Customisation!$H$13,N43,N43*(1-Customisation!$H$24*Customisation!$H$12))</f>
        <v>7.4653196856062296E-6</v>
      </c>
      <c r="BG43" s="53">
        <f>IF($A43&lt;Customisation!$H$13,O43,O43*(1-Customisation!$H$24*Customisation!$H$12))</f>
        <v>7.7615296291200009E-2</v>
      </c>
      <c r="BH43" s="53">
        <f>IF($A43&lt;Customisation!$H$13,P43,P43*(1-Customisation!$H$24*Customisation!$H$12))</f>
        <v>2.0789126640303305E-2</v>
      </c>
      <c r="BI43" s="53">
        <f t="shared" si="13"/>
        <v>7.785007999999996E-6</v>
      </c>
      <c r="BJ43" s="53">
        <f t="shared" si="14"/>
        <v>2.0852013062034025E-6</v>
      </c>
      <c r="BK43" s="53">
        <f t="shared" si="15"/>
        <v>3.5426159999999994E-6</v>
      </c>
      <c r="BL43" s="53">
        <f t="shared" si="16"/>
        <v>9.4888374046334589E-7</v>
      </c>
      <c r="BM43" s="53">
        <f t="shared" si="17"/>
        <v>1.4325127973426294E-4</v>
      </c>
      <c r="BN43" s="53">
        <f t="shared" si="18"/>
        <v>2.6335701467167336E-5</v>
      </c>
      <c r="BO43" s="53">
        <f t="shared" si="19"/>
        <v>4.9866037759999974E-6</v>
      </c>
      <c r="BP43" s="53">
        <f t="shared" si="20"/>
        <v>1.285972294835973E-6</v>
      </c>
      <c r="BQ43" s="53">
        <f t="shared" si="21"/>
        <v>1.3369972739200001E-2</v>
      </c>
      <c r="BR43" s="53">
        <f t="shared" si="22"/>
        <v>3.5811247232737237E-3</v>
      </c>
    </row>
    <row r="44" spans="1:70" ht="14.25" customHeight="1" x14ac:dyDescent="0.3">
      <c r="A44" s="1">
        <f t="shared" si="34"/>
        <v>40</v>
      </c>
      <c r="B44" s="52">
        <f>'Life table'!D42</f>
        <v>0.96521198981475409</v>
      </c>
      <c r="C44" s="52">
        <f>IF($A44&lt;Customisation!$H$13,0,B44)/LOOKUP(Customisation!$H$13,$A$4:$A$104,$B$4:$B$104)</f>
        <v>0.97894476782397355</v>
      </c>
      <c r="D44" s="1">
        <f>IF($A44&lt;=Customisation!$H$13,1,1/(1+Customisation!$H$21)^($A44-Customisation!$H$13))</f>
        <v>0.25509363714308358</v>
      </c>
      <c r="E44" s="1">
        <f t="shared" si="11"/>
        <v>27.643033619995236</v>
      </c>
      <c r="F44" s="1">
        <f t="shared" si="2"/>
        <v>0.2497225813864089</v>
      </c>
      <c r="G44" s="53">
        <f>'Age data'!M48*Customisation!$H$22</f>
        <v>1.4696999999999998E-4</v>
      </c>
      <c r="H44" s="53">
        <f t="shared" si="3"/>
        <v>3.7491111850918993E-5</v>
      </c>
      <c r="I44" s="53">
        <f>'Age data'!N48*Customisation!$H$22</f>
        <v>6.9579999999999995E-5</v>
      </c>
      <c r="J44" s="54">
        <f t="shared" si="4"/>
        <v>1.7749415272415754E-5</v>
      </c>
      <c r="K44" s="53">
        <f>I44*'Life table'!I42</f>
        <v>2.748534141976114E-3</v>
      </c>
      <c r="L44" s="53">
        <f>J44*'Life table'!J42</f>
        <v>4.8827908976322099E-4</v>
      </c>
      <c r="M44" s="53">
        <f t="shared" si="5"/>
        <v>9.5068999999999994E-5</v>
      </c>
      <c r="N44" s="53">
        <f>((G44-I44)*$AW$5+I44*$AW$6)/(1+Customisation!$H$21)^($A44-Customisation!$E$13)</f>
        <v>2.3355861792435397E-5</v>
      </c>
      <c r="O44" s="53">
        <f>G44*Customisation!$H$17</f>
        <v>0.25240627799999998</v>
      </c>
      <c r="P44" s="109">
        <f>O44/(1+Customisation!$H$21)^($A44-Customisation!$E$13)</f>
        <v>6.4387235492768272E-2</v>
      </c>
      <c r="Q44" s="53">
        <f>IF($A44&lt;Customisation!$H$13,G44,G44*(1-Customisation!$H$11*Customisation!$H$12))</f>
        <v>6.1609824E-5</v>
      </c>
      <c r="R44" s="53">
        <f>IF($A44&lt;Customisation!$H$13,H44,H44*(1-Customisation!$H$11*Customisation!$H$12))</f>
        <v>1.5716274087905241E-5</v>
      </c>
      <c r="S44" s="53">
        <f>IF($A44&lt;Customisation!$H$13,I44,I44*(1-Customisation!$H$11*Customisation!$H$12))</f>
        <v>2.9167935999999997E-5</v>
      </c>
      <c r="T44" s="53">
        <f>IF($A44&lt;Customisation!$H$13,J44,J44*(1-Customisation!$H$11*Customisation!$H$12))</f>
        <v>7.4405548821966844E-6</v>
      </c>
      <c r="U44" s="53">
        <f>IF($A44&lt;Customisation!$H$13,K44,K44*(1-Customisation!$H$11*Customisation!$H$12))</f>
        <v>1.152185512316387E-3</v>
      </c>
      <c r="V44" s="53">
        <f>IF($A44&lt;Customisation!$H$13,L44,L44*(1-Customisation!$H$11*Customisation!$H$12))</f>
        <v>2.0468659442874224E-4</v>
      </c>
      <c r="W44" s="53">
        <f>IF($A44&lt;Customisation!$H$13,M44,M44*(1-Customisation!$H$11*Customisation!$H$12))</f>
        <v>3.9852924799999998E-5</v>
      </c>
      <c r="X44" s="53">
        <f>IF($A44&lt;Customisation!$H$13,N44,N44*(1-Customisation!$H$11*Customisation!$H$12))</f>
        <v>9.7907772633889183E-6</v>
      </c>
      <c r="Y44" s="53">
        <f>IF($A44&lt;Customisation!$H$13,O44,O44*(1-Customisation!$H$11*Customisation!$H$12))</f>
        <v>0.10580871173759999</v>
      </c>
      <c r="Z44" s="53">
        <f>IF($A44&lt;Customisation!$H$13,P44,P44*(1-Customisation!$H$11*Customisation!$H$12))</f>
        <v>2.699112911856846E-2</v>
      </c>
      <c r="AA44" s="53">
        <f t="shared" ref="AA44:AJ44" si="62">G44-Q44</f>
        <v>8.5360175999999984E-5</v>
      </c>
      <c r="AB44" s="53">
        <f t="shared" si="62"/>
        <v>2.1774837763013752E-5</v>
      </c>
      <c r="AC44" s="53">
        <f t="shared" si="62"/>
        <v>4.0412063999999994E-5</v>
      </c>
      <c r="AD44" s="53">
        <f t="shared" si="62"/>
        <v>1.0308860390219069E-5</v>
      </c>
      <c r="AE44" s="53">
        <f t="shared" si="62"/>
        <v>1.596348629659727E-3</v>
      </c>
      <c r="AF44" s="53">
        <f t="shared" si="62"/>
        <v>2.8359249533447877E-4</v>
      </c>
      <c r="AG44" s="53">
        <f t="shared" si="62"/>
        <v>5.5216075199999996E-5</v>
      </c>
      <c r="AH44" s="53">
        <f t="shared" si="62"/>
        <v>1.3565084529046478E-5</v>
      </c>
      <c r="AI44" s="53">
        <f t="shared" si="62"/>
        <v>0.1465975662624</v>
      </c>
      <c r="AJ44" s="53">
        <f t="shared" si="62"/>
        <v>3.7396106374199808E-2</v>
      </c>
      <c r="AK44" s="1"/>
      <c r="AL44" s="55">
        <f t="shared" si="7"/>
        <v>14.696999999999999</v>
      </c>
      <c r="AM44" s="55">
        <f t="shared" si="8"/>
        <v>6.1609824</v>
      </c>
      <c r="AN44" s="1"/>
      <c r="AO44" s="1"/>
      <c r="AP44" s="1"/>
      <c r="AQ44" s="1"/>
      <c r="AR44" s="1"/>
      <c r="AS44" s="1"/>
      <c r="AT44" s="1"/>
      <c r="AU44" s="1"/>
      <c r="AV44" s="1"/>
      <c r="AW44" s="1"/>
      <c r="AX44" s="1"/>
      <c r="AY44" s="53">
        <f>IF($A44&lt;Customisation!$H$13,G44,G44*(1-Customisation!$H$24*Customisation!$H$12))</f>
        <v>5.2556472000000001E-5</v>
      </c>
      <c r="AZ44" s="53">
        <f>IF($A44&lt;Customisation!$H$13,H44,H44*(1-Customisation!$H$24*Customisation!$H$12))</f>
        <v>1.3406821597888634E-5</v>
      </c>
      <c r="BA44" s="53">
        <f>IF($A44&lt;Customisation!$H$13,I44,I44*(1-Customisation!$H$24*Customisation!$H$12))</f>
        <v>2.4881808000000001E-5</v>
      </c>
      <c r="BB44" s="53">
        <f>IF($A44&lt;Customisation!$H$13,J44,J44*(1-Customisation!$H$24*Customisation!$H$12))</f>
        <v>6.3471909014158744E-6</v>
      </c>
      <c r="BC44" s="53">
        <f>IF($A44&lt;Customisation!$H$13,K44,K44*(1-Customisation!$H$24*Customisation!$H$12))</f>
        <v>9.8287580917065845E-4</v>
      </c>
      <c r="BD44" s="53">
        <f>IF($A44&lt;Customisation!$H$13,L44,L44*(1-Customisation!$H$24*Customisation!$H$12))</f>
        <v>1.7460860249932783E-4</v>
      </c>
      <c r="BE44" s="53">
        <f>IF($A44&lt;Customisation!$H$13,M44,M44*(1-Customisation!$H$24*Customisation!$H$12))</f>
        <v>3.3996674400000001E-5</v>
      </c>
      <c r="BF44" s="53">
        <f>IF($A44&lt;Customisation!$H$13,N44,N44*(1-Customisation!$H$24*Customisation!$H$12))</f>
        <v>8.3520561769748988E-6</v>
      </c>
      <c r="BG44" s="53">
        <f>IF($A44&lt;Customisation!$H$13,O44,O44*(1-Customisation!$H$24*Customisation!$H$12))</f>
        <v>9.0260485012799999E-2</v>
      </c>
      <c r="BH44" s="53">
        <f>IF($A44&lt;Customisation!$H$13,P44,P44*(1-Customisation!$H$24*Customisation!$H$12))</f>
        <v>2.3024875412213937E-2</v>
      </c>
      <c r="BI44" s="53">
        <f t="shared" si="13"/>
        <v>9.0533519999999991E-6</v>
      </c>
      <c r="BJ44" s="53">
        <f t="shared" si="14"/>
        <v>2.3094524900166077E-6</v>
      </c>
      <c r="BK44" s="53">
        <f t="shared" si="15"/>
        <v>4.286127999999996E-6</v>
      </c>
      <c r="BL44" s="53">
        <f t="shared" si="16"/>
        <v>1.09336398078081E-6</v>
      </c>
      <c r="BM44" s="53">
        <f t="shared" si="17"/>
        <v>1.6930970314572857E-4</v>
      </c>
      <c r="BN44" s="53">
        <f t="shared" si="18"/>
        <v>3.0077991929414411E-5</v>
      </c>
      <c r="BO44" s="53">
        <f t="shared" si="19"/>
        <v>5.8562503999999964E-6</v>
      </c>
      <c r="BP44" s="53">
        <f t="shared" si="20"/>
        <v>1.4387210864140195E-6</v>
      </c>
      <c r="BQ44" s="53">
        <f t="shared" si="21"/>
        <v>1.5548226724799996E-2</v>
      </c>
      <c r="BR44" s="53">
        <f t="shared" si="22"/>
        <v>3.9662537063545229E-3</v>
      </c>
    </row>
    <row r="45" spans="1:70" ht="14.25" customHeight="1" x14ac:dyDescent="0.3">
      <c r="A45" s="1">
        <f t="shared" si="34"/>
        <v>41</v>
      </c>
      <c r="B45" s="52">
        <f>'Life table'!D43</f>
        <v>0.96350356459278197</v>
      </c>
      <c r="C45" s="52">
        <f>IF($A45&lt;Customisation!$H$13,0,B45)/LOOKUP(Customisation!$H$13,$A$4:$A$104,$B$4:$B$104)</f>
        <v>0.9772120355849252</v>
      </c>
      <c r="D45" s="1">
        <f>IF($A45&lt;=Customisation!$H$13,1,1/(1+Customisation!$H$21)^($A45-Customisation!$H$13))</f>
        <v>0.24294632108865097</v>
      </c>
      <c r="E45" s="1">
        <f t="shared" si="11"/>
        <v>27.89812725713832</v>
      </c>
      <c r="F45" s="1">
        <f t="shared" si="2"/>
        <v>0.23741006896890945</v>
      </c>
      <c r="G45" s="53">
        <f>'Age data'!M49*Customisation!$H$22</f>
        <v>1.4981E-4</v>
      </c>
      <c r="H45" s="53">
        <f t="shared" si="3"/>
        <v>3.63957883622908E-5</v>
      </c>
      <c r="I45" s="53">
        <f>'Age data'!N49*Customisation!$H$22</f>
        <v>7.1000000000000005E-5</v>
      </c>
      <c r="J45" s="54">
        <f t="shared" si="4"/>
        <v>1.7249188797294218E-5</v>
      </c>
      <c r="K45" s="53">
        <f>I45*'Life table'!I43</f>
        <v>2.7385367204810825E-3</v>
      </c>
      <c r="L45" s="53">
        <f>J45*'Life table'!J43</f>
        <v>4.7011829333828346E-4</v>
      </c>
      <c r="M45" s="53">
        <f t="shared" si="5"/>
        <v>9.6932040000000002E-5</v>
      </c>
      <c r="N45" s="53">
        <f>((G45-I45)*$AW$5+I45*$AW$6)/(1+Customisation!$H$21)^($A45-Customisation!$E$13)</f>
        <v>2.2679750254449577E-5</v>
      </c>
      <c r="O45" s="53">
        <f>G45*Customisation!$H$17</f>
        <v>0.25728369400000001</v>
      </c>
      <c r="P45" s="109">
        <f>O45/(1+Customisation!$H$21)^($A45-Customisation!$E$13)</f>
        <v>6.2506126933398229E-2</v>
      </c>
      <c r="Q45" s="53">
        <f>IF($A45&lt;Customisation!$H$13,G45,G45*(1-Customisation!$H$11*Customisation!$H$12))</f>
        <v>6.2800351999999998E-5</v>
      </c>
      <c r="R45" s="53">
        <f>IF($A45&lt;Customisation!$H$13,H45,H45*(1-Customisation!$H$11*Customisation!$H$12))</f>
        <v>1.5257114481472304E-5</v>
      </c>
      <c r="S45" s="53">
        <f>IF($A45&lt;Customisation!$H$13,I45,I45*(1-Customisation!$H$11*Customisation!$H$12))</f>
        <v>2.9763200000000003E-5</v>
      </c>
      <c r="T45" s="53">
        <f>IF($A45&lt;Customisation!$H$13,J45,J45*(1-Customisation!$H$11*Customisation!$H$12))</f>
        <v>7.2308599438257366E-6</v>
      </c>
      <c r="U45" s="53">
        <f>IF($A45&lt;Customisation!$H$13,K45,K45*(1-Customisation!$H$11*Customisation!$H$12))</f>
        <v>1.1479945932256698E-3</v>
      </c>
      <c r="V45" s="53">
        <f>IF($A45&lt;Customisation!$H$13,L45,L45*(1-Customisation!$H$11*Customisation!$H$12))</f>
        <v>1.9707358856740844E-4</v>
      </c>
      <c r="W45" s="53">
        <f>IF($A45&lt;Customisation!$H$13,M45,M45*(1-Customisation!$H$11*Customisation!$H$12))</f>
        <v>4.0633911168000001E-5</v>
      </c>
      <c r="X45" s="53">
        <f>IF($A45&lt;Customisation!$H$13,N45,N45*(1-Customisation!$H$11*Customisation!$H$12))</f>
        <v>9.5073513066652639E-6</v>
      </c>
      <c r="Y45" s="53">
        <f>IF($A45&lt;Customisation!$H$13,O45,O45*(1-Customisation!$H$11*Customisation!$H$12))</f>
        <v>0.10785332452480001</v>
      </c>
      <c r="Z45" s="53">
        <f>IF($A45&lt;Customisation!$H$13,P45,P45*(1-Customisation!$H$11*Customisation!$H$12))</f>
        <v>2.6202568410480537E-2</v>
      </c>
      <c r="AA45" s="53">
        <f t="shared" ref="AA45:AJ45" si="63">G45-Q45</f>
        <v>8.7009648000000006E-5</v>
      </c>
      <c r="AB45" s="53">
        <f t="shared" si="63"/>
        <v>2.1138673880818497E-5</v>
      </c>
      <c r="AC45" s="53">
        <f t="shared" si="63"/>
        <v>4.1236799999999998E-5</v>
      </c>
      <c r="AD45" s="53">
        <f t="shared" si="63"/>
        <v>1.0018328853468482E-5</v>
      </c>
      <c r="AE45" s="53">
        <f t="shared" si="63"/>
        <v>1.5905421272554127E-3</v>
      </c>
      <c r="AF45" s="53">
        <f t="shared" si="63"/>
        <v>2.7304470477087502E-4</v>
      </c>
      <c r="AG45" s="53">
        <f t="shared" si="63"/>
        <v>5.6298128832000002E-5</v>
      </c>
      <c r="AH45" s="53">
        <f t="shared" si="63"/>
        <v>1.3172398947784314E-5</v>
      </c>
      <c r="AI45" s="53">
        <f t="shared" si="63"/>
        <v>0.1494303694752</v>
      </c>
      <c r="AJ45" s="53">
        <f t="shared" si="63"/>
        <v>3.6303558522917695E-2</v>
      </c>
      <c r="AK45" s="1"/>
      <c r="AL45" s="55">
        <f t="shared" si="7"/>
        <v>14.981</v>
      </c>
      <c r="AM45" s="55">
        <f t="shared" si="8"/>
        <v>6.2800351999999995</v>
      </c>
      <c r="AN45" s="1"/>
      <c r="AO45" s="1"/>
      <c r="AP45" s="1"/>
      <c r="AQ45" s="1"/>
      <c r="AR45" s="1"/>
      <c r="AS45" s="1"/>
      <c r="AT45" s="1"/>
      <c r="AU45" s="1"/>
      <c r="AV45" s="1"/>
      <c r="AW45" s="1"/>
      <c r="AX45" s="1"/>
      <c r="AY45" s="53">
        <f>IF($A45&lt;Customisation!$H$13,G45,G45*(1-Customisation!$H$24*Customisation!$H$12))</f>
        <v>5.3572056000000008E-5</v>
      </c>
      <c r="AZ45" s="53">
        <f>IF($A45&lt;Customisation!$H$13,H45,H45*(1-Customisation!$H$24*Customisation!$H$12))</f>
        <v>1.301513391835519E-5</v>
      </c>
      <c r="BA45" s="53">
        <f>IF($A45&lt;Customisation!$H$13,I45,I45*(1-Customisation!$H$24*Customisation!$H$12))</f>
        <v>2.5389600000000005E-5</v>
      </c>
      <c r="BB45" s="53">
        <f>IF($A45&lt;Customisation!$H$13,J45,J45*(1-Customisation!$H$24*Customisation!$H$12))</f>
        <v>6.1683099139124126E-6</v>
      </c>
      <c r="BC45" s="53">
        <f>IF($A45&lt;Customisation!$H$13,K45,K45*(1-Customisation!$H$24*Customisation!$H$12))</f>
        <v>9.7930073124403516E-4</v>
      </c>
      <c r="BD45" s="53">
        <f>IF($A45&lt;Customisation!$H$13,L45,L45*(1-Customisation!$H$24*Customisation!$H$12))</f>
        <v>1.6811430169777017E-4</v>
      </c>
      <c r="BE45" s="53">
        <f>IF($A45&lt;Customisation!$H$13,M45,M45*(1-Customisation!$H$24*Customisation!$H$12))</f>
        <v>3.4662897504000001E-5</v>
      </c>
      <c r="BF45" s="53">
        <f>IF($A45&lt;Customisation!$H$13,N45,N45*(1-Customisation!$H$24*Customisation!$H$12))</f>
        <v>8.1102786909911697E-6</v>
      </c>
      <c r="BG45" s="53">
        <f>IF($A45&lt;Customisation!$H$13,O45,O45*(1-Customisation!$H$24*Customisation!$H$12))</f>
        <v>9.2004648974400013E-2</v>
      </c>
      <c r="BH45" s="53">
        <f>IF($A45&lt;Customisation!$H$13,P45,P45*(1-Customisation!$H$24*Customisation!$H$12))</f>
        <v>2.2352190991383209E-2</v>
      </c>
      <c r="BI45" s="53">
        <f t="shared" si="13"/>
        <v>9.22829599999999E-6</v>
      </c>
      <c r="BJ45" s="53">
        <f t="shared" si="14"/>
        <v>2.2419805631171139E-6</v>
      </c>
      <c r="BK45" s="53">
        <f t="shared" si="15"/>
        <v>4.3735999999999982E-6</v>
      </c>
      <c r="BL45" s="53">
        <f t="shared" si="16"/>
        <v>1.062550029913324E-6</v>
      </c>
      <c r="BM45" s="53">
        <f t="shared" si="17"/>
        <v>1.6869386198163465E-4</v>
      </c>
      <c r="BN45" s="53">
        <f t="shared" si="18"/>
        <v>2.8959286869638265E-5</v>
      </c>
      <c r="BO45" s="53">
        <f t="shared" si="19"/>
        <v>5.9710136639999997E-6</v>
      </c>
      <c r="BP45" s="53">
        <f t="shared" si="20"/>
        <v>1.3970726156740942E-6</v>
      </c>
      <c r="BQ45" s="53">
        <f t="shared" si="21"/>
        <v>1.5848675550399996E-2</v>
      </c>
      <c r="BR45" s="53">
        <f t="shared" si="22"/>
        <v>3.8503774190973283E-3</v>
      </c>
    </row>
    <row r="46" spans="1:70" ht="14.25" customHeight="1" x14ac:dyDescent="0.3">
      <c r="A46" s="1">
        <f t="shared" si="34"/>
        <v>42</v>
      </c>
      <c r="B46" s="52">
        <f>'Life table'!D44</f>
        <v>0.96165363774876378</v>
      </c>
      <c r="C46" s="52">
        <f>IF($A46&lt;Customisation!$H$13,0,B46)/LOOKUP(Customisation!$H$13,$A$4:$A$104,$B$4:$B$104)</f>
        <v>0.97533578847660207</v>
      </c>
      <c r="D46" s="1">
        <f>IF($A46&lt;=Customisation!$H$13,1,1/(1+Customisation!$H$21)^($A46-Customisation!$H$13))</f>
        <v>0.23137744865585813</v>
      </c>
      <c r="E46" s="1">
        <f t="shared" si="11"/>
        <v>28.141073578226973</v>
      </c>
      <c r="F46" s="1">
        <f t="shared" si="2"/>
        <v>0.2256707063204659</v>
      </c>
      <c r="G46" s="53">
        <f>'Age data'!M50*Customisation!$H$22</f>
        <v>1.5335999999999998E-4</v>
      </c>
      <c r="H46" s="53">
        <f t="shared" si="3"/>
        <v>3.5484045525862398E-5</v>
      </c>
      <c r="I46" s="53">
        <f>'Age data'!N50*Customisation!$H$22</f>
        <v>7.2420000000000001E-5</v>
      </c>
      <c r="J46" s="54">
        <f t="shared" si="4"/>
        <v>1.6756354831657245E-5</v>
      </c>
      <c r="K46" s="53">
        <f>I46*'Life table'!I44</f>
        <v>2.7261912653201189E-3</v>
      </c>
      <c r="L46" s="53">
        <f>J46*'Life table'!J44</f>
        <v>4.5223506401579743E-4</v>
      </c>
      <c r="M46" s="53">
        <f t="shared" si="5"/>
        <v>9.9138719999999995E-5</v>
      </c>
      <c r="N46" s="53">
        <f>((G46-I46)*$AW$5+I46*$AW$6)/(1+Customisation!$H$21)^($A46-Customisation!$E$13)</f>
        <v>2.2090924773558861E-5</v>
      </c>
      <c r="O46" s="53">
        <f>G46*Customisation!$H$17</f>
        <v>0.26338046399999998</v>
      </c>
      <c r="P46" s="109">
        <f>O46/(1+Customisation!$H$21)^($A46-Customisation!$E$13)</f>
        <v>6.0940299786116092E-2</v>
      </c>
      <c r="Q46" s="53">
        <f>IF($A46&lt;Customisation!$H$13,G46,G46*(1-Customisation!$H$11*Customisation!$H$12))</f>
        <v>6.4288511999999992E-5</v>
      </c>
      <c r="R46" s="53">
        <f>IF($A46&lt;Customisation!$H$13,H46,H46*(1-Customisation!$H$11*Customisation!$H$12))</f>
        <v>1.4874911884441518E-5</v>
      </c>
      <c r="S46" s="53">
        <f>IF($A46&lt;Customisation!$H$13,I46,I46*(1-Customisation!$H$11*Customisation!$H$12))</f>
        <v>3.0358464000000002E-5</v>
      </c>
      <c r="T46" s="53">
        <f>IF($A46&lt;Customisation!$H$13,J46,J46*(1-Customisation!$H$11*Customisation!$H$12))</f>
        <v>7.0242639454307169E-6</v>
      </c>
      <c r="U46" s="53">
        <f>IF($A46&lt;Customisation!$H$13,K46,K46*(1-Customisation!$H$11*Customisation!$H$12))</f>
        <v>1.142819378422194E-3</v>
      </c>
      <c r="V46" s="53">
        <f>IF($A46&lt;Customisation!$H$13,L46,L46*(1-Customisation!$H$11*Customisation!$H$12))</f>
        <v>1.895769388354223E-4</v>
      </c>
      <c r="W46" s="53">
        <f>IF($A46&lt;Customisation!$H$13,M46,M46*(1-Customisation!$H$11*Customisation!$H$12))</f>
        <v>4.1558951424E-5</v>
      </c>
      <c r="X46" s="53">
        <f>IF($A46&lt;Customisation!$H$13,N46,N46*(1-Customisation!$H$11*Customisation!$H$12))</f>
        <v>9.2605156650758756E-6</v>
      </c>
      <c r="Y46" s="53">
        <f>IF($A46&lt;Customisation!$H$13,O46,O46*(1-Customisation!$H$11*Customisation!$H$12))</f>
        <v>0.11040909050879999</v>
      </c>
      <c r="Z46" s="53">
        <f>IF($A46&lt;Customisation!$H$13,P46,P46*(1-Customisation!$H$11*Customisation!$H$12))</f>
        <v>2.5546173670339865E-2</v>
      </c>
      <c r="AA46" s="53">
        <f t="shared" ref="AA46:AJ46" si="64">G46-Q46</f>
        <v>8.907148799999999E-5</v>
      </c>
      <c r="AB46" s="53">
        <f t="shared" si="64"/>
        <v>2.0609133641420879E-5</v>
      </c>
      <c r="AC46" s="53">
        <f t="shared" si="64"/>
        <v>4.2061536000000002E-5</v>
      </c>
      <c r="AD46" s="53">
        <f t="shared" si="64"/>
        <v>9.7320908862265277E-6</v>
      </c>
      <c r="AE46" s="53">
        <f t="shared" si="64"/>
        <v>1.583371886897925E-3</v>
      </c>
      <c r="AF46" s="53">
        <f t="shared" si="64"/>
        <v>2.626581251803751E-4</v>
      </c>
      <c r="AG46" s="53">
        <f t="shared" si="64"/>
        <v>5.7579768575999995E-5</v>
      </c>
      <c r="AH46" s="53">
        <f t="shared" si="64"/>
        <v>1.2830409108482985E-5</v>
      </c>
      <c r="AI46" s="53">
        <f t="shared" si="64"/>
        <v>0.15297137349119999</v>
      </c>
      <c r="AJ46" s="53">
        <f t="shared" si="64"/>
        <v>3.5394126115776227E-2</v>
      </c>
      <c r="AK46" s="1"/>
      <c r="AL46" s="55">
        <f t="shared" si="7"/>
        <v>15.335999999999999</v>
      </c>
      <c r="AM46" s="55">
        <f t="shared" si="8"/>
        <v>6.4288511999999995</v>
      </c>
      <c r="AN46" s="1"/>
      <c r="AO46" s="1"/>
      <c r="AP46" s="1"/>
      <c r="AQ46" s="1"/>
      <c r="AR46" s="1"/>
      <c r="AS46" s="1"/>
      <c r="AT46" s="1"/>
      <c r="AU46" s="1"/>
      <c r="AV46" s="1"/>
      <c r="AW46" s="1"/>
      <c r="AX46" s="1"/>
      <c r="AY46" s="53">
        <f>IF($A46&lt;Customisation!$H$13,G46,G46*(1-Customisation!$H$24*Customisation!$H$12))</f>
        <v>5.4841535999999998E-5</v>
      </c>
      <c r="AZ46" s="53">
        <f>IF($A46&lt;Customisation!$H$13,H46,H46*(1-Customisation!$H$24*Customisation!$H$12))</f>
        <v>1.2689094680048395E-5</v>
      </c>
      <c r="BA46" s="53">
        <f>IF($A46&lt;Customisation!$H$13,I46,I46*(1-Customisation!$H$24*Customisation!$H$12))</f>
        <v>2.5897392000000002E-5</v>
      </c>
      <c r="BB46" s="53">
        <f>IF($A46&lt;Customisation!$H$13,J46,J46*(1-Customisation!$H$24*Customisation!$H$12))</f>
        <v>5.9920724878006312E-6</v>
      </c>
      <c r="BC46" s="53">
        <f>IF($A46&lt;Customisation!$H$13,K46,K46*(1-Customisation!$H$24*Customisation!$H$12))</f>
        <v>9.7488599647847459E-4</v>
      </c>
      <c r="BD46" s="53">
        <f>IF($A46&lt;Customisation!$H$13,L46,L46*(1-Customisation!$H$24*Customisation!$H$12))</f>
        <v>1.6171925889204918E-4</v>
      </c>
      <c r="BE46" s="53">
        <f>IF($A46&lt;Customisation!$H$13,M46,M46*(1-Customisation!$H$24*Customisation!$H$12))</f>
        <v>3.5452006272000001E-5</v>
      </c>
      <c r="BF46" s="53">
        <f>IF($A46&lt;Customisation!$H$13,N46,N46*(1-Customisation!$H$24*Customisation!$H$12))</f>
        <v>7.8997146990246495E-6</v>
      </c>
      <c r="BG46" s="53">
        <f>IF($A46&lt;Customisation!$H$13,O46,O46*(1-Customisation!$H$24*Customisation!$H$12))</f>
        <v>9.4184853926399997E-2</v>
      </c>
      <c r="BH46" s="53">
        <f>IF($A46&lt;Customisation!$H$13,P46,P46*(1-Customisation!$H$24*Customisation!$H$12))</f>
        <v>2.1792251203515117E-2</v>
      </c>
      <c r="BI46" s="53">
        <f t="shared" si="13"/>
        <v>9.4469759999999938E-6</v>
      </c>
      <c r="BJ46" s="53">
        <f t="shared" si="14"/>
        <v>2.1858172043931229E-6</v>
      </c>
      <c r="BK46" s="53">
        <f t="shared" si="15"/>
        <v>4.4610720000000004E-6</v>
      </c>
      <c r="BL46" s="53">
        <f t="shared" si="16"/>
        <v>1.0321914576300857E-6</v>
      </c>
      <c r="BM46" s="53">
        <f t="shared" si="17"/>
        <v>1.6793338194371937E-4</v>
      </c>
      <c r="BN46" s="53">
        <f t="shared" si="18"/>
        <v>2.7857679943373118E-5</v>
      </c>
      <c r="BO46" s="53">
        <f t="shared" si="19"/>
        <v>6.1069451519999985E-6</v>
      </c>
      <c r="BP46" s="53">
        <f t="shared" si="20"/>
        <v>1.3608009660512261E-6</v>
      </c>
      <c r="BQ46" s="53">
        <f t="shared" si="21"/>
        <v>1.6224236582399992E-2</v>
      </c>
      <c r="BR46" s="53">
        <f t="shared" si="22"/>
        <v>3.7539224668247488E-3</v>
      </c>
    </row>
    <row r="47" spans="1:70" ht="14.25" customHeight="1" x14ac:dyDescent="0.3">
      <c r="A47" s="1">
        <f t="shared" si="34"/>
        <v>43</v>
      </c>
      <c r="B47" s="52">
        <f>'Life table'!D45</f>
        <v>0.95965339818224638</v>
      </c>
      <c r="C47" s="52">
        <f>IF($A47&lt;Customisation!$H$13,0,B47)/LOOKUP(Customisation!$H$13,$A$4:$A$104,$B$4:$B$104)</f>
        <v>0.97330709003657079</v>
      </c>
      <c r="D47" s="1">
        <f>IF($A47&lt;=Customisation!$H$13,1,1/(1+Customisation!$H$21)^($A47-Customisation!$H$13))</f>
        <v>0.220359474910341</v>
      </c>
      <c r="E47" s="1">
        <f t="shared" si="11"/>
        <v>28.372451026882832</v>
      </c>
      <c r="F47" s="1">
        <f t="shared" si="2"/>
        <v>0.21447743928697072</v>
      </c>
      <c r="G47" s="53">
        <f>'Age data'!M51*Customisation!$H$22</f>
        <v>1.5762E-4</v>
      </c>
      <c r="H47" s="53">
        <f t="shared" si="3"/>
        <v>3.4733060435367947E-5</v>
      </c>
      <c r="I47" s="53">
        <f>'Age data'!N51*Customisation!$H$22</f>
        <v>7.4549999999999996E-5</v>
      </c>
      <c r="J47" s="54">
        <f t="shared" si="4"/>
        <v>1.642779885456592E-5</v>
      </c>
      <c r="K47" s="53">
        <f>I47*'Life table'!I45</f>
        <v>2.7375950911485343E-3</v>
      </c>
      <c r="L47" s="53">
        <f>J47*'Life table'!J45</f>
        <v>4.3882458872958677E-4</v>
      </c>
      <c r="M47" s="53">
        <f t="shared" si="5"/>
        <v>1.0193328000000001E-4</v>
      </c>
      <c r="N47" s="53">
        <f>((G47-I47)*$AW$5+I47*$AW$6)/(1+Customisation!$H$21)^($A47-Customisation!$E$13)</f>
        <v>2.1632271698480614E-5</v>
      </c>
      <c r="O47" s="53">
        <f>G47*Customisation!$H$17</f>
        <v>0.27069658800000002</v>
      </c>
      <c r="P47" s="109">
        <f>O47/(1+Customisation!$H$21)^($A47-Customisation!$E$13)</f>
        <v>5.9650557991700916E-2</v>
      </c>
      <c r="Q47" s="53">
        <f>IF($A47&lt;Customisation!$H$13,G47,G47*(1-Customisation!$H$11*Customisation!$H$12))</f>
        <v>6.6074303999999996E-5</v>
      </c>
      <c r="R47" s="53">
        <f>IF($A47&lt;Customisation!$H$13,H47,H47*(1-Customisation!$H$11*Customisation!$H$12))</f>
        <v>1.4560098934506244E-5</v>
      </c>
      <c r="S47" s="53">
        <f>IF($A47&lt;Customisation!$H$13,I47,I47*(1-Customisation!$H$11*Customisation!$H$12))</f>
        <v>3.1251360000000001E-5</v>
      </c>
      <c r="T47" s="53">
        <f>IF($A47&lt;Customisation!$H$13,J47,J47*(1-Customisation!$H$11*Customisation!$H$12))</f>
        <v>6.8865332798340337E-6</v>
      </c>
      <c r="U47" s="53">
        <f>IF($A47&lt;Customisation!$H$13,K47,K47*(1-Customisation!$H$11*Customisation!$H$12))</f>
        <v>1.1475998622094655E-3</v>
      </c>
      <c r="V47" s="53">
        <f>IF($A47&lt;Customisation!$H$13,L47,L47*(1-Customisation!$H$11*Customisation!$H$12))</f>
        <v>1.8395526759544279E-4</v>
      </c>
      <c r="W47" s="53">
        <f>IF($A47&lt;Customisation!$H$13,M47,M47*(1-Customisation!$H$11*Customisation!$H$12))</f>
        <v>4.2730430976000004E-5</v>
      </c>
      <c r="X47" s="53">
        <f>IF($A47&lt;Customisation!$H$13,N47,N47*(1-Customisation!$H$11*Customisation!$H$12))</f>
        <v>9.0682482960030736E-6</v>
      </c>
      <c r="Y47" s="53">
        <f>IF($A47&lt;Customisation!$H$13,O47,O47*(1-Customisation!$H$11*Customisation!$H$12))</f>
        <v>0.1134760096896</v>
      </c>
      <c r="Z47" s="53">
        <f>IF($A47&lt;Customisation!$H$13,P47,P47*(1-Customisation!$H$11*Customisation!$H$12))</f>
        <v>2.5005513910121024E-2</v>
      </c>
      <c r="AA47" s="53">
        <f t="shared" ref="AA47:AJ47" si="65">G47-Q47</f>
        <v>9.1545696000000002E-5</v>
      </c>
      <c r="AB47" s="53">
        <f t="shared" si="65"/>
        <v>2.0172961500861703E-5</v>
      </c>
      <c r="AC47" s="53">
        <f t="shared" si="65"/>
        <v>4.3298639999999995E-5</v>
      </c>
      <c r="AD47" s="53">
        <f t="shared" si="65"/>
        <v>9.5412655747318859E-6</v>
      </c>
      <c r="AE47" s="53">
        <f t="shared" si="65"/>
        <v>1.5899952289390687E-3</v>
      </c>
      <c r="AF47" s="53">
        <f t="shared" si="65"/>
        <v>2.5486932113414398E-4</v>
      </c>
      <c r="AG47" s="53">
        <f t="shared" si="65"/>
        <v>5.9202849024000003E-5</v>
      </c>
      <c r="AH47" s="53">
        <f t="shared" si="65"/>
        <v>1.2564023402477541E-5</v>
      </c>
      <c r="AI47" s="53">
        <f t="shared" si="65"/>
        <v>0.15722057831040001</v>
      </c>
      <c r="AJ47" s="53">
        <f t="shared" si="65"/>
        <v>3.4645044081579895E-2</v>
      </c>
      <c r="AK47" s="1"/>
      <c r="AL47" s="55">
        <f t="shared" si="7"/>
        <v>15.762</v>
      </c>
      <c r="AM47" s="55">
        <f t="shared" si="8"/>
        <v>6.6074303999999993</v>
      </c>
      <c r="AN47" s="1"/>
      <c r="AO47" s="1"/>
      <c r="AP47" s="1"/>
      <c r="AQ47" s="1"/>
      <c r="AR47" s="1"/>
      <c r="AS47" s="1"/>
      <c r="AT47" s="1"/>
      <c r="AU47" s="1"/>
      <c r="AV47" s="1"/>
      <c r="AW47" s="1"/>
      <c r="AX47" s="1"/>
      <c r="AY47" s="53">
        <f>IF($A47&lt;Customisation!$H$13,G47,G47*(1-Customisation!$H$24*Customisation!$H$12))</f>
        <v>5.6364912000000006E-5</v>
      </c>
      <c r="AZ47" s="53">
        <f>IF($A47&lt;Customisation!$H$13,H47,H47*(1-Customisation!$H$24*Customisation!$H$12))</f>
        <v>1.242054241168758E-5</v>
      </c>
      <c r="BA47" s="53">
        <f>IF($A47&lt;Customisation!$H$13,I47,I47*(1-Customisation!$H$24*Customisation!$H$12))</f>
        <v>2.6659080000000002E-5</v>
      </c>
      <c r="BB47" s="53">
        <f>IF($A47&lt;Customisation!$H$13,J47,J47*(1-Customisation!$H$24*Customisation!$H$12))</f>
        <v>5.8745808703927733E-6</v>
      </c>
      <c r="BC47" s="53">
        <f>IF($A47&lt;Customisation!$H$13,K47,K47*(1-Customisation!$H$24*Customisation!$H$12))</f>
        <v>9.7896400459471602E-4</v>
      </c>
      <c r="BD47" s="53">
        <f>IF($A47&lt;Customisation!$H$13,L47,L47*(1-Customisation!$H$24*Customisation!$H$12))</f>
        <v>1.5692367292970025E-4</v>
      </c>
      <c r="BE47" s="53">
        <f>IF($A47&lt;Customisation!$H$13,M47,M47*(1-Customisation!$H$24*Customisation!$H$12))</f>
        <v>3.6451340928000004E-5</v>
      </c>
      <c r="BF47" s="53">
        <f>IF($A47&lt;Customisation!$H$13,N47,N47*(1-Customisation!$H$24*Customisation!$H$12))</f>
        <v>7.7357003593766684E-6</v>
      </c>
      <c r="BG47" s="53">
        <f>IF($A47&lt;Customisation!$H$13,O47,O47*(1-Customisation!$H$24*Customisation!$H$12))</f>
        <v>9.680109986880002E-2</v>
      </c>
      <c r="BH47" s="53">
        <f>IF($A47&lt;Customisation!$H$13,P47,P47*(1-Customisation!$H$24*Customisation!$H$12))</f>
        <v>2.1331039537832251E-2</v>
      </c>
      <c r="BI47" s="53">
        <f t="shared" si="13"/>
        <v>9.7093919999999902E-6</v>
      </c>
      <c r="BJ47" s="53">
        <f t="shared" si="14"/>
        <v>2.1395565228186644E-6</v>
      </c>
      <c r="BK47" s="53">
        <f t="shared" si="15"/>
        <v>4.5922799999999987E-6</v>
      </c>
      <c r="BL47" s="53">
        <f t="shared" si="16"/>
        <v>1.0119524094412604E-6</v>
      </c>
      <c r="BM47" s="53">
        <f t="shared" si="17"/>
        <v>1.6863585761474949E-4</v>
      </c>
      <c r="BN47" s="53">
        <f t="shared" si="18"/>
        <v>2.7031594665742544E-5</v>
      </c>
      <c r="BO47" s="53">
        <f t="shared" si="19"/>
        <v>6.2790900480000001E-6</v>
      </c>
      <c r="BP47" s="53">
        <f t="shared" si="20"/>
        <v>1.3325479366264052E-6</v>
      </c>
      <c r="BQ47" s="53">
        <f t="shared" si="21"/>
        <v>1.6674909820799985E-2</v>
      </c>
      <c r="BR47" s="53">
        <f t="shared" si="22"/>
        <v>3.6744743722887732E-3</v>
      </c>
    </row>
    <row r="48" spans="1:70" ht="14.25" customHeight="1" x14ac:dyDescent="0.3">
      <c r="A48" s="1">
        <f t="shared" si="34"/>
        <v>44</v>
      </c>
      <c r="B48" s="52">
        <f>'Life table'!D46</f>
        <v>0.9575037745703181</v>
      </c>
      <c r="C48" s="52">
        <f>IF($A48&lt;Customisation!$H$13,0,B48)/LOOKUP(Customisation!$H$13,$A$4:$A$104,$B$4:$B$104)</f>
        <v>0.97112688215488874</v>
      </c>
      <c r="D48" s="1">
        <f>IF($A48&lt;=Customisation!$H$13,1,1/(1+Customisation!$H$21)^($A48-Customisation!$H$13))</f>
        <v>0.20986616658127716</v>
      </c>
      <c r="E48" s="1">
        <f t="shared" si="11"/>
        <v>28.592810501793174</v>
      </c>
      <c r="F48" s="1">
        <f t="shared" si="2"/>
        <v>0.20380667602187419</v>
      </c>
      <c r="G48" s="53">
        <f>'Age data'!M52*Customisation!$H$22</f>
        <v>1.6187999999999999E-4</v>
      </c>
      <c r="H48" s="53">
        <f t="shared" si="3"/>
        <v>3.3973135046177144E-5</v>
      </c>
      <c r="I48" s="53">
        <f>'Age data'!N52*Customisation!$H$22</f>
        <v>7.6679999999999991E-5</v>
      </c>
      <c r="J48" s="54">
        <f t="shared" si="4"/>
        <v>1.6092537653452329E-5</v>
      </c>
      <c r="K48" s="53">
        <f>I48*'Life table'!I46</f>
        <v>2.745367598774032E-3</v>
      </c>
      <c r="L48" s="53">
        <f>J48*'Life table'!J46</f>
        <v>4.2523579661577377E-4</v>
      </c>
      <c r="M48" s="53">
        <f t="shared" si="5"/>
        <v>1.0472783999999999E-4</v>
      </c>
      <c r="N48" s="53">
        <f>((G48-I48)*$AW$5+I48*$AW$6)/(1+Customisation!$H$21)^($A48-Customisation!$E$13)</f>
        <v>2.1167207068707879E-5</v>
      </c>
      <c r="O48" s="53">
        <f>G48*Customisation!$H$17</f>
        <v>0.278012712</v>
      </c>
      <c r="P48" s="109">
        <f>O48/(1+Customisation!$H$21)^($A48-Customisation!$E$13)</f>
        <v>5.8345462128304632E-2</v>
      </c>
      <c r="Q48" s="53">
        <f>IF($A48&lt;Customisation!$H$13,G48,G48*(1-Customisation!$H$11*Customisation!$H$12))</f>
        <v>6.7860096E-5</v>
      </c>
      <c r="R48" s="53">
        <f>IF($A48&lt;Customisation!$H$13,H48,H48*(1-Customisation!$H$11*Customisation!$H$12))</f>
        <v>1.4241538211357459E-5</v>
      </c>
      <c r="S48" s="53">
        <f>IF($A48&lt;Customisation!$H$13,I48,I48*(1-Customisation!$H$11*Customisation!$H$12))</f>
        <v>3.2144255999999996E-5</v>
      </c>
      <c r="T48" s="53">
        <f>IF($A48&lt;Customisation!$H$13,J48,J48*(1-Customisation!$H$11*Customisation!$H$12))</f>
        <v>6.7459917843272166E-6</v>
      </c>
      <c r="U48" s="53">
        <f>IF($A48&lt;Customisation!$H$13,K48,K48*(1-Customisation!$H$11*Customisation!$H$12))</f>
        <v>1.1508580974060741E-3</v>
      </c>
      <c r="V48" s="53">
        <f>IF($A48&lt;Customisation!$H$13,L48,L48*(1-Customisation!$H$11*Customisation!$H$12))</f>
        <v>1.7825884594133238E-4</v>
      </c>
      <c r="W48" s="53">
        <f>IF($A48&lt;Customisation!$H$13,M48,M48*(1-Customisation!$H$11*Customisation!$H$12))</f>
        <v>4.3901910528000002E-5</v>
      </c>
      <c r="X48" s="53">
        <f>IF($A48&lt;Customisation!$H$13,N48,N48*(1-Customisation!$H$11*Customisation!$H$12))</f>
        <v>8.8732932032023429E-6</v>
      </c>
      <c r="Y48" s="53">
        <f>IF($A48&lt;Customisation!$H$13,O48,O48*(1-Customisation!$H$11*Customisation!$H$12))</f>
        <v>0.11654292887040001</v>
      </c>
      <c r="Z48" s="53">
        <f>IF($A48&lt;Customisation!$H$13,P48,P48*(1-Customisation!$H$11*Customisation!$H$12))</f>
        <v>2.4458417724185302E-2</v>
      </c>
      <c r="AA48" s="53">
        <f t="shared" ref="AA48:AJ48" si="66">G48-Q48</f>
        <v>9.4019903999999988E-5</v>
      </c>
      <c r="AB48" s="53">
        <f t="shared" si="66"/>
        <v>1.9731596834819683E-5</v>
      </c>
      <c r="AC48" s="53">
        <f t="shared" si="66"/>
        <v>4.4535743999999995E-5</v>
      </c>
      <c r="AD48" s="53">
        <f t="shared" si="66"/>
        <v>9.3465458691251123E-6</v>
      </c>
      <c r="AE48" s="53">
        <f t="shared" si="66"/>
        <v>1.5945095013679578E-3</v>
      </c>
      <c r="AF48" s="53">
        <f t="shared" si="66"/>
        <v>2.4697695067444139E-4</v>
      </c>
      <c r="AG48" s="53">
        <f t="shared" si="66"/>
        <v>6.0825929471999992E-5</v>
      </c>
      <c r="AH48" s="53">
        <f t="shared" si="66"/>
        <v>1.2293913865505536E-5</v>
      </c>
      <c r="AI48" s="53">
        <f t="shared" si="66"/>
        <v>0.16146978312959998</v>
      </c>
      <c r="AJ48" s="53">
        <f t="shared" si="66"/>
        <v>3.3887044404119326E-2</v>
      </c>
      <c r="AK48" s="1"/>
      <c r="AL48" s="55">
        <f t="shared" si="7"/>
        <v>16.187999999999999</v>
      </c>
      <c r="AM48" s="55">
        <f t="shared" si="8"/>
        <v>6.7860095999999999</v>
      </c>
      <c r="AN48" s="1"/>
      <c r="AO48" s="1"/>
      <c r="AP48" s="1"/>
      <c r="AQ48" s="1"/>
      <c r="AR48" s="1"/>
      <c r="AS48" s="1"/>
      <c r="AT48" s="1"/>
      <c r="AU48" s="1"/>
      <c r="AV48" s="1"/>
      <c r="AW48" s="1"/>
      <c r="AX48" s="1"/>
      <c r="AY48" s="53">
        <f>IF($A48&lt;Customisation!$H$13,G48,G48*(1-Customisation!$H$24*Customisation!$H$12))</f>
        <v>5.7888288E-5</v>
      </c>
      <c r="AZ48" s="53">
        <f>IF($A48&lt;Customisation!$H$13,H48,H48*(1-Customisation!$H$24*Customisation!$H$12))</f>
        <v>1.2148793092512947E-5</v>
      </c>
      <c r="BA48" s="53">
        <f>IF($A48&lt;Customisation!$H$13,I48,I48*(1-Customisation!$H$24*Customisation!$H$12))</f>
        <v>2.7420767999999999E-5</v>
      </c>
      <c r="BB48" s="53">
        <f>IF($A48&lt;Customisation!$H$13,J48,J48*(1-Customisation!$H$24*Customisation!$H$12))</f>
        <v>5.7546914648745536E-6</v>
      </c>
      <c r="BC48" s="53">
        <f>IF($A48&lt;Customisation!$H$13,K48,K48*(1-Customisation!$H$24*Customisation!$H$12))</f>
        <v>9.81743453321594E-4</v>
      </c>
      <c r="BD48" s="53">
        <f>IF($A48&lt;Customisation!$H$13,L48,L48*(1-Customisation!$H$24*Customisation!$H$12))</f>
        <v>1.5206432086980071E-4</v>
      </c>
      <c r="BE48" s="53">
        <f>IF($A48&lt;Customisation!$H$13,M48,M48*(1-Customisation!$H$24*Customisation!$H$12))</f>
        <v>3.7450675584E-5</v>
      </c>
      <c r="BF48" s="53">
        <f>IF($A48&lt;Customisation!$H$13,N48,N48*(1-Customisation!$H$24*Customisation!$H$12))</f>
        <v>7.5693932477699382E-6</v>
      </c>
      <c r="BG48" s="53">
        <f>IF($A48&lt;Customisation!$H$13,O48,O48*(1-Customisation!$H$24*Customisation!$H$12))</f>
        <v>9.94173458112E-2</v>
      </c>
      <c r="BH48" s="53">
        <f>IF($A48&lt;Customisation!$H$13,P48,P48*(1-Customisation!$H$24*Customisation!$H$12))</f>
        <v>2.0864337257081738E-2</v>
      </c>
      <c r="BI48" s="53">
        <f t="shared" si="13"/>
        <v>9.9718080000000002E-6</v>
      </c>
      <c r="BJ48" s="53">
        <f t="shared" si="14"/>
        <v>2.092745118844512E-6</v>
      </c>
      <c r="BK48" s="53">
        <f t="shared" si="15"/>
        <v>4.7234879999999969E-6</v>
      </c>
      <c r="BL48" s="53">
        <f t="shared" si="16"/>
        <v>9.9130031945266302E-7</v>
      </c>
      <c r="BM48" s="53">
        <f t="shared" si="17"/>
        <v>1.6911464408448013E-4</v>
      </c>
      <c r="BN48" s="53">
        <f t="shared" si="18"/>
        <v>2.6194525071531664E-5</v>
      </c>
      <c r="BO48" s="53">
        <f t="shared" si="19"/>
        <v>6.4512349440000016E-6</v>
      </c>
      <c r="BP48" s="53">
        <f t="shared" si="20"/>
        <v>1.3038999554324047E-6</v>
      </c>
      <c r="BQ48" s="53">
        <f t="shared" si="21"/>
        <v>1.7125583059200006E-2</v>
      </c>
      <c r="BR48" s="53">
        <f t="shared" si="22"/>
        <v>3.5940804671035637E-3</v>
      </c>
    </row>
    <row r="49" spans="1:70" ht="14.25" customHeight="1" x14ac:dyDescent="0.3">
      <c r="A49" s="1">
        <f t="shared" si="34"/>
        <v>45</v>
      </c>
      <c r="B49" s="52">
        <f>'Life table'!D47</f>
        <v>0.95518661543585792</v>
      </c>
      <c r="C49" s="52">
        <f>IF($A49&lt;Customisation!$H$13,0,B49)/LOOKUP(Customisation!$H$13,$A$4:$A$104,$B$4:$B$104)</f>
        <v>0.96877675510007388</v>
      </c>
      <c r="D49" s="1">
        <f>IF($A49&lt;=Customisation!$H$13,1,1/(1+Customisation!$H$21)^($A49-Customisation!$H$13))</f>
        <v>0.19987253960121634</v>
      </c>
      <c r="E49" s="1">
        <f t="shared" si="11"/>
        <v>28.802676668374453</v>
      </c>
      <c r="F49" s="1">
        <f t="shared" si="2"/>
        <v>0.1936318703484774</v>
      </c>
      <c r="G49" s="53">
        <f>'Age data'!M53*Customisation!$H$22</f>
        <v>1.7039999999999999E-4</v>
      </c>
      <c r="H49" s="53">
        <f t="shared" si="3"/>
        <v>3.4058280748047265E-5</v>
      </c>
      <c r="I49" s="53">
        <f>'Age data'!N53*Customisation!$H$22</f>
        <v>8.4489999999999999E-5</v>
      </c>
      <c r="J49" s="54">
        <f t="shared" si="4"/>
        <v>1.6887230870906769E-5</v>
      </c>
      <c r="K49" s="53">
        <f>I49*'Life table'!I47</f>
        <v>2.9477341221989606E-3</v>
      </c>
      <c r="L49" s="53">
        <f>J49*'Life table'!J47</f>
        <v>4.4117731176449173E-4</v>
      </c>
      <c r="M49" s="53">
        <f t="shared" si="5"/>
        <v>1.1153816E-4</v>
      </c>
      <c r="N49" s="53">
        <f>((G49-I49)*$AW$5+I49*$AW$6)/(1+Customisation!$H$21)^($A49-Customisation!$E$13)</f>
        <v>2.1477143401662992E-5</v>
      </c>
      <c r="O49" s="53">
        <f>G49*Customisation!$H$17</f>
        <v>0.29264496000000001</v>
      </c>
      <c r="P49" s="109">
        <f>O49/(1+Customisation!$H$21)^($A49-Customisation!$E$13)</f>
        <v>5.8491691356696372E-2</v>
      </c>
      <c r="Q49" s="53">
        <f>IF($A49&lt;Customisation!$H$13,G49,G49*(1-Customisation!$H$11*Customisation!$H$12))</f>
        <v>7.1431679999999994E-5</v>
      </c>
      <c r="R49" s="53">
        <f>IF($A49&lt;Customisation!$H$13,H49,H49*(1-Customisation!$H$11*Customisation!$H$12))</f>
        <v>1.4277231289581414E-5</v>
      </c>
      <c r="S49" s="53">
        <f>IF($A49&lt;Customisation!$H$13,I49,I49*(1-Customisation!$H$11*Customisation!$H$12))</f>
        <v>3.5418208000000001E-5</v>
      </c>
      <c r="T49" s="53">
        <f>IF($A49&lt;Customisation!$H$13,J49,J49*(1-Customisation!$H$11*Customisation!$H$12))</f>
        <v>7.0791271810841179E-6</v>
      </c>
      <c r="U49" s="53">
        <f>IF($A49&lt;Customisation!$H$13,K49,K49*(1-Customisation!$H$11*Customisation!$H$12))</f>
        <v>1.2356901440258043E-3</v>
      </c>
      <c r="V49" s="53">
        <f>IF($A49&lt;Customisation!$H$13,L49,L49*(1-Customisation!$H$11*Customisation!$H$12))</f>
        <v>1.8494152909167495E-4</v>
      </c>
      <c r="W49" s="53">
        <f>IF($A49&lt;Customisation!$H$13,M49,M49*(1-Customisation!$H$11*Customisation!$H$12))</f>
        <v>4.6756796672000001E-5</v>
      </c>
      <c r="X49" s="53">
        <f>IF($A49&lt;Customisation!$H$13,N49,N49*(1-Customisation!$H$11*Customisation!$H$12))</f>
        <v>9.0032185139771272E-6</v>
      </c>
      <c r="Y49" s="53">
        <f>IF($A49&lt;Customisation!$H$13,O49,O49*(1-Customisation!$H$11*Customisation!$H$12))</f>
        <v>0.12267676723200001</v>
      </c>
      <c r="Z49" s="53">
        <f>IF($A49&lt;Customisation!$H$13,P49,P49*(1-Customisation!$H$11*Customisation!$H$12))</f>
        <v>2.451971701672712E-2</v>
      </c>
      <c r="AA49" s="53">
        <f t="shared" ref="AA49:AJ49" si="67">G49-Q49</f>
        <v>9.896832E-5</v>
      </c>
      <c r="AB49" s="53">
        <f t="shared" si="67"/>
        <v>1.9781049458465853E-5</v>
      </c>
      <c r="AC49" s="53">
        <f t="shared" si="67"/>
        <v>4.9071791999999998E-5</v>
      </c>
      <c r="AD49" s="53">
        <f t="shared" si="67"/>
        <v>9.8081036898226514E-6</v>
      </c>
      <c r="AE49" s="53">
        <f t="shared" si="67"/>
        <v>1.7120439781731563E-3</v>
      </c>
      <c r="AF49" s="53">
        <f t="shared" si="67"/>
        <v>2.562357826728168E-4</v>
      </c>
      <c r="AG49" s="53">
        <f t="shared" si="67"/>
        <v>6.4781363327999999E-5</v>
      </c>
      <c r="AH49" s="53">
        <f t="shared" si="67"/>
        <v>1.2473924887685865E-5</v>
      </c>
      <c r="AI49" s="53">
        <f t="shared" si="67"/>
        <v>0.16996819276800001</v>
      </c>
      <c r="AJ49" s="53">
        <f t="shared" si="67"/>
        <v>3.3971974339969249E-2</v>
      </c>
      <c r="AK49" s="1"/>
      <c r="AL49" s="55">
        <f t="shared" si="7"/>
        <v>17.04</v>
      </c>
      <c r="AM49" s="55">
        <f t="shared" si="8"/>
        <v>7.1431679999999993</v>
      </c>
      <c r="AN49" s="1"/>
      <c r="AO49" s="1"/>
      <c r="AP49" s="1"/>
      <c r="AQ49" s="1"/>
      <c r="AR49" s="1"/>
      <c r="AS49" s="1"/>
      <c r="AT49" s="1"/>
      <c r="AU49" s="1"/>
      <c r="AV49" s="1"/>
      <c r="AW49" s="1"/>
      <c r="AX49" s="1"/>
      <c r="AY49" s="53">
        <f>IF($A49&lt;Customisation!$H$13,G49,G49*(1-Customisation!$H$24*Customisation!$H$12))</f>
        <v>6.0935040000000001E-5</v>
      </c>
      <c r="AZ49" s="53">
        <f>IF($A49&lt;Customisation!$H$13,H49,H49*(1-Customisation!$H$24*Customisation!$H$12))</f>
        <v>1.2179241195501703E-5</v>
      </c>
      <c r="BA49" s="53">
        <f>IF($A49&lt;Customisation!$H$13,I49,I49*(1-Customisation!$H$24*Customisation!$H$12))</f>
        <v>3.0213624000000001E-5</v>
      </c>
      <c r="BB49" s="53">
        <f>IF($A49&lt;Customisation!$H$13,J49,J49*(1-Customisation!$H$24*Customisation!$H$12))</f>
        <v>6.038873759436261E-6</v>
      </c>
      <c r="BC49" s="53">
        <f>IF($A49&lt;Customisation!$H$13,K49,K49*(1-Customisation!$H$24*Customisation!$H$12))</f>
        <v>1.0541097220983485E-3</v>
      </c>
      <c r="BD49" s="53">
        <f>IF($A49&lt;Customisation!$H$13,L49,L49*(1-Customisation!$H$24*Customisation!$H$12))</f>
        <v>1.5776500668698224E-4</v>
      </c>
      <c r="BE49" s="53">
        <f>IF($A49&lt;Customisation!$H$13,M49,M49*(1-Customisation!$H$24*Customisation!$H$12))</f>
        <v>3.9886046016000002E-5</v>
      </c>
      <c r="BF49" s="53">
        <f>IF($A49&lt;Customisation!$H$13,N49,N49*(1-Customisation!$H$24*Customisation!$H$12))</f>
        <v>7.6802264804346864E-6</v>
      </c>
      <c r="BG49" s="53">
        <f>IF($A49&lt;Customisation!$H$13,O49,O49*(1-Customisation!$H$24*Customisation!$H$12))</f>
        <v>0.10464983769600002</v>
      </c>
      <c r="BH49" s="53">
        <f>IF($A49&lt;Customisation!$H$13,P49,P49*(1-Customisation!$H$24*Customisation!$H$12))</f>
        <v>2.0916628829154623E-2</v>
      </c>
      <c r="BI49" s="53">
        <f t="shared" si="13"/>
        <v>1.0496639999999993E-5</v>
      </c>
      <c r="BJ49" s="53">
        <f t="shared" si="14"/>
        <v>2.0979900940797108E-6</v>
      </c>
      <c r="BK49" s="53">
        <f t="shared" si="15"/>
        <v>5.2045840000000005E-6</v>
      </c>
      <c r="BL49" s="53">
        <f t="shared" si="16"/>
        <v>1.0402534216478569E-6</v>
      </c>
      <c r="BM49" s="53">
        <f t="shared" si="17"/>
        <v>1.8158042192745584E-4</v>
      </c>
      <c r="BN49" s="53">
        <f t="shared" si="18"/>
        <v>2.7176522404692705E-5</v>
      </c>
      <c r="BO49" s="53">
        <f t="shared" si="19"/>
        <v>6.8707506559999992E-6</v>
      </c>
      <c r="BP49" s="53">
        <f t="shared" si="20"/>
        <v>1.3229920335424408E-6</v>
      </c>
      <c r="BQ49" s="53">
        <f t="shared" si="21"/>
        <v>1.8026929535999991E-2</v>
      </c>
      <c r="BR49" s="53">
        <f t="shared" si="22"/>
        <v>3.6030881875724965E-3</v>
      </c>
    </row>
    <row r="50" spans="1:70" ht="14.25" customHeight="1" x14ac:dyDescent="0.3">
      <c r="A50" s="1">
        <f t="shared" si="34"/>
        <v>46</v>
      </c>
      <c r="B50" s="52">
        <f>'Life table'!D48</f>
        <v>0.95270313023572462</v>
      </c>
      <c r="C50" s="52">
        <f>IF($A50&lt;Customisation!$H$13,0,B50)/LOOKUP(Customisation!$H$13,$A$4:$A$104,$B$4:$B$104)</f>
        <v>0.96625793553681372</v>
      </c>
      <c r="D50" s="1">
        <f>IF($A50&lt;=Customisation!$H$13,1,1/(1+Customisation!$H$21)^($A50-Customisation!$H$13))</f>
        <v>0.19035479962020604</v>
      </c>
      <c r="E50" s="1">
        <f t="shared" si="11"/>
        <v>29.002549207975669</v>
      </c>
      <c r="F50" s="1">
        <f t="shared" si="2"/>
        <v>0.18393183570054414</v>
      </c>
      <c r="G50" s="53">
        <f>'Age data'!M54*Customisation!$H$22</f>
        <v>1.7394999999999997E-4</v>
      </c>
      <c r="H50" s="53">
        <f t="shared" si="3"/>
        <v>3.3112217393934835E-5</v>
      </c>
      <c r="I50" s="53">
        <f>'Age data'!N54*Customisation!$H$22</f>
        <v>8.5909999999999996E-5</v>
      </c>
      <c r="J50" s="54">
        <f t="shared" si="4"/>
        <v>1.6353380835371899E-5</v>
      </c>
      <c r="K50" s="53">
        <f>I50*'Life table'!I48</f>
        <v>2.9190671296890759E-3</v>
      </c>
      <c r="L50" s="53">
        <f>J50*'Life table'!J48</f>
        <v>4.2213517733925978E-4</v>
      </c>
      <c r="M50" s="53">
        <f t="shared" si="5"/>
        <v>1.1374483999999999E-4</v>
      </c>
      <c r="N50" s="53">
        <f>((G50-I50)*$AW$5+I50*$AW$6)/(1+Customisation!$H$21)^($A50-Customisation!$E$13)</f>
        <v>2.0858502995615312E-5</v>
      </c>
      <c r="O50" s="53">
        <f>G50*Customisation!$H$17</f>
        <v>0.29874172999999998</v>
      </c>
      <c r="P50" s="109">
        <f>O50/(1+Customisation!$H$21)^($A50-Customisation!$E$13)</f>
        <v>5.6866922152343694E-2</v>
      </c>
      <c r="Q50" s="53">
        <f>IF($A50&lt;Customisation!$H$13,G50,G50*(1-Customisation!$H$11*Customisation!$H$12))</f>
        <v>7.2919839999999989E-5</v>
      </c>
      <c r="R50" s="53">
        <f>IF($A50&lt;Customisation!$H$13,H50,H50*(1-Customisation!$H$11*Customisation!$H$12))</f>
        <v>1.3880641531537484E-5</v>
      </c>
      <c r="S50" s="53">
        <f>IF($A50&lt;Customisation!$H$13,I50,I50*(1-Customisation!$H$11*Customisation!$H$12))</f>
        <v>3.6013472E-5</v>
      </c>
      <c r="T50" s="53">
        <f>IF($A50&lt;Customisation!$H$13,J50,J50*(1-Customisation!$H$11*Customisation!$H$12))</f>
        <v>6.8553372461879007E-6</v>
      </c>
      <c r="U50" s="53">
        <f>IF($A50&lt;Customisation!$H$13,K50,K50*(1-Customisation!$H$11*Customisation!$H$12))</f>
        <v>1.2236729407656608E-3</v>
      </c>
      <c r="V50" s="53">
        <f>IF($A50&lt;Customisation!$H$13,L50,L50*(1-Customisation!$H$11*Customisation!$H$12))</f>
        <v>1.769590663406177E-4</v>
      </c>
      <c r="W50" s="53">
        <f>IF($A50&lt;Customisation!$H$13,M50,M50*(1-Customisation!$H$11*Customisation!$H$12))</f>
        <v>4.7681836928E-5</v>
      </c>
      <c r="X50" s="53">
        <f>IF($A50&lt;Customisation!$H$13,N50,N50*(1-Customisation!$H$11*Customisation!$H$12))</f>
        <v>8.7438844557619395E-6</v>
      </c>
      <c r="Y50" s="53">
        <f>IF($A50&lt;Customisation!$H$13,O50,O50*(1-Customisation!$H$11*Customisation!$H$12))</f>
        <v>0.125232533216</v>
      </c>
      <c r="Z50" s="53">
        <f>IF($A50&lt;Customisation!$H$13,P50,P50*(1-Customisation!$H$11*Customisation!$H$12))</f>
        <v>2.3838613766262479E-2</v>
      </c>
      <c r="AA50" s="53">
        <f t="shared" ref="AA50:AJ50" si="68">G50-Q50</f>
        <v>1.0103015999999998E-4</v>
      </c>
      <c r="AB50" s="53">
        <f t="shared" si="68"/>
        <v>1.9231575862397351E-5</v>
      </c>
      <c r="AC50" s="53">
        <f t="shared" si="68"/>
        <v>4.9896527999999996E-5</v>
      </c>
      <c r="AD50" s="53">
        <f t="shared" si="68"/>
        <v>9.4980435891839993E-6</v>
      </c>
      <c r="AE50" s="53">
        <f t="shared" si="68"/>
        <v>1.6953941889234151E-3</v>
      </c>
      <c r="AF50" s="53">
        <f t="shared" si="68"/>
        <v>2.4517611099864208E-4</v>
      </c>
      <c r="AG50" s="53">
        <f t="shared" si="68"/>
        <v>6.6063003071999992E-5</v>
      </c>
      <c r="AH50" s="53">
        <f t="shared" si="68"/>
        <v>1.2114618539853373E-5</v>
      </c>
      <c r="AI50" s="53">
        <f t="shared" si="68"/>
        <v>0.17350919678399998</v>
      </c>
      <c r="AJ50" s="53">
        <f t="shared" si="68"/>
        <v>3.3028308386081215E-2</v>
      </c>
      <c r="AK50" s="1"/>
      <c r="AL50" s="55">
        <f t="shared" si="7"/>
        <v>17.394999999999996</v>
      </c>
      <c r="AM50" s="55">
        <f t="shared" si="8"/>
        <v>7.2919839999999985</v>
      </c>
      <c r="AN50" s="1"/>
      <c r="AO50" s="1"/>
      <c r="AP50" s="1"/>
      <c r="AQ50" s="1"/>
      <c r="AR50" s="1"/>
      <c r="AS50" s="1"/>
      <c r="AT50" s="1"/>
      <c r="AU50" s="1"/>
      <c r="AV50" s="1"/>
      <c r="AW50" s="1"/>
      <c r="AX50" s="1"/>
      <c r="AY50" s="53">
        <f>IF($A50&lt;Customisation!$H$13,G50,G50*(1-Customisation!$H$24*Customisation!$H$12))</f>
        <v>6.2204519999999998E-5</v>
      </c>
      <c r="AZ50" s="53">
        <f>IF($A50&lt;Customisation!$H$13,H50,H50*(1-Customisation!$H$24*Customisation!$H$12))</f>
        <v>1.1840928940071097E-5</v>
      </c>
      <c r="BA50" s="53">
        <f>IF($A50&lt;Customisation!$H$13,I50,I50*(1-Customisation!$H$24*Customisation!$H$12))</f>
        <v>3.0721416000000004E-5</v>
      </c>
      <c r="BB50" s="53">
        <f>IF($A50&lt;Customisation!$H$13,J50,J50*(1-Customisation!$H$24*Customisation!$H$12))</f>
        <v>5.8479689867289918E-6</v>
      </c>
      <c r="BC50" s="53">
        <f>IF($A50&lt;Customisation!$H$13,K50,K50*(1-Customisation!$H$24*Customisation!$H$12))</f>
        <v>1.0438584055768136E-3</v>
      </c>
      <c r="BD50" s="53">
        <f>IF($A50&lt;Customisation!$H$13,L50,L50*(1-Customisation!$H$24*Customisation!$H$12))</f>
        <v>1.509555394165193E-4</v>
      </c>
      <c r="BE50" s="53">
        <f>IF($A50&lt;Customisation!$H$13,M50,M50*(1-Customisation!$H$24*Customisation!$H$12))</f>
        <v>4.0675154784000002E-5</v>
      </c>
      <c r="BF50" s="53">
        <f>IF($A50&lt;Customisation!$H$13,N50,N50*(1-Customisation!$H$24*Customisation!$H$12))</f>
        <v>7.4590006712320359E-6</v>
      </c>
      <c r="BG50" s="53">
        <f>IF($A50&lt;Customisation!$H$13,O50,O50*(1-Customisation!$H$24*Customisation!$H$12))</f>
        <v>0.106830042648</v>
      </c>
      <c r="BH50" s="53">
        <f>IF($A50&lt;Customisation!$H$13,P50,P50*(1-Customisation!$H$24*Customisation!$H$12))</f>
        <v>2.0335611361678108E-2</v>
      </c>
      <c r="BI50" s="53">
        <f t="shared" si="13"/>
        <v>1.071531999999999E-5</v>
      </c>
      <c r="BJ50" s="53">
        <f t="shared" si="14"/>
        <v>2.0397125914663863E-6</v>
      </c>
      <c r="BK50" s="53">
        <f t="shared" si="15"/>
        <v>5.2920559999999959E-6</v>
      </c>
      <c r="BL50" s="53">
        <f t="shared" si="16"/>
        <v>1.0073682594589089E-6</v>
      </c>
      <c r="BM50" s="53">
        <f t="shared" si="17"/>
        <v>1.7981453518884716E-4</v>
      </c>
      <c r="BN50" s="53">
        <f t="shared" si="18"/>
        <v>2.6003526924098404E-5</v>
      </c>
      <c r="BO50" s="53">
        <f t="shared" si="19"/>
        <v>7.0066821439999981E-6</v>
      </c>
      <c r="BP50" s="53">
        <f t="shared" si="20"/>
        <v>1.2848837845299036E-6</v>
      </c>
      <c r="BQ50" s="53">
        <f t="shared" si="21"/>
        <v>1.8402490568000002E-2</v>
      </c>
      <c r="BR50" s="53">
        <f t="shared" si="22"/>
        <v>3.5030024045843711E-3</v>
      </c>
    </row>
    <row r="51" spans="1:70" ht="14.25" customHeight="1" x14ac:dyDescent="0.3">
      <c r="A51" s="1">
        <f t="shared" si="34"/>
        <v>47</v>
      </c>
      <c r="B51" s="52">
        <f>'Life table'!D49</f>
        <v>0.95004508850236702</v>
      </c>
      <c r="C51" s="52">
        <f>IF($A51&lt;Customisation!$H$13,0,B51)/LOOKUP(Customisation!$H$13,$A$4:$A$104,$B$4:$B$104)</f>
        <v>0.96356207589666598</v>
      </c>
      <c r="D51" s="1">
        <f>IF($A51&lt;=Customisation!$H$13,1,1/(1+Customisation!$H$21)^($A51-Customisation!$H$13))</f>
        <v>0.18129028535257716</v>
      </c>
      <c r="E51" s="1">
        <f t="shared" si="11"/>
        <v>29.192904007595875</v>
      </c>
      <c r="F51" s="1">
        <f t="shared" si="2"/>
        <v>0.1746844436942282</v>
      </c>
      <c r="G51" s="53">
        <f>'Age data'!M55*Customisation!$H$22</f>
        <v>1.7678999999999997E-4</v>
      </c>
      <c r="H51" s="53">
        <f t="shared" si="3"/>
        <v>3.2050309547482109E-5</v>
      </c>
      <c r="I51" s="53">
        <f>'Age data'!N55*Customisation!$H$22</f>
        <v>8.7330000000000006E-5</v>
      </c>
      <c r="J51" s="54">
        <f t="shared" si="4"/>
        <v>1.5832080619840563E-5</v>
      </c>
      <c r="K51" s="53">
        <f>I51*'Life table'!I49</f>
        <v>2.8881659815936569E-3</v>
      </c>
      <c r="L51" s="53">
        <f>J51*'Life table'!J49</f>
        <v>4.0352816236972905E-4</v>
      </c>
      <c r="M51" s="53">
        <f t="shared" si="5"/>
        <v>1.1560787999999999E-4</v>
      </c>
      <c r="N51" s="53">
        <f>((G51-I51)*$AW$5+I51*$AW$6)/(1+Customisation!$H$21)^($A51-Customisation!$E$13)</f>
        <v>2.0190644854965529E-5</v>
      </c>
      <c r="O51" s="53">
        <f>G51*Customisation!$H$17</f>
        <v>0.30361914599999995</v>
      </c>
      <c r="P51" s="109">
        <f>O51/(1+Customisation!$H$21)^($A51-Customisation!$E$13)</f>
        <v>5.5043201616845776E-2</v>
      </c>
      <c r="Q51" s="53">
        <f>IF($A51&lt;Customisation!$H$13,G51,G51*(1-Customisation!$H$11*Customisation!$H$12))</f>
        <v>7.4110367999999987E-5</v>
      </c>
      <c r="R51" s="53">
        <f>IF($A51&lt;Customisation!$H$13,H51,H51*(1-Customisation!$H$11*Customisation!$H$12))</f>
        <v>1.3435489762304501E-5</v>
      </c>
      <c r="S51" s="53">
        <f>IF($A51&lt;Customisation!$H$13,I51,I51*(1-Customisation!$H$11*Customisation!$H$12))</f>
        <v>3.6608736000000006E-5</v>
      </c>
      <c r="T51" s="53">
        <f>IF($A51&lt;Customisation!$H$13,J51,J51*(1-Customisation!$H$11*Customisation!$H$12))</f>
        <v>6.6368081958371641E-6</v>
      </c>
      <c r="U51" s="53">
        <f>IF($A51&lt;Customisation!$H$13,K51,K51*(1-Customisation!$H$11*Customisation!$H$12))</f>
        <v>1.2107191794840609E-3</v>
      </c>
      <c r="V51" s="53">
        <f>IF($A51&lt;Customisation!$H$13,L51,L51*(1-Customisation!$H$11*Customisation!$H$12))</f>
        <v>1.6915900566539044E-4</v>
      </c>
      <c r="W51" s="53">
        <f>IF($A51&lt;Customisation!$H$13,M51,M51*(1-Customisation!$H$11*Customisation!$H$12))</f>
        <v>4.8462823295999996E-5</v>
      </c>
      <c r="X51" s="53">
        <f>IF($A51&lt;Customisation!$H$13,N51,N51*(1-Customisation!$H$11*Customisation!$H$12))</f>
        <v>8.4639183232015498E-6</v>
      </c>
      <c r="Y51" s="53">
        <f>IF($A51&lt;Customisation!$H$13,O51,O51*(1-Customisation!$H$11*Customisation!$H$12))</f>
        <v>0.12727714600319998</v>
      </c>
      <c r="Z51" s="53">
        <f>IF($A51&lt;Customisation!$H$13,P51,P51*(1-Customisation!$H$11*Customisation!$H$12))</f>
        <v>2.3074110117781751E-2</v>
      </c>
      <c r="AA51" s="53">
        <f t="shared" ref="AA51:AJ51" si="69">G51-Q51</f>
        <v>1.0267963199999998E-4</v>
      </c>
      <c r="AB51" s="53">
        <f t="shared" si="69"/>
        <v>1.8614819785177609E-5</v>
      </c>
      <c r="AC51" s="53">
        <f t="shared" si="69"/>
        <v>5.0721264E-5</v>
      </c>
      <c r="AD51" s="53">
        <f t="shared" si="69"/>
        <v>9.1952724240033989E-6</v>
      </c>
      <c r="AE51" s="53">
        <f t="shared" si="69"/>
        <v>1.6774468021095959E-3</v>
      </c>
      <c r="AF51" s="53">
        <f t="shared" si="69"/>
        <v>2.3436915670433861E-4</v>
      </c>
      <c r="AG51" s="53">
        <f t="shared" si="69"/>
        <v>6.7145056703999984E-5</v>
      </c>
      <c r="AH51" s="53">
        <f t="shared" si="69"/>
        <v>1.1726726531763979E-5</v>
      </c>
      <c r="AI51" s="53">
        <f t="shared" si="69"/>
        <v>0.17634199999679998</v>
      </c>
      <c r="AJ51" s="53">
        <f t="shared" si="69"/>
        <v>3.1969091499064024E-2</v>
      </c>
      <c r="AK51" s="1"/>
      <c r="AL51" s="55">
        <f t="shared" si="7"/>
        <v>17.678999999999995</v>
      </c>
      <c r="AM51" s="55">
        <f t="shared" si="8"/>
        <v>7.4110367999999989</v>
      </c>
      <c r="AN51" s="1"/>
      <c r="AO51" s="1"/>
      <c r="AP51" s="1"/>
      <c r="AQ51" s="1"/>
      <c r="AR51" s="1"/>
      <c r="AS51" s="1"/>
      <c r="AT51" s="1"/>
      <c r="AU51" s="1"/>
      <c r="AV51" s="1"/>
      <c r="AW51" s="1"/>
      <c r="AX51" s="1"/>
      <c r="AY51" s="53">
        <f>IF($A51&lt;Customisation!$H$13,G51,G51*(1-Customisation!$H$24*Customisation!$H$12))</f>
        <v>6.3220103999999999E-5</v>
      </c>
      <c r="AZ51" s="53">
        <f>IF($A51&lt;Customisation!$H$13,H51,H51*(1-Customisation!$H$24*Customisation!$H$12))</f>
        <v>1.1461190694179603E-5</v>
      </c>
      <c r="BA51" s="53">
        <f>IF($A51&lt;Customisation!$H$13,I51,I51*(1-Customisation!$H$24*Customisation!$H$12))</f>
        <v>3.1229208000000004E-5</v>
      </c>
      <c r="BB51" s="53">
        <f>IF($A51&lt;Customisation!$H$13,J51,J51*(1-Customisation!$H$24*Customisation!$H$12))</f>
        <v>5.6615520296549857E-6</v>
      </c>
      <c r="BC51" s="53">
        <f>IF($A51&lt;Customisation!$H$13,K51,K51*(1-Customisation!$H$24*Customisation!$H$12))</f>
        <v>1.0328081550178918E-3</v>
      </c>
      <c r="BD51" s="53">
        <f>IF($A51&lt;Customisation!$H$13,L51,L51*(1-Customisation!$H$24*Customisation!$H$12))</f>
        <v>1.4430167086341511E-4</v>
      </c>
      <c r="BE51" s="53">
        <f>IF($A51&lt;Customisation!$H$13,M51,M51*(1-Customisation!$H$24*Customisation!$H$12))</f>
        <v>4.1341377888000001E-5</v>
      </c>
      <c r="BF51" s="53">
        <f>IF($A51&lt;Customisation!$H$13,N51,N51*(1-Customisation!$H$24*Customisation!$H$12))</f>
        <v>7.2201746001356736E-6</v>
      </c>
      <c r="BG51" s="53">
        <f>IF($A51&lt;Customisation!$H$13,O51,O51*(1-Customisation!$H$24*Customisation!$H$12))</f>
        <v>0.10857420660959999</v>
      </c>
      <c r="BH51" s="53">
        <f>IF($A51&lt;Customisation!$H$13,P51,P51*(1-Customisation!$H$24*Customisation!$H$12))</f>
        <v>1.9683448898184051E-2</v>
      </c>
      <c r="BI51" s="53">
        <f t="shared" si="13"/>
        <v>1.0890263999999988E-5</v>
      </c>
      <c r="BJ51" s="53">
        <f t="shared" si="14"/>
        <v>1.9742990681248979E-6</v>
      </c>
      <c r="BK51" s="53">
        <f t="shared" si="15"/>
        <v>5.3795280000000015E-6</v>
      </c>
      <c r="BL51" s="53">
        <f t="shared" si="16"/>
        <v>9.7525616618217839E-7</v>
      </c>
      <c r="BM51" s="53">
        <f t="shared" si="17"/>
        <v>1.7791102446616911E-4</v>
      </c>
      <c r="BN51" s="53">
        <f t="shared" si="18"/>
        <v>2.4857334801975324E-5</v>
      </c>
      <c r="BO51" s="53">
        <f t="shared" si="19"/>
        <v>7.1214454079999946E-6</v>
      </c>
      <c r="BP51" s="53">
        <f t="shared" si="20"/>
        <v>1.2437437230658762E-6</v>
      </c>
      <c r="BQ51" s="53">
        <f t="shared" si="21"/>
        <v>1.8702939393599988E-2</v>
      </c>
      <c r="BR51" s="53">
        <f t="shared" si="22"/>
        <v>3.3906612195977008E-3</v>
      </c>
    </row>
    <row r="52" spans="1:70" ht="14.25" customHeight="1" x14ac:dyDescent="0.3">
      <c r="A52" s="1">
        <f t="shared" si="34"/>
        <v>48</v>
      </c>
      <c r="B52" s="52">
        <f>'Life table'!D50</f>
        <v>0.94719495323685987</v>
      </c>
      <c r="C52" s="52">
        <f>IF($A52&lt;Customisation!$H$13,0,B52)/LOOKUP(Customisation!$H$13,$A$4:$A$104,$B$4:$B$104)</f>
        <v>0.96067138966897603</v>
      </c>
      <c r="D52" s="1">
        <f>IF($A52&lt;=Customisation!$H$13,1,1/(1+Customisation!$H$21)^($A52-Customisation!$H$13))</f>
        <v>0.17265741462150208</v>
      </c>
      <c r="E52" s="1">
        <f t="shared" si="11"/>
        <v>29.374194292948452</v>
      </c>
      <c r="F52" s="1">
        <f t="shared" si="2"/>
        <v>0.16586703844109099</v>
      </c>
      <c r="G52" s="53">
        <f>'Age data'!M56*Customisation!$H$22</f>
        <v>1.8034E-4</v>
      </c>
      <c r="H52" s="53">
        <f t="shared" si="3"/>
        <v>3.1137038152841682E-5</v>
      </c>
      <c r="I52" s="53">
        <f>'Age data'!N56*Customisation!$H$22</f>
        <v>8.9460000000000001E-5</v>
      </c>
      <c r="J52" s="54">
        <f t="shared" si="4"/>
        <v>1.5445932312039577E-5</v>
      </c>
      <c r="K52" s="53">
        <f>I52*'Life table'!I50</f>
        <v>2.8779169953013573E-3</v>
      </c>
      <c r="L52" s="53">
        <f>J52*'Life table'!J50</f>
        <v>3.8845507850857129E-4</v>
      </c>
      <c r="M52" s="53">
        <f t="shared" si="5"/>
        <v>1.1805880000000002E-4</v>
      </c>
      <c r="N52" s="53">
        <f>((G52-I52)*$AW$5+I52*$AW$6)/(1+Customisation!$H$21)^($A52-Customisation!$E$13)</f>
        <v>1.9637443668610275E-5</v>
      </c>
      <c r="O52" s="53">
        <f>G52*Customisation!$H$17</f>
        <v>0.30971591600000004</v>
      </c>
      <c r="P52" s="109">
        <f>O52/(1+Customisation!$H$21)^($A52-Customisation!$E$13)</f>
        <v>5.3474749323690313E-2</v>
      </c>
      <c r="Q52" s="53">
        <f>IF($A52&lt;Customisation!$H$13,G52,G52*(1-Customisation!$H$11*Customisation!$H$12))</f>
        <v>7.5598528000000008E-5</v>
      </c>
      <c r="R52" s="53">
        <f>IF($A52&lt;Customisation!$H$13,H52,H52*(1-Customisation!$H$11*Customisation!$H$12))</f>
        <v>1.3052646393671234E-5</v>
      </c>
      <c r="S52" s="53">
        <f>IF($A52&lt;Customisation!$H$13,I52,I52*(1-Customisation!$H$11*Customisation!$H$12))</f>
        <v>3.7501632000000001E-5</v>
      </c>
      <c r="T52" s="53">
        <f>IF($A52&lt;Customisation!$H$13,J52,J52*(1-Customisation!$H$11*Customisation!$H$12))</f>
        <v>6.4749348252069912E-6</v>
      </c>
      <c r="U52" s="53">
        <f>IF($A52&lt;Customisation!$H$13,K52,K52*(1-Customisation!$H$11*Customisation!$H$12))</f>
        <v>1.206422804430329E-3</v>
      </c>
      <c r="V52" s="53">
        <f>IF($A52&lt;Customisation!$H$13,L52,L52*(1-Customisation!$H$11*Customisation!$H$12))</f>
        <v>1.6284036891079309E-4</v>
      </c>
      <c r="W52" s="53">
        <f>IF($A52&lt;Customisation!$H$13,M52,M52*(1-Customisation!$H$11*Customisation!$H$12))</f>
        <v>4.9490248960000011E-5</v>
      </c>
      <c r="X52" s="53">
        <f>IF($A52&lt;Customisation!$H$13,N52,N52*(1-Customisation!$H$11*Customisation!$H$12))</f>
        <v>8.2320163858814282E-6</v>
      </c>
      <c r="Y52" s="53">
        <f>IF($A52&lt;Customisation!$H$13,O52,O52*(1-Customisation!$H$11*Customisation!$H$12))</f>
        <v>0.12983291198720001</v>
      </c>
      <c r="Z52" s="53">
        <f>IF($A52&lt;Customisation!$H$13,P52,P52*(1-Customisation!$H$11*Customisation!$H$12))</f>
        <v>2.2416614916490982E-2</v>
      </c>
      <c r="AA52" s="53">
        <f t="shared" ref="AA52:AJ52" si="70">G52-Q52</f>
        <v>1.0474147199999999E-4</v>
      </c>
      <c r="AB52" s="53">
        <f t="shared" si="70"/>
        <v>1.8084391759170448E-5</v>
      </c>
      <c r="AC52" s="53">
        <f t="shared" si="70"/>
        <v>5.1958368E-5</v>
      </c>
      <c r="AD52" s="53">
        <f t="shared" si="70"/>
        <v>8.9709974868325857E-6</v>
      </c>
      <c r="AE52" s="53">
        <f t="shared" si="70"/>
        <v>1.6714941908710283E-3</v>
      </c>
      <c r="AF52" s="53">
        <f t="shared" si="70"/>
        <v>2.256147095977782E-4</v>
      </c>
      <c r="AG52" s="53">
        <f t="shared" si="70"/>
        <v>6.8568551040000005E-5</v>
      </c>
      <c r="AH52" s="53">
        <f t="shared" si="70"/>
        <v>1.1405427282728847E-5</v>
      </c>
      <c r="AI52" s="53">
        <f t="shared" si="70"/>
        <v>0.17988300401280002</v>
      </c>
      <c r="AJ52" s="53">
        <f t="shared" si="70"/>
        <v>3.1058134407199331E-2</v>
      </c>
      <c r="AK52" s="1"/>
      <c r="AL52" s="55">
        <f t="shared" si="7"/>
        <v>18.033999999999999</v>
      </c>
      <c r="AM52" s="55">
        <f t="shared" si="8"/>
        <v>7.5598528000000007</v>
      </c>
      <c r="AN52" s="1"/>
      <c r="AO52" s="1"/>
      <c r="AP52" s="1"/>
      <c r="AQ52" s="1"/>
      <c r="AR52" s="1"/>
      <c r="AS52" s="1"/>
      <c r="AT52" s="1"/>
      <c r="AU52" s="1"/>
      <c r="AV52" s="1"/>
      <c r="AW52" s="1"/>
      <c r="AX52" s="1"/>
      <c r="AY52" s="53">
        <f>IF($A52&lt;Customisation!$H$13,G52,G52*(1-Customisation!$H$24*Customisation!$H$12))</f>
        <v>6.448958400000001E-5</v>
      </c>
      <c r="AZ52" s="53">
        <f>IF($A52&lt;Customisation!$H$13,H52,H52*(1-Customisation!$H$24*Customisation!$H$12))</f>
        <v>1.1134604843456186E-5</v>
      </c>
      <c r="BA52" s="53">
        <f>IF($A52&lt;Customisation!$H$13,I52,I52*(1-Customisation!$H$24*Customisation!$H$12))</f>
        <v>3.1990896000000001E-5</v>
      </c>
      <c r="BB52" s="53">
        <f>IF($A52&lt;Customisation!$H$13,J52,J52*(1-Customisation!$H$24*Customisation!$H$12))</f>
        <v>5.523465394785353E-6</v>
      </c>
      <c r="BC52" s="53">
        <f>IF($A52&lt;Customisation!$H$13,K52,K52*(1-Customisation!$H$24*Customisation!$H$12))</f>
        <v>1.0291431175197653E-3</v>
      </c>
      <c r="BD52" s="53">
        <f>IF($A52&lt;Customisation!$H$13,L52,L52*(1-Customisation!$H$24*Customisation!$H$12))</f>
        <v>1.389115360746651E-4</v>
      </c>
      <c r="BE52" s="53">
        <f>IF($A52&lt;Customisation!$H$13,M52,M52*(1-Customisation!$H$24*Customisation!$H$12))</f>
        <v>4.221782688000001E-5</v>
      </c>
      <c r="BF52" s="53">
        <f>IF($A52&lt;Customisation!$H$13,N52,N52*(1-Customisation!$H$24*Customisation!$H$12))</f>
        <v>7.0223498558950349E-6</v>
      </c>
      <c r="BG52" s="53">
        <f>IF($A52&lt;Customisation!$H$13,O52,O52*(1-Customisation!$H$24*Customisation!$H$12))</f>
        <v>0.11075441156160003</v>
      </c>
      <c r="BH52" s="53">
        <f>IF($A52&lt;Customisation!$H$13,P52,P52*(1-Customisation!$H$24*Customisation!$H$12))</f>
        <v>1.9122570358151656E-2</v>
      </c>
      <c r="BI52" s="53">
        <f t="shared" si="13"/>
        <v>1.1108943999999998E-5</v>
      </c>
      <c r="BJ52" s="53">
        <f t="shared" si="14"/>
        <v>1.9180415502150484E-6</v>
      </c>
      <c r="BK52" s="53">
        <f t="shared" si="15"/>
        <v>5.5107359999999997E-6</v>
      </c>
      <c r="BL52" s="53">
        <f t="shared" si="16"/>
        <v>9.5146943042163816E-7</v>
      </c>
      <c r="BM52" s="53">
        <f t="shared" si="17"/>
        <v>1.7727968691056361E-4</v>
      </c>
      <c r="BN52" s="53">
        <f t="shared" si="18"/>
        <v>2.3928832836127989E-5</v>
      </c>
      <c r="BO52" s="53">
        <f t="shared" si="19"/>
        <v>7.2724220800000005E-6</v>
      </c>
      <c r="BP52" s="53">
        <f t="shared" si="20"/>
        <v>1.2096665299863932E-6</v>
      </c>
      <c r="BQ52" s="53">
        <f t="shared" si="21"/>
        <v>1.9078500425599984E-2</v>
      </c>
      <c r="BR52" s="53">
        <f t="shared" si="22"/>
        <v>3.2940445583393256E-3</v>
      </c>
    </row>
    <row r="53" spans="1:70" ht="14.25" customHeight="1" x14ac:dyDescent="0.3">
      <c r="A53" s="1">
        <f t="shared" si="34"/>
        <v>49</v>
      </c>
      <c r="B53" s="52">
        <f>'Life table'!D51</f>
        <v>0.94414498548743719</v>
      </c>
      <c r="C53" s="52">
        <f>IF($A53&lt;Customisation!$H$13,0,B53)/LOOKUP(Customisation!$H$13,$A$4:$A$104,$B$4:$B$104)</f>
        <v>0.95757802779424195</v>
      </c>
      <c r="D53" s="1">
        <f>IF($A53&lt;=Customisation!$H$13,1,1/(1+Customisation!$H$21)^($A53-Customisation!$H$13))</f>
        <v>0.1644356329728591</v>
      </c>
      <c r="E53" s="1">
        <f t="shared" si="11"/>
        <v>29.546851707569953</v>
      </c>
      <c r="F53" s="1">
        <f t="shared" si="2"/>
        <v>0.15745994912124825</v>
      </c>
      <c r="G53" s="53">
        <f>'Age data'!M57*Customisation!$H$22</f>
        <v>1.8389E-4</v>
      </c>
      <c r="H53" s="53">
        <f t="shared" si="3"/>
        <v>3.0238068547379061E-5</v>
      </c>
      <c r="I53" s="53">
        <f>'Age data'!N57*Customisation!$H$22</f>
        <v>9.0879999999999997E-5</v>
      </c>
      <c r="J53" s="54">
        <f t="shared" si="4"/>
        <v>1.4943910324573434E-5</v>
      </c>
      <c r="K53" s="53">
        <f>I53*'Life table'!I51</f>
        <v>2.8420158252061619E-3</v>
      </c>
      <c r="L53" s="53">
        <f>J53*'Life table'!J51</f>
        <v>3.7056860113280368E-4</v>
      </c>
      <c r="M53" s="53">
        <f t="shared" si="5"/>
        <v>1.2026547999999999E-4</v>
      </c>
      <c r="N53" s="53">
        <f>((G53-I53)*$AW$5+I53*$AW$6)/(1+Customisation!$H$21)^($A53-Customisation!$E$13)</f>
        <v>1.9051387412124009E-5</v>
      </c>
      <c r="O53" s="53">
        <f>G53*Customisation!$H$17</f>
        <v>0.31581268600000001</v>
      </c>
      <c r="P53" s="109">
        <f>O53/(1+Customisation!$H$21)^($A53-Customisation!$E$13)</f>
        <v>5.1930858923268798E-2</v>
      </c>
      <c r="Q53" s="53">
        <f>IF($A53&lt;Customisation!$H$13,G53,G53*(1-Customisation!$H$11*Customisation!$H$12))</f>
        <v>7.7086688000000002E-5</v>
      </c>
      <c r="R53" s="53">
        <f>IF($A53&lt;Customisation!$H$13,H53,H53*(1-Customisation!$H$11*Customisation!$H$12))</f>
        <v>1.2675798335061303E-5</v>
      </c>
      <c r="S53" s="53">
        <f>IF($A53&lt;Customisation!$H$13,I53,I53*(1-Customisation!$H$11*Customisation!$H$12))</f>
        <v>3.8096896E-5</v>
      </c>
      <c r="T53" s="53">
        <f>IF($A53&lt;Customisation!$H$13,J53,J53*(1-Customisation!$H$11*Customisation!$H$12))</f>
        <v>6.2644872080611838E-6</v>
      </c>
      <c r="U53" s="53">
        <f>IF($A53&lt;Customisation!$H$13,K53,K53*(1-Customisation!$H$11*Customisation!$H$12))</f>
        <v>1.1913730339264232E-3</v>
      </c>
      <c r="V53" s="53">
        <f>IF($A53&lt;Customisation!$H$13,L53,L53*(1-Customisation!$H$11*Customisation!$H$12))</f>
        <v>1.5534235759487132E-4</v>
      </c>
      <c r="W53" s="53">
        <f>IF($A53&lt;Customisation!$H$13,M53,M53*(1-Customisation!$H$11*Customisation!$H$12))</f>
        <v>5.0415289215999996E-5</v>
      </c>
      <c r="X53" s="53">
        <f>IF($A53&lt;Customisation!$H$13,N53,N53*(1-Customisation!$H$11*Customisation!$H$12))</f>
        <v>7.9863416031623842E-6</v>
      </c>
      <c r="Y53" s="53">
        <f>IF($A53&lt;Customisation!$H$13,O53,O53*(1-Customisation!$H$11*Customisation!$H$12))</f>
        <v>0.13238867797120002</v>
      </c>
      <c r="Z53" s="53">
        <f>IF($A53&lt;Customisation!$H$13,P53,P53*(1-Customisation!$H$11*Customisation!$H$12))</f>
        <v>2.1769416060634282E-2</v>
      </c>
      <c r="AA53" s="53">
        <f t="shared" ref="AA53:AJ53" si="71">G53-Q53</f>
        <v>1.06803312E-4</v>
      </c>
      <c r="AB53" s="53">
        <f t="shared" si="71"/>
        <v>1.7562270212317757E-5</v>
      </c>
      <c r="AC53" s="53">
        <f t="shared" si="71"/>
        <v>5.2783103999999997E-5</v>
      </c>
      <c r="AD53" s="53">
        <f t="shared" si="71"/>
        <v>8.6794231165122498E-6</v>
      </c>
      <c r="AE53" s="53">
        <f t="shared" si="71"/>
        <v>1.6506427912797387E-3</v>
      </c>
      <c r="AF53" s="53">
        <f t="shared" si="71"/>
        <v>2.1522624353793236E-4</v>
      </c>
      <c r="AG53" s="53">
        <f t="shared" si="71"/>
        <v>6.9850190783999998E-5</v>
      </c>
      <c r="AH53" s="53">
        <f t="shared" si="71"/>
        <v>1.1065045808961625E-5</v>
      </c>
      <c r="AI53" s="53">
        <f t="shared" si="71"/>
        <v>0.18342400802879999</v>
      </c>
      <c r="AJ53" s="53">
        <f t="shared" si="71"/>
        <v>3.0161442862634516E-2</v>
      </c>
      <c r="AK53" s="1"/>
      <c r="AL53" s="55">
        <f t="shared" si="7"/>
        <v>18.388999999999999</v>
      </c>
      <c r="AM53" s="55">
        <f t="shared" si="8"/>
        <v>7.7086687999999999</v>
      </c>
      <c r="AN53" s="1"/>
      <c r="AO53" s="1"/>
      <c r="AP53" s="1"/>
      <c r="AQ53" s="1"/>
      <c r="AR53" s="1"/>
      <c r="AS53" s="1"/>
      <c r="AT53" s="1"/>
      <c r="AU53" s="1"/>
      <c r="AV53" s="1"/>
      <c r="AW53" s="1"/>
      <c r="AX53" s="1"/>
      <c r="AY53" s="53">
        <f>IF($A53&lt;Customisation!$H$13,G53,G53*(1-Customisation!$H$24*Customisation!$H$12))</f>
        <v>6.5759064000000007E-5</v>
      </c>
      <c r="AZ53" s="53">
        <f>IF($A53&lt;Customisation!$H$13,H53,H53*(1-Customisation!$H$24*Customisation!$H$12))</f>
        <v>1.0813133312542754E-5</v>
      </c>
      <c r="BA53" s="53">
        <f>IF($A53&lt;Customisation!$H$13,I53,I53*(1-Customisation!$H$24*Customisation!$H$12))</f>
        <v>3.2498688000000002E-5</v>
      </c>
      <c r="BB53" s="53">
        <f>IF($A53&lt;Customisation!$H$13,J53,J53*(1-Customisation!$H$24*Customisation!$H$12))</f>
        <v>5.3439423320674607E-6</v>
      </c>
      <c r="BC53" s="53">
        <f>IF($A53&lt;Customisation!$H$13,K53,K53*(1-Customisation!$H$24*Customisation!$H$12))</f>
        <v>1.0163048590937237E-3</v>
      </c>
      <c r="BD53" s="53">
        <f>IF($A53&lt;Customisation!$H$13,L53,L53*(1-Customisation!$H$24*Customisation!$H$12))</f>
        <v>1.3251533176509062E-4</v>
      </c>
      <c r="BE53" s="53">
        <f>IF($A53&lt;Customisation!$H$13,M53,M53*(1-Customisation!$H$24*Customisation!$H$12))</f>
        <v>4.3006935648000004E-5</v>
      </c>
      <c r="BF53" s="53">
        <f>IF($A53&lt;Customisation!$H$13,N53,N53*(1-Customisation!$H$24*Customisation!$H$12))</f>
        <v>6.812776138575546E-6</v>
      </c>
      <c r="BG53" s="53">
        <f>IF($A53&lt;Customisation!$H$13,O53,O53*(1-Customisation!$H$24*Customisation!$H$12))</f>
        <v>0.11293461651360001</v>
      </c>
      <c r="BH53" s="53">
        <f>IF($A53&lt;Customisation!$H$13,P53,P53*(1-Customisation!$H$24*Customisation!$H$12))</f>
        <v>1.8570475150960924E-2</v>
      </c>
      <c r="BI53" s="53">
        <f t="shared" si="13"/>
        <v>1.1327623999999995E-5</v>
      </c>
      <c r="BJ53" s="53">
        <f t="shared" si="14"/>
        <v>1.8626650225185497E-6</v>
      </c>
      <c r="BK53" s="53">
        <f t="shared" si="15"/>
        <v>5.5982079999999986E-6</v>
      </c>
      <c r="BL53" s="53">
        <f t="shared" si="16"/>
        <v>9.2054487599372313E-7</v>
      </c>
      <c r="BM53" s="53">
        <f t="shared" si="17"/>
        <v>1.7506817483269954E-4</v>
      </c>
      <c r="BN53" s="53">
        <f t="shared" si="18"/>
        <v>2.2827025829780701E-5</v>
      </c>
      <c r="BO53" s="53">
        <f t="shared" si="19"/>
        <v>7.4083535679999926E-6</v>
      </c>
      <c r="BP53" s="53">
        <f t="shared" si="20"/>
        <v>1.1735654645868381E-6</v>
      </c>
      <c r="BQ53" s="53">
        <f t="shared" si="21"/>
        <v>1.9454061457600008E-2</v>
      </c>
      <c r="BR53" s="53">
        <f t="shared" si="22"/>
        <v>3.1989409096733583E-3</v>
      </c>
    </row>
    <row r="54" spans="1:70" ht="14.25" customHeight="1" x14ac:dyDescent="0.3">
      <c r="A54" s="1">
        <f t="shared" si="34"/>
        <v>50</v>
      </c>
      <c r="B54" s="52">
        <f>'Life table'!D52</f>
        <v>0.9408688023877958</v>
      </c>
      <c r="C54" s="52">
        <f>IF($A54&lt;Customisation!$H$13,0,B54)/LOOKUP(Customisation!$H$13,$A$4:$A$104,$B$4:$B$104)</f>
        <v>0.95425523203779594</v>
      </c>
      <c r="D54" s="1">
        <f>IF($A54&lt;=Customisation!$H$13,1,1/(1+Customisation!$H$21)^($A54-Customisation!$H$13))</f>
        <v>0.15660536473605632</v>
      </c>
      <c r="E54" s="1">
        <f t="shared" si="11"/>
        <v>29.71128734054281</v>
      </c>
      <c r="F54" s="1">
        <f t="shared" si="2"/>
        <v>0.14944148866456911</v>
      </c>
      <c r="G54" s="53">
        <f>'Age data'!M58*Customisation!$H$22</f>
        <v>1.9879999999999998E-4</v>
      </c>
      <c r="H54" s="53">
        <f t="shared" si="3"/>
        <v>3.1133146509527995E-5</v>
      </c>
      <c r="I54" s="53">
        <f>'Age data'!N58*Customisation!$H$22</f>
        <v>9.939999999999999E-5</v>
      </c>
      <c r="J54" s="54">
        <f t="shared" si="4"/>
        <v>1.5566573254763997E-5</v>
      </c>
      <c r="K54" s="53">
        <f>I54*'Life table'!I52</f>
        <v>3.0197056464122901E-3</v>
      </c>
      <c r="L54" s="53">
        <f>J54*'Life table'!J52</f>
        <v>3.8031764105665917E-4</v>
      </c>
      <c r="M54" s="53">
        <f t="shared" si="5"/>
        <v>1.304128E-4</v>
      </c>
      <c r="N54" s="53">
        <f>((G54-I54)*$AW$5+I54*$AW$6)/(1+Customisation!$H$21)^($A54-Customisation!$E$13)</f>
        <v>1.9676729055810984E-5</v>
      </c>
      <c r="O54" s="53">
        <f>G54*Customisation!$H$17</f>
        <v>0.34141911999999996</v>
      </c>
      <c r="P54" s="109">
        <f>O54/(1+Customisation!$H$21)^($A54-Customisation!$E$13)</f>
        <v>5.3468065815463373E-2</v>
      </c>
      <c r="Q54" s="53">
        <f>IF($A54&lt;Customisation!$H$13,G54,G54*(1-Customisation!$H$11*Customisation!$H$12))</f>
        <v>8.3336959999999989E-5</v>
      </c>
      <c r="R54" s="53">
        <f>IF($A54&lt;Customisation!$H$13,H54,H54*(1-Customisation!$H$11*Customisation!$H$12))</f>
        <v>1.3051015016794136E-5</v>
      </c>
      <c r="S54" s="53">
        <f>IF($A54&lt;Customisation!$H$13,I54,I54*(1-Customisation!$H$11*Customisation!$H$12))</f>
        <v>4.1668479999999994E-5</v>
      </c>
      <c r="T54" s="53">
        <f>IF($A54&lt;Customisation!$H$13,J54,J54*(1-Customisation!$H$11*Customisation!$H$12))</f>
        <v>6.525507508397068E-6</v>
      </c>
      <c r="U54" s="53">
        <f>IF($A54&lt;Customisation!$H$13,K54,K54*(1-Customisation!$H$11*Customisation!$H$12))</f>
        <v>1.2658606069760321E-3</v>
      </c>
      <c r="V54" s="53">
        <f>IF($A54&lt;Customisation!$H$13,L54,L54*(1-Customisation!$H$11*Customisation!$H$12))</f>
        <v>1.5942915513095154E-4</v>
      </c>
      <c r="W54" s="53">
        <f>IF($A54&lt;Customisation!$H$13,M54,M54*(1-Customisation!$H$11*Customisation!$H$12))</f>
        <v>5.4669045760000005E-5</v>
      </c>
      <c r="X54" s="53">
        <f>IF($A54&lt;Customisation!$H$13,N54,N54*(1-Customisation!$H$11*Customisation!$H$12))</f>
        <v>8.2484848201959656E-6</v>
      </c>
      <c r="Y54" s="53">
        <f>IF($A54&lt;Customisation!$H$13,O54,O54*(1-Customisation!$H$11*Customisation!$H$12))</f>
        <v>0.143122895104</v>
      </c>
      <c r="Z54" s="53">
        <f>IF($A54&lt;Customisation!$H$13,P54,P54*(1-Customisation!$H$11*Customisation!$H$12))</f>
        <v>2.2413813189842247E-2</v>
      </c>
      <c r="AA54" s="53">
        <f t="shared" ref="AA54:AJ54" si="72">G54-Q54</f>
        <v>1.1546303999999999E-4</v>
      </c>
      <c r="AB54" s="53">
        <f t="shared" si="72"/>
        <v>1.8082131492733857E-5</v>
      </c>
      <c r="AC54" s="53">
        <f t="shared" si="72"/>
        <v>5.7731519999999996E-5</v>
      </c>
      <c r="AD54" s="53">
        <f t="shared" si="72"/>
        <v>9.0410657463669285E-6</v>
      </c>
      <c r="AE54" s="53">
        <f t="shared" si="72"/>
        <v>1.753845039436258E-3</v>
      </c>
      <c r="AF54" s="53">
        <f t="shared" si="72"/>
        <v>2.2088848592570763E-4</v>
      </c>
      <c r="AG54" s="53">
        <f t="shared" si="72"/>
        <v>7.5743754239999988E-5</v>
      </c>
      <c r="AH54" s="53">
        <f t="shared" si="72"/>
        <v>1.1428244235615019E-5</v>
      </c>
      <c r="AI54" s="53">
        <f t="shared" si="72"/>
        <v>0.19829622489599996</v>
      </c>
      <c r="AJ54" s="53">
        <f t="shared" si="72"/>
        <v>3.1054252625621125E-2</v>
      </c>
      <c r="AK54" s="1"/>
      <c r="AL54" s="55">
        <f t="shared" si="7"/>
        <v>19.88</v>
      </c>
      <c r="AM54" s="55">
        <f t="shared" si="8"/>
        <v>8.3336959999999998</v>
      </c>
      <c r="AN54" s="1"/>
      <c r="AO54" s="1"/>
      <c r="AP54" s="1"/>
      <c r="AQ54" s="1"/>
      <c r="AR54" s="1"/>
      <c r="AS54" s="1"/>
      <c r="AT54" s="1"/>
      <c r="AU54" s="1"/>
      <c r="AV54" s="1"/>
      <c r="AW54" s="1"/>
      <c r="AX54" s="1"/>
      <c r="AY54" s="53">
        <f>IF($A54&lt;Customisation!$H$13,G54,G54*(1-Customisation!$H$24*Customisation!$H$12))</f>
        <v>7.1090879999999992E-5</v>
      </c>
      <c r="AZ54" s="53">
        <f>IF($A54&lt;Customisation!$H$13,H54,H54*(1-Customisation!$H$24*Customisation!$H$12))</f>
        <v>1.1133213191807212E-5</v>
      </c>
      <c r="BA54" s="53">
        <f>IF($A54&lt;Customisation!$H$13,I54,I54*(1-Customisation!$H$24*Customisation!$H$12))</f>
        <v>3.5545439999999996E-5</v>
      </c>
      <c r="BB54" s="53">
        <f>IF($A54&lt;Customisation!$H$13,J54,J54*(1-Customisation!$H$24*Customisation!$H$12))</f>
        <v>5.5666065959036059E-6</v>
      </c>
      <c r="BC54" s="53">
        <f>IF($A54&lt;Customisation!$H$13,K54,K54*(1-Customisation!$H$24*Customisation!$H$12))</f>
        <v>1.079846739157035E-3</v>
      </c>
      <c r="BD54" s="53">
        <f>IF($A54&lt;Customisation!$H$13,L54,L54*(1-Customisation!$H$24*Customisation!$H$12))</f>
        <v>1.3600158844186133E-4</v>
      </c>
      <c r="BE54" s="53">
        <f>IF($A54&lt;Customisation!$H$13,M54,M54*(1-Customisation!$H$24*Customisation!$H$12))</f>
        <v>4.6635617280000006E-5</v>
      </c>
      <c r="BF54" s="53">
        <f>IF($A54&lt;Customisation!$H$13,N54,N54*(1-Customisation!$H$24*Customisation!$H$12))</f>
        <v>7.0363983103580087E-6</v>
      </c>
      <c r="BG54" s="53">
        <f>IF($A54&lt;Customisation!$H$13,O54,O54*(1-Customisation!$H$24*Customisation!$H$12))</f>
        <v>0.122091477312</v>
      </c>
      <c r="BH54" s="53">
        <f>IF($A54&lt;Customisation!$H$13,P54,P54*(1-Customisation!$H$24*Customisation!$H$12))</f>
        <v>1.9120180335609704E-2</v>
      </c>
      <c r="BI54" s="53">
        <f t="shared" si="13"/>
        <v>1.2246079999999996E-5</v>
      </c>
      <c r="BJ54" s="53">
        <f t="shared" si="14"/>
        <v>1.9178018249869242E-6</v>
      </c>
      <c r="BK54" s="53">
        <f t="shared" si="15"/>
        <v>6.1230399999999982E-6</v>
      </c>
      <c r="BL54" s="53">
        <f t="shared" si="16"/>
        <v>9.5890091249346209E-7</v>
      </c>
      <c r="BM54" s="53">
        <f t="shared" si="17"/>
        <v>1.8601386781899707E-4</v>
      </c>
      <c r="BN54" s="53">
        <f t="shared" si="18"/>
        <v>2.3427566689090203E-5</v>
      </c>
      <c r="BO54" s="53">
        <f t="shared" si="19"/>
        <v>8.0334284799999983E-6</v>
      </c>
      <c r="BP54" s="53">
        <f t="shared" si="20"/>
        <v>1.2120865098379569E-6</v>
      </c>
      <c r="BQ54" s="53">
        <f t="shared" si="21"/>
        <v>2.1031417792000004E-2</v>
      </c>
      <c r="BR54" s="53">
        <f t="shared" si="22"/>
        <v>3.2936328542325435E-3</v>
      </c>
    </row>
    <row r="55" spans="1:70" ht="14.25" customHeight="1" x14ac:dyDescent="0.3">
      <c r="A55" s="1">
        <f t="shared" si="34"/>
        <v>51</v>
      </c>
      <c r="B55" s="52">
        <f>'Life table'!D53</f>
        <v>0.93735936175488932</v>
      </c>
      <c r="C55" s="52">
        <f>IF($A55&lt;Customisation!$H$13,0,B55)/LOOKUP(Customisation!$H$13,$A$4:$A$104,$B$4:$B$104)</f>
        <v>0.95069586002229489</v>
      </c>
      <c r="D55" s="1">
        <f>IF($A55&lt;=Customisation!$H$13,1,1/(1+Customisation!$H$21)^($A55-Customisation!$H$13))</f>
        <v>0.14914796641529171</v>
      </c>
      <c r="E55" s="1">
        <f t="shared" si="11"/>
        <v>29.867892705278866</v>
      </c>
      <c r="F55" s="1">
        <f t="shared" si="2"/>
        <v>0.14179435420176212</v>
      </c>
      <c r="G55" s="53">
        <f>'Age data'!M59*Customisation!$H$22</f>
        <v>2.0234999999999999E-4</v>
      </c>
      <c r="H55" s="53">
        <f t="shared" si="3"/>
        <v>3.0180091004134274E-5</v>
      </c>
      <c r="I55" s="53">
        <f>'Age data'!N59*Customisation!$H$22</f>
        <v>1.0082E-4</v>
      </c>
      <c r="J55" s="54">
        <f t="shared" si="4"/>
        <v>1.503709797398971E-5</v>
      </c>
      <c r="K55" s="53">
        <f>I55*'Life table'!I53</f>
        <v>2.9733027470503931E-3</v>
      </c>
      <c r="L55" s="53">
        <f>J55*'Life table'!J53</f>
        <v>3.6167345837482011E-4</v>
      </c>
      <c r="M55" s="53">
        <f t="shared" si="5"/>
        <v>1.3261947999999998E-4</v>
      </c>
      <c r="N55" s="53">
        <f>((G55-I55)*$AW$5+I55*$AW$6)/(1+Customisation!$H$21)^($A55-Customisation!$E$13)</f>
        <v>1.9056349766246878E-5</v>
      </c>
      <c r="O55" s="53">
        <f>G55*Customisation!$H$17</f>
        <v>0.34751588999999999</v>
      </c>
      <c r="P55" s="109">
        <f>O55/(1+Customisation!$H$21)^($A55-Customisation!$E$13)</f>
        <v>5.1831288290500203E-2</v>
      </c>
      <c r="Q55" s="53">
        <f>IF($A55&lt;Customisation!$H$13,G55,G55*(1-Customisation!$H$11*Customisation!$H$12))</f>
        <v>8.4825119999999997E-5</v>
      </c>
      <c r="R55" s="53">
        <f>IF($A55&lt;Customisation!$H$13,H55,H55*(1-Customisation!$H$11*Customisation!$H$12))</f>
        <v>1.2651494148933088E-5</v>
      </c>
      <c r="S55" s="53">
        <f>IF($A55&lt;Customisation!$H$13,I55,I55*(1-Customisation!$H$11*Customisation!$H$12))</f>
        <v>4.2263744E-5</v>
      </c>
      <c r="T55" s="53">
        <f>IF($A55&lt;Customisation!$H$13,J55,J55*(1-Customisation!$H$11*Customisation!$H$12))</f>
        <v>6.3035514706964868E-6</v>
      </c>
      <c r="U55" s="53">
        <f>IF($A55&lt;Customisation!$H$13,K55,K55*(1-Customisation!$H$11*Customisation!$H$12))</f>
        <v>1.2464085115635249E-3</v>
      </c>
      <c r="V55" s="53">
        <f>IF($A55&lt;Customisation!$H$13,L55,L55*(1-Customisation!$H$11*Customisation!$H$12))</f>
        <v>1.5161351375072459E-4</v>
      </c>
      <c r="W55" s="53">
        <f>IF($A55&lt;Customisation!$H$13,M55,M55*(1-Customisation!$H$11*Customisation!$H$12))</f>
        <v>5.559408601599999E-5</v>
      </c>
      <c r="X55" s="53">
        <f>IF($A55&lt;Customisation!$H$13,N55,N55*(1-Customisation!$H$11*Customisation!$H$12))</f>
        <v>7.9884218220106915E-6</v>
      </c>
      <c r="Y55" s="53">
        <f>IF($A55&lt;Customisation!$H$13,O55,O55*(1-Customisation!$H$11*Customisation!$H$12))</f>
        <v>0.14567866108800001</v>
      </c>
      <c r="Z55" s="53">
        <f>IF($A55&lt;Customisation!$H$13,P55,P55*(1-Customisation!$H$11*Customisation!$H$12))</f>
        <v>2.1727676051377685E-2</v>
      </c>
      <c r="AA55" s="53">
        <f t="shared" ref="AA55:AJ55" si="73">G55-Q55</f>
        <v>1.1752487999999999E-4</v>
      </c>
      <c r="AB55" s="53">
        <f t="shared" si="73"/>
        <v>1.7528596855201187E-5</v>
      </c>
      <c r="AC55" s="53">
        <f t="shared" si="73"/>
        <v>5.8556256E-5</v>
      </c>
      <c r="AD55" s="53">
        <f t="shared" si="73"/>
        <v>8.7335465032932243E-6</v>
      </c>
      <c r="AE55" s="53">
        <f t="shared" si="73"/>
        <v>1.7268942354868682E-3</v>
      </c>
      <c r="AF55" s="53">
        <f t="shared" si="73"/>
        <v>2.1005994462409551E-4</v>
      </c>
      <c r="AG55" s="53">
        <f t="shared" si="73"/>
        <v>7.7025393983999981E-5</v>
      </c>
      <c r="AH55" s="53">
        <f t="shared" si="73"/>
        <v>1.1067927944236187E-5</v>
      </c>
      <c r="AI55" s="53">
        <f t="shared" si="73"/>
        <v>0.20183722891199998</v>
      </c>
      <c r="AJ55" s="53">
        <f t="shared" si="73"/>
        <v>3.0103612239122519E-2</v>
      </c>
      <c r="AK55" s="1"/>
      <c r="AL55" s="55">
        <f t="shared" si="7"/>
        <v>20.234999999999999</v>
      </c>
      <c r="AM55" s="55">
        <f t="shared" si="8"/>
        <v>8.4825119999999998</v>
      </c>
      <c r="AN55" s="1"/>
      <c r="AO55" s="1"/>
      <c r="AP55" s="1"/>
      <c r="AQ55" s="1"/>
      <c r="AR55" s="1"/>
      <c r="AS55" s="1"/>
      <c r="AT55" s="1"/>
      <c r="AU55" s="1"/>
      <c r="AV55" s="1"/>
      <c r="AW55" s="1"/>
      <c r="AX55" s="1"/>
      <c r="AY55" s="53">
        <f>IF($A55&lt;Customisation!$H$13,G55,G55*(1-Customisation!$H$24*Customisation!$H$12))</f>
        <v>7.2360360000000003E-5</v>
      </c>
      <c r="AZ55" s="53">
        <f>IF($A55&lt;Customisation!$H$13,H55,H55*(1-Customisation!$H$24*Customisation!$H$12))</f>
        <v>1.0792400543078417E-5</v>
      </c>
      <c r="BA55" s="53">
        <f>IF($A55&lt;Customisation!$H$13,I55,I55*(1-Customisation!$H$24*Customisation!$H$12))</f>
        <v>3.6053232000000003E-5</v>
      </c>
      <c r="BB55" s="53">
        <f>IF($A55&lt;Customisation!$H$13,J55,J55*(1-Customisation!$H$24*Customisation!$H$12))</f>
        <v>5.3772662354987209E-6</v>
      </c>
      <c r="BC55" s="53">
        <f>IF($A55&lt;Customisation!$H$13,K55,K55*(1-Customisation!$H$24*Customisation!$H$12))</f>
        <v>1.0632530623452207E-3</v>
      </c>
      <c r="BD55" s="53">
        <f>IF($A55&lt;Customisation!$H$13,L55,L55*(1-Customisation!$H$24*Customisation!$H$12))</f>
        <v>1.2933442871483568E-4</v>
      </c>
      <c r="BE55" s="53">
        <f>IF($A55&lt;Customisation!$H$13,M55,M55*(1-Customisation!$H$24*Customisation!$H$12))</f>
        <v>4.7424726047999993E-5</v>
      </c>
      <c r="BF55" s="53">
        <f>IF($A55&lt;Customisation!$H$13,N55,N55*(1-Customisation!$H$24*Customisation!$H$12))</f>
        <v>6.8145506764098845E-6</v>
      </c>
      <c r="BG55" s="53">
        <f>IF($A55&lt;Customisation!$H$13,O55,O55*(1-Customisation!$H$24*Customisation!$H$12))</f>
        <v>0.12427168226400001</v>
      </c>
      <c r="BH55" s="53">
        <f>IF($A55&lt;Customisation!$H$13,P55,P55*(1-Customisation!$H$24*Customisation!$H$12))</f>
        <v>1.8534868692682876E-2</v>
      </c>
      <c r="BI55" s="53">
        <f t="shared" si="13"/>
        <v>1.2464759999999993E-5</v>
      </c>
      <c r="BJ55" s="53">
        <f t="shared" si="14"/>
        <v>1.8590936058546708E-6</v>
      </c>
      <c r="BK55" s="53">
        <f t="shared" si="15"/>
        <v>6.210511999999997E-6</v>
      </c>
      <c r="BL55" s="53">
        <f t="shared" si="16"/>
        <v>9.2628523519776593E-7</v>
      </c>
      <c r="BM55" s="53">
        <f t="shared" si="17"/>
        <v>1.8315544921830421E-4</v>
      </c>
      <c r="BN55" s="53">
        <f t="shared" si="18"/>
        <v>2.2279085035888915E-5</v>
      </c>
      <c r="BO55" s="53">
        <f t="shared" si="19"/>
        <v>8.1693599679999972E-6</v>
      </c>
      <c r="BP55" s="53">
        <f t="shared" si="20"/>
        <v>1.173871145600807E-6</v>
      </c>
      <c r="BQ55" s="53">
        <f t="shared" si="21"/>
        <v>2.1406978824E-2</v>
      </c>
      <c r="BR55" s="53">
        <f t="shared" si="22"/>
        <v>3.1928073586948089E-3</v>
      </c>
    </row>
    <row r="56" spans="1:70" ht="14.25" customHeight="1" x14ac:dyDescent="0.3">
      <c r="A56" s="1">
        <f t="shared" si="34"/>
        <v>52</v>
      </c>
      <c r="B56" s="52">
        <f>'Life table'!D54</f>
        <v>0.9336005507142523</v>
      </c>
      <c r="C56" s="52">
        <f>IF($A56&lt;Customisation!$H$13,0,B56)/LOOKUP(Customisation!$H$13,$A$4:$A$104,$B$4:$B$104)</f>
        <v>0.94688356962360554</v>
      </c>
      <c r="D56" s="1">
        <f>IF($A56&lt;=Customisation!$H$13,1,1/(1+Customisation!$H$21)^($A56-Customisation!$H$13))</f>
        <v>0.14204568230027784</v>
      </c>
      <c r="E56" s="1">
        <f t="shared" si="11"/>
        <v>30.017040671694158</v>
      </c>
      <c r="F56" s="1">
        <f t="shared" si="2"/>
        <v>0.13450072270610769</v>
      </c>
      <c r="G56" s="53">
        <f>'Age data'!M60*Customisation!$H$22</f>
        <v>2.0518999999999998E-4</v>
      </c>
      <c r="H56" s="53">
        <f t="shared" si="3"/>
        <v>2.9146353551194006E-5</v>
      </c>
      <c r="I56" s="53">
        <f>'Age data'!N60*Customisation!$H$22</f>
        <v>1.0224E-4</v>
      </c>
      <c r="J56" s="54">
        <f t="shared" si="4"/>
        <v>1.4522750558380406E-5</v>
      </c>
      <c r="K56" s="53">
        <f>I56*'Life table'!I54</f>
        <v>2.9248739864155015E-3</v>
      </c>
      <c r="L56" s="53">
        <f>J56*'Life table'!J54</f>
        <v>3.4358147350043578E-4</v>
      </c>
      <c r="M56" s="53">
        <f t="shared" si="5"/>
        <v>1.3448251999999999E-4</v>
      </c>
      <c r="N56" s="53">
        <f>((G56-I56)*$AW$5+I56*$AW$6)/(1+Customisation!$H$21)^($A56-Customisation!$E$13)</f>
        <v>1.8403867014900639E-5</v>
      </c>
      <c r="O56" s="53">
        <f>G56*Customisation!$H$17</f>
        <v>0.35239330599999996</v>
      </c>
      <c r="P56" s="109">
        <f>O56/(1+Customisation!$H$21)^($A56-Customisation!$E$13)</f>
        <v>5.0055947588820586E-2</v>
      </c>
      <c r="Q56" s="53">
        <f>IF($A56&lt;Customisation!$H$13,G56,G56*(1-Customisation!$H$11*Customisation!$H$12))</f>
        <v>8.6015647999999995E-5</v>
      </c>
      <c r="R56" s="53">
        <f>IF($A56&lt;Customisation!$H$13,H56,H56*(1-Customisation!$H$11*Customisation!$H$12))</f>
        <v>1.2218151408660527E-5</v>
      </c>
      <c r="S56" s="53">
        <f>IF($A56&lt;Customisation!$H$13,I56,I56*(1-Customisation!$H$11*Customisation!$H$12))</f>
        <v>4.2859007999999999E-5</v>
      </c>
      <c r="T56" s="53">
        <f>IF($A56&lt;Customisation!$H$13,J56,J56*(1-Customisation!$H$11*Customisation!$H$12))</f>
        <v>6.0879370340730668E-6</v>
      </c>
      <c r="U56" s="53">
        <f>IF($A56&lt;Customisation!$H$13,K56,K56*(1-Customisation!$H$11*Customisation!$H$12))</f>
        <v>1.2261071751053783E-3</v>
      </c>
      <c r="V56" s="53">
        <f>IF($A56&lt;Customisation!$H$13,L56,L56*(1-Customisation!$H$11*Customisation!$H$12))</f>
        <v>1.4402935369138269E-4</v>
      </c>
      <c r="W56" s="53">
        <f>IF($A56&lt;Customisation!$H$13,M56,M56*(1-Customisation!$H$11*Customisation!$H$12))</f>
        <v>5.6375072384E-5</v>
      </c>
      <c r="X56" s="53">
        <f>IF($A56&lt;Customisation!$H$13,N56,N56*(1-Customisation!$H$11*Customisation!$H$12))</f>
        <v>7.7149010526463476E-6</v>
      </c>
      <c r="Y56" s="53">
        <f>IF($A56&lt;Customisation!$H$13,O56,O56*(1-Customisation!$H$11*Customisation!$H$12))</f>
        <v>0.14772327387519998</v>
      </c>
      <c r="Z56" s="53">
        <f>IF($A56&lt;Customisation!$H$13,P56,P56*(1-Customisation!$H$11*Customisation!$H$12))</f>
        <v>2.098345322923359E-2</v>
      </c>
      <c r="AA56" s="53">
        <f t="shared" ref="AA56:AJ56" si="74">G56-Q56</f>
        <v>1.1917435199999998E-4</v>
      </c>
      <c r="AB56" s="53">
        <f t="shared" si="74"/>
        <v>1.6928202142533477E-5</v>
      </c>
      <c r="AC56" s="53">
        <f t="shared" si="74"/>
        <v>5.9380991999999998E-5</v>
      </c>
      <c r="AD56" s="53">
        <f t="shared" si="74"/>
        <v>8.4348135243073396E-6</v>
      </c>
      <c r="AE56" s="53">
        <f t="shared" si="74"/>
        <v>1.6987668113101232E-3</v>
      </c>
      <c r="AF56" s="53">
        <f t="shared" si="74"/>
        <v>1.9955211980905309E-4</v>
      </c>
      <c r="AG56" s="53">
        <f t="shared" si="74"/>
        <v>7.8107447615999987E-5</v>
      </c>
      <c r="AH56" s="53">
        <f t="shared" si="74"/>
        <v>1.0688965962254292E-5</v>
      </c>
      <c r="AI56" s="53">
        <f t="shared" si="74"/>
        <v>0.20467003212479998</v>
      </c>
      <c r="AJ56" s="53">
        <f t="shared" si="74"/>
        <v>2.9072494359586996E-2</v>
      </c>
      <c r="AK56" s="1"/>
      <c r="AL56" s="55">
        <f t="shared" si="7"/>
        <v>20.518999999999998</v>
      </c>
      <c r="AM56" s="55">
        <f t="shared" si="8"/>
        <v>8.6015648000000002</v>
      </c>
      <c r="AN56" s="1"/>
      <c r="AO56" s="1"/>
      <c r="AP56" s="1"/>
      <c r="AQ56" s="1"/>
      <c r="AR56" s="1"/>
      <c r="AS56" s="1"/>
      <c r="AT56" s="1"/>
      <c r="AU56" s="1"/>
      <c r="AV56" s="1"/>
      <c r="AW56" s="1"/>
      <c r="AX56" s="1"/>
      <c r="AY56" s="53">
        <f>IF($A56&lt;Customisation!$H$13,G56,G56*(1-Customisation!$H$24*Customisation!$H$12))</f>
        <v>7.3375944000000004E-5</v>
      </c>
      <c r="AZ56" s="53">
        <f>IF($A56&lt;Customisation!$H$13,H56,H56*(1-Customisation!$H$24*Customisation!$H$12))</f>
        <v>1.0422736029906978E-5</v>
      </c>
      <c r="BA56" s="53">
        <f>IF($A56&lt;Customisation!$H$13,I56,I56*(1-Customisation!$H$24*Customisation!$H$12))</f>
        <v>3.6561024000000003E-5</v>
      </c>
      <c r="BB56" s="53">
        <f>IF($A56&lt;Customisation!$H$13,J56,J56*(1-Customisation!$H$24*Customisation!$H$12))</f>
        <v>5.1933355996768335E-6</v>
      </c>
      <c r="BC56" s="53">
        <f>IF($A56&lt;Customisation!$H$13,K56,K56*(1-Customisation!$H$24*Customisation!$H$12))</f>
        <v>1.0459349375421835E-3</v>
      </c>
      <c r="BD56" s="53">
        <f>IF($A56&lt;Customisation!$H$13,L56,L56*(1-Customisation!$H$24*Customisation!$H$12))</f>
        <v>1.2286473492375584E-4</v>
      </c>
      <c r="BE56" s="53">
        <f>IF($A56&lt;Customisation!$H$13,M56,M56*(1-Customisation!$H$24*Customisation!$H$12))</f>
        <v>4.8090949151999999E-5</v>
      </c>
      <c r="BF56" s="53">
        <f>IF($A56&lt;Customisation!$H$13,N56,N56*(1-Customisation!$H$24*Customisation!$H$12))</f>
        <v>6.581222844528469E-6</v>
      </c>
      <c r="BG56" s="53">
        <f>IF($A56&lt;Customisation!$H$13,O56,O56*(1-Customisation!$H$24*Customisation!$H$12))</f>
        <v>0.1260158462256</v>
      </c>
      <c r="BH56" s="53">
        <f>IF($A56&lt;Customisation!$H$13,P56,P56*(1-Customisation!$H$24*Customisation!$H$12))</f>
        <v>1.7900006857762243E-2</v>
      </c>
      <c r="BI56" s="53">
        <f t="shared" si="13"/>
        <v>1.2639703999999991E-5</v>
      </c>
      <c r="BJ56" s="53">
        <f t="shared" si="14"/>
        <v>1.7954153787535496E-6</v>
      </c>
      <c r="BK56" s="53">
        <f t="shared" si="15"/>
        <v>6.2979839999999958E-6</v>
      </c>
      <c r="BL56" s="53">
        <f t="shared" si="16"/>
        <v>8.9460143439623332E-7</v>
      </c>
      <c r="BM56" s="53">
        <f t="shared" si="17"/>
        <v>1.8017223756319474E-4</v>
      </c>
      <c r="BN56" s="53">
        <f t="shared" si="18"/>
        <v>2.1164618767626847E-5</v>
      </c>
      <c r="BO56" s="53">
        <f t="shared" si="19"/>
        <v>8.2841232320000004E-6</v>
      </c>
      <c r="BP56" s="53">
        <f t="shared" si="20"/>
        <v>1.1336782081178786E-6</v>
      </c>
      <c r="BQ56" s="53">
        <f t="shared" si="21"/>
        <v>2.1707427649599986E-2</v>
      </c>
      <c r="BR56" s="53">
        <f t="shared" si="22"/>
        <v>3.0834463714713468E-3</v>
      </c>
    </row>
    <row r="57" spans="1:70" ht="14.25" customHeight="1" x14ac:dyDescent="0.3">
      <c r="A57" s="1">
        <f t="shared" si="34"/>
        <v>53</v>
      </c>
      <c r="B57" s="52">
        <f>'Life table'!D55</f>
        <v>0.92956739633516672</v>
      </c>
      <c r="C57" s="52">
        <f>IF($A57&lt;Customisation!$H$13,0,B57)/LOOKUP(Customisation!$H$13,$A$4:$A$104,$B$4:$B$104)</f>
        <v>0.94279303260283165</v>
      </c>
      <c r="D57" s="1">
        <f>IF($A57&lt;=Customisation!$H$13,1,1/(1+Customisation!$H$21)^($A57-Customisation!$H$13))</f>
        <v>0.13528160219074079</v>
      </c>
      <c r="E57" s="1">
        <f t="shared" si="11"/>
        <v>30.159086353994436</v>
      </c>
      <c r="F57" s="1">
        <f t="shared" si="2"/>
        <v>0.12754255198477837</v>
      </c>
      <c r="G57" s="53">
        <f>'Age data'!M61*Customisation!$H$22</f>
        <v>2.0661E-4</v>
      </c>
      <c r="H57" s="53">
        <f t="shared" si="3"/>
        <v>2.7950531828628955E-5</v>
      </c>
      <c r="I57" s="53">
        <f>'Age data'!N61*Customisation!$H$22</f>
        <v>1.0295E-4</v>
      </c>
      <c r="J57" s="54">
        <f t="shared" si="4"/>
        <v>1.3927240945536764E-5</v>
      </c>
      <c r="K57" s="53">
        <f>I57*'Life table'!I55</f>
        <v>2.8547906790546808E-3</v>
      </c>
      <c r="L57" s="53">
        <f>J57*'Life table'!J55</f>
        <v>3.2380450135116145E-4</v>
      </c>
      <c r="M57" s="53">
        <f t="shared" si="5"/>
        <v>1.3541404000000002E-4</v>
      </c>
      <c r="N57" s="53">
        <f>((G57-I57)*$AW$5+I57*$AW$6)/(1+Customisation!$H$21)^($A57-Customisation!$E$13)</f>
        <v>1.7648903097818653E-5</v>
      </c>
      <c r="O57" s="53">
        <f>G57*Customisation!$H$17</f>
        <v>0.35483201400000003</v>
      </c>
      <c r="P57" s="109">
        <f>O57/(1+Customisation!$H$21)^($A57-Customisation!$E$13)</f>
        <v>4.8002243362487367E-2</v>
      </c>
      <c r="Q57" s="53">
        <f>IF($A57&lt;Customisation!$H$13,G57,G57*(1-Customisation!$H$11*Customisation!$H$12))</f>
        <v>8.6610912000000001E-5</v>
      </c>
      <c r="R57" s="53">
        <f>IF($A57&lt;Customisation!$H$13,H57,H57*(1-Customisation!$H$11*Customisation!$H$12))</f>
        <v>1.1716862942561259E-5</v>
      </c>
      <c r="S57" s="53">
        <f>IF($A57&lt;Customisation!$H$13,I57,I57*(1-Customisation!$H$11*Customisation!$H$12))</f>
        <v>4.3156640000000002E-5</v>
      </c>
      <c r="T57" s="53">
        <f>IF($A57&lt;Customisation!$H$13,J57,J57*(1-Customisation!$H$11*Customisation!$H$12))</f>
        <v>5.8382994043690121E-6</v>
      </c>
      <c r="U57" s="53">
        <f>IF($A57&lt;Customisation!$H$13,K57,K57*(1-Customisation!$H$11*Customisation!$H$12))</f>
        <v>1.1967282526597223E-3</v>
      </c>
      <c r="V57" s="53">
        <f>IF($A57&lt;Customisation!$H$13,L57,L57*(1-Customisation!$H$11*Customisation!$H$12))</f>
        <v>1.3573884696640689E-4</v>
      </c>
      <c r="W57" s="53">
        <f>IF($A57&lt;Customisation!$H$13,M57,M57*(1-Customisation!$H$11*Customisation!$H$12))</f>
        <v>5.6765565568000008E-5</v>
      </c>
      <c r="X57" s="53">
        <f>IF($A57&lt;Customisation!$H$13,N57,N57*(1-Customisation!$H$11*Customisation!$H$12))</f>
        <v>7.3984201786055797E-6</v>
      </c>
      <c r="Y57" s="53">
        <f>IF($A57&lt;Customisation!$H$13,O57,O57*(1-Customisation!$H$11*Customisation!$H$12))</f>
        <v>0.14874558026880003</v>
      </c>
      <c r="Z57" s="53">
        <f>IF($A57&lt;Customisation!$H$13,P57,P57*(1-Customisation!$H$11*Customisation!$H$12))</f>
        <v>2.0122540417554704E-2</v>
      </c>
      <c r="AA57" s="53">
        <f t="shared" ref="AA57:AJ57" si="75">G57-Q57</f>
        <v>1.19999088E-4</v>
      </c>
      <c r="AB57" s="53">
        <f t="shared" si="75"/>
        <v>1.6233668886067694E-5</v>
      </c>
      <c r="AC57" s="53">
        <f t="shared" si="75"/>
        <v>5.9793359999999993E-5</v>
      </c>
      <c r="AD57" s="53">
        <f t="shared" si="75"/>
        <v>8.0889415411677527E-6</v>
      </c>
      <c r="AE57" s="53">
        <f t="shared" si="75"/>
        <v>1.6580624263949585E-3</v>
      </c>
      <c r="AF57" s="53">
        <f t="shared" si="75"/>
        <v>1.8806565438475456E-4</v>
      </c>
      <c r="AG57" s="53">
        <f t="shared" si="75"/>
        <v>7.8648474432000017E-5</v>
      </c>
      <c r="AH57" s="53">
        <f t="shared" si="75"/>
        <v>1.0250482919213074E-5</v>
      </c>
      <c r="AI57" s="53">
        <f t="shared" si="75"/>
        <v>0.2060864337312</v>
      </c>
      <c r="AJ57" s="53">
        <f t="shared" si="75"/>
        <v>2.7879702944932663E-2</v>
      </c>
      <c r="AK57" s="1"/>
      <c r="AL57" s="55">
        <f t="shared" si="7"/>
        <v>20.661000000000001</v>
      </c>
      <c r="AM57" s="55">
        <f t="shared" si="8"/>
        <v>8.6610911999999995</v>
      </c>
      <c r="AN57" s="1"/>
      <c r="AO57" s="1"/>
      <c r="AP57" s="1"/>
      <c r="AQ57" s="1"/>
      <c r="AR57" s="1"/>
      <c r="AS57" s="1"/>
      <c r="AT57" s="1"/>
      <c r="AU57" s="1"/>
      <c r="AV57" s="1"/>
      <c r="AW57" s="1"/>
      <c r="AX57" s="1"/>
      <c r="AY57" s="53">
        <f>IF($A57&lt;Customisation!$H$13,G57,G57*(1-Customisation!$H$24*Customisation!$H$12))</f>
        <v>7.3883736000000011E-5</v>
      </c>
      <c r="AZ57" s="53">
        <f>IF($A57&lt;Customisation!$H$13,H57,H57*(1-Customisation!$H$24*Customisation!$H$12))</f>
        <v>9.9951101819177159E-6</v>
      </c>
      <c r="BA57" s="53">
        <f>IF($A57&lt;Customisation!$H$13,I57,I57*(1-Customisation!$H$24*Customisation!$H$12))</f>
        <v>3.681492E-5</v>
      </c>
      <c r="BB57" s="53">
        <f>IF($A57&lt;Customisation!$H$13,J57,J57*(1-Customisation!$H$24*Customisation!$H$12))</f>
        <v>4.9803813621239469E-6</v>
      </c>
      <c r="BC57" s="53">
        <f>IF($A57&lt;Customisation!$H$13,K57,K57*(1-Customisation!$H$24*Customisation!$H$12))</f>
        <v>1.0208731468299538E-3</v>
      </c>
      <c r="BD57" s="53">
        <f>IF($A57&lt;Customisation!$H$13,L57,L57*(1-Customisation!$H$24*Customisation!$H$12))</f>
        <v>1.1579248968317535E-4</v>
      </c>
      <c r="BE57" s="53">
        <f>IF($A57&lt;Customisation!$H$13,M57,M57*(1-Customisation!$H$24*Customisation!$H$12))</f>
        <v>4.8424060704000009E-5</v>
      </c>
      <c r="BF57" s="53">
        <f>IF($A57&lt;Customisation!$H$13,N57,N57*(1-Customisation!$H$24*Customisation!$H$12))</f>
        <v>6.3112477477799508E-6</v>
      </c>
      <c r="BG57" s="53">
        <f>IF($A57&lt;Customisation!$H$13,O57,O57*(1-Customisation!$H$24*Customisation!$H$12))</f>
        <v>0.12688792820640002</v>
      </c>
      <c r="BH57" s="53">
        <f>IF($A57&lt;Customisation!$H$13,P57,P57*(1-Customisation!$H$24*Customisation!$H$12))</f>
        <v>1.7165602226425485E-2</v>
      </c>
      <c r="BI57" s="53">
        <f t="shared" si="13"/>
        <v>1.272717599999999E-5</v>
      </c>
      <c r="BJ57" s="53">
        <f t="shared" si="14"/>
        <v>1.7217527606435434E-6</v>
      </c>
      <c r="BK57" s="53">
        <f t="shared" si="15"/>
        <v>6.341720000000002E-6</v>
      </c>
      <c r="BL57" s="53">
        <f t="shared" si="16"/>
        <v>8.5791804224506515E-7</v>
      </c>
      <c r="BM57" s="53">
        <f t="shared" si="17"/>
        <v>1.7585510582976849E-4</v>
      </c>
      <c r="BN57" s="53">
        <f t="shared" si="18"/>
        <v>1.9946357283231539E-5</v>
      </c>
      <c r="BO57" s="53">
        <f t="shared" si="19"/>
        <v>8.3415048639999987E-6</v>
      </c>
      <c r="BP57" s="53">
        <f t="shared" si="20"/>
        <v>1.0871724308256289E-6</v>
      </c>
      <c r="BQ57" s="53">
        <f t="shared" si="21"/>
        <v>2.1857652062400007E-2</v>
      </c>
      <c r="BR57" s="53">
        <f t="shared" si="22"/>
        <v>2.9569381911292193E-3</v>
      </c>
    </row>
    <row r="58" spans="1:70" ht="14.25" customHeight="1" x14ac:dyDescent="0.3">
      <c r="A58" s="1">
        <f t="shared" si="34"/>
        <v>54</v>
      </c>
      <c r="B58" s="52">
        <f>'Life table'!D56</f>
        <v>0.92524490794220815</v>
      </c>
      <c r="C58" s="52">
        <f>IF($A58&lt;Customisation!$H$13,0,B58)/LOOKUP(Customisation!$H$13,$A$4:$A$104,$B$4:$B$104)</f>
        <v>0.93840904500122835</v>
      </c>
      <c r="D58" s="1">
        <f>IF($A58&lt;=Customisation!$H$13,1,1/(1+Customisation!$H$21)^($A58-Customisation!$H$13))</f>
        <v>0.12883962113403885</v>
      </c>
      <c r="E58" s="1">
        <f t="shared" si="11"/>
        <v>30.294367956185177</v>
      </c>
      <c r="F58" s="1">
        <f t="shared" si="2"/>
        <v>0.12090426582671347</v>
      </c>
      <c r="G58" s="53">
        <f>'Age data'!M62*Customisation!$H$22</f>
        <v>2.0803E-4</v>
      </c>
      <c r="H58" s="53">
        <f t="shared" si="3"/>
        <v>2.6802506384514102E-5</v>
      </c>
      <c r="I58" s="53">
        <f>'Age data'!N62*Customisation!$H$22</f>
        <v>1.0365999999999999E-4</v>
      </c>
      <c r="J58" s="54">
        <f t="shared" si="4"/>
        <v>1.3355515126754466E-5</v>
      </c>
      <c r="K58" s="53">
        <f>I58*'Life table'!I56</f>
        <v>2.7840055258294754E-3</v>
      </c>
      <c r="L58" s="53">
        <f>J58*'Life table'!J56</f>
        <v>3.0485912668028648E-4</v>
      </c>
      <c r="M58" s="53">
        <f t="shared" si="5"/>
        <v>1.3634555999999999E-4</v>
      </c>
      <c r="N58" s="53">
        <f>((G58-I58)*$AW$5+I58*$AW$6)/(1+Customisation!$H$21)^($A58-Customisation!$E$13)</f>
        <v>1.6924108381422705E-5</v>
      </c>
      <c r="O58" s="53">
        <f>G58*Customisation!$H$17</f>
        <v>0.35727072200000004</v>
      </c>
      <c r="P58" s="109">
        <f>O58/(1+Customisation!$H$21)^($A58-Customisation!$E$13)</f>
        <v>4.6030624464764518E-2</v>
      </c>
      <c r="Q58" s="53">
        <f>IF($A58&lt;Customisation!$H$13,G58,G58*(1-Customisation!$H$11*Customisation!$H$12))</f>
        <v>8.7206176000000006E-5</v>
      </c>
      <c r="R58" s="53">
        <f>IF($A58&lt;Customisation!$H$13,H58,H58*(1-Customisation!$H$11*Customisation!$H$12))</f>
        <v>1.1235610676388313E-5</v>
      </c>
      <c r="S58" s="53">
        <f>IF($A58&lt;Customisation!$H$13,I58,I58*(1-Customisation!$H$11*Customisation!$H$12))</f>
        <v>4.3454271999999998E-5</v>
      </c>
      <c r="T58" s="53">
        <f>IF($A58&lt;Customisation!$H$13,J58,J58*(1-Customisation!$H$11*Customisation!$H$12))</f>
        <v>5.5986319411354725E-6</v>
      </c>
      <c r="U58" s="53">
        <f>IF($A58&lt;Customisation!$H$13,K58,K58*(1-Customisation!$H$11*Customisation!$H$12))</f>
        <v>1.1670551164277162E-3</v>
      </c>
      <c r="V58" s="53">
        <f>IF($A58&lt;Customisation!$H$13,L58,L58*(1-Customisation!$H$11*Customisation!$H$12))</f>
        <v>1.277969459043761E-4</v>
      </c>
      <c r="W58" s="53">
        <f>IF($A58&lt;Customisation!$H$13,M58,M58*(1-Customisation!$H$11*Customisation!$H$12))</f>
        <v>5.7156058752000003E-5</v>
      </c>
      <c r="X58" s="53">
        <f>IF($A58&lt;Customisation!$H$13,N58,N58*(1-Customisation!$H$11*Customisation!$H$12))</f>
        <v>7.0945862334923982E-6</v>
      </c>
      <c r="Y58" s="53">
        <f>IF($A58&lt;Customisation!$H$13,O58,O58*(1-Customisation!$H$11*Customisation!$H$12))</f>
        <v>0.14976788666240001</v>
      </c>
      <c r="Z58" s="53">
        <f>IF($A58&lt;Customisation!$H$13,P58,P58*(1-Customisation!$H$11*Customisation!$H$12))</f>
        <v>1.9296037775629285E-2</v>
      </c>
      <c r="AA58" s="53">
        <f t="shared" ref="AA58:AJ58" si="76">G58-Q58</f>
        <v>1.2082382399999999E-4</v>
      </c>
      <c r="AB58" s="53">
        <f t="shared" si="76"/>
        <v>1.556689570812579E-5</v>
      </c>
      <c r="AC58" s="53">
        <f t="shared" si="76"/>
        <v>6.0205727999999995E-5</v>
      </c>
      <c r="AD58" s="53">
        <f t="shared" si="76"/>
        <v>7.7568831856189936E-6</v>
      </c>
      <c r="AE58" s="53">
        <f t="shared" si="76"/>
        <v>1.6169504094017593E-3</v>
      </c>
      <c r="AF58" s="53">
        <f t="shared" si="76"/>
        <v>1.7706218077591037E-4</v>
      </c>
      <c r="AG58" s="53">
        <f t="shared" si="76"/>
        <v>7.9189501247999992E-5</v>
      </c>
      <c r="AH58" s="53">
        <f t="shared" si="76"/>
        <v>9.8295221479303078E-6</v>
      </c>
      <c r="AI58" s="53">
        <f t="shared" si="76"/>
        <v>0.20750283533760003</v>
      </c>
      <c r="AJ58" s="53">
        <f t="shared" si="76"/>
        <v>2.6734586689135233E-2</v>
      </c>
      <c r="AK58" s="1"/>
      <c r="AL58" s="55">
        <f t="shared" si="7"/>
        <v>20.803000000000001</v>
      </c>
      <c r="AM58" s="55">
        <f t="shared" si="8"/>
        <v>8.7206176000000006</v>
      </c>
      <c r="AN58" s="1"/>
      <c r="AO58" s="1"/>
      <c r="AP58" s="1"/>
      <c r="AQ58" s="1"/>
      <c r="AR58" s="1"/>
      <c r="AS58" s="1"/>
      <c r="AT58" s="1"/>
      <c r="AU58" s="1"/>
      <c r="AV58" s="1"/>
      <c r="AW58" s="1"/>
      <c r="AX58" s="1"/>
      <c r="AY58" s="53">
        <f>IF($A58&lt;Customisation!$H$13,G58,G58*(1-Customisation!$H$24*Customisation!$H$12))</f>
        <v>7.4391528000000004E-5</v>
      </c>
      <c r="AZ58" s="53">
        <f>IF($A58&lt;Customisation!$H$13,H58,H58*(1-Customisation!$H$24*Customisation!$H$12))</f>
        <v>9.5845762831022438E-6</v>
      </c>
      <c r="BA58" s="53">
        <f>IF($A58&lt;Customisation!$H$13,I58,I58*(1-Customisation!$H$24*Customisation!$H$12))</f>
        <v>3.7068816000000004E-5</v>
      </c>
      <c r="BB58" s="53">
        <f>IF($A58&lt;Customisation!$H$13,J58,J58*(1-Customisation!$H$24*Customisation!$H$12))</f>
        <v>4.7759322093273974E-6</v>
      </c>
      <c r="BC58" s="53">
        <f>IF($A58&lt;Customisation!$H$13,K58,K58*(1-Customisation!$H$24*Customisation!$H$12))</f>
        <v>9.955603760366204E-4</v>
      </c>
      <c r="BD58" s="53">
        <f>IF($A58&lt;Customisation!$H$13,L58,L58*(1-Customisation!$H$24*Customisation!$H$12))</f>
        <v>1.0901762370087045E-4</v>
      </c>
      <c r="BE58" s="53">
        <f>IF($A58&lt;Customisation!$H$13,M58,M58*(1-Customisation!$H$24*Customisation!$H$12))</f>
        <v>4.8757172255999999E-5</v>
      </c>
      <c r="BF58" s="53">
        <f>IF($A58&lt;Customisation!$H$13,N58,N58*(1-Customisation!$H$24*Customisation!$H$12))</f>
        <v>6.0520611571967595E-6</v>
      </c>
      <c r="BG58" s="53">
        <f>IF($A58&lt;Customisation!$H$13,O58,O58*(1-Customisation!$H$24*Customisation!$H$12))</f>
        <v>0.12776001018720001</v>
      </c>
      <c r="BH58" s="53">
        <f>IF($A58&lt;Customisation!$H$13,P58,P58*(1-Customisation!$H$24*Customisation!$H$12))</f>
        <v>1.6460551308599792E-2</v>
      </c>
      <c r="BI58" s="53">
        <f t="shared" si="13"/>
        <v>1.2814648000000002E-5</v>
      </c>
      <c r="BJ58" s="53">
        <f t="shared" si="14"/>
        <v>1.6510343932860689E-6</v>
      </c>
      <c r="BK58" s="53">
        <f t="shared" si="15"/>
        <v>6.3854559999999947E-6</v>
      </c>
      <c r="BL58" s="53">
        <f t="shared" si="16"/>
        <v>8.226997318080751E-7</v>
      </c>
      <c r="BM58" s="53">
        <f t="shared" si="17"/>
        <v>1.7149474039109577E-4</v>
      </c>
      <c r="BN58" s="53">
        <f t="shared" si="18"/>
        <v>1.8779322203505647E-5</v>
      </c>
      <c r="BO58" s="53">
        <f t="shared" si="19"/>
        <v>8.3988864960000037E-6</v>
      </c>
      <c r="BP58" s="53">
        <f t="shared" si="20"/>
        <v>1.0425250762956387E-6</v>
      </c>
      <c r="BQ58" s="53">
        <f t="shared" si="21"/>
        <v>2.20078764752E-2</v>
      </c>
      <c r="BR58" s="53">
        <f t="shared" si="22"/>
        <v>2.8354864670294931E-3</v>
      </c>
    </row>
    <row r="59" spans="1:70" ht="14.25" customHeight="1" x14ac:dyDescent="0.3">
      <c r="A59" s="1">
        <f t="shared" si="34"/>
        <v>55</v>
      </c>
      <c r="B59" s="52">
        <f>'Life table'!D57</f>
        <v>0.92061868340249708</v>
      </c>
      <c r="C59" s="52">
        <f>IF($A59&lt;Customisation!$H$13,0,B59)/LOOKUP(Customisation!$H$13,$A$4:$A$104,$B$4:$B$104)</f>
        <v>0.93371699977622225</v>
      </c>
      <c r="D59" s="1">
        <f>IF($A59&lt;=Customisation!$H$13,1,1/(1+Customisation!$H$21)^($A59-Customisation!$H$13))</f>
        <v>0.12270440108003698</v>
      </c>
      <c r="E59" s="1">
        <f t="shared" si="11"/>
        <v>30.423207577319214</v>
      </c>
      <c r="F59" s="1">
        <f t="shared" si="2"/>
        <v>0.11457118523579038</v>
      </c>
      <c r="G59" s="53">
        <f>'Age data'!M63*Customisation!$H$22</f>
        <v>2.1725999999999999E-4</v>
      </c>
      <c r="H59" s="53">
        <f t="shared" si="3"/>
        <v>2.6658758178648835E-5</v>
      </c>
      <c r="I59" s="53">
        <f>'Age data'!N63*Customisation!$H$22</f>
        <v>1.0863E-4</v>
      </c>
      <c r="J59" s="54">
        <f t="shared" si="4"/>
        <v>1.3329379089324418E-5</v>
      </c>
      <c r="K59" s="53">
        <f>I59*'Life table'!I57</f>
        <v>2.8232430329862305E-3</v>
      </c>
      <c r="L59" s="53">
        <f>J59*'Life table'!J57</f>
        <v>2.9841843792359821E-4</v>
      </c>
      <c r="M59" s="53">
        <f t="shared" si="5"/>
        <v>1.4252256E-4</v>
      </c>
      <c r="N59" s="53">
        <f>((G59-I59)*$AW$5+I59*$AW$6)/(1+Customisation!$H$21)^($A59-Customisation!$E$13)</f>
        <v>1.6848832207985231E-5</v>
      </c>
      <c r="O59" s="53">
        <f>G59*Customisation!$H$17</f>
        <v>0.37312232400000001</v>
      </c>
      <c r="P59" s="109">
        <f>O59/(1+Customisation!$H$21)^($A59-Customisation!$E$13)</f>
        <v>4.5783751296011505E-2</v>
      </c>
      <c r="Q59" s="53">
        <f>IF($A59&lt;Customisation!$H$13,G59,G59*(1-Customisation!$H$11*Customisation!$H$12))</f>
        <v>9.1075391999999997E-5</v>
      </c>
      <c r="R59" s="53">
        <f>IF($A59&lt;Customisation!$H$13,H59,H59*(1-Customisation!$H$11*Customisation!$H$12))</f>
        <v>1.1175351428489593E-5</v>
      </c>
      <c r="S59" s="53">
        <f>IF($A59&lt;Customisation!$H$13,I59,I59*(1-Customisation!$H$11*Customisation!$H$12))</f>
        <v>4.5537695999999998E-5</v>
      </c>
      <c r="T59" s="53">
        <f>IF($A59&lt;Customisation!$H$13,J59,J59*(1-Customisation!$H$11*Customisation!$H$12))</f>
        <v>5.5876757142447964E-6</v>
      </c>
      <c r="U59" s="53">
        <f>IF($A59&lt;Customisation!$H$13,K59,K59*(1-Customisation!$H$11*Customisation!$H$12))</f>
        <v>1.183503479427828E-3</v>
      </c>
      <c r="V59" s="53">
        <f>IF($A59&lt;Customisation!$H$13,L59,L59*(1-Customisation!$H$11*Customisation!$H$12))</f>
        <v>1.2509700917757237E-4</v>
      </c>
      <c r="W59" s="53">
        <f>IF($A59&lt;Customisation!$H$13,M59,M59*(1-Customisation!$H$11*Customisation!$H$12))</f>
        <v>5.9745457152000003E-5</v>
      </c>
      <c r="X59" s="53">
        <f>IF($A59&lt;Customisation!$H$13,N59,N59*(1-Customisation!$H$11*Customisation!$H$12))</f>
        <v>7.0630304615874091E-6</v>
      </c>
      <c r="Y59" s="53">
        <f>IF($A59&lt;Customisation!$H$13,O59,O59*(1-Customisation!$H$11*Customisation!$H$12))</f>
        <v>0.15641287822080002</v>
      </c>
      <c r="Z59" s="53">
        <f>IF($A59&lt;Customisation!$H$13,P59,P59*(1-Customisation!$H$11*Customisation!$H$12))</f>
        <v>1.9192548543288022E-2</v>
      </c>
      <c r="AA59" s="53">
        <f t="shared" ref="AA59:AJ59" si="77">G59-Q59</f>
        <v>1.2618460800000001E-4</v>
      </c>
      <c r="AB59" s="53">
        <f t="shared" si="77"/>
        <v>1.5483406750159244E-5</v>
      </c>
      <c r="AC59" s="53">
        <f t="shared" si="77"/>
        <v>6.3092304000000003E-5</v>
      </c>
      <c r="AD59" s="53">
        <f t="shared" si="77"/>
        <v>7.7417033750796219E-6</v>
      </c>
      <c r="AE59" s="53">
        <f t="shared" si="77"/>
        <v>1.6397395535584025E-3</v>
      </c>
      <c r="AF59" s="53">
        <f t="shared" si="77"/>
        <v>1.7332142874602584E-4</v>
      </c>
      <c r="AG59" s="53">
        <f t="shared" si="77"/>
        <v>8.2777102847999997E-5</v>
      </c>
      <c r="AH59" s="53">
        <f t="shared" si="77"/>
        <v>9.7858017463978232E-6</v>
      </c>
      <c r="AI59" s="53">
        <f t="shared" si="77"/>
        <v>0.21670944577919998</v>
      </c>
      <c r="AJ59" s="53">
        <f t="shared" si="77"/>
        <v>2.6591202752723482E-2</v>
      </c>
      <c r="AK59" s="1"/>
      <c r="AL59" s="55">
        <f t="shared" si="7"/>
        <v>21.725999999999999</v>
      </c>
      <c r="AM59" s="55">
        <f t="shared" si="8"/>
        <v>9.1075391999999997</v>
      </c>
      <c r="AN59" s="1"/>
      <c r="AO59" s="1"/>
      <c r="AP59" s="1"/>
      <c r="AQ59" s="1"/>
      <c r="AR59" s="1"/>
      <c r="AS59" s="1"/>
      <c r="AT59" s="1"/>
      <c r="AU59" s="1"/>
      <c r="AV59" s="1"/>
      <c r="AW59" s="1"/>
      <c r="AX59" s="1"/>
      <c r="AY59" s="53">
        <f>IF($A59&lt;Customisation!$H$13,G59,G59*(1-Customisation!$H$24*Customisation!$H$12))</f>
        <v>7.7692176000000002E-5</v>
      </c>
      <c r="AZ59" s="53">
        <f>IF($A59&lt;Customisation!$H$13,H59,H59*(1-Customisation!$H$24*Customisation!$H$12))</f>
        <v>9.5331719246848243E-6</v>
      </c>
      <c r="BA59" s="53">
        <f>IF($A59&lt;Customisation!$H$13,I59,I59*(1-Customisation!$H$24*Customisation!$H$12))</f>
        <v>3.8846088000000001E-5</v>
      </c>
      <c r="BB59" s="53">
        <f>IF($A59&lt;Customisation!$H$13,J59,J59*(1-Customisation!$H$24*Customisation!$H$12))</f>
        <v>4.7665859623424121E-6</v>
      </c>
      <c r="BC59" s="53">
        <f>IF($A59&lt;Customisation!$H$13,K59,K59*(1-Customisation!$H$24*Customisation!$H$12))</f>
        <v>1.0095917085958762E-3</v>
      </c>
      <c r="BD59" s="53">
        <f>IF($A59&lt;Customisation!$H$13,L59,L59*(1-Customisation!$H$24*Customisation!$H$12))</f>
        <v>1.0671443340147872E-4</v>
      </c>
      <c r="BE59" s="53">
        <f>IF($A59&lt;Customisation!$H$13,M59,M59*(1-Customisation!$H$24*Customisation!$H$12))</f>
        <v>5.0966067456000007E-5</v>
      </c>
      <c r="BF59" s="53">
        <f>IF($A59&lt;Customisation!$H$13,N59,N59*(1-Customisation!$H$24*Customisation!$H$12))</f>
        <v>6.0251423975755196E-6</v>
      </c>
      <c r="BG59" s="53">
        <f>IF($A59&lt;Customisation!$H$13,O59,O59*(1-Customisation!$H$24*Customisation!$H$12))</f>
        <v>0.13342854306240001</v>
      </c>
      <c r="BH59" s="53">
        <f>IF($A59&lt;Customisation!$H$13,P59,P59*(1-Customisation!$H$24*Customisation!$H$12))</f>
        <v>1.6372269463453715E-2</v>
      </c>
      <c r="BI59" s="53">
        <f t="shared" si="13"/>
        <v>1.3383215999999995E-5</v>
      </c>
      <c r="BJ59" s="53">
        <f t="shared" si="14"/>
        <v>1.6421795038047685E-6</v>
      </c>
      <c r="BK59" s="53">
        <f t="shared" si="15"/>
        <v>6.6916079999999973E-6</v>
      </c>
      <c r="BL59" s="53">
        <f t="shared" si="16"/>
        <v>8.2108975190238427E-7</v>
      </c>
      <c r="BM59" s="53">
        <f t="shared" si="17"/>
        <v>1.7391177083195177E-4</v>
      </c>
      <c r="BN59" s="53">
        <f t="shared" si="18"/>
        <v>1.8382575776093647E-5</v>
      </c>
      <c r="BO59" s="53">
        <f t="shared" si="19"/>
        <v>8.7793896959999958E-6</v>
      </c>
      <c r="BP59" s="53">
        <f t="shared" si="20"/>
        <v>1.0378880640118895E-6</v>
      </c>
      <c r="BQ59" s="53">
        <f t="shared" si="21"/>
        <v>2.298433515840001E-2</v>
      </c>
      <c r="BR59" s="53">
        <f t="shared" si="22"/>
        <v>2.8202790798343078E-3</v>
      </c>
    </row>
    <row r="60" spans="1:70" ht="14.25" customHeight="1" x14ac:dyDescent="0.3">
      <c r="A60" s="1">
        <f t="shared" si="34"/>
        <v>56</v>
      </c>
      <c r="B60" s="52">
        <f>'Life table'!D58</f>
        <v>0.91564734251212365</v>
      </c>
      <c r="C60" s="52">
        <f>IF($A60&lt;Customisation!$H$13,0,B60)/LOOKUP(Customisation!$H$13,$A$4:$A$104,$B$4:$B$104)</f>
        <v>0.92867492797743068</v>
      </c>
      <c r="D60" s="1">
        <f>IF($A60&lt;=Customisation!$H$13,1,1/(1+Customisation!$H$21)^($A60-Customisation!$H$13))</f>
        <v>0.11686133436193999</v>
      </c>
      <c r="E60" s="1">
        <f t="shared" si="11"/>
        <v>30.54591197839925</v>
      </c>
      <c r="F60" s="1">
        <f t="shared" si="2"/>
        <v>0.10852619127192106</v>
      </c>
      <c r="G60" s="53">
        <f>'Age data'!M64*Customisation!$H$22</f>
        <v>2.2080999999999999E-4</v>
      </c>
      <c r="H60" s="53">
        <f t="shared" si="3"/>
        <v>2.5804151240459967E-5</v>
      </c>
      <c r="I60" s="53">
        <f>'Age data'!N64*Customisation!$H$22</f>
        <v>1.1075999999999999E-4</v>
      </c>
      <c r="J60" s="54">
        <f t="shared" si="4"/>
        <v>1.2943561393928472E-5</v>
      </c>
      <c r="K60" s="53">
        <f>I60*'Life table'!I58</f>
        <v>2.7831689035947836E-3</v>
      </c>
      <c r="L60" s="53">
        <f>J60*'Life table'!J58</f>
        <v>2.8386644431839249E-4</v>
      </c>
      <c r="M60" s="53">
        <f t="shared" si="5"/>
        <v>1.4497348000000002E-4</v>
      </c>
      <c r="N60" s="53">
        <f>((G60-I60)*$AW$5+I60*$AW$6)/(1+Customisation!$H$21)^($A60-Customisation!$E$13)</f>
        <v>1.6322832011586523E-5</v>
      </c>
      <c r="O60" s="53">
        <f>G60*Customisation!$H$17</f>
        <v>0.37921909400000003</v>
      </c>
      <c r="P60" s="109">
        <f>O60/(1+Customisation!$H$21)^($A60-Customisation!$E$13)</f>
        <v>4.4316049340365954E-2</v>
      </c>
      <c r="Q60" s="53">
        <f>IF($A60&lt;Customisation!$H$13,G60,G60*(1-Customisation!$H$11*Customisation!$H$12))</f>
        <v>9.2563552000000005E-5</v>
      </c>
      <c r="R60" s="53">
        <f>IF($A60&lt;Customisation!$H$13,H60,H60*(1-Customisation!$H$11*Customisation!$H$12))</f>
        <v>1.0817100200000818E-5</v>
      </c>
      <c r="S60" s="53">
        <f>IF($A60&lt;Customisation!$H$13,I60,I60*(1-Customisation!$H$11*Customisation!$H$12))</f>
        <v>4.6430592E-5</v>
      </c>
      <c r="T60" s="53">
        <f>IF($A60&lt;Customisation!$H$13,J60,J60*(1-Customisation!$H$11*Customisation!$H$12))</f>
        <v>5.4259409363348155E-6</v>
      </c>
      <c r="U60" s="53">
        <f>IF($A60&lt;Customisation!$H$13,K60,K60*(1-Customisation!$H$11*Customisation!$H$12))</f>
        <v>1.1667044043869334E-3</v>
      </c>
      <c r="V60" s="53">
        <f>IF($A60&lt;Customisation!$H$13,L60,L60*(1-Customisation!$H$11*Customisation!$H$12))</f>
        <v>1.1899681345827013E-4</v>
      </c>
      <c r="W60" s="53">
        <f>IF($A60&lt;Customisation!$H$13,M60,M60*(1-Customisation!$H$11*Customisation!$H$12))</f>
        <v>6.0772882816000011E-5</v>
      </c>
      <c r="X60" s="53">
        <f>IF($A60&lt;Customisation!$H$13,N60,N60*(1-Customisation!$H$11*Customisation!$H$12))</f>
        <v>6.8425311792570709E-6</v>
      </c>
      <c r="Y60" s="53">
        <f>IF($A60&lt;Customisation!$H$13,O60,O60*(1-Customisation!$H$11*Customisation!$H$12))</f>
        <v>0.15896864420480003</v>
      </c>
      <c r="Z60" s="53">
        <f>IF($A60&lt;Customisation!$H$13,P60,P60*(1-Customisation!$H$11*Customisation!$H$12))</f>
        <v>1.8577287883481407E-2</v>
      </c>
      <c r="AA60" s="53">
        <f t="shared" ref="AA60:AJ60" si="78">G60-Q60</f>
        <v>1.2824644799999999E-4</v>
      </c>
      <c r="AB60" s="53">
        <f t="shared" si="78"/>
        <v>1.4987051040459149E-5</v>
      </c>
      <c r="AC60" s="53">
        <f t="shared" si="78"/>
        <v>6.4329407999999983E-5</v>
      </c>
      <c r="AD60" s="53">
        <f t="shared" si="78"/>
        <v>7.5176204575936564E-6</v>
      </c>
      <c r="AE60" s="53">
        <f t="shared" si="78"/>
        <v>1.6164644992078502E-3</v>
      </c>
      <c r="AF60" s="53">
        <f t="shared" si="78"/>
        <v>1.6486963086012236E-4</v>
      </c>
      <c r="AG60" s="53">
        <f t="shared" si="78"/>
        <v>8.4200597184000005E-5</v>
      </c>
      <c r="AH60" s="53">
        <f t="shared" si="78"/>
        <v>9.4803008323294528E-6</v>
      </c>
      <c r="AI60" s="53">
        <f t="shared" si="78"/>
        <v>0.2202504497952</v>
      </c>
      <c r="AJ60" s="53">
        <f t="shared" si="78"/>
        <v>2.5738761456884546E-2</v>
      </c>
      <c r="AK60" s="1"/>
      <c r="AL60" s="55">
        <f t="shared" si="7"/>
        <v>22.081</v>
      </c>
      <c r="AM60" s="55">
        <f t="shared" si="8"/>
        <v>9.2563551999999998</v>
      </c>
      <c r="AN60" s="1"/>
      <c r="AO60" s="1"/>
      <c r="AP60" s="1"/>
      <c r="AQ60" s="1"/>
      <c r="AR60" s="1"/>
      <c r="AS60" s="1"/>
      <c r="AT60" s="1"/>
      <c r="AU60" s="1"/>
      <c r="AV60" s="1"/>
      <c r="AW60" s="1"/>
      <c r="AX60" s="1"/>
      <c r="AY60" s="53">
        <f>IF($A60&lt;Customisation!$H$13,G60,G60*(1-Customisation!$H$24*Customisation!$H$12))</f>
        <v>7.8961656E-5</v>
      </c>
      <c r="AZ60" s="53">
        <f>IF($A60&lt;Customisation!$H$13,H60,H60*(1-Customisation!$H$24*Customisation!$H$12))</f>
        <v>9.227564483588485E-6</v>
      </c>
      <c r="BA60" s="53">
        <f>IF($A60&lt;Customisation!$H$13,I60,I60*(1-Customisation!$H$24*Customisation!$H$12))</f>
        <v>3.9607775999999998E-5</v>
      </c>
      <c r="BB60" s="53">
        <f>IF($A60&lt;Customisation!$H$13,J60,J60*(1-Customisation!$H$24*Customisation!$H$12))</f>
        <v>4.6286175544688217E-6</v>
      </c>
      <c r="BC60" s="53">
        <f>IF($A60&lt;Customisation!$H$13,K60,K60*(1-Customisation!$H$24*Customisation!$H$12))</f>
        <v>9.9526119992549467E-4</v>
      </c>
      <c r="BD60" s="53">
        <f>IF($A60&lt;Customisation!$H$13,L60,L60*(1-Customisation!$H$24*Customisation!$H$12))</f>
        <v>1.0151064048825717E-4</v>
      </c>
      <c r="BE60" s="53">
        <f>IF($A60&lt;Customisation!$H$13,M60,M60*(1-Customisation!$H$24*Customisation!$H$12))</f>
        <v>5.1842516448000009E-5</v>
      </c>
      <c r="BF60" s="53">
        <f>IF($A60&lt;Customisation!$H$13,N60,N60*(1-Customisation!$H$24*Customisation!$H$12))</f>
        <v>5.8370447273433409E-6</v>
      </c>
      <c r="BG60" s="53">
        <f>IF($A60&lt;Customisation!$H$13,O60,O60*(1-Customisation!$H$24*Customisation!$H$12))</f>
        <v>0.13560874801440001</v>
      </c>
      <c r="BH60" s="53">
        <f>IF($A60&lt;Customisation!$H$13,P60,P60*(1-Customisation!$H$24*Customisation!$H$12))</f>
        <v>1.5847419244114865E-2</v>
      </c>
      <c r="BI60" s="53">
        <f t="shared" si="13"/>
        <v>1.3601896000000005E-5</v>
      </c>
      <c r="BJ60" s="53">
        <f t="shared" si="14"/>
        <v>1.5895357164123333E-6</v>
      </c>
      <c r="BK60" s="53">
        <f t="shared" si="15"/>
        <v>6.8228160000000023E-6</v>
      </c>
      <c r="BL60" s="53">
        <f t="shared" si="16"/>
        <v>7.9732338186599376E-7</v>
      </c>
      <c r="BM60" s="53">
        <f t="shared" si="17"/>
        <v>1.7144320446143874E-4</v>
      </c>
      <c r="BN60" s="53">
        <f t="shared" si="18"/>
        <v>1.7486172970012962E-5</v>
      </c>
      <c r="BO60" s="53">
        <f t="shared" si="19"/>
        <v>8.9303663680000017E-6</v>
      </c>
      <c r="BP60" s="53">
        <f t="shared" si="20"/>
        <v>1.00548645191373E-6</v>
      </c>
      <c r="BQ60" s="53">
        <f t="shared" si="21"/>
        <v>2.335989619040002E-2</v>
      </c>
      <c r="BR60" s="53">
        <f t="shared" si="22"/>
        <v>2.7298686393665422E-3</v>
      </c>
    </row>
    <row r="61" spans="1:70" ht="14.25" customHeight="1" x14ac:dyDescent="0.3">
      <c r="A61" s="1">
        <f t="shared" si="34"/>
        <v>57</v>
      </c>
      <c r="B61" s="52">
        <f>'Life table'!D59</f>
        <v>0.91028164908500264</v>
      </c>
      <c r="C61" s="52">
        <f>IF($A61&lt;Customisation!$H$13,0,B61)/LOOKUP(Customisation!$H$13,$A$4:$A$104,$B$4:$B$104)</f>
        <v>0.92323289289948296</v>
      </c>
      <c r="D61" s="1">
        <f>IF($A61&lt;=Customisation!$H$13,1,1/(1+Customisation!$H$21)^($A61-Customisation!$H$13))</f>
        <v>0.1112965089161333</v>
      </c>
      <c r="E61" s="1">
        <f t="shared" si="11"/>
        <v>30.662773312761189</v>
      </c>
      <c r="F61" s="1">
        <f t="shared" si="2"/>
        <v>0.10275259789625484</v>
      </c>
      <c r="G61" s="53">
        <f>'Age data'!M65*Customisation!$H$22</f>
        <v>2.2577999999999997E-4</v>
      </c>
      <c r="H61" s="53">
        <f t="shared" si="3"/>
        <v>2.5128525783084572E-5</v>
      </c>
      <c r="I61" s="53">
        <f>'Age data'!N65*Customisation!$H$22</f>
        <v>1.1288999999999998E-4</v>
      </c>
      <c r="J61" s="54">
        <f t="shared" si="4"/>
        <v>1.2564262891542286E-5</v>
      </c>
      <c r="K61" s="53">
        <f>I61*'Life table'!I59</f>
        <v>2.7401896616272028E-3</v>
      </c>
      <c r="L61" s="53">
        <f>J61*'Life table'!J59</f>
        <v>2.6961002883479115E-4</v>
      </c>
      <c r="M61" s="53">
        <f t="shared" si="5"/>
        <v>1.4811168E-4</v>
      </c>
      <c r="N61" s="53">
        <f>((G61-I61)*$AW$5+I61*$AW$6)/(1+Customisation!$H$21)^($A61-Customisation!$E$13)</f>
        <v>1.5881696803578625E-5</v>
      </c>
      <c r="O61" s="53">
        <f>G61*Customisation!$H$17</f>
        <v>0.38775457199999996</v>
      </c>
      <c r="P61" s="109">
        <f>O61/(1+Customisation!$H$21)^($A61-Customisation!$E$13)</f>
        <v>4.3155730179869449E-2</v>
      </c>
      <c r="Q61" s="53">
        <f>IF($A61&lt;Customisation!$H$13,G61,G61*(1-Customisation!$H$11*Customisation!$H$12))</f>
        <v>9.4646975999999991E-5</v>
      </c>
      <c r="R61" s="53">
        <f>IF($A61&lt;Customisation!$H$13,H61,H61*(1-Customisation!$H$11*Customisation!$H$12))</f>
        <v>1.0533878008269053E-5</v>
      </c>
      <c r="S61" s="53">
        <f>IF($A61&lt;Customisation!$H$13,I61,I61*(1-Customisation!$H$11*Customisation!$H$12))</f>
        <v>4.7323487999999996E-5</v>
      </c>
      <c r="T61" s="53">
        <f>IF($A61&lt;Customisation!$H$13,J61,J61*(1-Customisation!$H$11*Customisation!$H$12))</f>
        <v>5.2669390041345266E-6</v>
      </c>
      <c r="U61" s="53">
        <f>IF($A61&lt;Customisation!$H$13,K61,K61*(1-Customisation!$H$11*Customisation!$H$12))</f>
        <v>1.1486875061541234E-3</v>
      </c>
      <c r="V61" s="53">
        <f>IF($A61&lt;Customisation!$H$13,L61,L61*(1-Customisation!$H$11*Customisation!$H$12))</f>
        <v>1.1302052408754445E-4</v>
      </c>
      <c r="W61" s="53">
        <f>IF($A61&lt;Customisation!$H$13,M61,M61*(1-Customisation!$H$11*Customisation!$H$12))</f>
        <v>6.2088416255999998E-5</v>
      </c>
      <c r="X61" s="53">
        <f>IF($A61&lt;Customisation!$H$13,N61,N61*(1-Customisation!$H$11*Customisation!$H$12))</f>
        <v>6.6576073000601599E-6</v>
      </c>
      <c r="Y61" s="53">
        <f>IF($A61&lt;Customisation!$H$13,O61,O61*(1-Customisation!$H$11*Customisation!$H$12))</f>
        <v>0.1625467165824</v>
      </c>
      <c r="Z61" s="53">
        <f>IF($A61&lt;Customisation!$H$13,P61,P61*(1-Customisation!$H$11*Customisation!$H$12))</f>
        <v>1.8090882091401275E-2</v>
      </c>
      <c r="AA61" s="53">
        <f t="shared" ref="AA61:AJ61" si="79">G61-Q61</f>
        <v>1.3113302399999998E-4</v>
      </c>
      <c r="AB61" s="53">
        <f t="shared" si="79"/>
        <v>1.4594647774815519E-5</v>
      </c>
      <c r="AC61" s="53">
        <f t="shared" si="79"/>
        <v>6.5566511999999989E-5</v>
      </c>
      <c r="AD61" s="53">
        <f t="shared" si="79"/>
        <v>7.2973238874077595E-6</v>
      </c>
      <c r="AE61" s="53">
        <f t="shared" si="79"/>
        <v>1.5915021554730794E-3</v>
      </c>
      <c r="AF61" s="53">
        <f t="shared" si="79"/>
        <v>1.5658950474724671E-4</v>
      </c>
      <c r="AG61" s="53">
        <f t="shared" si="79"/>
        <v>8.6023263744000001E-5</v>
      </c>
      <c r="AH61" s="53">
        <f t="shared" si="79"/>
        <v>9.2240895035184664E-6</v>
      </c>
      <c r="AI61" s="53">
        <f t="shared" si="79"/>
        <v>0.22520785541759997</v>
      </c>
      <c r="AJ61" s="53">
        <f t="shared" si="79"/>
        <v>2.5064848088468174E-2</v>
      </c>
      <c r="AK61" s="1"/>
      <c r="AL61" s="55">
        <f t="shared" si="7"/>
        <v>22.577999999999996</v>
      </c>
      <c r="AM61" s="55">
        <f t="shared" si="8"/>
        <v>9.4646975999999992</v>
      </c>
      <c r="AN61" s="1"/>
      <c r="AO61" s="1"/>
      <c r="AP61" s="1"/>
      <c r="AQ61" s="1"/>
      <c r="AR61" s="1"/>
      <c r="AS61" s="1"/>
      <c r="AT61" s="1"/>
      <c r="AU61" s="1"/>
      <c r="AV61" s="1"/>
      <c r="AW61" s="1"/>
      <c r="AX61" s="1"/>
      <c r="AY61" s="53">
        <f>IF($A61&lt;Customisation!$H$13,G61,G61*(1-Customisation!$H$24*Customisation!$H$12))</f>
        <v>8.073892799999999E-5</v>
      </c>
      <c r="AZ61" s="53">
        <f>IF($A61&lt;Customisation!$H$13,H61,H61*(1-Customisation!$H$24*Customisation!$H$12))</f>
        <v>8.9859608200310435E-6</v>
      </c>
      <c r="BA61" s="53">
        <f>IF($A61&lt;Customisation!$H$13,I61,I61*(1-Customisation!$H$24*Customisation!$H$12))</f>
        <v>4.0369463999999995E-5</v>
      </c>
      <c r="BB61" s="53">
        <f>IF($A61&lt;Customisation!$H$13,J61,J61*(1-Customisation!$H$24*Customisation!$H$12))</f>
        <v>4.4929804100155218E-6</v>
      </c>
      <c r="BC61" s="53">
        <f>IF($A61&lt;Customisation!$H$13,K61,K61*(1-Customisation!$H$24*Customisation!$H$12))</f>
        <v>9.7989182299788782E-4</v>
      </c>
      <c r="BD61" s="53">
        <f>IF($A61&lt;Customisation!$H$13,L61,L61*(1-Customisation!$H$24*Customisation!$H$12))</f>
        <v>9.641254631132132E-5</v>
      </c>
      <c r="BE61" s="53">
        <f>IF($A61&lt;Customisation!$H$13,M61,M61*(1-Customisation!$H$24*Customisation!$H$12))</f>
        <v>5.2964736768000006E-5</v>
      </c>
      <c r="BF61" s="53">
        <f>IF($A61&lt;Customisation!$H$13,N61,N61*(1-Customisation!$H$24*Customisation!$H$12))</f>
        <v>5.6792947769597168E-6</v>
      </c>
      <c r="BG61" s="53">
        <f>IF($A61&lt;Customisation!$H$13,O61,O61*(1-Customisation!$H$24*Customisation!$H$12))</f>
        <v>0.1386610349472</v>
      </c>
      <c r="BH61" s="53">
        <f>IF($A61&lt;Customisation!$H$13,P61,P61*(1-Customisation!$H$24*Customisation!$H$12))</f>
        <v>1.5432489112321316E-2</v>
      </c>
      <c r="BI61" s="53">
        <f t="shared" si="13"/>
        <v>1.3908048000000001E-5</v>
      </c>
      <c r="BJ61" s="53">
        <f t="shared" si="14"/>
        <v>1.5479171882380096E-6</v>
      </c>
      <c r="BK61" s="53">
        <f t="shared" si="15"/>
        <v>6.9540240000000005E-6</v>
      </c>
      <c r="BL61" s="53">
        <f t="shared" si="16"/>
        <v>7.7395859411900481E-7</v>
      </c>
      <c r="BM61" s="53">
        <f t="shared" si="17"/>
        <v>1.6879568315623559E-4</v>
      </c>
      <c r="BN61" s="53">
        <f t="shared" si="18"/>
        <v>1.6607977776223132E-5</v>
      </c>
      <c r="BO61" s="53">
        <f t="shared" si="19"/>
        <v>9.1236794879999921E-6</v>
      </c>
      <c r="BP61" s="53">
        <f t="shared" si="20"/>
        <v>9.783125231004431E-7</v>
      </c>
      <c r="BQ61" s="53">
        <f t="shared" si="21"/>
        <v>2.3885681635199996E-2</v>
      </c>
      <c r="BR61" s="53">
        <f t="shared" si="22"/>
        <v>2.6583929790799585E-3</v>
      </c>
    </row>
    <row r="62" spans="1:70" ht="14.25" customHeight="1" x14ac:dyDescent="0.3">
      <c r="A62" s="1">
        <f t="shared" si="34"/>
        <v>58</v>
      </c>
      <c r="B62" s="52">
        <f>'Life table'!D60</f>
        <v>0.90446494934734945</v>
      </c>
      <c r="C62" s="52">
        <f>IF($A62&lt;Customisation!$H$13,0,B62)/LOOKUP(Customisation!$H$13,$A$4:$A$104,$B$4:$B$104)</f>
        <v>0.9173334347138552</v>
      </c>
      <c r="D62" s="1">
        <f>IF($A62&lt;=Customisation!$H$13,1,1/(1+Customisation!$H$21)^($A62-Customisation!$H$13))</f>
        <v>0.10599667515822221</v>
      </c>
      <c r="E62" s="1">
        <f t="shared" si="11"/>
        <v>30.774069821677323</v>
      </c>
      <c r="F62" s="1">
        <f t="shared" si="2"/>
        <v>9.7234294091140747E-2</v>
      </c>
      <c r="G62" s="53">
        <f>'Age data'!M66*Customisation!$H$22</f>
        <v>2.3216999999999997E-4</v>
      </c>
      <c r="H62" s="53">
        <f t="shared" si="3"/>
        <v>2.4609248071484447E-5</v>
      </c>
      <c r="I62" s="53">
        <f>'Age data'!N66*Customisation!$H$22</f>
        <v>1.1643999999999999E-4</v>
      </c>
      <c r="J62" s="54">
        <f t="shared" si="4"/>
        <v>1.2342252855423394E-5</v>
      </c>
      <c r="K62" s="53">
        <f>I62*'Life table'!I60</f>
        <v>2.7277213128308843E-3</v>
      </c>
      <c r="L62" s="53">
        <f>J62*'Life table'!J60</f>
        <v>2.588268868700998E-4</v>
      </c>
      <c r="M62" s="53">
        <f t="shared" si="5"/>
        <v>1.5242563999999997E-4</v>
      </c>
      <c r="N62" s="53">
        <f>((G62-I62)*$AW$5+I62*$AW$6)/(1+Customisation!$H$21)^($A62-Customisation!$E$13)</f>
        <v>1.556631750591034E-5</v>
      </c>
      <c r="O62" s="53">
        <f>G62*Customisation!$H$17</f>
        <v>0.39872875799999996</v>
      </c>
      <c r="P62" s="109">
        <f>O62/(1+Customisation!$H$21)^($A62-Customisation!$E$13)</f>
        <v>4.2263922637967397E-2</v>
      </c>
      <c r="Q62" s="53">
        <f>IF($A62&lt;Customisation!$H$13,G62,G62*(1-Customisation!$H$11*Customisation!$H$12))</f>
        <v>9.7325663999999997E-5</v>
      </c>
      <c r="R62" s="53">
        <f>IF($A62&lt;Customisation!$H$13,H62,H62*(1-Customisation!$H$11*Customisation!$H$12))</f>
        <v>1.0316196791566281E-5</v>
      </c>
      <c r="S62" s="53">
        <f>IF($A62&lt;Customisation!$H$13,I62,I62*(1-Customisation!$H$11*Customisation!$H$12))</f>
        <v>4.8811647999999997E-5</v>
      </c>
      <c r="T62" s="53">
        <f>IF($A62&lt;Customisation!$H$13,J62,J62*(1-Customisation!$H$11*Customisation!$H$12))</f>
        <v>5.1738723969934866E-6</v>
      </c>
      <c r="U62" s="53">
        <f>IF($A62&lt;Customisation!$H$13,K62,K62*(1-Customisation!$H$11*Customisation!$H$12))</f>
        <v>1.1434607743387067E-3</v>
      </c>
      <c r="V62" s="53">
        <f>IF($A62&lt;Customisation!$H$13,L62,L62*(1-Customisation!$H$11*Customisation!$H$12))</f>
        <v>1.0850023097594584E-4</v>
      </c>
      <c r="W62" s="53">
        <f>IF($A62&lt;Customisation!$H$13,M62,M62*(1-Customisation!$H$11*Customisation!$H$12))</f>
        <v>6.3896828287999995E-5</v>
      </c>
      <c r="X62" s="53">
        <f>IF($A62&lt;Customisation!$H$13,N62,N62*(1-Customisation!$H$11*Customisation!$H$12))</f>
        <v>6.525400298477615E-6</v>
      </c>
      <c r="Y62" s="53">
        <f>IF($A62&lt;Customisation!$H$13,O62,O62*(1-Customisation!$H$11*Customisation!$H$12))</f>
        <v>0.16714709535359998</v>
      </c>
      <c r="Z62" s="53">
        <f>IF($A62&lt;Customisation!$H$13,P62,P62*(1-Customisation!$H$11*Customisation!$H$12))</f>
        <v>1.7717036369835935E-2</v>
      </c>
      <c r="AA62" s="53">
        <f t="shared" ref="AA62:AJ62" si="80">G62-Q62</f>
        <v>1.3484433599999997E-4</v>
      </c>
      <c r="AB62" s="53">
        <f t="shared" si="80"/>
        <v>1.4293051279918166E-5</v>
      </c>
      <c r="AC62" s="53">
        <f t="shared" si="80"/>
        <v>6.7628352E-5</v>
      </c>
      <c r="AD62" s="53">
        <f t="shared" si="80"/>
        <v>7.1683804584299072E-6</v>
      </c>
      <c r="AE62" s="53">
        <f t="shared" si="80"/>
        <v>1.5842605384921776E-3</v>
      </c>
      <c r="AF62" s="53">
        <f t="shared" si="80"/>
        <v>1.5032665589415395E-4</v>
      </c>
      <c r="AG62" s="53">
        <f t="shared" si="80"/>
        <v>8.8528811711999973E-5</v>
      </c>
      <c r="AH62" s="53">
        <f t="shared" si="80"/>
        <v>9.0409172074327241E-6</v>
      </c>
      <c r="AI62" s="53">
        <f t="shared" si="80"/>
        <v>0.23158166264639998</v>
      </c>
      <c r="AJ62" s="53">
        <f t="shared" si="80"/>
        <v>2.4546886268131462E-2</v>
      </c>
      <c r="AK62" s="1"/>
      <c r="AL62" s="55">
        <f t="shared" si="7"/>
        <v>23.216999999999995</v>
      </c>
      <c r="AM62" s="55">
        <f t="shared" si="8"/>
        <v>9.7325663999999996</v>
      </c>
      <c r="AN62" s="1"/>
      <c r="AO62" s="1"/>
      <c r="AP62" s="1"/>
      <c r="AQ62" s="1"/>
      <c r="AR62" s="1"/>
      <c r="AS62" s="1"/>
      <c r="AT62" s="1"/>
      <c r="AU62" s="1"/>
      <c r="AV62" s="1"/>
      <c r="AW62" s="1"/>
      <c r="AX62" s="1"/>
      <c r="AY62" s="53">
        <f>IF($A62&lt;Customisation!$H$13,G62,G62*(1-Customisation!$H$24*Customisation!$H$12))</f>
        <v>8.3023992000000001E-5</v>
      </c>
      <c r="AZ62" s="53">
        <f>IF($A62&lt;Customisation!$H$13,H62,H62*(1-Customisation!$H$24*Customisation!$H$12))</f>
        <v>8.800267110362839E-6</v>
      </c>
      <c r="BA62" s="53">
        <f>IF($A62&lt;Customisation!$H$13,I62,I62*(1-Customisation!$H$24*Customisation!$H$12))</f>
        <v>4.1638943999999999E-5</v>
      </c>
      <c r="BB62" s="53">
        <f>IF($A62&lt;Customisation!$H$13,J62,J62*(1-Customisation!$H$24*Customisation!$H$12))</f>
        <v>4.413589621099406E-6</v>
      </c>
      <c r="BC62" s="53">
        <f>IF($A62&lt;Customisation!$H$13,K62,K62*(1-Customisation!$H$24*Customisation!$H$12))</f>
        <v>9.754331414683243E-4</v>
      </c>
      <c r="BD62" s="53">
        <f>IF($A62&lt;Customisation!$H$13,L62,L62*(1-Customisation!$H$24*Customisation!$H$12))</f>
        <v>9.2556494744747692E-5</v>
      </c>
      <c r="BE62" s="53">
        <f>IF($A62&lt;Customisation!$H$13,M62,M62*(1-Customisation!$H$24*Customisation!$H$12))</f>
        <v>5.4507408863999994E-5</v>
      </c>
      <c r="BF62" s="53">
        <f>IF($A62&lt;Customisation!$H$13,N62,N62*(1-Customisation!$H$24*Customisation!$H$12))</f>
        <v>5.5665151401135383E-6</v>
      </c>
      <c r="BG62" s="53">
        <f>IF($A62&lt;Customisation!$H$13,O62,O62*(1-Customisation!$H$24*Customisation!$H$12))</f>
        <v>0.14258540386079999</v>
      </c>
      <c r="BH62" s="53">
        <f>IF($A62&lt;Customisation!$H$13,P62,P62*(1-Customisation!$H$24*Customisation!$H$12))</f>
        <v>1.5113578735337143E-2</v>
      </c>
      <c r="BI62" s="53">
        <f t="shared" si="13"/>
        <v>1.4301671999999996E-5</v>
      </c>
      <c r="BJ62" s="53">
        <f t="shared" si="14"/>
        <v>1.5159296812034418E-6</v>
      </c>
      <c r="BK62" s="53">
        <f t="shared" si="15"/>
        <v>7.1727039999999975E-6</v>
      </c>
      <c r="BL62" s="53">
        <f t="shared" si="16"/>
        <v>7.6028277589408058E-7</v>
      </c>
      <c r="BM62" s="53">
        <f t="shared" si="17"/>
        <v>1.6802763287038236E-4</v>
      </c>
      <c r="BN62" s="53">
        <f t="shared" si="18"/>
        <v>1.5943736231198151E-5</v>
      </c>
      <c r="BO62" s="53">
        <f t="shared" si="19"/>
        <v>9.3894194240000013E-6</v>
      </c>
      <c r="BP62" s="53">
        <f t="shared" si="20"/>
        <v>9.5888515836407677E-7</v>
      </c>
      <c r="BQ62" s="53">
        <f t="shared" si="21"/>
        <v>2.4561691492799992E-2</v>
      </c>
      <c r="BR62" s="53">
        <f t="shared" si="22"/>
        <v>2.603457634498792E-3</v>
      </c>
    </row>
    <row r="63" spans="1:70" ht="14.25" customHeight="1" x14ac:dyDescent="0.3">
      <c r="A63" s="1">
        <f t="shared" si="34"/>
        <v>59</v>
      </c>
      <c r="B63" s="52">
        <f>'Life table'!D61</f>
        <v>0.89812465005242459</v>
      </c>
      <c r="C63" s="52">
        <f>IF($A63&lt;Customisation!$H$13,0,B63)/LOOKUP(Customisation!$H$13,$A$4:$A$104,$B$4:$B$104)</f>
        <v>0.91090292733651124</v>
      </c>
      <c r="D63" s="1">
        <f>IF($A63&lt;=Customisation!$H$13,1,1/(1+Customisation!$H$21)^($A63-Customisation!$H$13))</f>
        <v>0.10094921443640208</v>
      </c>
      <c r="E63" s="1">
        <f t="shared" si="11"/>
        <v>30.880066496835546</v>
      </c>
      <c r="F63" s="1">
        <f t="shared" si="2"/>
        <v>9.195493494243985E-2</v>
      </c>
      <c r="G63" s="53">
        <f>'Age data'!M67*Customisation!$H$22</f>
        <v>2.3997999999999996E-4</v>
      </c>
      <c r="H63" s="53">
        <f t="shared" si="3"/>
        <v>2.4225792480447766E-5</v>
      </c>
      <c r="I63" s="53">
        <f>'Age data'!N67*Customisation!$H$22</f>
        <v>1.1998999999999998E-4</v>
      </c>
      <c r="J63" s="54">
        <f t="shared" si="4"/>
        <v>1.2112896240223883E-5</v>
      </c>
      <c r="K63" s="53">
        <f>I63*'Life table'!I61</f>
        <v>2.7103134099317893E-3</v>
      </c>
      <c r="L63" s="53">
        <f>J63*'Life table'!J61</f>
        <v>2.4793519940087213E-4</v>
      </c>
      <c r="M63" s="53">
        <f t="shared" si="5"/>
        <v>1.5742687999999996E-4</v>
      </c>
      <c r="N63" s="53">
        <f>((G63-I63)*$AW$5+I63*$AW$6)/(1+Customisation!$H$21)^($A63-Customisation!$E$13)</f>
        <v>1.5311152525305763E-5</v>
      </c>
      <c r="O63" s="53">
        <f>G63*Customisation!$H$17</f>
        <v>0.41214165199999997</v>
      </c>
      <c r="P63" s="109">
        <f>O63/(1+Customisation!$H$21)^($A63-Customisation!$E$13)</f>
        <v>4.1605376005920999E-2</v>
      </c>
      <c r="Q63" s="53">
        <f>IF($A63&lt;Customisation!$H$13,G63,G63*(1-Customisation!$H$11*Customisation!$H$12))</f>
        <v>1.0059961599999998E-4</v>
      </c>
      <c r="R63" s="53">
        <f>IF($A63&lt;Customisation!$H$13,H63,H63*(1-Customisation!$H$11*Customisation!$H$12))</f>
        <v>1.0155452207803704E-5</v>
      </c>
      <c r="S63" s="53">
        <f>IF($A63&lt;Customisation!$H$13,I63,I63*(1-Customisation!$H$11*Customisation!$H$12))</f>
        <v>5.0299807999999991E-5</v>
      </c>
      <c r="T63" s="53">
        <f>IF($A63&lt;Customisation!$H$13,J63,J63*(1-Customisation!$H$11*Customisation!$H$12))</f>
        <v>5.0777261039018521E-6</v>
      </c>
      <c r="U63" s="53">
        <f>IF($A63&lt;Customisation!$H$13,K63,K63*(1-Customisation!$H$11*Customisation!$H$12))</f>
        <v>1.1361633814434061E-3</v>
      </c>
      <c r="V63" s="53">
        <f>IF($A63&lt;Customisation!$H$13,L63,L63*(1-Customisation!$H$11*Customisation!$H$12))</f>
        <v>1.039344355888456E-4</v>
      </c>
      <c r="W63" s="53">
        <f>IF($A63&lt;Customisation!$H$13,M63,M63*(1-Customisation!$H$11*Customisation!$H$12))</f>
        <v>6.5993348095999985E-5</v>
      </c>
      <c r="X63" s="53">
        <f>IF($A63&lt;Customisation!$H$13,N63,N63*(1-Customisation!$H$11*Customisation!$H$12))</f>
        <v>6.418435138608176E-6</v>
      </c>
      <c r="Y63" s="53">
        <f>IF($A63&lt;Customisation!$H$13,O63,O63*(1-Customisation!$H$11*Customisation!$H$12))</f>
        <v>0.1727697805184</v>
      </c>
      <c r="Z63" s="53">
        <f>IF($A63&lt;Customisation!$H$13,P63,P63*(1-Customisation!$H$11*Customisation!$H$12))</f>
        <v>1.7440973621682083E-2</v>
      </c>
      <c r="AA63" s="53">
        <f t="shared" ref="AA63:AJ63" si="81">G63-Q63</f>
        <v>1.3938038399999997E-4</v>
      </c>
      <c r="AB63" s="53">
        <f t="shared" si="81"/>
        <v>1.4070340272644062E-5</v>
      </c>
      <c r="AC63" s="53">
        <f t="shared" si="81"/>
        <v>6.9690191999999984E-5</v>
      </c>
      <c r="AD63" s="53">
        <f t="shared" si="81"/>
        <v>7.035170136322031E-6</v>
      </c>
      <c r="AE63" s="53">
        <f t="shared" si="81"/>
        <v>1.5741500284883832E-3</v>
      </c>
      <c r="AF63" s="53">
        <f t="shared" si="81"/>
        <v>1.4400076381202652E-4</v>
      </c>
      <c r="AG63" s="53">
        <f t="shared" si="81"/>
        <v>9.1433531903999975E-5</v>
      </c>
      <c r="AH63" s="53">
        <f t="shared" si="81"/>
        <v>8.8927173866975881E-6</v>
      </c>
      <c r="AI63" s="53">
        <f t="shared" si="81"/>
        <v>0.23937187148159997</v>
      </c>
      <c r="AJ63" s="53">
        <f t="shared" si="81"/>
        <v>2.4164402384238916E-2</v>
      </c>
      <c r="AK63" s="1"/>
      <c r="AL63" s="55">
        <f t="shared" si="7"/>
        <v>23.997999999999998</v>
      </c>
      <c r="AM63" s="55">
        <f t="shared" si="8"/>
        <v>10.059961599999998</v>
      </c>
      <c r="AN63" s="1"/>
      <c r="AO63" s="1"/>
      <c r="AP63" s="1"/>
      <c r="AQ63" s="1"/>
      <c r="AR63" s="1"/>
      <c r="AS63" s="1"/>
      <c r="AT63" s="1"/>
      <c r="AU63" s="1"/>
      <c r="AV63" s="1"/>
      <c r="AW63" s="1"/>
      <c r="AX63" s="1"/>
      <c r="AY63" s="53">
        <f>IF($A63&lt;Customisation!$H$13,G63,G63*(1-Customisation!$H$24*Customisation!$H$12))</f>
        <v>8.5816847999999993E-5</v>
      </c>
      <c r="AZ63" s="53">
        <f>IF($A63&lt;Customisation!$H$13,H63,H63*(1-Customisation!$H$24*Customisation!$H$12))</f>
        <v>8.6631433910081227E-6</v>
      </c>
      <c r="BA63" s="53">
        <f>IF($A63&lt;Customisation!$H$13,I63,I63*(1-Customisation!$H$24*Customisation!$H$12))</f>
        <v>4.2908423999999996E-5</v>
      </c>
      <c r="BB63" s="53">
        <f>IF($A63&lt;Customisation!$H$13,J63,J63*(1-Customisation!$H$24*Customisation!$H$12))</f>
        <v>4.3315716955040613E-6</v>
      </c>
      <c r="BC63" s="53">
        <f>IF($A63&lt;Customisation!$H$13,K63,K63*(1-Customisation!$H$24*Customisation!$H$12))</f>
        <v>9.6920807539160794E-4</v>
      </c>
      <c r="BD63" s="53">
        <f>IF($A63&lt;Customisation!$H$13,L63,L63*(1-Customisation!$H$24*Customisation!$H$12))</f>
        <v>8.8661627305751883E-5</v>
      </c>
      <c r="BE63" s="53">
        <f>IF($A63&lt;Customisation!$H$13,M63,M63*(1-Customisation!$H$24*Customisation!$H$12))</f>
        <v>5.629585228799999E-5</v>
      </c>
      <c r="BF63" s="53">
        <f>IF($A63&lt;Customisation!$H$13,N63,N63*(1-Customisation!$H$24*Customisation!$H$12))</f>
        <v>5.4752681430493414E-6</v>
      </c>
      <c r="BG63" s="53">
        <f>IF($A63&lt;Customisation!$H$13,O63,O63*(1-Customisation!$H$24*Customisation!$H$12))</f>
        <v>0.14738185475519999</v>
      </c>
      <c r="BH63" s="53">
        <f>IF($A63&lt;Customisation!$H$13,P63,P63*(1-Customisation!$H$24*Customisation!$H$12))</f>
        <v>1.487808245971735E-2</v>
      </c>
      <c r="BI63" s="53">
        <f t="shared" si="13"/>
        <v>1.4782767999999989E-5</v>
      </c>
      <c r="BJ63" s="53">
        <f t="shared" si="14"/>
        <v>1.4923088167955815E-6</v>
      </c>
      <c r="BK63" s="53">
        <f t="shared" si="15"/>
        <v>7.3913839999999946E-6</v>
      </c>
      <c r="BL63" s="53">
        <f t="shared" si="16"/>
        <v>7.4615440839779076E-7</v>
      </c>
      <c r="BM63" s="53">
        <f t="shared" si="17"/>
        <v>1.6695530605179815E-4</v>
      </c>
      <c r="BN63" s="53">
        <f t="shared" si="18"/>
        <v>1.5272808283093721E-5</v>
      </c>
      <c r="BO63" s="53">
        <f t="shared" si="19"/>
        <v>9.6974958079999949E-6</v>
      </c>
      <c r="BP63" s="53">
        <f t="shared" si="20"/>
        <v>9.4316699555883459E-7</v>
      </c>
      <c r="BQ63" s="53">
        <f t="shared" si="21"/>
        <v>2.5387925763200009E-2</v>
      </c>
      <c r="BR63" s="53">
        <f t="shared" si="22"/>
        <v>2.5628911619647327E-3</v>
      </c>
    </row>
    <row r="64" spans="1:70" ht="14.25" customHeight="1" x14ac:dyDescent="0.3">
      <c r="A64" s="1">
        <f t="shared" si="34"/>
        <v>60</v>
      </c>
      <c r="B64" s="52">
        <f>'Life table'!D62</f>
        <v>0.89119112775401987</v>
      </c>
      <c r="C64" s="52">
        <f>IF($A64&lt;Customisation!$H$13,0,B64)/LOOKUP(Customisation!$H$13,$A$4:$A$104,$B$4:$B$104)</f>
        <v>0.9038707567374733</v>
      </c>
      <c r="D64" s="1">
        <f>IF($A64&lt;=Customisation!$H$13,1,1/(1+Customisation!$H$21)^($A64-Customisation!$H$13))</f>
        <v>9.6142108987049613E-2</v>
      </c>
      <c r="E64" s="1">
        <f t="shared" si="11"/>
        <v>30.981015711271947</v>
      </c>
      <c r="F64" s="1">
        <f t="shared" si="2"/>
        <v>8.6900040804461162E-2</v>
      </c>
      <c r="G64" s="53">
        <f>'Age data'!M68*Customisation!$H$22</f>
        <v>2.2932999999999997E-4</v>
      </c>
      <c r="H64" s="53">
        <f t="shared" si="3"/>
        <v>2.2048269854000087E-5</v>
      </c>
      <c r="I64" s="53">
        <f>'Age data'!N68*Customisation!$H$22</f>
        <v>1.1714999999999999E-4</v>
      </c>
      <c r="J64" s="54">
        <f t="shared" si="4"/>
        <v>1.1263048067832862E-5</v>
      </c>
      <c r="K64" s="53">
        <f>I64*'Life table'!I62</f>
        <v>2.5491455830117691E-3</v>
      </c>
      <c r="L64" s="53">
        <f>J64*'Life table'!J62</f>
        <v>2.2473051852543534E-4</v>
      </c>
      <c r="M64" s="53">
        <f t="shared" si="5"/>
        <v>1.5129531999999999E-4</v>
      </c>
      <c r="N64" s="53">
        <f>((G64-I64)*$AW$5+I64*$AW$6)/(1+Customisation!$H$21)^($A64-Customisation!$E$13)</f>
        <v>1.4016275707429744E-5</v>
      </c>
      <c r="O64" s="53">
        <f>G64*Customisation!$H$17</f>
        <v>0.39385134199999999</v>
      </c>
      <c r="P64" s="109">
        <f>O64/(1+Customisation!$H$21)^($A64-Customisation!$E$13)</f>
        <v>3.7865698647259749E-2</v>
      </c>
      <c r="Q64" s="53">
        <f>IF($A64&lt;Customisation!$H$13,G64,G64*(1-Customisation!$H$11*Customisation!$H$12))</f>
        <v>9.6135135999999999E-5</v>
      </c>
      <c r="R64" s="53">
        <f>IF($A64&lt;Customisation!$H$13,H64,H64*(1-Customisation!$H$11*Customisation!$H$12))</f>
        <v>9.2426347227968376E-6</v>
      </c>
      <c r="S64" s="53">
        <f>IF($A64&lt;Customisation!$H$13,I64,I64*(1-Customisation!$H$11*Customisation!$H$12))</f>
        <v>4.910928E-5</v>
      </c>
      <c r="T64" s="53">
        <f>IF($A64&lt;Customisation!$H$13,J64,J64*(1-Customisation!$H$11*Customisation!$H$12))</f>
        <v>4.7214697500355358E-6</v>
      </c>
      <c r="U64" s="53">
        <f>IF($A64&lt;Customisation!$H$13,K64,K64*(1-Customisation!$H$11*Customisation!$H$12))</f>
        <v>1.0686018283985338E-3</v>
      </c>
      <c r="V64" s="53">
        <f>IF($A64&lt;Customisation!$H$13,L64,L64*(1-Customisation!$H$11*Customisation!$H$12))</f>
        <v>9.4207033365862496E-5</v>
      </c>
      <c r="W64" s="53">
        <f>IF($A64&lt;Customisation!$H$13,M64,M64*(1-Customisation!$H$11*Customisation!$H$12))</f>
        <v>6.3422998143999992E-5</v>
      </c>
      <c r="X64" s="53">
        <f>IF($A64&lt;Customisation!$H$13,N64,N64*(1-Customisation!$H$11*Customisation!$H$12))</f>
        <v>5.8756227765545488E-6</v>
      </c>
      <c r="Y64" s="53">
        <f>IF($A64&lt;Customisation!$H$13,O64,O64*(1-Customisation!$H$11*Customisation!$H$12))</f>
        <v>0.16510248256640001</v>
      </c>
      <c r="Z64" s="53">
        <f>IF($A64&lt;Customisation!$H$13,P64,P64*(1-Customisation!$H$11*Customisation!$H$12))</f>
        <v>1.5873300872931286E-2</v>
      </c>
      <c r="AA64" s="53">
        <f t="shared" ref="AA64:AJ64" si="82">G64-Q64</f>
        <v>1.3319486399999996E-4</v>
      </c>
      <c r="AB64" s="53">
        <f t="shared" si="82"/>
        <v>1.2805635131203249E-5</v>
      </c>
      <c r="AC64" s="53">
        <f t="shared" si="82"/>
        <v>6.8040719999999988E-5</v>
      </c>
      <c r="AD64" s="53">
        <f t="shared" si="82"/>
        <v>6.5415783177973259E-6</v>
      </c>
      <c r="AE64" s="53">
        <f t="shared" si="82"/>
        <v>1.4805437546132354E-3</v>
      </c>
      <c r="AF64" s="53">
        <f t="shared" si="82"/>
        <v>1.3052348515957285E-4</v>
      </c>
      <c r="AG64" s="53">
        <f t="shared" si="82"/>
        <v>8.7872321855999997E-5</v>
      </c>
      <c r="AH64" s="53">
        <f t="shared" si="82"/>
        <v>8.1406529308751959E-6</v>
      </c>
      <c r="AI64" s="53">
        <f t="shared" si="82"/>
        <v>0.22874885943359999</v>
      </c>
      <c r="AJ64" s="53">
        <f t="shared" si="82"/>
        <v>2.1992397774328463E-2</v>
      </c>
      <c r="AK64" s="1"/>
      <c r="AL64" s="55">
        <f t="shared" si="7"/>
        <v>22.932999999999996</v>
      </c>
      <c r="AM64" s="55">
        <f t="shared" si="8"/>
        <v>9.6135135999999992</v>
      </c>
      <c r="AN64" s="1"/>
      <c r="AO64" s="1"/>
      <c r="AP64" s="1"/>
      <c r="AQ64" s="1"/>
      <c r="AR64" s="1"/>
      <c r="AS64" s="1"/>
      <c r="AT64" s="1"/>
      <c r="AU64" s="1"/>
      <c r="AV64" s="1"/>
      <c r="AW64" s="1"/>
      <c r="AX64" s="1"/>
      <c r="AY64" s="53">
        <f>IF($A64&lt;Customisation!$H$13,G64,G64*(1-Customisation!$H$24*Customisation!$H$12))</f>
        <v>8.2008408000000001E-5</v>
      </c>
      <c r="AZ64" s="53">
        <f>IF($A64&lt;Customisation!$H$13,H64,H64*(1-Customisation!$H$24*Customisation!$H$12))</f>
        <v>7.8844612997904325E-6</v>
      </c>
      <c r="BA64" s="53">
        <f>IF($A64&lt;Customisation!$H$13,I64,I64*(1-Customisation!$H$24*Customisation!$H$12))</f>
        <v>4.1892839999999996E-5</v>
      </c>
      <c r="BB64" s="53">
        <f>IF($A64&lt;Customisation!$H$13,J64,J64*(1-Customisation!$H$24*Customisation!$H$12))</f>
        <v>4.0276659890570313E-6</v>
      </c>
      <c r="BC64" s="53">
        <f>IF($A64&lt;Customisation!$H$13,K64,K64*(1-Customisation!$H$24*Customisation!$H$12))</f>
        <v>9.115744604850087E-4</v>
      </c>
      <c r="BD64" s="53">
        <f>IF($A64&lt;Customisation!$H$13,L64,L64*(1-Customisation!$H$24*Customisation!$H$12))</f>
        <v>8.0363633424695687E-5</v>
      </c>
      <c r="BE64" s="53">
        <f>IF($A64&lt;Customisation!$H$13,M64,M64*(1-Customisation!$H$24*Customisation!$H$12))</f>
        <v>5.4103206432E-5</v>
      </c>
      <c r="BF64" s="53">
        <f>IF($A64&lt;Customisation!$H$13,N64,N64*(1-Customisation!$H$24*Customisation!$H$12))</f>
        <v>5.0122201929768768E-6</v>
      </c>
      <c r="BG64" s="53">
        <f>IF($A64&lt;Customisation!$H$13,O64,O64*(1-Customisation!$H$24*Customisation!$H$12))</f>
        <v>0.1408412398992</v>
      </c>
      <c r="BH64" s="53">
        <f>IF($A64&lt;Customisation!$H$13,P64,P64*(1-Customisation!$H$24*Customisation!$H$12))</f>
        <v>1.3540773836260088E-2</v>
      </c>
      <c r="BI64" s="53">
        <f t="shared" si="13"/>
        <v>1.4126727999999998E-5</v>
      </c>
      <c r="BJ64" s="53">
        <f t="shared" si="14"/>
        <v>1.3581734230064051E-6</v>
      </c>
      <c r="BK64" s="53">
        <f t="shared" si="15"/>
        <v>7.2164400000000037E-6</v>
      </c>
      <c r="BL64" s="53">
        <f t="shared" si="16"/>
        <v>6.9380376097850444E-7</v>
      </c>
      <c r="BM64" s="53">
        <f t="shared" si="17"/>
        <v>1.5702736791352507E-4</v>
      </c>
      <c r="BN64" s="53">
        <f t="shared" si="18"/>
        <v>1.384339994116681E-5</v>
      </c>
      <c r="BO64" s="53">
        <f t="shared" si="19"/>
        <v>9.3197917119999921E-6</v>
      </c>
      <c r="BP64" s="53">
        <f t="shared" si="20"/>
        <v>8.6340258357767204E-7</v>
      </c>
      <c r="BQ64" s="53">
        <f t="shared" si="21"/>
        <v>2.4261242667200006E-2</v>
      </c>
      <c r="BR64" s="53">
        <f t="shared" si="22"/>
        <v>2.3325270366711982E-3</v>
      </c>
    </row>
    <row r="65" spans="1:70" ht="14.25" customHeight="1" x14ac:dyDescent="0.3">
      <c r="A65" s="1">
        <f t="shared" si="34"/>
        <v>61</v>
      </c>
      <c r="B65" s="52">
        <f>'Life table'!D63</f>
        <v>0.88360709125683312</v>
      </c>
      <c r="C65" s="52">
        <f>IF($A65&lt;Customisation!$H$13,0,B65)/LOOKUP(Customisation!$H$13,$A$4:$A$104,$B$4:$B$104)</f>
        <v>0.89617881659763743</v>
      </c>
      <c r="D65" s="1">
        <f>IF($A65&lt;=Customisation!$H$13,1,1/(1+Customisation!$H$21)^($A65-Customisation!$H$13))</f>
        <v>9.1563913320999626E-2</v>
      </c>
      <c r="E65" s="1">
        <f t="shared" si="11"/>
        <v>31.077157820258996</v>
      </c>
      <c r="F65" s="1">
        <f t="shared" si="2"/>
        <v>8.2057639483062092E-2</v>
      </c>
      <c r="G65" s="53">
        <f>'Age data'!M69*Customisation!$H$22</f>
        <v>2.3785000000000001E-4</v>
      </c>
      <c r="H65" s="53">
        <f t="shared" si="3"/>
        <v>2.1778476783399762E-5</v>
      </c>
      <c r="I65" s="53">
        <f>'Age data'!N69*Customisation!$H$22</f>
        <v>1.2212E-4</v>
      </c>
      <c r="J65" s="54">
        <f t="shared" si="4"/>
        <v>1.1181785094760475E-5</v>
      </c>
      <c r="K65" s="53">
        <f>I65*'Life table'!I63</f>
        <v>2.5574547134112782E-3</v>
      </c>
      <c r="L65" s="53">
        <f>J65*'Life table'!J63</f>
        <v>2.1719559782975431E-4</v>
      </c>
      <c r="M65" s="53">
        <f t="shared" si="5"/>
        <v>1.5712868000000002E-4</v>
      </c>
      <c r="N65" s="53">
        <f>((G65-I65)*$AW$5+I65*$AW$6)/(1+Customisation!$H$21)^($A65-Customisation!$E$13)</f>
        <v>1.3864025515620769E-5</v>
      </c>
      <c r="O65" s="53">
        <f>G65*Customisation!$H$17</f>
        <v>0.40848359000000006</v>
      </c>
      <c r="P65" s="109">
        <f>O65/(1+Customisation!$H$21)^($A65-Customisation!$E$13)</f>
        <v>3.7402356027810751E-2</v>
      </c>
      <c r="Q65" s="53">
        <f>IF($A65&lt;Customisation!$H$13,G65,G65*(1-Customisation!$H$11*Customisation!$H$12))</f>
        <v>9.9706720000000007E-5</v>
      </c>
      <c r="R65" s="53">
        <f>IF($A65&lt;Customisation!$H$13,H65,H65*(1-Customisation!$H$11*Customisation!$H$12))</f>
        <v>9.12953746760118E-6</v>
      </c>
      <c r="S65" s="53">
        <f>IF($A65&lt;Customisation!$H$13,I65,I65*(1-Customisation!$H$11*Customisation!$H$12))</f>
        <v>5.1192704000000006E-5</v>
      </c>
      <c r="T65" s="53">
        <f>IF($A65&lt;Customisation!$H$13,J65,J65*(1-Customisation!$H$11*Customisation!$H$12))</f>
        <v>4.6874043117235917E-6</v>
      </c>
      <c r="U65" s="53">
        <f>IF($A65&lt;Customisation!$H$13,K65,K65*(1-Customisation!$H$11*Customisation!$H$12))</f>
        <v>1.0720850158620079E-3</v>
      </c>
      <c r="V65" s="53">
        <f>IF($A65&lt;Customisation!$H$13,L65,L65*(1-Customisation!$H$11*Customisation!$H$12))</f>
        <v>9.1048394610233012E-5</v>
      </c>
      <c r="W65" s="53">
        <f>IF($A65&lt;Customisation!$H$13,M65,M65*(1-Customisation!$H$11*Customisation!$H$12))</f>
        <v>6.586834265600001E-5</v>
      </c>
      <c r="X65" s="53">
        <f>IF($A65&lt;Customisation!$H$13,N65,N65*(1-Customisation!$H$11*Customisation!$H$12))</f>
        <v>5.8117994961482264E-6</v>
      </c>
      <c r="Y65" s="53">
        <f>IF($A65&lt;Customisation!$H$13,O65,O65*(1-Customisation!$H$11*Customisation!$H$12))</f>
        <v>0.17123632092800004</v>
      </c>
      <c r="Z65" s="53">
        <f>IF($A65&lt;Customisation!$H$13,P65,P65*(1-Customisation!$H$11*Customisation!$H$12))</f>
        <v>1.5679067646858266E-2</v>
      </c>
      <c r="AA65" s="53">
        <f t="shared" ref="AA65:AJ65" si="83">G65-Q65</f>
        <v>1.3814327999999999E-4</v>
      </c>
      <c r="AB65" s="53">
        <f t="shared" si="83"/>
        <v>1.2648939315798582E-5</v>
      </c>
      <c r="AC65" s="53">
        <f t="shared" si="83"/>
        <v>7.092729599999999E-5</v>
      </c>
      <c r="AD65" s="53">
        <f t="shared" si="83"/>
        <v>6.4943807830368835E-6</v>
      </c>
      <c r="AE65" s="53">
        <f t="shared" si="83"/>
        <v>1.4853696975492704E-3</v>
      </c>
      <c r="AF65" s="53">
        <f t="shared" si="83"/>
        <v>1.261472032195213E-4</v>
      </c>
      <c r="AG65" s="53">
        <f t="shared" si="83"/>
        <v>9.1260337344000015E-5</v>
      </c>
      <c r="AH65" s="53">
        <f t="shared" si="83"/>
        <v>8.0522260194725438E-6</v>
      </c>
      <c r="AI65" s="53">
        <f t="shared" si="83"/>
        <v>0.23724726907200003</v>
      </c>
      <c r="AJ65" s="53">
        <f t="shared" si="83"/>
        <v>2.1723288380952485E-2</v>
      </c>
      <c r="AK65" s="1"/>
      <c r="AL65" s="55">
        <f t="shared" si="7"/>
        <v>23.785</v>
      </c>
      <c r="AM65" s="55">
        <f t="shared" si="8"/>
        <v>9.9706720000000004</v>
      </c>
      <c r="AN65" s="1"/>
      <c r="AO65" s="1"/>
      <c r="AP65" s="1"/>
      <c r="AQ65" s="1"/>
      <c r="AR65" s="1"/>
      <c r="AS65" s="1"/>
      <c r="AT65" s="1"/>
      <c r="AU65" s="1"/>
      <c r="AV65" s="1"/>
      <c r="AW65" s="1"/>
      <c r="AX65" s="1"/>
      <c r="AY65" s="53">
        <f>IF($A65&lt;Customisation!$H$13,G65,G65*(1-Customisation!$H$24*Customisation!$H$12))</f>
        <v>8.5055160000000016E-5</v>
      </c>
      <c r="AZ65" s="53">
        <f>IF($A65&lt;Customisation!$H$13,H65,H65*(1-Customisation!$H$24*Customisation!$H$12))</f>
        <v>7.7879832977437556E-6</v>
      </c>
      <c r="BA65" s="53">
        <f>IF($A65&lt;Customisation!$H$13,I65,I65*(1-Customisation!$H$24*Customisation!$H$12))</f>
        <v>4.3670112000000007E-5</v>
      </c>
      <c r="BB65" s="53">
        <f>IF($A65&lt;Customisation!$H$13,J65,J65*(1-Customisation!$H$24*Customisation!$H$12))</f>
        <v>3.9986063498863465E-6</v>
      </c>
      <c r="BC65" s="53">
        <f>IF($A65&lt;Customisation!$H$13,K65,K65*(1-Customisation!$H$24*Customisation!$H$12))</f>
        <v>9.1454580551587319E-4</v>
      </c>
      <c r="BD65" s="53">
        <f>IF($A65&lt;Customisation!$H$13,L65,L65*(1-Customisation!$H$24*Customisation!$H$12))</f>
        <v>7.7669145783920151E-5</v>
      </c>
      <c r="BE65" s="53">
        <f>IF($A65&lt;Customisation!$H$13,M65,M65*(1-Customisation!$H$24*Customisation!$H$12))</f>
        <v>5.6189215968000015E-5</v>
      </c>
      <c r="BF65" s="53">
        <f>IF($A65&lt;Customisation!$H$13,N65,N65*(1-Customisation!$H$24*Customisation!$H$12))</f>
        <v>4.9577755243859878E-6</v>
      </c>
      <c r="BG65" s="53">
        <f>IF($A65&lt;Customisation!$H$13,O65,O65*(1-Customisation!$H$24*Customisation!$H$12))</f>
        <v>0.14607373178400004</v>
      </c>
      <c r="BH65" s="53">
        <f>IF($A65&lt;Customisation!$H$13,P65,P65*(1-Customisation!$H$24*Customisation!$H$12))</f>
        <v>1.3375082515545126E-2</v>
      </c>
      <c r="BI65" s="53">
        <f t="shared" si="13"/>
        <v>1.4651559999999991E-5</v>
      </c>
      <c r="BJ65" s="53">
        <f t="shared" si="14"/>
        <v>1.3415541698574244E-6</v>
      </c>
      <c r="BK65" s="53">
        <f t="shared" si="15"/>
        <v>7.5225919999999995E-6</v>
      </c>
      <c r="BL65" s="53">
        <f t="shared" si="16"/>
        <v>6.8879796183724526E-7</v>
      </c>
      <c r="BM65" s="53">
        <f t="shared" si="17"/>
        <v>1.5753921034613466E-4</v>
      </c>
      <c r="BN65" s="53">
        <f t="shared" si="18"/>
        <v>1.3379248826312861E-5</v>
      </c>
      <c r="BO65" s="53">
        <f t="shared" si="19"/>
        <v>9.6791266879999954E-6</v>
      </c>
      <c r="BP65" s="53">
        <f t="shared" si="20"/>
        <v>8.5402397176223862E-7</v>
      </c>
      <c r="BQ65" s="53">
        <f t="shared" si="21"/>
        <v>2.5162589143999992E-2</v>
      </c>
      <c r="BR65" s="53">
        <f t="shared" si="22"/>
        <v>2.3039851313131406E-3</v>
      </c>
    </row>
    <row r="66" spans="1:70" ht="14.25" customHeight="1" x14ac:dyDescent="0.3">
      <c r="A66" s="1">
        <f t="shared" si="34"/>
        <v>62</v>
      </c>
      <c r="B66" s="52">
        <f>'Life table'!D64</f>
        <v>0.8753276928117566</v>
      </c>
      <c r="C66" s="52">
        <f>IF($A66&lt;Customisation!$H$13,0,B66)/LOOKUP(Customisation!$H$13,$A$4:$A$104,$B$4:$B$104)</f>
        <v>0.88778162108611747</v>
      </c>
      <c r="D66" s="1">
        <f>IF($A66&lt;=Customisation!$H$13,1,1/(1+Customisation!$H$21)^($A66-Customisation!$H$13))</f>
        <v>8.7203726972380588E-2</v>
      </c>
      <c r="E66" s="1">
        <f t="shared" si="11"/>
        <v>31.168721733579996</v>
      </c>
      <c r="F66" s="1">
        <f t="shared" si="2"/>
        <v>7.7417866096291227E-2</v>
      </c>
      <c r="G66" s="53">
        <f>'Age data'!M70*Customisation!$H$22</f>
        <v>2.4779000000000001E-4</v>
      </c>
      <c r="H66" s="53">
        <f t="shared" si="3"/>
        <v>2.1608211506486188E-5</v>
      </c>
      <c r="I66" s="53">
        <f>'Age data'!N70*Customisation!$H$22</f>
        <v>1.2708999999999998E-4</v>
      </c>
      <c r="J66" s="54">
        <f t="shared" si="4"/>
        <v>1.1082721660919846E-5</v>
      </c>
      <c r="K66" s="53">
        <f>I66*'Life table'!I64</f>
        <v>2.5590206124668298E-3</v>
      </c>
      <c r="L66" s="53">
        <f>J66*'Life table'!J64</f>
        <v>2.0922055812614741E-4</v>
      </c>
      <c r="M66" s="53">
        <f t="shared" si="5"/>
        <v>1.6364932E-4</v>
      </c>
      <c r="N66" s="53">
        <f>((G66-I66)*$AW$5+I66*$AW$6)/(1+Customisation!$H$21)^($A66-Customisation!$E$13)</f>
        <v>1.3751670774681591E-5</v>
      </c>
      <c r="O66" s="53">
        <f>G66*Customisation!$H$17</f>
        <v>0.42555454600000003</v>
      </c>
      <c r="P66" s="109">
        <f>O66/(1+Customisation!$H$21)^($A66-Customisation!$E$13)</f>
        <v>3.7109942441239378E-2</v>
      </c>
      <c r="Q66" s="53">
        <f>IF($A66&lt;Customisation!$H$13,G66,G66*(1-Customisation!$H$11*Customisation!$H$12))</f>
        <v>1.0387356800000001E-4</v>
      </c>
      <c r="R66" s="53">
        <f>IF($A66&lt;Customisation!$H$13,H66,H66*(1-Customisation!$H$11*Customisation!$H$12))</f>
        <v>9.0581622635190109E-6</v>
      </c>
      <c r="S66" s="53">
        <f>IF($A66&lt;Customisation!$H$13,I66,I66*(1-Customisation!$H$11*Customisation!$H$12))</f>
        <v>5.3276127999999993E-5</v>
      </c>
      <c r="T66" s="53">
        <f>IF($A66&lt;Customisation!$H$13,J66,J66*(1-Customisation!$H$11*Customisation!$H$12))</f>
        <v>4.6458769202575996E-6</v>
      </c>
      <c r="U66" s="53">
        <f>IF($A66&lt;Customisation!$H$13,K66,K66*(1-Customisation!$H$11*Customisation!$H$12))</f>
        <v>1.0727414407460951E-3</v>
      </c>
      <c r="V66" s="53">
        <f>IF($A66&lt;Customisation!$H$13,L66,L66*(1-Customisation!$H$11*Customisation!$H$12))</f>
        <v>8.7705257966480996E-5</v>
      </c>
      <c r="W66" s="53">
        <f>IF($A66&lt;Customisation!$H$13,M66,M66*(1-Customisation!$H$11*Customisation!$H$12))</f>
        <v>6.8601794944000006E-5</v>
      </c>
      <c r="X66" s="53">
        <f>IF($A66&lt;Customisation!$H$13,N66,N66*(1-Customisation!$H$11*Customisation!$H$12))</f>
        <v>5.7647003887465234E-6</v>
      </c>
      <c r="Y66" s="53">
        <f>IF($A66&lt;Customisation!$H$13,O66,O66*(1-Customisation!$H$11*Customisation!$H$12))</f>
        <v>0.17839246568320002</v>
      </c>
      <c r="Z66" s="53">
        <f>IF($A66&lt;Customisation!$H$13,P66,P66*(1-Customisation!$H$11*Customisation!$H$12))</f>
        <v>1.5556487871367548E-2</v>
      </c>
      <c r="AA66" s="53">
        <f t="shared" ref="AA66:AJ66" si="84">G66-Q66</f>
        <v>1.4391643200000002E-4</v>
      </c>
      <c r="AB66" s="53">
        <f t="shared" si="84"/>
        <v>1.2550049242967177E-5</v>
      </c>
      <c r="AC66" s="53">
        <f t="shared" si="84"/>
        <v>7.3813871999999978E-5</v>
      </c>
      <c r="AD66" s="53">
        <f t="shared" si="84"/>
        <v>6.4368447406622468E-6</v>
      </c>
      <c r="AE66" s="53">
        <f t="shared" si="84"/>
        <v>1.4862791717207347E-3</v>
      </c>
      <c r="AF66" s="53">
        <f t="shared" si="84"/>
        <v>1.2151530015966641E-4</v>
      </c>
      <c r="AG66" s="53">
        <f t="shared" si="84"/>
        <v>9.5047525055999994E-5</v>
      </c>
      <c r="AH66" s="53">
        <f t="shared" si="84"/>
        <v>7.9869703859350663E-6</v>
      </c>
      <c r="AI66" s="53">
        <f t="shared" si="84"/>
        <v>0.24716208031680001</v>
      </c>
      <c r="AJ66" s="53">
        <f t="shared" si="84"/>
        <v>2.155345456987183E-2</v>
      </c>
      <c r="AK66" s="1"/>
      <c r="AL66" s="55">
        <f t="shared" si="7"/>
        <v>24.779</v>
      </c>
      <c r="AM66" s="55">
        <f t="shared" si="8"/>
        <v>10.387356800000001</v>
      </c>
      <c r="AN66" s="1"/>
      <c r="AO66" s="1"/>
      <c r="AP66" s="1"/>
      <c r="AQ66" s="1"/>
      <c r="AR66" s="1"/>
      <c r="AS66" s="1"/>
      <c r="AT66" s="1"/>
      <c r="AU66" s="1"/>
      <c r="AV66" s="1"/>
      <c r="AW66" s="1"/>
      <c r="AX66" s="1"/>
      <c r="AY66" s="53">
        <f>IF($A66&lt;Customisation!$H$13,G66,G66*(1-Customisation!$H$24*Customisation!$H$12))</f>
        <v>8.8609704000000011E-5</v>
      </c>
      <c r="AZ66" s="53">
        <f>IF($A66&lt;Customisation!$H$13,H66,H66*(1-Customisation!$H$24*Customisation!$H$12))</f>
        <v>7.7270964347194618E-6</v>
      </c>
      <c r="BA66" s="53">
        <f>IF($A66&lt;Customisation!$H$13,I66,I66*(1-Customisation!$H$24*Customisation!$H$12))</f>
        <v>4.5447383999999997E-5</v>
      </c>
      <c r="BB66" s="53">
        <f>IF($A66&lt;Customisation!$H$13,J66,J66*(1-Customisation!$H$24*Customisation!$H$12))</f>
        <v>3.9631812659449378E-6</v>
      </c>
      <c r="BC66" s="53">
        <f>IF($A66&lt;Customisation!$H$13,K66,K66*(1-Customisation!$H$24*Customisation!$H$12))</f>
        <v>9.1510577101813837E-4</v>
      </c>
      <c r="BD66" s="53">
        <f>IF($A66&lt;Customisation!$H$13,L66,L66*(1-Customisation!$H$24*Customisation!$H$12))</f>
        <v>7.4817271585910322E-5</v>
      </c>
      <c r="BE66" s="53">
        <f>IF($A66&lt;Customisation!$H$13,M66,M66*(1-Customisation!$H$24*Customisation!$H$12))</f>
        <v>5.8520996832000003E-5</v>
      </c>
      <c r="BF66" s="53">
        <f>IF($A66&lt;Customisation!$H$13,N66,N66*(1-Customisation!$H$24*Customisation!$H$12))</f>
        <v>4.9175974690261371E-6</v>
      </c>
      <c r="BG66" s="53">
        <f>IF($A66&lt;Customisation!$H$13,O66,O66*(1-Customisation!$H$24*Customisation!$H$12))</f>
        <v>0.15217830564960003</v>
      </c>
      <c r="BH66" s="53">
        <f>IF($A66&lt;Customisation!$H$13,P66,P66*(1-Customisation!$H$24*Customisation!$H$12))</f>
        <v>1.3270515416987204E-2</v>
      </c>
      <c r="BI66" s="53">
        <f t="shared" si="13"/>
        <v>1.5263863999999996E-5</v>
      </c>
      <c r="BJ66" s="53">
        <f t="shared" si="14"/>
        <v>1.3310658287995491E-6</v>
      </c>
      <c r="BK66" s="53">
        <f t="shared" si="15"/>
        <v>7.8287439999999954E-6</v>
      </c>
      <c r="BL66" s="53">
        <f t="shared" si="16"/>
        <v>6.8269565431266183E-7</v>
      </c>
      <c r="BM66" s="53">
        <f t="shared" si="17"/>
        <v>1.5763566972795673E-4</v>
      </c>
      <c r="BN66" s="53">
        <f t="shared" si="18"/>
        <v>1.2887986380570674E-5</v>
      </c>
      <c r="BO66" s="53">
        <f t="shared" si="19"/>
        <v>1.0080798112000003E-5</v>
      </c>
      <c r="BP66" s="53">
        <f t="shared" si="20"/>
        <v>8.4710291972038628E-7</v>
      </c>
      <c r="BQ66" s="53">
        <f t="shared" si="21"/>
        <v>2.6214160033599998E-2</v>
      </c>
      <c r="BR66" s="53">
        <f t="shared" si="22"/>
        <v>2.2859724543803448E-3</v>
      </c>
    </row>
    <row r="67" spans="1:70" ht="14.25" customHeight="1" x14ac:dyDescent="0.3">
      <c r="A67" s="1">
        <f t="shared" si="34"/>
        <v>63</v>
      </c>
      <c r="B67" s="52">
        <f>'Life table'!D65</f>
        <v>0.86632057085272363</v>
      </c>
      <c r="C67" s="52">
        <f>IF($A67&lt;Customisation!$H$13,0,B67)/LOOKUP(Customisation!$H$13,$A$4:$A$104,$B$4:$B$104)</f>
        <v>0.87864634820514143</v>
      </c>
      <c r="D67" s="1">
        <f>IF($A67&lt;=Customisation!$H$13,1,1/(1+Customisation!$H$21)^($A67-Customisation!$H$13))</f>
        <v>8.3051168545124371E-2</v>
      </c>
      <c r="E67" s="1">
        <f t="shared" si="11"/>
        <v>31.255925460552376</v>
      </c>
      <c r="F67" s="1">
        <f t="shared" si="2"/>
        <v>7.2972605956343237E-2</v>
      </c>
      <c r="G67" s="53">
        <f>'Age data'!M71*Customisation!$H$22</f>
        <v>2.5914999999999998E-4</v>
      </c>
      <c r="H67" s="53">
        <f t="shared" si="3"/>
        <v>2.1522710328468979E-5</v>
      </c>
      <c r="I67" s="53">
        <f>'Age data'!N71*Customisation!$H$22</f>
        <v>1.3276999999999999E-4</v>
      </c>
      <c r="J67" s="54">
        <f t="shared" si="4"/>
        <v>1.1026703647736161E-5</v>
      </c>
      <c r="K67" s="53">
        <f>I67*'Life table'!I65</f>
        <v>2.5677252431805246E-3</v>
      </c>
      <c r="L67" s="53">
        <f>J67*'Life table'!J65</f>
        <v>2.0197695235550832E-4</v>
      </c>
      <c r="M67" s="53">
        <f t="shared" si="5"/>
        <v>1.7110147999999998E-4</v>
      </c>
      <c r="N67" s="53">
        <f>((G67-I67)*$AW$5+I67*$AW$6)/(1+Customisation!$H$21)^($A67-Customisation!$E$13)</f>
        <v>1.3693114425172516E-5</v>
      </c>
      <c r="O67" s="53">
        <f>G67*Customisation!$H$17</f>
        <v>0.44506421000000002</v>
      </c>
      <c r="P67" s="109">
        <f>O67/(1+Customisation!$H$21)^($A67-Customisation!$E$13)</f>
        <v>3.696310271811263E-2</v>
      </c>
      <c r="Q67" s="53">
        <f>IF($A67&lt;Customisation!$H$13,G67,G67*(1-Customisation!$H$11*Customisation!$H$12))</f>
        <v>1.0863568E-4</v>
      </c>
      <c r="R67" s="53">
        <f>IF($A67&lt;Customisation!$H$13,H67,H67*(1-Customisation!$H$11*Customisation!$H$12))</f>
        <v>9.0223201696941958E-6</v>
      </c>
      <c r="S67" s="53">
        <f>IF($A67&lt;Customisation!$H$13,I67,I67*(1-Customisation!$H$11*Customisation!$H$12))</f>
        <v>5.5657183999999996E-5</v>
      </c>
      <c r="T67" s="53">
        <f>IF($A67&lt;Customisation!$H$13,J67,J67*(1-Customisation!$H$11*Customisation!$H$12))</f>
        <v>4.6223941691309991E-6</v>
      </c>
      <c r="U67" s="53">
        <f>IF($A67&lt;Customisation!$H$13,K67,K67*(1-Customisation!$H$11*Customisation!$H$12))</f>
        <v>1.076390421941276E-3</v>
      </c>
      <c r="V67" s="53">
        <f>IF($A67&lt;Customisation!$H$13,L67,L67*(1-Customisation!$H$11*Customisation!$H$12))</f>
        <v>8.466873842742909E-5</v>
      </c>
      <c r="W67" s="53">
        <f>IF($A67&lt;Customisation!$H$13,M67,M67*(1-Customisation!$H$11*Customisation!$H$12))</f>
        <v>7.1725740415999991E-5</v>
      </c>
      <c r="X67" s="53">
        <f>IF($A67&lt;Customisation!$H$13,N67,N67*(1-Customisation!$H$11*Customisation!$H$12))</f>
        <v>5.7401535670323189E-6</v>
      </c>
      <c r="Y67" s="53">
        <f>IF($A67&lt;Customisation!$H$13,O67,O67*(1-Customisation!$H$11*Customisation!$H$12))</f>
        <v>0.18657091683200003</v>
      </c>
      <c r="Z67" s="53">
        <f>IF($A67&lt;Customisation!$H$13,P67,P67*(1-Customisation!$H$11*Customisation!$H$12))</f>
        <v>1.5494932659432815E-2</v>
      </c>
      <c r="AA67" s="53">
        <f t="shared" ref="AA67:AJ67" si="85">G67-Q67</f>
        <v>1.5051432E-4</v>
      </c>
      <c r="AB67" s="53">
        <f t="shared" si="85"/>
        <v>1.2500390158774783E-5</v>
      </c>
      <c r="AC67" s="53">
        <f t="shared" si="85"/>
        <v>7.7112815999999995E-5</v>
      </c>
      <c r="AD67" s="53">
        <f t="shared" si="85"/>
        <v>6.4043094786051624E-6</v>
      </c>
      <c r="AE67" s="53">
        <f t="shared" si="85"/>
        <v>1.4913348212392487E-3</v>
      </c>
      <c r="AF67" s="53">
        <f t="shared" si="85"/>
        <v>1.1730821392807923E-4</v>
      </c>
      <c r="AG67" s="53">
        <f t="shared" si="85"/>
        <v>9.9375739583999989E-5</v>
      </c>
      <c r="AH67" s="53">
        <f t="shared" si="85"/>
        <v>7.9529608581401958E-6</v>
      </c>
      <c r="AI67" s="53">
        <f t="shared" si="85"/>
        <v>0.25849329316799996</v>
      </c>
      <c r="AJ67" s="53">
        <f t="shared" si="85"/>
        <v>2.1468170058679813E-2</v>
      </c>
      <c r="AK67" s="1"/>
      <c r="AL67" s="55">
        <f t="shared" si="7"/>
        <v>25.914999999999999</v>
      </c>
      <c r="AM67" s="55">
        <f t="shared" si="8"/>
        <v>10.863568000000001</v>
      </c>
      <c r="AN67" s="1"/>
      <c r="AO67" s="1"/>
      <c r="AP67" s="1"/>
      <c r="AQ67" s="1"/>
      <c r="AR67" s="1"/>
      <c r="AS67" s="1"/>
      <c r="AT67" s="1"/>
      <c r="AU67" s="1"/>
      <c r="AV67" s="1"/>
      <c r="AW67" s="1"/>
      <c r="AX67" s="1"/>
      <c r="AY67" s="53">
        <f>IF($A67&lt;Customisation!$H$13,G67,G67*(1-Customisation!$H$24*Customisation!$H$12))</f>
        <v>9.2672039999999999E-5</v>
      </c>
      <c r="AZ67" s="53">
        <f>IF($A67&lt;Customisation!$H$13,H67,H67*(1-Customisation!$H$24*Customisation!$H$12))</f>
        <v>7.6965212134605078E-6</v>
      </c>
      <c r="BA67" s="53">
        <f>IF($A67&lt;Customisation!$H$13,I67,I67*(1-Customisation!$H$24*Customisation!$H$12))</f>
        <v>4.7478551999999998E-5</v>
      </c>
      <c r="BB67" s="53">
        <f>IF($A67&lt;Customisation!$H$13,J67,J67*(1-Customisation!$H$24*Customisation!$H$12))</f>
        <v>3.9431492244304514E-6</v>
      </c>
      <c r="BC67" s="53">
        <f>IF($A67&lt;Customisation!$H$13,K67,K67*(1-Customisation!$H$24*Customisation!$H$12))</f>
        <v>9.1821854696135571E-4</v>
      </c>
      <c r="BD67" s="53">
        <f>IF($A67&lt;Customisation!$H$13,L67,L67*(1-Customisation!$H$24*Customisation!$H$12))</f>
        <v>7.2226958162329775E-5</v>
      </c>
      <c r="BE67" s="53">
        <f>IF($A67&lt;Customisation!$H$13,M67,M67*(1-Customisation!$H$24*Customisation!$H$12))</f>
        <v>6.1185889248000001E-5</v>
      </c>
      <c r="BF67" s="53">
        <f>IF($A67&lt;Customisation!$H$13,N67,N67*(1-Customisation!$H$24*Customisation!$H$12))</f>
        <v>4.8966577184416923E-6</v>
      </c>
      <c r="BG67" s="53">
        <f>IF($A67&lt;Customisation!$H$13,O67,O67*(1-Customisation!$H$24*Customisation!$H$12))</f>
        <v>0.15915496149600003</v>
      </c>
      <c r="BH67" s="53">
        <f>IF($A67&lt;Customisation!$H$13,P67,P67*(1-Customisation!$H$24*Customisation!$H$12))</f>
        <v>1.3218005531997078E-2</v>
      </c>
      <c r="BI67" s="53">
        <f t="shared" si="13"/>
        <v>1.596364E-5</v>
      </c>
      <c r="BJ67" s="53">
        <f t="shared" si="14"/>
        <v>1.325798956233688E-6</v>
      </c>
      <c r="BK67" s="53">
        <f t="shared" si="15"/>
        <v>8.1786319999999974E-6</v>
      </c>
      <c r="BL67" s="53">
        <f t="shared" si="16"/>
        <v>6.7924494470054768E-7</v>
      </c>
      <c r="BM67" s="53">
        <f t="shared" si="17"/>
        <v>1.5817187497992025E-4</v>
      </c>
      <c r="BN67" s="53">
        <f t="shared" si="18"/>
        <v>1.2441780265099315E-5</v>
      </c>
      <c r="BO67" s="53">
        <f t="shared" si="19"/>
        <v>1.0539851167999989E-5</v>
      </c>
      <c r="BP67" s="53">
        <f t="shared" si="20"/>
        <v>8.4349584859062657E-7</v>
      </c>
      <c r="BQ67" s="53">
        <f t="shared" si="21"/>
        <v>2.7415955335999997E-2</v>
      </c>
      <c r="BR67" s="53">
        <f t="shared" si="22"/>
        <v>2.2769271274357371E-3</v>
      </c>
    </row>
    <row r="68" spans="1:70" ht="14.25" customHeight="1" x14ac:dyDescent="0.3">
      <c r="A68" s="1">
        <f t="shared" si="34"/>
        <v>64</v>
      </c>
      <c r="B68" s="52">
        <f>'Life table'!D66</f>
        <v>0.85659179084204762</v>
      </c>
      <c r="C68" s="52">
        <f>IF($A68&lt;Customisation!$H$13,0,B68)/LOOKUP(Customisation!$H$13,$A$4:$A$104,$B$4:$B$104)</f>
        <v>0.86877914971479775</v>
      </c>
      <c r="D68" s="1">
        <f>IF($A68&lt;=Customisation!$H$13,1,1/(1+Customisation!$H$21)^($A68-Customisation!$H$13))</f>
        <v>7.9096350995356543E-2</v>
      </c>
      <c r="E68" s="1">
        <f t="shared" si="11"/>
        <v>31.338976629097502</v>
      </c>
      <c r="F68" s="1">
        <f t="shared" si="2"/>
        <v>6.8717260563289057E-2</v>
      </c>
      <c r="G68" s="53">
        <f>'Age data'!M72*Customisation!$H$22</f>
        <v>2.7050999999999996E-4</v>
      </c>
      <c r="H68" s="53">
        <f t="shared" si="3"/>
        <v>2.1396353907753895E-5</v>
      </c>
      <c r="I68" s="53">
        <f>'Age data'!N72*Customisation!$H$22</f>
        <v>1.3844999999999998E-4</v>
      </c>
      <c r="J68" s="54">
        <f t="shared" si="4"/>
        <v>1.0950889795307112E-5</v>
      </c>
      <c r="K68" s="53">
        <f>I68*'Life table'!I66</f>
        <v>2.5687488983231008E-3</v>
      </c>
      <c r="L68" s="53">
        <f>J68*'Life table'!J66</f>
        <v>1.9429723063566539E-4</v>
      </c>
      <c r="M68" s="53">
        <f t="shared" si="5"/>
        <v>1.7855363999999999E-4</v>
      </c>
      <c r="N68" s="53">
        <f>((G68-I68)*$AW$5+I68*$AW$6)/(1+Customisation!$H$21)^($A68-Customisation!$E$13)</f>
        <v>1.3608951943928066E-5</v>
      </c>
      <c r="O68" s="53">
        <f>G68*Customisation!$H$17</f>
        <v>0.46457387399999994</v>
      </c>
      <c r="P68" s="109">
        <f>O68/(1+Customisation!$H$21)^($A68-Customisation!$E$13)</f>
        <v>3.6746098201176539E-2</v>
      </c>
      <c r="Q68" s="53">
        <f>IF($A68&lt;Customisation!$H$13,G68,G68*(1-Customisation!$H$11*Customisation!$H$12))</f>
        <v>1.1339779199999999E-4</v>
      </c>
      <c r="R68" s="53">
        <f>IF($A68&lt;Customisation!$H$13,H68,H68*(1-Customisation!$H$11*Customisation!$H$12))</f>
        <v>8.9693515581304328E-6</v>
      </c>
      <c r="S68" s="53">
        <f>IF($A68&lt;Customisation!$H$13,I68,I68*(1-Customisation!$H$11*Customisation!$H$12))</f>
        <v>5.8038239999999992E-5</v>
      </c>
      <c r="T68" s="53">
        <f>IF($A68&lt;Customisation!$H$13,J68,J68*(1-Customisation!$H$11*Customisation!$H$12))</f>
        <v>4.5906130021927416E-6</v>
      </c>
      <c r="U68" s="53">
        <f>IF($A68&lt;Customisation!$H$13,K68,K68*(1-Customisation!$H$11*Customisation!$H$12))</f>
        <v>1.0768195381770439E-3</v>
      </c>
      <c r="V68" s="53">
        <f>IF($A68&lt;Customisation!$H$13,L68,L68*(1-Customisation!$H$11*Customisation!$H$12))</f>
        <v>8.144939908247094E-5</v>
      </c>
      <c r="W68" s="53">
        <f>IF($A68&lt;Customisation!$H$13,M68,M68*(1-Customisation!$H$11*Customisation!$H$12))</f>
        <v>7.4849685888000002E-5</v>
      </c>
      <c r="X68" s="53">
        <f>IF($A68&lt;Customisation!$H$13,N68,N68*(1-Customisation!$H$11*Customisation!$H$12))</f>
        <v>5.704872654894645E-6</v>
      </c>
      <c r="Y68" s="53">
        <f>IF($A68&lt;Customisation!$H$13,O68,O68*(1-Customisation!$H$11*Customisation!$H$12))</f>
        <v>0.19474936798079998</v>
      </c>
      <c r="Z68" s="53">
        <f>IF($A68&lt;Customisation!$H$13,P68,P68*(1-Customisation!$H$11*Customisation!$H$12))</f>
        <v>1.5403964365933205E-2</v>
      </c>
      <c r="AA68" s="53">
        <f t="shared" ref="AA68:AJ68" si="86">G68-Q68</f>
        <v>1.5711220799999998E-4</v>
      </c>
      <c r="AB68" s="53">
        <f t="shared" si="86"/>
        <v>1.2427002349623463E-5</v>
      </c>
      <c r="AC68" s="53">
        <f t="shared" si="86"/>
        <v>8.0411759999999985E-5</v>
      </c>
      <c r="AD68" s="53">
        <f t="shared" si="86"/>
        <v>6.3602767931143705E-6</v>
      </c>
      <c r="AE68" s="53">
        <f t="shared" si="86"/>
        <v>1.491929360146057E-3</v>
      </c>
      <c r="AF68" s="53">
        <f t="shared" si="86"/>
        <v>1.1284783155319445E-4</v>
      </c>
      <c r="AG68" s="53">
        <f t="shared" si="86"/>
        <v>1.0370395411199998E-4</v>
      </c>
      <c r="AH68" s="53">
        <f t="shared" si="86"/>
        <v>7.9040792890334205E-6</v>
      </c>
      <c r="AI68" s="53">
        <f t="shared" si="86"/>
        <v>0.26982450601919994</v>
      </c>
      <c r="AJ68" s="53">
        <f t="shared" si="86"/>
        <v>2.1342133835243332E-2</v>
      </c>
      <c r="AK68" s="1"/>
      <c r="AL68" s="55">
        <f t="shared" si="7"/>
        <v>27.050999999999995</v>
      </c>
      <c r="AM68" s="55">
        <f t="shared" si="8"/>
        <v>11.339779199999999</v>
      </c>
      <c r="AN68" s="1"/>
      <c r="AO68" s="1"/>
      <c r="AP68" s="1"/>
      <c r="AQ68" s="1"/>
      <c r="AR68" s="1"/>
      <c r="AS68" s="1"/>
      <c r="AT68" s="1"/>
      <c r="AU68" s="1"/>
      <c r="AV68" s="1"/>
      <c r="AW68" s="1"/>
      <c r="AX68" s="1"/>
      <c r="AY68" s="53">
        <f>IF($A68&lt;Customisation!$H$13,G68,G68*(1-Customisation!$H$24*Customisation!$H$12))</f>
        <v>9.6734375999999987E-5</v>
      </c>
      <c r="AZ68" s="53">
        <f>IF($A68&lt;Customisation!$H$13,H68,H68*(1-Customisation!$H$24*Customisation!$H$12))</f>
        <v>7.6513361574127936E-6</v>
      </c>
      <c r="BA68" s="53">
        <f>IF($A68&lt;Customisation!$H$13,I68,I68*(1-Customisation!$H$24*Customisation!$H$12))</f>
        <v>4.9509719999999993E-5</v>
      </c>
      <c r="BB68" s="53">
        <f>IF($A68&lt;Customisation!$H$13,J68,J68*(1-Customisation!$H$24*Customisation!$H$12))</f>
        <v>3.9160381908018235E-6</v>
      </c>
      <c r="BC68" s="53">
        <f>IF($A68&lt;Customisation!$H$13,K68,K68*(1-Customisation!$H$24*Customisation!$H$12))</f>
        <v>9.1858460604034092E-4</v>
      </c>
      <c r="BD68" s="53">
        <f>IF($A68&lt;Customisation!$H$13,L68,L68*(1-Customisation!$H$24*Customisation!$H$12))</f>
        <v>6.9480689675313948E-5</v>
      </c>
      <c r="BE68" s="53">
        <f>IF($A68&lt;Customisation!$H$13,M68,M68*(1-Customisation!$H$24*Customisation!$H$12))</f>
        <v>6.3850781664E-5</v>
      </c>
      <c r="BF68" s="53">
        <f>IF($A68&lt;Customisation!$H$13,N68,N68*(1-Customisation!$H$24*Customisation!$H$12))</f>
        <v>4.8665612151486769E-6</v>
      </c>
      <c r="BG68" s="53">
        <f>IF($A68&lt;Customisation!$H$13,O68,O68*(1-Customisation!$H$24*Customisation!$H$12))</f>
        <v>0.16613161734240001</v>
      </c>
      <c r="BH68" s="53">
        <f>IF($A68&lt;Customisation!$H$13,P68,P68*(1-Customisation!$H$24*Customisation!$H$12))</f>
        <v>1.3140404716740731E-2</v>
      </c>
      <c r="BI68" s="53">
        <f t="shared" si="13"/>
        <v>1.6663416000000004E-5</v>
      </c>
      <c r="BJ68" s="53">
        <f t="shared" si="14"/>
        <v>1.3180154007176392E-6</v>
      </c>
      <c r="BK68" s="53">
        <f t="shared" si="15"/>
        <v>8.5285199999999994E-6</v>
      </c>
      <c r="BL68" s="53">
        <f t="shared" si="16"/>
        <v>6.7457481139091806E-7</v>
      </c>
      <c r="BM68" s="53">
        <f t="shared" si="17"/>
        <v>1.5823493213670294E-4</v>
      </c>
      <c r="BN68" s="53">
        <f t="shared" si="18"/>
        <v>1.1968709407156992E-5</v>
      </c>
      <c r="BO68" s="53">
        <f t="shared" si="19"/>
        <v>1.0998904224000002E-5</v>
      </c>
      <c r="BP68" s="53">
        <f t="shared" si="20"/>
        <v>8.3831143974596813E-7</v>
      </c>
      <c r="BQ68" s="53">
        <f t="shared" si="21"/>
        <v>2.8617750638399969E-2</v>
      </c>
      <c r="BR68" s="53">
        <f t="shared" si="22"/>
        <v>2.2635596491924741E-3</v>
      </c>
    </row>
    <row r="69" spans="1:70" ht="14.25" customHeight="1" x14ac:dyDescent="0.3">
      <c r="A69" s="1">
        <f t="shared" si="34"/>
        <v>65</v>
      </c>
      <c r="B69" s="52">
        <f>'Life table'!D67</f>
        <v>0.84614993691168305</v>
      </c>
      <c r="C69" s="52">
        <f>IF($A69&lt;Customisation!$H$13,0,B69)/LOOKUP(Customisation!$H$13,$A$4:$A$104,$B$4:$B$104)</f>
        <v>0.85818873187977429</v>
      </c>
      <c r="D69" s="1">
        <f>IF($A69&lt;=Customisation!$H$13,1,1/(1+Customisation!$H$21)^($A69-Customisation!$H$13))</f>
        <v>7.5329858090815757E-2</v>
      </c>
      <c r="E69" s="1">
        <f t="shared" si="11"/>
        <v>31.418072980092859</v>
      </c>
      <c r="F69" s="1">
        <f t="shared" si="2"/>
        <v>6.4647235387640528E-2</v>
      </c>
      <c r="G69" s="53">
        <f>'Age data'!M73*Customisation!$H$22</f>
        <v>2.4849999999999997E-4</v>
      </c>
      <c r="H69" s="53">
        <f t="shared" si="3"/>
        <v>1.8719469735567712E-5</v>
      </c>
      <c r="I69" s="53">
        <f>'Age data'!N73*Customisation!$H$22</f>
        <v>1.3276999999999999E-4</v>
      </c>
      <c r="J69" s="54">
        <f t="shared" si="4"/>
        <v>1.0001545258717607E-5</v>
      </c>
      <c r="K69" s="53">
        <f>I69*'Life table'!I67</f>
        <v>2.3601740833616648E-3</v>
      </c>
      <c r="L69" s="53">
        <f>J69*'Life table'!J67</f>
        <v>1.7156939589882639E-4</v>
      </c>
      <c r="M69" s="53">
        <f t="shared" si="5"/>
        <v>1.6594687999999999E-4</v>
      </c>
      <c r="N69" s="53">
        <f>((G69-I69)*$AW$5+I69*$AW$6)/(1+Customisation!$H$21)^($A69-Customisation!$E$13)</f>
        <v>1.204961223718685E-5</v>
      </c>
      <c r="O69" s="53">
        <f>G69*Customisation!$H$17</f>
        <v>0.42677389999999998</v>
      </c>
      <c r="P69" s="109">
        <f>O69/(1+Customisation!$H$21)^($A69-Customisation!$E$13)</f>
        <v>3.2148817323863994E-2</v>
      </c>
      <c r="Q69" s="53">
        <f>IF($A69&lt;Customisation!$H$13,G69,G69*(1-Customisation!$H$11*Customisation!$H$12))</f>
        <v>1.0417119999999999E-4</v>
      </c>
      <c r="R69" s="53">
        <f>IF($A69&lt;Customisation!$H$13,H69,H69*(1-Customisation!$H$11*Customisation!$H$12))</f>
        <v>7.8472017131499856E-6</v>
      </c>
      <c r="S69" s="53">
        <f>IF($A69&lt;Customisation!$H$13,I69,I69*(1-Customisation!$H$11*Customisation!$H$12))</f>
        <v>5.5657183999999996E-5</v>
      </c>
      <c r="T69" s="53">
        <f>IF($A69&lt;Customisation!$H$13,J69,J69*(1-Customisation!$H$11*Customisation!$H$12))</f>
        <v>4.1926477724544209E-6</v>
      </c>
      <c r="U69" s="53">
        <f>IF($A69&lt;Customisation!$H$13,K69,K69*(1-Customisation!$H$11*Customisation!$H$12))</f>
        <v>9.8938497574520994E-4</v>
      </c>
      <c r="V69" s="53">
        <f>IF($A69&lt;Customisation!$H$13,L69,L69*(1-Customisation!$H$11*Customisation!$H$12))</f>
        <v>7.1921890760788025E-5</v>
      </c>
      <c r="W69" s="53">
        <f>IF($A69&lt;Customisation!$H$13,M69,M69*(1-Customisation!$H$11*Customisation!$H$12))</f>
        <v>6.9564932096000007E-5</v>
      </c>
      <c r="X69" s="53">
        <f>IF($A69&lt;Customisation!$H$13,N69,N69*(1-Customisation!$H$11*Customisation!$H$12))</f>
        <v>5.0511974498287281E-6</v>
      </c>
      <c r="Y69" s="53">
        <f>IF($A69&lt;Customisation!$H$13,O69,O69*(1-Customisation!$H$11*Customisation!$H$12))</f>
        <v>0.17890361888</v>
      </c>
      <c r="Z69" s="53">
        <f>IF($A69&lt;Customisation!$H$13,P69,P69*(1-Customisation!$H$11*Customisation!$H$12))</f>
        <v>1.3476784222163788E-2</v>
      </c>
      <c r="AA69" s="53">
        <f t="shared" ref="AA69:AJ69" si="87">G69-Q69</f>
        <v>1.4432879999999999E-4</v>
      </c>
      <c r="AB69" s="53">
        <f t="shared" si="87"/>
        <v>1.0872268022417726E-5</v>
      </c>
      <c r="AC69" s="53">
        <f t="shared" si="87"/>
        <v>7.7112815999999995E-5</v>
      </c>
      <c r="AD69" s="53">
        <f t="shared" si="87"/>
        <v>5.8088974862631858E-6</v>
      </c>
      <c r="AE69" s="53">
        <f t="shared" si="87"/>
        <v>1.3707891076164549E-3</v>
      </c>
      <c r="AF69" s="53">
        <f t="shared" si="87"/>
        <v>9.9647505138038362E-5</v>
      </c>
      <c r="AG69" s="53">
        <f t="shared" si="87"/>
        <v>9.6381947903999987E-5</v>
      </c>
      <c r="AH69" s="53">
        <f t="shared" si="87"/>
        <v>6.9984147873581223E-6</v>
      </c>
      <c r="AI69" s="53">
        <f t="shared" si="87"/>
        <v>0.24787028111999998</v>
      </c>
      <c r="AJ69" s="53">
        <f t="shared" si="87"/>
        <v>1.8672033101700208E-2</v>
      </c>
      <c r="AK69" s="1"/>
      <c r="AL69" s="55">
        <f t="shared" si="7"/>
        <v>24.849999999999998</v>
      </c>
      <c r="AM69" s="55">
        <f t="shared" si="8"/>
        <v>10.417119999999999</v>
      </c>
      <c r="AN69" s="1"/>
      <c r="AO69" s="1"/>
      <c r="AP69" s="1"/>
      <c r="AQ69" s="1"/>
      <c r="AR69" s="1"/>
      <c r="AS69" s="1"/>
      <c r="AT69" s="1"/>
      <c r="AU69" s="1"/>
      <c r="AV69" s="1"/>
      <c r="AW69" s="1"/>
      <c r="AX69" s="1"/>
      <c r="AY69" s="53">
        <f>IF($A69&lt;Customisation!$H$13,G69,G69*(1-Customisation!$H$24*Customisation!$H$12))</f>
        <v>8.8863599999999994E-5</v>
      </c>
      <c r="AZ69" s="53">
        <f>IF($A69&lt;Customisation!$H$13,H69,H69*(1-Customisation!$H$24*Customisation!$H$12))</f>
        <v>6.6940823774390145E-6</v>
      </c>
      <c r="BA69" s="53">
        <f>IF($A69&lt;Customisation!$H$13,I69,I69*(1-Customisation!$H$24*Customisation!$H$12))</f>
        <v>4.7478551999999998E-5</v>
      </c>
      <c r="BB69" s="53">
        <f>IF($A69&lt;Customisation!$H$13,J69,J69*(1-Customisation!$H$24*Customisation!$H$12))</f>
        <v>3.5765525845174166E-6</v>
      </c>
      <c r="BC69" s="53">
        <f>IF($A69&lt;Customisation!$H$13,K69,K69*(1-Customisation!$H$24*Customisation!$H$12))</f>
        <v>8.4399825221013146E-4</v>
      </c>
      <c r="BD69" s="53">
        <f>IF($A69&lt;Customisation!$H$13,L69,L69*(1-Customisation!$H$24*Customisation!$H$12))</f>
        <v>6.1353215973420321E-5</v>
      </c>
      <c r="BE69" s="53">
        <f>IF($A69&lt;Customisation!$H$13,M69,M69*(1-Customisation!$H$24*Customisation!$H$12))</f>
        <v>5.9342604288000005E-5</v>
      </c>
      <c r="BF69" s="53">
        <f>IF($A69&lt;Customisation!$H$13,N69,N69*(1-Customisation!$H$24*Customisation!$H$12))</f>
        <v>4.3089413360180185E-6</v>
      </c>
      <c r="BG69" s="53">
        <f>IF($A69&lt;Customisation!$H$13,O69,O69*(1-Customisation!$H$24*Customisation!$H$12))</f>
        <v>0.15261434664000001</v>
      </c>
      <c r="BH69" s="53">
        <f>IF($A69&lt;Customisation!$H$13,P69,P69*(1-Customisation!$H$24*Customisation!$H$12))</f>
        <v>1.1496417075013766E-2</v>
      </c>
      <c r="BI69" s="53">
        <f t="shared" ref="BI69:BI104" si="88">Q69-AY69</f>
        <v>1.5307599999999996E-5</v>
      </c>
      <c r="BJ69" s="53">
        <f t="shared" ref="BJ69:BJ104" si="89">R69-AZ69</f>
        <v>1.153119335710971E-6</v>
      </c>
      <c r="BK69" s="53">
        <f t="shared" ref="BK69:BK104" si="90">S69-BA69</f>
        <v>8.1786319999999974E-6</v>
      </c>
      <c r="BL69" s="53">
        <f t="shared" ref="BL69:BL104" si="91">T69-BB69</f>
        <v>6.1609518793700429E-7</v>
      </c>
      <c r="BM69" s="53">
        <f t="shared" ref="BM69:BM104" si="92">U69-BC69</f>
        <v>1.4538672353507848E-4</v>
      </c>
      <c r="BN69" s="53">
        <f t="shared" ref="BN69:BN104" si="93">V69-BD69</f>
        <v>1.0568674787367704E-5</v>
      </c>
      <c r="BO69" s="53">
        <f t="shared" ref="BO69:BO104" si="94">W69-BE69</f>
        <v>1.0222327808000001E-5</v>
      </c>
      <c r="BP69" s="53">
        <f t="shared" ref="BP69:BP104" si="95">X69-BF69</f>
        <v>7.4225611381070965E-7</v>
      </c>
      <c r="BQ69" s="53">
        <f t="shared" ref="BQ69:BQ104" si="96">Y69-BG69</f>
        <v>2.6289272239999995E-2</v>
      </c>
      <c r="BR69" s="53">
        <f t="shared" ref="BR69:BR104" si="97">Z69-BH69</f>
        <v>1.9803671471500216E-3</v>
      </c>
    </row>
    <row r="70" spans="1:70" ht="14.25" customHeight="1" x14ac:dyDescent="0.3">
      <c r="A70" s="1">
        <f t="shared" si="34"/>
        <v>66</v>
      </c>
      <c r="B70" s="52">
        <f>'Life table'!D68</f>
        <v>0.83498921924381797</v>
      </c>
      <c r="C70" s="52">
        <f>IF($A70&lt;Customisation!$H$13,0,B70)/LOOKUP(Customisation!$H$13,$A$4:$A$104,$B$4:$B$104)</f>
        <v>0.84686922250628016</v>
      </c>
      <c r="D70" s="1">
        <f>IF($A70&lt;=Customisation!$H$13,1,1/(1+Customisation!$H$21)^($A70-Customisation!$H$13))</f>
        <v>7.1742721991253117E-2</v>
      </c>
      <c r="E70" s="1">
        <f t="shared" si="11"/>
        <v>31.493402838183673</v>
      </c>
      <c r="F70" s="1">
        <f t="shared" si="2"/>
        <v>6.0756703193216736E-2</v>
      </c>
      <c r="G70" s="53">
        <f>'Age data'!M74*Customisation!$H$22</f>
        <v>2.6056999999999995E-4</v>
      </c>
      <c r="H70" s="53">
        <f t="shared" si="3"/>
        <v>1.8694001069260821E-5</v>
      </c>
      <c r="I70" s="53">
        <f>'Age data'!N74*Customisation!$H$22</f>
        <v>1.3915999999999999E-4</v>
      </c>
      <c r="J70" s="54">
        <f t="shared" si="4"/>
        <v>9.9837171923027833E-6</v>
      </c>
      <c r="K70" s="53">
        <f>I70*'Life table'!I68</f>
        <v>2.3667404156887438E-3</v>
      </c>
      <c r="L70" s="53">
        <f>J70*'Life table'!J68</f>
        <v>1.6524745042414949E-4</v>
      </c>
      <c r="M70" s="53">
        <f t="shared" si="5"/>
        <v>1.7398691999999998E-4</v>
      </c>
      <c r="N70" s="53">
        <f>((G70-I70)*$AW$5+I70*$AW$6)/(1+Customisation!$H$21)^($A70-Customisation!$E$13)</f>
        <v>1.2031780975157054E-5</v>
      </c>
      <c r="O70" s="53">
        <f>G70*Customisation!$H$17</f>
        <v>0.44750291799999992</v>
      </c>
      <c r="P70" s="109">
        <f>O70/(1+Customisation!$H$21)^($A70-Customisation!$E$13)</f>
        <v>3.2105077436348529E-2</v>
      </c>
      <c r="Q70" s="53">
        <f>IF($A70&lt;Customisation!$H$13,G70,G70*(1-Customisation!$H$11*Customisation!$H$12))</f>
        <v>1.0923094399999998E-4</v>
      </c>
      <c r="R70" s="53">
        <f>IF($A70&lt;Customisation!$H$13,H70,H70*(1-Customisation!$H$11*Customisation!$H$12))</f>
        <v>7.8365252482341355E-6</v>
      </c>
      <c r="S70" s="53">
        <f>IF($A70&lt;Customisation!$H$13,I70,I70*(1-Customisation!$H$11*Customisation!$H$12))</f>
        <v>5.8335871999999995E-5</v>
      </c>
      <c r="T70" s="53">
        <f>IF($A70&lt;Customisation!$H$13,J70,J70*(1-Customisation!$H$11*Customisation!$H$12))</f>
        <v>4.1851742470133268E-6</v>
      </c>
      <c r="U70" s="53">
        <f>IF($A70&lt;Customisation!$H$13,K70,K70*(1-Customisation!$H$11*Customisation!$H$12))</f>
        <v>9.9213758225672149E-4</v>
      </c>
      <c r="V70" s="53">
        <f>IF($A70&lt;Customisation!$H$13,L70,L70*(1-Customisation!$H$11*Customisation!$H$12))</f>
        <v>6.9271731217803465E-5</v>
      </c>
      <c r="W70" s="53">
        <f>IF($A70&lt;Customisation!$H$13,M70,M70*(1-Customisation!$H$11*Customisation!$H$12))</f>
        <v>7.2935316863999996E-5</v>
      </c>
      <c r="X70" s="53">
        <f>IF($A70&lt;Customisation!$H$13,N70,N70*(1-Customisation!$H$11*Customisation!$H$12))</f>
        <v>5.0437225847858376E-6</v>
      </c>
      <c r="Y70" s="53">
        <f>IF($A70&lt;Customisation!$H$13,O70,O70*(1-Customisation!$H$11*Customisation!$H$12))</f>
        <v>0.18759322322559996</v>
      </c>
      <c r="Z70" s="53">
        <f>IF($A70&lt;Customisation!$H$13,P70,P70*(1-Customisation!$H$11*Customisation!$H$12))</f>
        <v>1.3458448461317303E-2</v>
      </c>
      <c r="AA70" s="53">
        <f t="shared" ref="AA70:AJ70" si="98">G70-Q70</f>
        <v>1.5133905599999998E-4</v>
      </c>
      <c r="AB70" s="53">
        <f t="shared" si="98"/>
        <v>1.0857475821026685E-5</v>
      </c>
      <c r="AC70" s="53">
        <f t="shared" si="98"/>
        <v>8.0824127999999987E-5</v>
      </c>
      <c r="AD70" s="53">
        <f t="shared" si="98"/>
        <v>5.7985429452894564E-6</v>
      </c>
      <c r="AE70" s="53">
        <f t="shared" si="98"/>
        <v>1.3746028334320223E-3</v>
      </c>
      <c r="AF70" s="53">
        <f t="shared" si="98"/>
        <v>9.5975719206346024E-5</v>
      </c>
      <c r="AG70" s="53">
        <f t="shared" si="98"/>
        <v>1.0105160313599998E-4</v>
      </c>
      <c r="AH70" s="53">
        <f t="shared" si="98"/>
        <v>6.9880583903712165E-6</v>
      </c>
      <c r="AI70" s="53">
        <f t="shared" si="98"/>
        <v>0.25990969477439996</v>
      </c>
      <c r="AJ70" s="53">
        <f t="shared" si="98"/>
        <v>1.8646628975031228E-2</v>
      </c>
      <c r="AK70" s="1"/>
      <c r="AL70" s="55">
        <f t="shared" si="7"/>
        <v>26.056999999999995</v>
      </c>
      <c r="AM70" s="55">
        <f t="shared" si="8"/>
        <v>10.923094399999998</v>
      </c>
      <c r="AN70" s="1"/>
      <c r="AO70" s="1"/>
      <c r="AP70" s="1"/>
      <c r="AQ70" s="1"/>
      <c r="AR70" s="1"/>
      <c r="AS70" s="1"/>
      <c r="AT70" s="1"/>
      <c r="AU70" s="1"/>
      <c r="AV70" s="1"/>
      <c r="AW70" s="1"/>
      <c r="AX70" s="1"/>
      <c r="AY70" s="53">
        <f>IF($A70&lt;Customisation!$H$13,G70,G70*(1-Customisation!$H$24*Customisation!$H$12))</f>
        <v>9.3179831999999993E-5</v>
      </c>
      <c r="AZ70" s="53">
        <f>IF($A70&lt;Customisation!$H$13,H70,H70*(1-Customisation!$H$24*Customisation!$H$12))</f>
        <v>6.6849747823676696E-6</v>
      </c>
      <c r="BA70" s="53">
        <f>IF($A70&lt;Customisation!$H$13,I70,I70*(1-Customisation!$H$24*Customisation!$H$12))</f>
        <v>4.9763616000000003E-5</v>
      </c>
      <c r="BB70" s="53">
        <f>IF($A70&lt;Customisation!$H$13,J70,J70*(1-Customisation!$H$24*Customisation!$H$12))</f>
        <v>3.5701772679674755E-6</v>
      </c>
      <c r="BC70" s="53">
        <f>IF($A70&lt;Customisation!$H$13,K70,K70*(1-Customisation!$H$24*Customisation!$H$12))</f>
        <v>8.4634637265029484E-4</v>
      </c>
      <c r="BD70" s="53">
        <f>IF($A70&lt;Customisation!$H$13,L70,L70*(1-Customisation!$H$24*Customisation!$H$12))</f>
        <v>5.9092488271675861E-5</v>
      </c>
      <c r="BE70" s="53">
        <f>IF($A70&lt;Customisation!$H$13,M70,M70*(1-Customisation!$H$24*Customisation!$H$12))</f>
        <v>6.2217722591999993E-5</v>
      </c>
      <c r="BF70" s="53">
        <f>IF($A70&lt;Customisation!$H$13,N70,N70*(1-Customisation!$H$24*Customisation!$H$12))</f>
        <v>4.3025648767161631E-6</v>
      </c>
      <c r="BG70" s="53">
        <f>IF($A70&lt;Customisation!$H$13,O70,O70*(1-Customisation!$H$24*Customisation!$H$12))</f>
        <v>0.1600270434768</v>
      </c>
      <c r="BH70" s="53">
        <f>IF($A70&lt;Customisation!$H$13,P70,P70*(1-Customisation!$H$24*Customisation!$H$12))</f>
        <v>1.1480775691238235E-2</v>
      </c>
      <c r="BI70" s="53">
        <f t="shared" si="88"/>
        <v>1.6051111999999985E-5</v>
      </c>
      <c r="BJ70" s="53">
        <f t="shared" si="89"/>
        <v>1.1515504658664659E-6</v>
      </c>
      <c r="BK70" s="53">
        <f t="shared" si="90"/>
        <v>8.5722559999999921E-6</v>
      </c>
      <c r="BL70" s="53">
        <f t="shared" si="91"/>
        <v>6.1499697904585136E-7</v>
      </c>
      <c r="BM70" s="53">
        <f t="shared" si="92"/>
        <v>1.4579120960642666E-4</v>
      </c>
      <c r="BN70" s="53">
        <f t="shared" si="93"/>
        <v>1.0179242946127603E-5</v>
      </c>
      <c r="BO70" s="53">
        <f t="shared" si="94"/>
        <v>1.0717594272000003E-5</v>
      </c>
      <c r="BP70" s="53">
        <f t="shared" si="95"/>
        <v>7.4115770806967449E-7</v>
      </c>
      <c r="BQ70" s="53">
        <f t="shared" si="96"/>
        <v>2.7566179748799963E-2</v>
      </c>
      <c r="BR70" s="53">
        <f t="shared" si="97"/>
        <v>1.977672770079068E-3</v>
      </c>
    </row>
    <row r="71" spans="1:70" ht="14.25" customHeight="1" x14ac:dyDescent="0.3">
      <c r="A71" s="1">
        <f t="shared" si="34"/>
        <v>67</v>
      </c>
      <c r="B71" s="52">
        <f>'Life table'!D69</f>
        <v>0.82309062286959356</v>
      </c>
      <c r="C71" s="52">
        <f>IF($A71&lt;Customisation!$H$13,0,B71)/LOOKUP(Customisation!$H$13,$A$4:$A$104,$B$4:$B$104)</f>
        <v>0.83480133608556562</v>
      </c>
      <c r="D71" s="1">
        <f>IF($A71&lt;=Customisation!$H$13,1,1/(1+Customisation!$H$21)^($A71-Customisation!$H$13))</f>
        <v>6.8326401896431521E-2</v>
      </c>
      <c r="E71" s="1">
        <f t="shared" si="11"/>
        <v>31.565145560174926</v>
      </c>
      <c r="F71" s="1">
        <f t="shared" si="2"/>
        <v>5.7038971593060359E-2</v>
      </c>
      <c r="G71" s="53">
        <f>'Age data'!M75*Customisation!$H$22</f>
        <v>2.7334999999999995E-4</v>
      </c>
      <c r="H71" s="53">
        <f t="shared" si="3"/>
        <v>1.8677021958389552E-5</v>
      </c>
      <c r="I71" s="53">
        <f>'Age data'!N75*Customisation!$H$22</f>
        <v>1.4626E-4</v>
      </c>
      <c r="J71" s="54">
        <f t="shared" si="4"/>
        <v>9.993419541372074E-6</v>
      </c>
      <c r="K71" s="53">
        <f>I71*'Life table'!I69</f>
        <v>2.3761344967929798E-3</v>
      </c>
      <c r="L71" s="53">
        <f>J71*'Life table'!J69</f>
        <v>1.5915122331424609E-4</v>
      </c>
      <c r="M71" s="53">
        <f t="shared" si="5"/>
        <v>1.8261484E-4</v>
      </c>
      <c r="N71" s="53">
        <f>((G71-I71)*$AW$5+I71*$AW$6)/(1+Customisation!$H$21)^($A71-Customisation!$E$13)</f>
        <v>1.2027244825067405E-5</v>
      </c>
      <c r="O71" s="53">
        <f>G71*Customisation!$H$17</f>
        <v>0.46945128999999997</v>
      </c>
      <c r="P71" s="109">
        <f>O71/(1+Customisation!$H$21)^($A71-Customisation!$E$13)</f>
        <v>3.2075917511338224E-2</v>
      </c>
      <c r="Q71" s="53">
        <f>IF($A71&lt;Customisation!$H$13,G71,G71*(1-Customisation!$H$11*Customisation!$H$12))</f>
        <v>1.1458831999999999E-4</v>
      </c>
      <c r="R71" s="53">
        <f>IF($A71&lt;Customisation!$H$13,H71,H71*(1-Customisation!$H$11*Customisation!$H$12))</f>
        <v>7.8294076049568999E-6</v>
      </c>
      <c r="S71" s="53">
        <f>IF($A71&lt;Customisation!$H$13,I71,I71*(1-Customisation!$H$11*Customisation!$H$12))</f>
        <v>6.1312192000000004E-5</v>
      </c>
      <c r="T71" s="53">
        <f>IF($A71&lt;Customisation!$H$13,J71,J71*(1-Customisation!$H$11*Customisation!$H$12))</f>
        <v>4.1892414717431738E-6</v>
      </c>
      <c r="U71" s="53">
        <f>IF($A71&lt;Customisation!$H$13,K71,K71*(1-Customisation!$H$11*Customisation!$H$12))</f>
        <v>9.9607558105561716E-4</v>
      </c>
      <c r="V71" s="53">
        <f>IF($A71&lt;Customisation!$H$13,L71,L71*(1-Customisation!$H$11*Customisation!$H$12))</f>
        <v>6.6716192813331968E-5</v>
      </c>
      <c r="W71" s="53">
        <f>IF($A71&lt;Customisation!$H$13,M71,M71*(1-Customisation!$H$11*Customisation!$H$12))</f>
        <v>7.6552140928000005E-5</v>
      </c>
      <c r="X71" s="53">
        <f>IF($A71&lt;Customisation!$H$13,N71,N71*(1-Customisation!$H$11*Customisation!$H$12))</f>
        <v>5.0418210306682565E-6</v>
      </c>
      <c r="Y71" s="53">
        <f>IF($A71&lt;Customisation!$H$13,O71,O71*(1-Customisation!$H$11*Customisation!$H$12))</f>
        <v>0.196793980768</v>
      </c>
      <c r="Z71" s="53">
        <f>IF($A71&lt;Customisation!$H$13,P71,P71*(1-Customisation!$H$11*Customisation!$H$12))</f>
        <v>1.3446224620752983E-2</v>
      </c>
      <c r="AA71" s="53">
        <f t="shared" ref="AA71:AJ71" si="99">G71-Q71</f>
        <v>1.5876167999999996E-4</v>
      </c>
      <c r="AB71" s="53">
        <f t="shared" si="99"/>
        <v>1.0847614353432652E-5</v>
      </c>
      <c r="AC71" s="53">
        <f t="shared" si="99"/>
        <v>8.4947807999999995E-5</v>
      </c>
      <c r="AD71" s="53">
        <f t="shared" si="99"/>
        <v>5.8041780696289002E-6</v>
      </c>
      <c r="AE71" s="53">
        <f t="shared" si="99"/>
        <v>1.3800589157373627E-3</v>
      </c>
      <c r="AF71" s="53">
        <f t="shared" si="99"/>
        <v>9.2435030500914123E-5</v>
      </c>
      <c r="AG71" s="53">
        <f t="shared" si="99"/>
        <v>1.06062699072E-4</v>
      </c>
      <c r="AH71" s="53">
        <f t="shared" si="99"/>
        <v>6.9854237943991488E-6</v>
      </c>
      <c r="AI71" s="53">
        <f t="shared" si="99"/>
        <v>0.27265730923199993</v>
      </c>
      <c r="AJ71" s="53">
        <f t="shared" si="99"/>
        <v>1.8629692890585241E-2</v>
      </c>
      <c r="AK71" s="1"/>
      <c r="AL71" s="55">
        <f t="shared" si="7"/>
        <v>27.334999999999994</v>
      </c>
      <c r="AM71" s="55">
        <f t="shared" si="8"/>
        <v>11.458831999999999</v>
      </c>
      <c r="AN71" s="1"/>
      <c r="AO71" s="1"/>
      <c r="AP71" s="1"/>
      <c r="AQ71" s="1"/>
      <c r="AR71" s="1"/>
      <c r="AS71" s="1"/>
      <c r="AT71" s="1"/>
      <c r="AU71" s="1"/>
      <c r="AV71" s="1"/>
      <c r="AW71" s="1"/>
      <c r="AX71" s="1"/>
      <c r="AY71" s="53">
        <f>IF($A71&lt;Customisation!$H$13,G71,G71*(1-Customisation!$H$24*Customisation!$H$12))</f>
        <v>9.7749959999999988E-5</v>
      </c>
      <c r="AZ71" s="53">
        <f>IF($A71&lt;Customisation!$H$13,H71,H71*(1-Customisation!$H$24*Customisation!$H$12))</f>
        <v>6.6789030523201041E-6</v>
      </c>
      <c r="BA71" s="53">
        <f>IF($A71&lt;Customisation!$H$13,I71,I71*(1-Customisation!$H$24*Customisation!$H$12))</f>
        <v>5.2302576000000004E-5</v>
      </c>
      <c r="BB71" s="53">
        <f>IF($A71&lt;Customisation!$H$13,J71,J71*(1-Customisation!$H$24*Customisation!$H$12))</f>
        <v>3.573646827994654E-6</v>
      </c>
      <c r="BC71" s="53">
        <f>IF($A71&lt;Customisation!$H$13,K71,K71*(1-Customisation!$H$24*Customisation!$H$12))</f>
        <v>8.4970569605316961E-4</v>
      </c>
      <c r="BD71" s="53">
        <f>IF($A71&lt;Customisation!$H$13,L71,L71*(1-Customisation!$H$24*Customisation!$H$12))</f>
        <v>5.691247745717441E-5</v>
      </c>
      <c r="BE71" s="53">
        <f>IF($A71&lt;Customisation!$H$13,M71,M71*(1-Customisation!$H$24*Customisation!$H$12))</f>
        <v>6.530306678400001E-5</v>
      </c>
      <c r="BF71" s="53">
        <f>IF($A71&lt;Customisation!$H$13,N71,N71*(1-Customisation!$H$24*Customisation!$H$12))</f>
        <v>4.3009427494441042E-6</v>
      </c>
      <c r="BG71" s="53">
        <f>IF($A71&lt;Customisation!$H$13,O71,O71*(1-Customisation!$H$24*Customisation!$H$12))</f>
        <v>0.16787578130399999</v>
      </c>
      <c r="BH71" s="53">
        <f>IF($A71&lt;Customisation!$H$13,P71,P71*(1-Customisation!$H$24*Customisation!$H$12))</f>
        <v>1.1470348102054551E-2</v>
      </c>
      <c r="BI71" s="53">
        <f t="shared" si="88"/>
        <v>1.6838360000000002E-5</v>
      </c>
      <c r="BJ71" s="53">
        <f t="shared" si="89"/>
        <v>1.1505045526367958E-6</v>
      </c>
      <c r="BK71" s="53">
        <f t="shared" si="90"/>
        <v>9.0096159999999997E-6</v>
      </c>
      <c r="BL71" s="53">
        <f t="shared" si="91"/>
        <v>6.1559464374851987E-7</v>
      </c>
      <c r="BM71" s="53">
        <f t="shared" si="92"/>
        <v>1.4636988500244755E-4</v>
      </c>
      <c r="BN71" s="53">
        <f t="shared" si="93"/>
        <v>9.8037153561575575E-6</v>
      </c>
      <c r="BO71" s="53">
        <f t="shared" si="94"/>
        <v>1.1249074143999995E-5</v>
      </c>
      <c r="BP71" s="53">
        <f t="shared" si="95"/>
        <v>7.408782812241523E-7</v>
      </c>
      <c r="BQ71" s="53">
        <f t="shared" si="96"/>
        <v>2.8918199464000011E-2</v>
      </c>
      <c r="BR71" s="53">
        <f t="shared" si="97"/>
        <v>1.9758765186984328E-3</v>
      </c>
    </row>
    <row r="72" spans="1:70" ht="14.25" customHeight="1" x14ac:dyDescent="0.3">
      <c r="A72" s="1">
        <f t="shared" si="34"/>
        <v>68</v>
      </c>
      <c r="B72" s="52">
        <f>'Life table'!D70</f>
        <v>0.81041502727740189</v>
      </c>
      <c r="C72" s="52">
        <f>IF($A72&lt;Customisation!$H$13,0,B72)/LOOKUP(Customisation!$H$13,$A$4:$A$104,$B$4:$B$104)</f>
        <v>0.82194539550984802</v>
      </c>
      <c r="D72" s="1">
        <f>IF($A72&lt;=Customisation!$H$13,1,1/(1+Customisation!$H$21)^($A72-Customisation!$H$13))</f>
        <v>6.5072763710887174E-2</v>
      </c>
      <c r="E72" s="1">
        <f t="shared" si="11"/>
        <v>31.633471962071358</v>
      </c>
      <c r="F72" s="1">
        <f t="shared" si="2"/>
        <v>5.3486258505264041E-2</v>
      </c>
      <c r="G72" s="53">
        <f>'Age data'!M76*Customisation!$H$22</f>
        <v>2.8613E-4</v>
      </c>
      <c r="H72" s="53">
        <f t="shared" si="3"/>
        <v>1.8619269880596148E-5</v>
      </c>
      <c r="I72" s="53">
        <f>'Age data'!N76*Customisation!$H$22</f>
        <v>1.5335999999999998E-4</v>
      </c>
      <c r="J72" s="54">
        <f t="shared" si="4"/>
        <v>9.9795590427016563E-6</v>
      </c>
      <c r="K72" s="53">
        <f>I72*'Life table'!I70</f>
        <v>2.3758904159950798E-3</v>
      </c>
      <c r="L72" s="53">
        <f>J72*'Life table'!J70</f>
        <v>1.5253385364033889E-4</v>
      </c>
      <c r="M72" s="53">
        <f t="shared" si="5"/>
        <v>1.9124276E-4</v>
      </c>
      <c r="N72" s="53">
        <f>((G72-I72)*$AW$5+I72*$AW$6)/(1+Customisation!$H$21)^($A72-Customisation!$E$13)</f>
        <v>1.1995857739214969E-5</v>
      </c>
      <c r="O72" s="53">
        <f>G72*Customisation!$H$17</f>
        <v>0.49139966200000001</v>
      </c>
      <c r="P72" s="109">
        <f>O72/(1+Customisation!$H$21)^($A72-Customisation!$E$13)</f>
        <v>3.1976734092935825E-2</v>
      </c>
      <c r="Q72" s="53">
        <f>IF($A72&lt;Customisation!$H$13,G72,G72*(1-Customisation!$H$11*Customisation!$H$12))</f>
        <v>1.19945696E-4</v>
      </c>
      <c r="R72" s="53">
        <f>IF($A72&lt;Customisation!$H$13,H72,H72*(1-Customisation!$H$11*Customisation!$H$12))</f>
        <v>7.8051979339459065E-6</v>
      </c>
      <c r="S72" s="53">
        <f>IF($A72&lt;Customisation!$H$13,I72,I72*(1-Customisation!$H$11*Customisation!$H$12))</f>
        <v>6.4288511999999992E-5</v>
      </c>
      <c r="T72" s="53">
        <f>IF($A72&lt;Customisation!$H$13,J72,J72*(1-Customisation!$H$11*Customisation!$H$12))</f>
        <v>4.1834311507005345E-6</v>
      </c>
      <c r="U72" s="53">
        <f>IF($A72&lt;Customisation!$H$13,K72,K72*(1-Customisation!$H$11*Customisation!$H$12))</f>
        <v>9.9597326238513753E-4</v>
      </c>
      <c r="V72" s="53">
        <f>IF($A72&lt;Customisation!$H$13,L72,L72*(1-Customisation!$H$11*Customisation!$H$12))</f>
        <v>6.3942191446030068E-5</v>
      </c>
      <c r="W72" s="53">
        <f>IF($A72&lt;Customisation!$H$13,M72,M72*(1-Customisation!$H$11*Customisation!$H$12))</f>
        <v>8.0168964991999999E-5</v>
      </c>
      <c r="X72" s="53">
        <f>IF($A72&lt;Customisation!$H$13,N72,N72*(1-Customisation!$H$11*Customisation!$H$12))</f>
        <v>5.0286635642789154E-6</v>
      </c>
      <c r="Y72" s="53">
        <f>IF($A72&lt;Customisation!$H$13,O72,O72*(1-Customisation!$H$11*Customisation!$H$12))</f>
        <v>0.20599473831040002</v>
      </c>
      <c r="Z72" s="53">
        <f>IF($A72&lt;Customisation!$H$13,P72,P72*(1-Customisation!$H$11*Customisation!$H$12))</f>
        <v>1.3404646931758699E-2</v>
      </c>
      <c r="AA72" s="53">
        <f t="shared" ref="AA72:AJ72" si="100">G72-Q72</f>
        <v>1.66184304E-4</v>
      </c>
      <c r="AB72" s="53">
        <f t="shared" si="100"/>
        <v>1.0814071946650242E-5</v>
      </c>
      <c r="AC72" s="53">
        <f t="shared" si="100"/>
        <v>8.907148799999999E-5</v>
      </c>
      <c r="AD72" s="53">
        <f t="shared" si="100"/>
        <v>5.7961278920011217E-6</v>
      </c>
      <c r="AE72" s="53">
        <f t="shared" si="100"/>
        <v>1.3799171536099423E-3</v>
      </c>
      <c r="AF72" s="53">
        <f t="shared" si="100"/>
        <v>8.859166219430882E-5</v>
      </c>
      <c r="AG72" s="53">
        <f t="shared" si="100"/>
        <v>1.11073795008E-4</v>
      </c>
      <c r="AH72" s="53">
        <f t="shared" si="100"/>
        <v>6.9671941749360538E-6</v>
      </c>
      <c r="AI72" s="53">
        <f t="shared" si="100"/>
        <v>0.28540492368960002</v>
      </c>
      <c r="AJ72" s="53">
        <f t="shared" si="100"/>
        <v>1.8572087161177128E-2</v>
      </c>
      <c r="AK72" s="1"/>
      <c r="AL72" s="55">
        <f t="shared" si="7"/>
        <v>28.613</v>
      </c>
      <c r="AM72" s="55">
        <f t="shared" si="8"/>
        <v>11.9945696</v>
      </c>
      <c r="AN72" s="1"/>
      <c r="AO72" s="1"/>
      <c r="AP72" s="1"/>
      <c r="AQ72" s="1"/>
      <c r="AR72" s="1"/>
      <c r="AS72" s="1"/>
      <c r="AT72" s="1"/>
      <c r="AU72" s="1"/>
      <c r="AV72" s="1"/>
      <c r="AW72" s="1"/>
      <c r="AX72" s="1"/>
      <c r="AY72" s="53">
        <f>IF($A72&lt;Customisation!$H$13,G72,G72*(1-Customisation!$H$24*Customisation!$H$12))</f>
        <v>1.0232008800000001E-4</v>
      </c>
      <c r="AZ72" s="53">
        <f>IF($A72&lt;Customisation!$H$13,H72,H72*(1-Customisation!$H$24*Customisation!$H$12))</f>
        <v>6.6582509093011829E-6</v>
      </c>
      <c r="BA72" s="53">
        <f>IF($A72&lt;Customisation!$H$13,I72,I72*(1-Customisation!$H$24*Customisation!$H$12))</f>
        <v>5.4841535999999998E-5</v>
      </c>
      <c r="BB72" s="53">
        <f>IF($A72&lt;Customisation!$H$13,J72,J72*(1-Customisation!$H$24*Customisation!$H$12))</f>
        <v>3.5686903136701125E-6</v>
      </c>
      <c r="BC72" s="53">
        <f>IF($A72&lt;Customisation!$H$13,K72,K72*(1-Customisation!$H$24*Customisation!$H$12))</f>
        <v>8.4961841275984064E-4</v>
      </c>
      <c r="BD72" s="53">
        <f>IF($A72&lt;Customisation!$H$13,L72,L72*(1-Customisation!$H$24*Customisation!$H$12))</f>
        <v>5.4546106061785191E-5</v>
      </c>
      <c r="BE72" s="53">
        <f>IF($A72&lt;Customisation!$H$13,M72,M72*(1-Customisation!$H$24*Customisation!$H$12))</f>
        <v>6.8388410976E-5</v>
      </c>
      <c r="BF72" s="53">
        <f>IF($A72&lt;Customisation!$H$13,N72,N72*(1-Customisation!$H$24*Customisation!$H$12))</f>
        <v>4.289718727543273E-6</v>
      </c>
      <c r="BG72" s="53">
        <f>IF($A72&lt;Customisation!$H$13,O72,O72*(1-Customisation!$H$24*Customisation!$H$12))</f>
        <v>0.17572451913120002</v>
      </c>
      <c r="BH72" s="53">
        <f>IF($A72&lt;Customisation!$H$13,P72,P72*(1-Customisation!$H$24*Customisation!$H$12))</f>
        <v>1.1434880111633853E-2</v>
      </c>
      <c r="BI72" s="53">
        <f t="shared" si="88"/>
        <v>1.7625607999999991E-5</v>
      </c>
      <c r="BJ72" s="53">
        <f t="shared" si="89"/>
        <v>1.1469470246447237E-6</v>
      </c>
      <c r="BK72" s="53">
        <f t="shared" si="90"/>
        <v>9.4469759999999938E-6</v>
      </c>
      <c r="BL72" s="53">
        <f t="shared" si="91"/>
        <v>6.1474083703042206E-7</v>
      </c>
      <c r="BM72" s="53">
        <f t="shared" si="92"/>
        <v>1.4635484962529689E-4</v>
      </c>
      <c r="BN72" s="53">
        <f t="shared" si="93"/>
        <v>9.3960853842448773E-6</v>
      </c>
      <c r="BO72" s="53">
        <f t="shared" si="94"/>
        <v>1.1780554016E-5</v>
      </c>
      <c r="BP72" s="53">
        <f t="shared" si="95"/>
        <v>7.3894483673564244E-7</v>
      </c>
      <c r="BQ72" s="53">
        <f t="shared" si="96"/>
        <v>3.0270219179200003E-2</v>
      </c>
      <c r="BR72" s="53">
        <f t="shared" si="97"/>
        <v>1.969766820124846E-3</v>
      </c>
    </row>
    <row r="73" spans="1:70" ht="14.25" customHeight="1" x14ac:dyDescent="0.3">
      <c r="A73" s="1">
        <f t="shared" si="34"/>
        <v>69</v>
      </c>
      <c r="B73" s="52">
        <f>'Life table'!D71</f>
        <v>0.79688109632186921</v>
      </c>
      <c r="C73" s="52">
        <f>IF($A73&lt;Customisation!$H$13,0,B73)/LOOKUP(Customisation!$H$13,$A$4:$A$104,$B$4:$B$104)</f>
        <v>0.80821890740483349</v>
      </c>
      <c r="D73" s="1">
        <f>IF($A73&lt;=Customisation!$H$13,1,1/(1+Customisation!$H$21)^($A73-Customisation!$H$13))</f>
        <v>6.1974060677035397E-2</v>
      </c>
      <c r="E73" s="1">
        <f t="shared" si="11"/>
        <v>31.698544725782245</v>
      </c>
      <c r="F73" s="1">
        <f t="shared" si="2"/>
        <v>5.0088607607834401E-2</v>
      </c>
      <c r="G73" s="53">
        <f>'Age data'!M77*Customisation!$H$22</f>
        <v>3.0103999999999998E-4</v>
      </c>
      <c r="H73" s="53">
        <f t="shared" si="3"/>
        <v>1.8656671226214736E-5</v>
      </c>
      <c r="I73" s="53">
        <f>'Age data'!N77*Customisation!$H$22</f>
        <v>1.6116999999999998E-4</v>
      </c>
      <c r="J73" s="54">
        <f t="shared" si="4"/>
        <v>9.9883593593177936E-6</v>
      </c>
      <c r="K73" s="53">
        <f>I73*'Life table'!I71</f>
        <v>2.3767523693970938E-3</v>
      </c>
      <c r="L73" s="53">
        <f>J73*'Life table'!J71</f>
        <v>1.4612780260277552E-4</v>
      </c>
      <c r="M73" s="53">
        <f t="shared" si="5"/>
        <v>2.0114583999999999E-4</v>
      </c>
      <c r="N73" s="53">
        <f>((G73-I73)*$AW$5+I73*$AW$6)/(1+Customisation!$H$21)^($A73-Customisation!$E$13)</f>
        <v>1.2016124677697325E-5</v>
      </c>
      <c r="O73" s="53">
        <f>G73*Customisation!$H$17</f>
        <v>0.51700609600000003</v>
      </c>
      <c r="P73" s="109">
        <f>O73/(1+Customisation!$H$21)^($A73-Customisation!$E$13)</f>
        <v>3.2040967163901188E-2</v>
      </c>
      <c r="Q73" s="53">
        <f>IF($A73&lt;Customisation!$H$13,G73,G73*(1-Customisation!$H$11*Customisation!$H$12))</f>
        <v>1.2619596799999999E-4</v>
      </c>
      <c r="R73" s="53">
        <f>IF($A73&lt;Customisation!$H$13,H73,H73*(1-Customisation!$H$11*Customisation!$H$12))</f>
        <v>7.8208765780292179E-6</v>
      </c>
      <c r="S73" s="53">
        <f>IF($A73&lt;Customisation!$H$13,I73,I73*(1-Customisation!$H$11*Customisation!$H$12))</f>
        <v>6.756246399999999E-5</v>
      </c>
      <c r="T73" s="53">
        <f>IF($A73&lt;Customisation!$H$13,J73,J73*(1-Customisation!$H$11*Customisation!$H$12))</f>
        <v>4.1871202434260194E-6</v>
      </c>
      <c r="U73" s="53">
        <f>IF($A73&lt;Customisation!$H$13,K73,K73*(1-Customisation!$H$11*Customisation!$H$12))</f>
        <v>9.9633459325126168E-4</v>
      </c>
      <c r="V73" s="53">
        <f>IF($A73&lt;Customisation!$H$13,L73,L73*(1-Customisation!$H$11*Customisation!$H$12))</f>
        <v>6.1256774851083494E-5</v>
      </c>
      <c r="W73" s="53">
        <f>IF($A73&lt;Customisation!$H$13,M73,M73*(1-Customisation!$H$11*Customisation!$H$12))</f>
        <v>8.4320336128000005E-5</v>
      </c>
      <c r="X73" s="53">
        <f>IF($A73&lt;Customisation!$H$13,N73,N73*(1-Customisation!$H$11*Customisation!$H$12))</f>
        <v>5.0371594648907188E-6</v>
      </c>
      <c r="Y73" s="53">
        <f>IF($A73&lt;Customisation!$H$13,O73,O73*(1-Customisation!$H$11*Customisation!$H$12))</f>
        <v>0.21672895544320003</v>
      </c>
      <c r="Z73" s="53">
        <f>IF($A73&lt;Customisation!$H$13,P73,P73*(1-Customisation!$H$11*Customisation!$H$12))</f>
        <v>1.3431573435107378E-2</v>
      </c>
      <c r="AA73" s="53">
        <f t="shared" ref="AA73:AJ73" si="101">G73-Q73</f>
        <v>1.7484403199999999E-4</v>
      </c>
      <c r="AB73" s="53">
        <f t="shared" si="101"/>
        <v>1.0835794648185518E-5</v>
      </c>
      <c r="AC73" s="53">
        <f t="shared" si="101"/>
        <v>9.3607535999999986E-5</v>
      </c>
      <c r="AD73" s="53">
        <f t="shared" si="101"/>
        <v>5.8012391158917742E-6</v>
      </c>
      <c r="AE73" s="53">
        <f t="shared" si="101"/>
        <v>1.3804177761458322E-3</v>
      </c>
      <c r="AF73" s="53">
        <f t="shared" si="101"/>
        <v>8.4871027751692025E-5</v>
      </c>
      <c r="AG73" s="53">
        <f t="shared" si="101"/>
        <v>1.1682550387199999E-4</v>
      </c>
      <c r="AH73" s="53">
        <f t="shared" si="101"/>
        <v>6.9789652128066058E-6</v>
      </c>
      <c r="AI73" s="53">
        <f t="shared" si="101"/>
        <v>0.30027714055679999</v>
      </c>
      <c r="AJ73" s="53">
        <f t="shared" si="101"/>
        <v>1.8609393728793812E-2</v>
      </c>
      <c r="AK73" s="1"/>
      <c r="AL73" s="55">
        <f t="shared" si="7"/>
        <v>30.103999999999999</v>
      </c>
      <c r="AM73" s="55">
        <f t="shared" si="8"/>
        <v>12.619596799999998</v>
      </c>
      <c r="AN73" s="1"/>
      <c r="AO73" s="1"/>
      <c r="AP73" s="1"/>
      <c r="AQ73" s="1"/>
      <c r="AR73" s="1"/>
      <c r="AS73" s="1"/>
      <c r="AT73" s="1"/>
      <c r="AU73" s="1"/>
      <c r="AV73" s="1"/>
      <c r="AW73" s="1"/>
      <c r="AX73" s="1"/>
      <c r="AY73" s="53">
        <f>IF($A73&lt;Customisation!$H$13,G73,G73*(1-Customisation!$H$24*Customisation!$H$12))</f>
        <v>1.07651904E-4</v>
      </c>
      <c r="AZ73" s="53">
        <f>IF($A73&lt;Customisation!$H$13,H73,H73*(1-Customisation!$H$24*Customisation!$H$12))</f>
        <v>6.6716256304943901E-6</v>
      </c>
      <c r="BA73" s="53">
        <f>IF($A73&lt;Customisation!$H$13,I73,I73*(1-Customisation!$H$24*Customisation!$H$12))</f>
        <v>5.7634391999999996E-5</v>
      </c>
      <c r="BB73" s="53">
        <f>IF($A73&lt;Customisation!$H$13,J73,J73*(1-Customisation!$H$24*Customisation!$H$12))</f>
        <v>3.5718373068920433E-6</v>
      </c>
      <c r="BC73" s="53">
        <f>IF($A73&lt;Customisation!$H$13,K73,K73*(1-Customisation!$H$24*Customisation!$H$12))</f>
        <v>8.4992664729640081E-4</v>
      </c>
      <c r="BD73" s="53">
        <f>IF($A73&lt;Customisation!$H$13,L73,L73*(1-Customisation!$H$24*Customisation!$H$12))</f>
        <v>5.2255302210752531E-5</v>
      </c>
      <c r="BE73" s="53">
        <f>IF($A73&lt;Customisation!$H$13,M73,M73*(1-Customisation!$H$24*Customisation!$H$12))</f>
        <v>7.1929752384E-5</v>
      </c>
      <c r="BF73" s="53">
        <f>IF($A73&lt;Customisation!$H$13,N73,N73*(1-Customisation!$H$24*Customisation!$H$12))</f>
        <v>4.2969661847445638E-6</v>
      </c>
      <c r="BG73" s="53">
        <f>IF($A73&lt;Customisation!$H$13,O73,O73*(1-Customisation!$H$24*Customisation!$H$12))</f>
        <v>0.18488137992960002</v>
      </c>
      <c r="BH73" s="53">
        <f>IF($A73&lt;Customisation!$H$13,P73,P73*(1-Customisation!$H$24*Customisation!$H$12))</f>
        <v>1.1457849857811066E-2</v>
      </c>
      <c r="BI73" s="53">
        <f t="shared" si="88"/>
        <v>1.8544063999999992E-5</v>
      </c>
      <c r="BJ73" s="53">
        <f t="shared" si="89"/>
        <v>1.1492509475348278E-6</v>
      </c>
      <c r="BK73" s="53">
        <f t="shared" si="90"/>
        <v>9.928071999999994E-6</v>
      </c>
      <c r="BL73" s="53">
        <f t="shared" si="91"/>
        <v>6.1528293653397613E-7</v>
      </c>
      <c r="BM73" s="53">
        <f t="shared" si="92"/>
        <v>1.4640794595486087E-4</v>
      </c>
      <c r="BN73" s="53">
        <f t="shared" si="93"/>
        <v>9.0014726403309637E-6</v>
      </c>
      <c r="BO73" s="53">
        <f t="shared" si="94"/>
        <v>1.2390583744000005E-5</v>
      </c>
      <c r="BP73" s="53">
        <f t="shared" si="95"/>
        <v>7.40193280146155E-7</v>
      </c>
      <c r="BQ73" s="53">
        <f t="shared" si="96"/>
        <v>3.1847575513600013E-2</v>
      </c>
      <c r="BR73" s="53">
        <f t="shared" si="97"/>
        <v>1.9737235772963116E-3</v>
      </c>
    </row>
    <row r="74" spans="1:70" ht="14.25" customHeight="1" x14ac:dyDescent="0.3">
      <c r="A74" s="1">
        <f t="shared" si="34"/>
        <v>70</v>
      </c>
      <c r="B74" s="52">
        <f>'Life table'!D72</f>
        <v>0.78240176680170082</v>
      </c>
      <c r="C74" s="52">
        <f>IF($A74&lt;Customisation!$H$13,0,B74)/LOOKUP(Customisation!$H$13,$A$4:$A$104,$B$4:$B$104)</f>
        <v>0.79353356985728762</v>
      </c>
      <c r="D74" s="1">
        <f>IF($A74&lt;=Customisation!$H$13,1,1/(1+Customisation!$H$21)^($A74-Customisation!$H$13))</f>
        <v>5.9022914930509894E-2</v>
      </c>
      <c r="E74" s="1">
        <f t="shared" si="11"/>
        <v>31.760518786459279</v>
      </c>
      <c r="F74" s="1">
        <f t="shared" si="2"/>
        <v>4.6836664388190515E-2</v>
      </c>
      <c r="G74" s="53">
        <f>'Age data'!M78*Customisation!$H$22</f>
        <v>2.4991999999999999E-4</v>
      </c>
      <c r="H74" s="53">
        <f t="shared" si="3"/>
        <v>1.4751006899433032E-5</v>
      </c>
      <c r="I74" s="53">
        <f>'Age data'!N78*Customisation!$H$22</f>
        <v>1.4554999999999999E-4</v>
      </c>
      <c r="J74" s="54">
        <f t="shared" si="4"/>
        <v>8.5907852681357145E-6</v>
      </c>
      <c r="K74" s="53">
        <f>I74*'Life table'!I72</f>
        <v>2.0392314825742968E-3</v>
      </c>
      <c r="L74" s="53">
        <f>J74*'Life table'!J72</f>
        <v>1.1994389746285525E-4</v>
      </c>
      <c r="M74" s="53">
        <f t="shared" si="5"/>
        <v>1.7103048E-4</v>
      </c>
      <c r="N74" s="53">
        <f>((G74-I74)*$AW$5+I74*$AW$6)/(1+Customisation!$H$21)^($A74-Customisation!$E$13)</f>
        <v>9.7367563338983593E-6</v>
      </c>
      <c r="O74" s="53">
        <f>G74*Customisation!$H$17</f>
        <v>0.429212608</v>
      </c>
      <c r="P74" s="109">
        <f>O74/(1+Customisation!$H$21)^($A74-Customisation!$E$13)</f>
        <v>2.5333379249086293E-2</v>
      </c>
      <c r="Q74" s="53">
        <f>IF($A74&lt;Customisation!$H$13,G74,G74*(1-Customisation!$H$11*Customisation!$H$12))</f>
        <v>1.04766464E-4</v>
      </c>
      <c r="R74" s="53">
        <f>IF($A74&lt;Customisation!$H$13,H74,H74*(1-Customisation!$H$11*Customisation!$H$12))</f>
        <v>6.1836220922423273E-6</v>
      </c>
      <c r="S74" s="53">
        <f>IF($A74&lt;Customisation!$H$13,I74,I74*(1-Customisation!$H$11*Customisation!$H$12))</f>
        <v>6.1014559999999994E-5</v>
      </c>
      <c r="T74" s="53">
        <f>IF($A74&lt;Customisation!$H$13,J74,J74*(1-Customisation!$H$11*Customisation!$H$12))</f>
        <v>3.6012571844024917E-6</v>
      </c>
      <c r="U74" s="53">
        <f>IF($A74&lt;Customisation!$H$13,K74,K74*(1-Customisation!$H$11*Customisation!$H$12))</f>
        <v>8.5484583749514519E-4</v>
      </c>
      <c r="V74" s="53">
        <f>IF($A74&lt;Customisation!$H$13,L74,L74*(1-Customisation!$H$11*Customisation!$H$12))</f>
        <v>5.0280481816428924E-5</v>
      </c>
      <c r="W74" s="53">
        <f>IF($A74&lt;Customisation!$H$13,M74,M74*(1-Customisation!$H$11*Customisation!$H$12))</f>
        <v>7.1695977215999998E-5</v>
      </c>
      <c r="X74" s="53">
        <f>IF($A74&lt;Customisation!$H$13,N74,N74*(1-Customisation!$H$11*Customisation!$H$12))</f>
        <v>4.081648255170192E-6</v>
      </c>
      <c r="Y74" s="53">
        <f>IF($A74&lt;Customisation!$H$13,O74,O74*(1-Customisation!$H$11*Customisation!$H$12))</f>
        <v>0.17992592527360002</v>
      </c>
      <c r="Z74" s="53">
        <f>IF($A74&lt;Customisation!$H$13,P74,P74*(1-Customisation!$H$11*Customisation!$H$12))</f>
        <v>1.0619752581216975E-2</v>
      </c>
      <c r="AA74" s="53">
        <f t="shared" ref="AA74:AJ74" si="102">G74-Q74</f>
        <v>1.45153536E-4</v>
      </c>
      <c r="AB74" s="53">
        <f t="shared" si="102"/>
        <v>8.5673848071907044E-6</v>
      </c>
      <c r="AC74" s="53">
        <f t="shared" si="102"/>
        <v>8.4535439999999993E-5</v>
      </c>
      <c r="AD74" s="53">
        <f t="shared" si="102"/>
        <v>4.9895280837332228E-6</v>
      </c>
      <c r="AE74" s="53">
        <f t="shared" si="102"/>
        <v>1.1843856450791516E-3</v>
      </c>
      <c r="AF74" s="53">
        <f t="shared" si="102"/>
        <v>6.9663415646426322E-5</v>
      </c>
      <c r="AG74" s="53">
        <f t="shared" si="102"/>
        <v>9.9334502784000002E-5</v>
      </c>
      <c r="AH74" s="53">
        <f t="shared" si="102"/>
        <v>5.6551080787281673E-6</v>
      </c>
      <c r="AI74" s="53">
        <f t="shared" si="102"/>
        <v>0.24928668272639998</v>
      </c>
      <c r="AJ74" s="53">
        <f t="shared" si="102"/>
        <v>1.4713626667869318E-2</v>
      </c>
      <c r="AK74" s="1"/>
      <c r="AL74" s="55">
        <f t="shared" si="7"/>
        <v>24.992000000000001</v>
      </c>
      <c r="AM74" s="55">
        <f t="shared" si="8"/>
        <v>10.4766464</v>
      </c>
      <c r="AN74" s="1"/>
      <c r="AO74" s="1"/>
      <c r="AP74" s="1"/>
      <c r="AQ74" s="1"/>
      <c r="AR74" s="1"/>
      <c r="AS74" s="1"/>
      <c r="AT74" s="1"/>
      <c r="AU74" s="1"/>
      <c r="AV74" s="1"/>
      <c r="AW74" s="1"/>
      <c r="AX74" s="1"/>
      <c r="AY74" s="53">
        <f>IF($A74&lt;Customisation!$H$13,G74,G74*(1-Customisation!$H$24*Customisation!$H$12))</f>
        <v>8.9371392000000001E-5</v>
      </c>
      <c r="AZ74" s="53">
        <f>IF($A74&lt;Customisation!$H$13,H74,H74*(1-Customisation!$H$24*Customisation!$H$12))</f>
        <v>5.2749600672372526E-6</v>
      </c>
      <c r="BA74" s="53">
        <f>IF($A74&lt;Customisation!$H$13,I74,I74*(1-Customisation!$H$24*Customisation!$H$12))</f>
        <v>5.2048680000000001E-5</v>
      </c>
      <c r="BB74" s="53">
        <f>IF($A74&lt;Customisation!$H$13,J74,J74*(1-Customisation!$H$24*Customisation!$H$12))</f>
        <v>3.0720648118853317E-6</v>
      </c>
      <c r="BC74" s="53">
        <f>IF($A74&lt;Customisation!$H$13,K74,K74*(1-Customisation!$H$24*Customisation!$H$12))</f>
        <v>7.2922917816856862E-4</v>
      </c>
      <c r="BD74" s="53">
        <f>IF($A74&lt;Customisation!$H$13,L74,L74*(1-Customisation!$H$24*Customisation!$H$12))</f>
        <v>4.2891937732717045E-5</v>
      </c>
      <c r="BE74" s="53">
        <f>IF($A74&lt;Customisation!$H$13,M74,M74*(1-Customisation!$H$24*Customisation!$H$12))</f>
        <v>6.1160499648000007E-5</v>
      </c>
      <c r="BF74" s="53">
        <f>IF($A74&lt;Customisation!$H$13,N74,N74*(1-Customisation!$H$24*Customisation!$H$12))</f>
        <v>3.4818640650020537E-6</v>
      </c>
      <c r="BG74" s="53">
        <f>IF($A74&lt;Customisation!$H$13,O74,O74*(1-Customisation!$H$24*Customisation!$H$12))</f>
        <v>0.1534864286208</v>
      </c>
      <c r="BH74" s="53">
        <f>IF($A74&lt;Customisation!$H$13,P74,P74*(1-Customisation!$H$24*Customisation!$H$12))</f>
        <v>9.0592164194732584E-3</v>
      </c>
      <c r="BI74" s="53">
        <f t="shared" si="88"/>
        <v>1.5395071999999994E-5</v>
      </c>
      <c r="BJ74" s="53">
        <f t="shared" si="89"/>
        <v>9.0866202500507465E-7</v>
      </c>
      <c r="BK74" s="53">
        <f t="shared" si="90"/>
        <v>8.9658799999999935E-6</v>
      </c>
      <c r="BL74" s="53">
        <f t="shared" si="91"/>
        <v>5.2919237251716001E-7</v>
      </c>
      <c r="BM74" s="53">
        <f t="shared" si="92"/>
        <v>1.2561665932657657E-4</v>
      </c>
      <c r="BN74" s="53">
        <f t="shared" si="93"/>
        <v>7.3885440837118791E-6</v>
      </c>
      <c r="BO74" s="53">
        <f t="shared" si="94"/>
        <v>1.0535477567999991E-5</v>
      </c>
      <c r="BP74" s="53">
        <f t="shared" si="95"/>
        <v>5.9978419016813836E-7</v>
      </c>
      <c r="BQ74" s="53">
        <f t="shared" si="96"/>
        <v>2.6439496652800015E-2</v>
      </c>
      <c r="BR74" s="53">
        <f t="shared" si="97"/>
        <v>1.5605361617437169E-3</v>
      </c>
    </row>
    <row r="75" spans="1:70" ht="14.25" customHeight="1" x14ac:dyDescent="0.3">
      <c r="A75" s="1">
        <f t="shared" si="34"/>
        <v>71</v>
      </c>
      <c r="B75" s="52">
        <f>'Life table'!D73</f>
        <v>0.76686326771301905</v>
      </c>
      <c r="C75" s="52">
        <f>IF($A75&lt;Customisation!$H$13,0,B75)/LOOKUP(Customisation!$H$13,$A$4:$A$104,$B$4:$B$104)</f>
        <v>0.77777399315992191</v>
      </c>
      <c r="D75" s="1">
        <f>IF($A75&lt;=Customisation!$H$13,1,1/(1+Customisation!$H$21)^($A75-Customisation!$H$13))</f>
        <v>5.6212299933818946E-2</v>
      </c>
      <c r="E75" s="1">
        <f t="shared" si="11"/>
        <v>31.819541701389788</v>
      </c>
      <c r="F75" s="1">
        <f t="shared" si="2"/>
        <v>4.3720464984229573E-2</v>
      </c>
      <c r="G75" s="53">
        <f>'Age data'!M79*Customisation!$H$22</f>
        <v>2.7192999999999998E-4</v>
      </c>
      <c r="H75" s="53">
        <f t="shared" si="3"/>
        <v>1.5285810721003385E-5</v>
      </c>
      <c r="I75" s="53">
        <f>'Age data'!N79*Customisation!$H$22</f>
        <v>1.5832999999999998E-4</v>
      </c>
      <c r="J75" s="54">
        <f t="shared" si="4"/>
        <v>8.9000934485215526E-6</v>
      </c>
      <c r="K75" s="53">
        <f>I75*'Life table'!I73</f>
        <v>2.1032997032209345E-3</v>
      </c>
      <c r="L75" s="53">
        <f>J75*'Life table'!J73</f>
        <v>1.1811083286638718E-4</v>
      </c>
      <c r="M75" s="53">
        <f t="shared" si="5"/>
        <v>1.8607963999999998E-4</v>
      </c>
      <c r="N75" s="53">
        <f>((G75-I75)*$AW$5+I75*$AW$6)/(1+Customisation!$H$21)^($A75-Customisation!$E$13)</f>
        <v>1.0089032835739457E-5</v>
      </c>
      <c r="O75" s="53">
        <f>G75*Customisation!$H$17</f>
        <v>0.46701258200000001</v>
      </c>
      <c r="P75" s="109">
        <f>O75/(1+Customisation!$H$21)^($A75-Customisation!$E$13)</f>
        <v>2.6251851332251216E-2</v>
      </c>
      <c r="Q75" s="53">
        <f>IF($A75&lt;Customisation!$H$13,G75,G75*(1-Customisation!$H$11*Customisation!$H$12))</f>
        <v>1.13993056E-4</v>
      </c>
      <c r="R75" s="53">
        <f>IF($A75&lt;Customisation!$H$13,H75,H75*(1-Customisation!$H$11*Customisation!$H$12))</f>
        <v>6.4078118542446196E-6</v>
      </c>
      <c r="S75" s="53">
        <f>IF($A75&lt;Customisation!$H$13,I75,I75*(1-Customisation!$H$11*Customisation!$H$12))</f>
        <v>6.6371935999999992E-5</v>
      </c>
      <c r="T75" s="53">
        <f>IF($A75&lt;Customisation!$H$13,J75,J75*(1-Customisation!$H$11*Customisation!$H$12))</f>
        <v>3.7309191736202349E-6</v>
      </c>
      <c r="U75" s="53">
        <f>IF($A75&lt;Customisation!$H$13,K75,K75*(1-Customisation!$H$11*Customisation!$H$12))</f>
        <v>8.817032355902158E-4</v>
      </c>
      <c r="V75" s="53">
        <f>IF($A75&lt;Customisation!$H$13,L75,L75*(1-Customisation!$H$11*Customisation!$H$12))</f>
        <v>4.9512061137589508E-5</v>
      </c>
      <c r="W75" s="53">
        <f>IF($A75&lt;Customisation!$H$13,M75,M75*(1-Customisation!$H$11*Customisation!$H$12))</f>
        <v>7.8004585088000002E-5</v>
      </c>
      <c r="X75" s="53">
        <f>IF($A75&lt;Customisation!$H$13,N75,N75*(1-Customisation!$H$11*Customisation!$H$12))</f>
        <v>4.229322564741981E-6</v>
      </c>
      <c r="Y75" s="53">
        <f>IF($A75&lt;Customisation!$H$13,O75,O75*(1-Customisation!$H$11*Customisation!$H$12))</f>
        <v>0.19577167437440002</v>
      </c>
      <c r="Z75" s="53">
        <f>IF($A75&lt;Customisation!$H$13,P75,P75*(1-Customisation!$H$11*Customisation!$H$12))</f>
        <v>1.100477607847971E-2</v>
      </c>
      <c r="AA75" s="53">
        <f t="shared" ref="AA75:AJ75" si="103">G75-Q75</f>
        <v>1.5793694399999998E-4</v>
      </c>
      <c r="AB75" s="53">
        <f t="shared" si="103"/>
        <v>8.8779988667587656E-6</v>
      </c>
      <c r="AC75" s="53">
        <f t="shared" si="103"/>
        <v>9.1958063999999991E-5</v>
      </c>
      <c r="AD75" s="53">
        <f t="shared" si="103"/>
        <v>5.1691742749013177E-6</v>
      </c>
      <c r="AE75" s="53">
        <f t="shared" si="103"/>
        <v>1.2215964676307186E-3</v>
      </c>
      <c r="AF75" s="53">
        <f t="shared" si="103"/>
        <v>6.859877172879767E-5</v>
      </c>
      <c r="AG75" s="53">
        <f t="shared" si="103"/>
        <v>1.0807505491199998E-4</v>
      </c>
      <c r="AH75" s="53">
        <f t="shared" si="103"/>
        <v>5.8597102709974763E-6</v>
      </c>
      <c r="AI75" s="53">
        <f t="shared" si="103"/>
        <v>0.27124090762559999</v>
      </c>
      <c r="AJ75" s="53">
        <f t="shared" si="103"/>
        <v>1.5247075253771506E-2</v>
      </c>
      <c r="AK75" s="1"/>
      <c r="AL75" s="55">
        <f t="shared" si="7"/>
        <v>27.192999999999998</v>
      </c>
      <c r="AM75" s="55">
        <f t="shared" si="8"/>
        <v>11.3993056</v>
      </c>
      <c r="AN75" s="1"/>
      <c r="AO75" s="1"/>
      <c r="AP75" s="1"/>
      <c r="AQ75" s="1"/>
      <c r="AR75" s="1"/>
      <c r="AS75" s="1"/>
      <c r="AT75" s="1"/>
      <c r="AU75" s="1"/>
      <c r="AV75" s="1"/>
      <c r="AW75" s="1"/>
      <c r="AX75" s="1"/>
      <c r="AY75" s="53">
        <f>IF($A75&lt;Customisation!$H$13,G75,G75*(1-Customisation!$H$24*Customisation!$H$12))</f>
        <v>9.7242167999999995E-5</v>
      </c>
      <c r="AZ75" s="53">
        <f>IF($A75&lt;Customisation!$H$13,H75,H75*(1-Customisation!$H$24*Customisation!$H$12))</f>
        <v>5.4662059138308106E-6</v>
      </c>
      <c r="BA75" s="53">
        <f>IF($A75&lt;Customisation!$H$13,I75,I75*(1-Customisation!$H$24*Customisation!$H$12))</f>
        <v>5.6618807999999996E-5</v>
      </c>
      <c r="BB75" s="53">
        <f>IF($A75&lt;Customisation!$H$13,J75,J75*(1-Customisation!$H$24*Customisation!$H$12))</f>
        <v>3.1826734171913075E-6</v>
      </c>
      <c r="BC75" s="53">
        <f>IF($A75&lt;Customisation!$H$13,K75,K75*(1-Customisation!$H$24*Customisation!$H$12))</f>
        <v>7.521399738718062E-4</v>
      </c>
      <c r="BD75" s="53">
        <f>IF($A75&lt;Customisation!$H$13,L75,L75*(1-Customisation!$H$24*Customisation!$H$12))</f>
        <v>4.2236433833020059E-5</v>
      </c>
      <c r="BE75" s="53">
        <f>IF($A75&lt;Customisation!$H$13,M75,M75*(1-Customisation!$H$24*Customisation!$H$12))</f>
        <v>6.6542079264E-5</v>
      </c>
      <c r="BF75" s="53">
        <f>IF($A75&lt;Customisation!$H$13,N75,N75*(1-Customisation!$H$24*Customisation!$H$12))</f>
        <v>3.6078381420604304E-6</v>
      </c>
      <c r="BG75" s="53">
        <f>IF($A75&lt;Customisation!$H$13,O75,O75*(1-Customisation!$H$24*Customisation!$H$12))</f>
        <v>0.16700369932320003</v>
      </c>
      <c r="BH75" s="53">
        <f>IF($A75&lt;Customisation!$H$13,P75,P75*(1-Customisation!$H$24*Customisation!$H$12))</f>
        <v>9.3876620364130355E-3</v>
      </c>
      <c r="BI75" s="53">
        <f t="shared" si="88"/>
        <v>1.6750888000000003E-5</v>
      </c>
      <c r="BJ75" s="53">
        <f t="shared" si="89"/>
        <v>9.4160594041380901E-7</v>
      </c>
      <c r="BK75" s="53">
        <f t="shared" si="90"/>
        <v>9.7531279999999964E-6</v>
      </c>
      <c r="BL75" s="53">
        <f t="shared" si="91"/>
        <v>5.4824575642892739E-7</v>
      </c>
      <c r="BM75" s="53">
        <f t="shared" si="92"/>
        <v>1.2956326171840961E-4</v>
      </c>
      <c r="BN75" s="53">
        <f t="shared" si="93"/>
        <v>7.2756273045694486E-6</v>
      </c>
      <c r="BO75" s="53">
        <f t="shared" si="94"/>
        <v>1.1462505824000002E-5</v>
      </c>
      <c r="BP75" s="53">
        <f t="shared" si="95"/>
        <v>6.2148442268155059E-7</v>
      </c>
      <c r="BQ75" s="53">
        <f t="shared" si="96"/>
        <v>2.876797505119999E-2</v>
      </c>
      <c r="BR75" s="53">
        <f t="shared" si="97"/>
        <v>1.6171140420666742E-3</v>
      </c>
    </row>
    <row r="76" spans="1:70" ht="14.25" customHeight="1" x14ac:dyDescent="0.3">
      <c r="A76" s="1">
        <f t="shared" si="34"/>
        <v>72</v>
      </c>
      <c r="B76" s="52">
        <f>'Life table'!D74</f>
        <v>0.75016098574222945</v>
      </c>
      <c r="C76" s="52">
        <f>IF($A76&lt;Customisation!$H$13,0,B76)/LOOKUP(Customisation!$H$13,$A$4:$A$104,$B$4:$B$104)</f>
        <v>0.76083407558889871</v>
      </c>
      <c r="D76" s="1">
        <f>IF($A76&lt;=Customisation!$H$13,1,1/(1+Customisation!$H$21)^($A76-Customisation!$H$13))</f>
        <v>5.3535523746494243E-2</v>
      </c>
      <c r="E76" s="1">
        <f t="shared" si="11"/>
        <v>31.875754001323607</v>
      </c>
      <c r="F76" s="1">
        <f t="shared" si="2"/>
        <v>4.0731650720831479E-2</v>
      </c>
      <c r="G76" s="53">
        <f>'Age data'!M80*Customisation!$H$22</f>
        <v>2.9891E-4</v>
      </c>
      <c r="H76" s="53">
        <f t="shared" si="3"/>
        <v>1.6002303403064595E-5</v>
      </c>
      <c r="I76" s="53">
        <f>'Age data'!N80*Customisation!$H$22</f>
        <v>1.7394999999999997E-4</v>
      </c>
      <c r="J76" s="54">
        <f t="shared" si="4"/>
        <v>9.3125043557026723E-6</v>
      </c>
      <c r="K76" s="53">
        <f>I76*'Life table'!I74</f>
        <v>2.186363433453391E-3</v>
      </c>
      <c r="L76" s="53">
        <f>J76*'Life table'!J74</f>
        <v>1.170481115101107E-4</v>
      </c>
      <c r="M76" s="53">
        <f t="shared" si="5"/>
        <v>2.0451124000000001E-4</v>
      </c>
      <c r="N76" s="53">
        <f>((G76-I76)*$AW$5+I76*$AW$6)/(1+Customisation!$H$21)^($A76-Customisation!$E$13)</f>
        <v>1.0560314453376134E-5</v>
      </c>
      <c r="O76" s="53">
        <f>G76*Customisation!$H$17</f>
        <v>0.51334803400000006</v>
      </c>
      <c r="P76" s="109">
        <f>O76/(1+Customisation!$H$21)^($A76-Customisation!$E$13)</f>
        <v>2.7482355864423137E-2</v>
      </c>
      <c r="Q76" s="53">
        <f>IF($A76&lt;Customisation!$H$13,G76,G76*(1-Customisation!$H$11*Customisation!$H$12))</f>
        <v>1.2530307200000001E-4</v>
      </c>
      <c r="R76" s="53">
        <f>IF($A76&lt;Customisation!$H$13,H76,H76*(1-Customisation!$H$11*Customisation!$H$12))</f>
        <v>6.7081655865646786E-6</v>
      </c>
      <c r="S76" s="53">
        <f>IF($A76&lt;Customisation!$H$13,I76,I76*(1-Customisation!$H$11*Customisation!$H$12))</f>
        <v>7.2919839999999989E-5</v>
      </c>
      <c r="T76" s="53">
        <f>IF($A76&lt;Customisation!$H$13,J76,J76*(1-Customisation!$H$11*Customisation!$H$12))</f>
        <v>3.9038018259105604E-6</v>
      </c>
      <c r="U76" s="53">
        <f>IF($A76&lt;Customisation!$H$13,K76,K76*(1-Customisation!$H$11*Customisation!$H$12))</f>
        <v>9.165235513036615E-4</v>
      </c>
      <c r="V76" s="53">
        <f>IF($A76&lt;Customisation!$H$13,L76,L76*(1-Customisation!$H$11*Customisation!$H$12))</f>
        <v>4.9066568345038405E-5</v>
      </c>
      <c r="W76" s="53">
        <f>IF($A76&lt;Customisation!$H$13,M76,M76*(1-Customisation!$H$11*Customisation!$H$12))</f>
        <v>8.5731111808000002E-5</v>
      </c>
      <c r="X76" s="53">
        <f>IF($A76&lt;Customisation!$H$13,N76,N76*(1-Customisation!$H$11*Customisation!$H$12))</f>
        <v>4.4268838188552757E-6</v>
      </c>
      <c r="Y76" s="53">
        <f>IF($A76&lt;Customisation!$H$13,O76,O76*(1-Customisation!$H$11*Customisation!$H$12))</f>
        <v>0.21519549585280004</v>
      </c>
      <c r="Z76" s="53">
        <f>IF($A76&lt;Customisation!$H$13,P76,P76*(1-Customisation!$H$11*Customisation!$H$12))</f>
        <v>1.152060357836618E-2</v>
      </c>
      <c r="AA76" s="53">
        <f t="shared" ref="AA76:AJ76" si="104">G76-Q76</f>
        <v>1.7360692799999998E-4</v>
      </c>
      <c r="AB76" s="53">
        <f t="shared" si="104"/>
        <v>9.2941378164999159E-6</v>
      </c>
      <c r="AC76" s="53">
        <f t="shared" si="104"/>
        <v>1.0103015999999998E-4</v>
      </c>
      <c r="AD76" s="53">
        <f t="shared" si="104"/>
        <v>5.4087025297921119E-6</v>
      </c>
      <c r="AE76" s="53">
        <f t="shared" si="104"/>
        <v>1.2698398821497296E-3</v>
      </c>
      <c r="AF76" s="53">
        <f t="shared" si="104"/>
        <v>6.7981543165072299E-5</v>
      </c>
      <c r="AG76" s="53">
        <f t="shared" si="104"/>
        <v>1.1878012819200001E-4</v>
      </c>
      <c r="AH76" s="53">
        <f t="shared" si="104"/>
        <v>6.1334306345208587E-6</v>
      </c>
      <c r="AI76" s="53">
        <f t="shared" si="104"/>
        <v>0.2981525381472</v>
      </c>
      <c r="AJ76" s="53">
        <f t="shared" si="104"/>
        <v>1.5961752286056959E-2</v>
      </c>
      <c r="AK76" s="1"/>
      <c r="AL76" s="55">
        <f t="shared" si="7"/>
        <v>29.890999999999998</v>
      </c>
      <c r="AM76" s="55">
        <f t="shared" si="8"/>
        <v>12.530307200000001</v>
      </c>
      <c r="AN76" s="1"/>
      <c r="AO76" s="1"/>
      <c r="AP76" s="1"/>
      <c r="AQ76" s="1"/>
      <c r="AR76" s="1"/>
      <c r="AS76" s="1"/>
      <c r="AT76" s="1"/>
      <c r="AU76" s="1"/>
      <c r="AV76" s="1"/>
      <c r="AW76" s="1"/>
      <c r="AX76" s="1"/>
      <c r="AY76" s="53">
        <f>IF($A76&lt;Customisation!$H$13,G76,G76*(1-Customisation!$H$24*Customisation!$H$12))</f>
        <v>1.0689021600000001E-4</v>
      </c>
      <c r="AZ76" s="53">
        <f>IF($A76&lt;Customisation!$H$13,H76,H76*(1-Customisation!$H$24*Customisation!$H$12))</f>
        <v>5.7224236969358994E-6</v>
      </c>
      <c r="BA76" s="53">
        <f>IF($A76&lt;Customisation!$H$13,I76,I76*(1-Customisation!$H$24*Customisation!$H$12))</f>
        <v>6.2204519999999998E-5</v>
      </c>
      <c r="BB76" s="53">
        <f>IF($A76&lt;Customisation!$H$13,J76,J76*(1-Customisation!$H$24*Customisation!$H$12))</f>
        <v>3.3301515575992761E-6</v>
      </c>
      <c r="BC76" s="53">
        <f>IF($A76&lt;Customisation!$H$13,K76,K76*(1-Customisation!$H$24*Customisation!$H$12))</f>
        <v>7.8184356380293267E-4</v>
      </c>
      <c r="BD76" s="53">
        <f>IF($A76&lt;Customisation!$H$13,L76,L76*(1-Customisation!$H$24*Customisation!$H$12))</f>
        <v>4.1856404676015591E-5</v>
      </c>
      <c r="BE76" s="53">
        <f>IF($A76&lt;Customisation!$H$13,M76,M76*(1-Customisation!$H$24*Customisation!$H$12))</f>
        <v>7.3133219424000013E-5</v>
      </c>
      <c r="BF76" s="53">
        <f>IF($A76&lt;Customisation!$H$13,N76,N76*(1-Customisation!$H$24*Customisation!$H$12))</f>
        <v>3.7763684485273058E-6</v>
      </c>
      <c r="BG76" s="53">
        <f>IF($A76&lt;Customisation!$H$13,O76,O76*(1-Customisation!$H$24*Customisation!$H$12))</f>
        <v>0.18357325695840004</v>
      </c>
      <c r="BH76" s="53">
        <f>IF($A76&lt;Customisation!$H$13,P76,P76*(1-Customisation!$H$24*Customisation!$H$12))</f>
        <v>9.8276904571177152E-3</v>
      </c>
      <c r="BI76" s="53">
        <f t="shared" si="88"/>
        <v>1.8412856000000008E-5</v>
      </c>
      <c r="BJ76" s="53">
        <f t="shared" si="89"/>
        <v>9.8574188962877919E-7</v>
      </c>
      <c r="BK76" s="53">
        <f t="shared" si="90"/>
        <v>1.071531999999999E-5</v>
      </c>
      <c r="BL76" s="53">
        <f t="shared" si="91"/>
        <v>5.7365026831128431E-7</v>
      </c>
      <c r="BM76" s="53">
        <f t="shared" si="92"/>
        <v>1.3467998750072883E-4</v>
      </c>
      <c r="BN76" s="53">
        <f t="shared" si="93"/>
        <v>7.2101636690228134E-6</v>
      </c>
      <c r="BO76" s="53">
        <f t="shared" si="94"/>
        <v>1.2597892383999989E-5</v>
      </c>
      <c r="BP76" s="53">
        <f t="shared" si="95"/>
        <v>6.505153703279699E-7</v>
      </c>
      <c r="BQ76" s="53">
        <f t="shared" si="96"/>
        <v>3.1622238894399995E-2</v>
      </c>
      <c r="BR76" s="53">
        <f t="shared" si="97"/>
        <v>1.6929131212484651E-3</v>
      </c>
    </row>
    <row r="77" spans="1:70" ht="14.25" customHeight="1" x14ac:dyDescent="0.3">
      <c r="A77" s="1">
        <f t="shared" si="34"/>
        <v>73</v>
      </c>
      <c r="B77" s="52">
        <f>'Life table'!D75</f>
        <v>0.7321871285238456</v>
      </c>
      <c r="C77" s="52">
        <f>IF($A77&lt;Customisation!$H$13,0,B77)/LOOKUP(Customisation!$H$13,$A$4:$A$104,$B$4:$B$104)</f>
        <v>0.7426044911377887</v>
      </c>
      <c r="D77" s="1">
        <f>IF($A77&lt;=Customisation!$H$13,1,1/(1+Customisation!$H$21)^($A77-Customisation!$H$13))</f>
        <v>5.0986213091899268E-2</v>
      </c>
      <c r="E77" s="1">
        <f t="shared" si="11"/>
        <v>31.9292895250701</v>
      </c>
      <c r="F77" s="1">
        <f t="shared" si="2"/>
        <v>3.7862590828152715E-2</v>
      </c>
      <c r="G77" s="53">
        <f>'Age data'!M81*Customisation!$H$22</f>
        <v>3.2446999999999999E-4</v>
      </c>
      <c r="H77" s="53">
        <f t="shared" si="3"/>
        <v>1.6543496561928556E-5</v>
      </c>
      <c r="I77" s="53">
        <f>'Age data'!N81*Customisation!$H$22</f>
        <v>1.8886E-4</v>
      </c>
      <c r="J77" s="54">
        <f t="shared" si="4"/>
        <v>9.6292562045360959E-6</v>
      </c>
      <c r="K77" s="53">
        <f>I77*'Life table'!I75</f>
        <v>2.2408595511082359E-3</v>
      </c>
      <c r="L77" s="53">
        <f>J77*'Life table'!J75</f>
        <v>1.1425294258182224E-4</v>
      </c>
      <c r="M77" s="53">
        <f t="shared" si="5"/>
        <v>2.2201132000000001E-4</v>
      </c>
      <c r="N77" s="53">
        <f>((G77-I77)*$AW$5+I77*$AW$6)/(1+Customisation!$H$21)^($A77-Customisation!$E$13)</f>
        <v>1.0918076065003996E-5</v>
      </c>
      <c r="O77" s="53">
        <f>G77*Customisation!$H$17</f>
        <v>0.55724477800000005</v>
      </c>
      <c r="P77" s="109">
        <f>O77/(1+Customisation!$H$21)^($A77-Customisation!$E$13)</f>
        <v>2.8411800995456104E-2</v>
      </c>
      <c r="Q77" s="53">
        <f>IF($A77&lt;Customisation!$H$13,G77,G77*(1-Customisation!$H$11*Customisation!$H$12))</f>
        <v>1.3601782400000001E-4</v>
      </c>
      <c r="R77" s="53">
        <f>IF($A77&lt;Customisation!$H$13,H77,H77*(1-Customisation!$H$11*Customisation!$H$12))</f>
        <v>6.9350337587604513E-6</v>
      </c>
      <c r="S77" s="53">
        <f>IF($A77&lt;Customisation!$H$13,I77,I77*(1-Customisation!$H$11*Customisation!$H$12))</f>
        <v>7.9170112000000002E-5</v>
      </c>
      <c r="T77" s="53">
        <f>IF($A77&lt;Customisation!$H$13,J77,J77*(1-Customisation!$H$11*Customisation!$H$12))</f>
        <v>4.0365842009415312E-6</v>
      </c>
      <c r="U77" s="53">
        <f>IF($A77&lt;Customisation!$H$13,K77,K77*(1-Customisation!$H$11*Customisation!$H$12))</f>
        <v>9.3936832382457251E-4</v>
      </c>
      <c r="V77" s="53">
        <f>IF($A77&lt;Customisation!$H$13,L77,L77*(1-Customisation!$H$11*Customisation!$H$12))</f>
        <v>4.7894833530299882E-5</v>
      </c>
      <c r="W77" s="53">
        <f>IF($A77&lt;Customisation!$H$13,M77,M77*(1-Customisation!$H$11*Customisation!$H$12))</f>
        <v>9.3067145344000001E-5</v>
      </c>
      <c r="X77" s="53">
        <f>IF($A77&lt;Customisation!$H$13,N77,N77*(1-Customisation!$H$11*Customisation!$H$12))</f>
        <v>4.5768574864496749E-6</v>
      </c>
      <c r="Y77" s="53">
        <f>IF($A77&lt;Customisation!$H$13,O77,O77*(1-Customisation!$H$11*Customisation!$H$12))</f>
        <v>0.23359701093760002</v>
      </c>
      <c r="Z77" s="53">
        <f>IF($A77&lt;Customisation!$H$13,P77,P77*(1-Customisation!$H$11*Customisation!$H$12))</f>
        <v>1.1910226977295199E-2</v>
      </c>
      <c r="AA77" s="53">
        <f t="shared" ref="AA77:AJ77" si="105">G77-Q77</f>
        <v>1.8845217599999998E-4</v>
      </c>
      <c r="AB77" s="53">
        <f t="shared" si="105"/>
        <v>9.608462803168105E-6</v>
      </c>
      <c r="AC77" s="53">
        <f t="shared" si="105"/>
        <v>1.09689888E-4</v>
      </c>
      <c r="AD77" s="53">
        <f t="shared" si="105"/>
        <v>5.5926720035945646E-6</v>
      </c>
      <c r="AE77" s="53">
        <f t="shared" si="105"/>
        <v>1.3014912272836634E-3</v>
      </c>
      <c r="AF77" s="53">
        <f t="shared" si="105"/>
        <v>6.6358109051522346E-5</v>
      </c>
      <c r="AG77" s="53">
        <f t="shared" si="105"/>
        <v>1.2894417465600001E-4</v>
      </c>
      <c r="AH77" s="53">
        <f t="shared" si="105"/>
        <v>6.341218578554321E-6</v>
      </c>
      <c r="AI77" s="53">
        <f t="shared" si="105"/>
        <v>0.32364776706240006</v>
      </c>
      <c r="AJ77" s="53">
        <f t="shared" si="105"/>
        <v>1.6501574018160905E-2</v>
      </c>
      <c r="AK77" s="1"/>
      <c r="AL77" s="55">
        <f t="shared" si="7"/>
        <v>32.446999999999996</v>
      </c>
      <c r="AM77" s="55">
        <f t="shared" si="8"/>
        <v>13.601782400000001</v>
      </c>
      <c r="AN77" s="1"/>
      <c r="AO77" s="1"/>
      <c r="AP77" s="1"/>
      <c r="AQ77" s="1"/>
      <c r="AR77" s="1"/>
      <c r="AS77" s="1"/>
      <c r="AT77" s="1"/>
      <c r="AU77" s="1"/>
      <c r="AV77" s="1"/>
      <c r="AW77" s="1"/>
      <c r="AX77" s="1"/>
      <c r="AY77" s="53">
        <f>IF($A77&lt;Customisation!$H$13,G77,G77*(1-Customisation!$H$24*Customisation!$H$12))</f>
        <v>1.1603047200000001E-4</v>
      </c>
      <c r="AZ77" s="53">
        <f>IF($A77&lt;Customisation!$H$13,H77,H77*(1-Customisation!$H$24*Customisation!$H$12))</f>
        <v>5.9159543705456519E-6</v>
      </c>
      <c r="BA77" s="53">
        <f>IF($A77&lt;Customisation!$H$13,I77,I77*(1-Customisation!$H$24*Customisation!$H$12))</f>
        <v>6.7536336000000011E-5</v>
      </c>
      <c r="BB77" s="53">
        <f>IF($A77&lt;Customisation!$H$13,J77,J77*(1-Customisation!$H$24*Customisation!$H$12))</f>
        <v>3.443422018742108E-6</v>
      </c>
      <c r="BC77" s="53">
        <f>IF($A77&lt;Customisation!$H$13,K77,K77*(1-Customisation!$H$24*Customisation!$H$12))</f>
        <v>8.0133137547630517E-4</v>
      </c>
      <c r="BD77" s="53">
        <f>IF($A77&lt;Customisation!$H$13,L77,L77*(1-Customisation!$H$24*Customisation!$H$12))</f>
        <v>4.0856852267259637E-5</v>
      </c>
      <c r="BE77" s="53">
        <f>IF($A77&lt;Customisation!$H$13,M77,M77*(1-Customisation!$H$24*Customisation!$H$12))</f>
        <v>7.9391248032000008E-5</v>
      </c>
      <c r="BF77" s="53">
        <f>IF($A77&lt;Customisation!$H$13,N77,N77*(1-Customisation!$H$24*Customisation!$H$12))</f>
        <v>3.9043040008454297E-6</v>
      </c>
      <c r="BG77" s="53">
        <f>IF($A77&lt;Customisation!$H$13,O77,O77*(1-Customisation!$H$24*Customisation!$H$12))</f>
        <v>0.19927073261280004</v>
      </c>
      <c r="BH77" s="53">
        <f>IF($A77&lt;Customisation!$H$13,P77,P77*(1-Customisation!$H$24*Customisation!$H$12))</f>
        <v>1.0160060035975103E-2</v>
      </c>
      <c r="BI77" s="53">
        <f t="shared" si="88"/>
        <v>1.9987352E-5</v>
      </c>
      <c r="BJ77" s="53">
        <f t="shared" si="89"/>
        <v>1.0190793882147994E-6</v>
      </c>
      <c r="BK77" s="53">
        <f t="shared" si="90"/>
        <v>1.1633775999999991E-5</v>
      </c>
      <c r="BL77" s="53">
        <f t="shared" si="91"/>
        <v>5.9316218219942324E-7</v>
      </c>
      <c r="BM77" s="53">
        <f t="shared" si="92"/>
        <v>1.3803694834826734E-4</v>
      </c>
      <c r="BN77" s="53">
        <f t="shared" si="93"/>
        <v>7.0379812630402448E-6</v>
      </c>
      <c r="BO77" s="53">
        <f t="shared" si="94"/>
        <v>1.3675897311999993E-5</v>
      </c>
      <c r="BP77" s="53">
        <f t="shared" si="95"/>
        <v>6.7255348560424521E-7</v>
      </c>
      <c r="BQ77" s="53">
        <f t="shared" si="96"/>
        <v>3.432627832479998E-2</v>
      </c>
      <c r="BR77" s="53">
        <f t="shared" si="97"/>
        <v>1.7501669413200957E-3</v>
      </c>
    </row>
    <row r="78" spans="1:70" ht="14.25" customHeight="1" x14ac:dyDescent="0.3">
      <c r="A78" s="1">
        <f t="shared" si="34"/>
        <v>74</v>
      </c>
      <c r="B78" s="52">
        <f>'Life table'!D76</f>
        <v>0.71285738833081613</v>
      </c>
      <c r="C78" s="52">
        <f>IF($A78&lt;Customisation!$H$13,0,B78)/LOOKUP(Customisation!$H$13,$A$4:$A$104,$B$4:$B$104)</f>
        <v>0.7229997325717511</v>
      </c>
      <c r="D78" s="1">
        <f>IF($A78&lt;=Customisation!$H$13,1,1/(1+Customisation!$H$21)^($A78-Customisation!$H$13))</f>
        <v>4.855829818276123E-2</v>
      </c>
      <c r="E78" s="1">
        <f t="shared" si="11"/>
        <v>31.980275738162</v>
      </c>
      <c r="F78" s="1">
        <f t="shared" si="2"/>
        <v>3.5107636600275716E-2</v>
      </c>
      <c r="G78" s="53">
        <f>'Age data'!M82*Customisation!$H$22</f>
        <v>3.5145E-4</v>
      </c>
      <c r="H78" s="53">
        <f t="shared" si="3"/>
        <v>1.7065813896331434E-5</v>
      </c>
      <c r="I78" s="53">
        <f>'Age data'!N82*Customisation!$H$22</f>
        <v>2.0447999999999999E-4</v>
      </c>
      <c r="J78" s="54">
        <f t="shared" si="4"/>
        <v>9.9292008124110157E-6</v>
      </c>
      <c r="K78" s="53">
        <f>I78*'Life table'!I76</f>
        <v>2.2847298024816502E-3</v>
      </c>
      <c r="L78" s="53">
        <f>J78*'Life table'!J76</f>
        <v>1.1094259101594514E-4</v>
      </c>
      <c r="M78" s="53">
        <f t="shared" si="5"/>
        <v>2.4044292000000001E-4</v>
      </c>
      <c r="N78" s="53">
        <f>((G78-I78)*$AW$5+I78*$AW$6)/(1+Customisation!$H$21)^($A78-Customisation!$E$13)</f>
        <v>1.1261398295624571E-5</v>
      </c>
      <c r="O78" s="53">
        <f>G78*Customisation!$H$17</f>
        <v>0.60358023000000005</v>
      </c>
      <c r="P78" s="109">
        <f>O78/(1+Customisation!$H$21)^($A78-Customisation!$E$13)</f>
        <v>2.9308828785559606E-2</v>
      </c>
      <c r="Q78" s="53">
        <f>IF($A78&lt;Customisation!$H$13,G78,G78*(1-Customisation!$H$11*Customisation!$H$12))</f>
        <v>1.4732784E-4</v>
      </c>
      <c r="R78" s="53">
        <f>IF($A78&lt;Customisation!$H$13,H78,H78*(1-Customisation!$H$11*Customisation!$H$12))</f>
        <v>7.1539891853421374E-6</v>
      </c>
      <c r="S78" s="53">
        <f>IF($A78&lt;Customisation!$H$13,I78,I78*(1-Customisation!$H$11*Customisation!$H$12))</f>
        <v>8.5718015999999999E-5</v>
      </c>
      <c r="T78" s="53">
        <f>IF($A78&lt;Customisation!$H$13,J78,J78*(1-Customisation!$H$11*Customisation!$H$12))</f>
        <v>4.1623209805626978E-6</v>
      </c>
      <c r="U78" s="53">
        <f>IF($A78&lt;Customisation!$H$13,K78,K78*(1-Customisation!$H$11*Customisation!$H$12))</f>
        <v>9.5775873320030783E-4</v>
      </c>
      <c r="V78" s="53">
        <f>IF($A78&lt;Customisation!$H$13,L78,L78*(1-Customisation!$H$11*Customisation!$H$12))</f>
        <v>4.6507134153884203E-5</v>
      </c>
      <c r="W78" s="53">
        <f>IF($A78&lt;Customisation!$H$13,M78,M78*(1-Customisation!$H$11*Customisation!$H$12))</f>
        <v>1.0079367206400001E-4</v>
      </c>
      <c r="X78" s="53">
        <f>IF($A78&lt;Customisation!$H$13,N78,N78*(1-Customisation!$H$11*Customisation!$H$12))</f>
        <v>4.7207781655258203E-6</v>
      </c>
      <c r="Y78" s="53">
        <f>IF($A78&lt;Customisation!$H$13,O78,O78*(1-Customisation!$H$11*Customisation!$H$12))</f>
        <v>0.25302083241600004</v>
      </c>
      <c r="Z78" s="53">
        <f>IF($A78&lt;Customisation!$H$13,P78,P78*(1-Customisation!$H$11*Customisation!$H$12))</f>
        <v>1.2286261026906588E-2</v>
      </c>
      <c r="AA78" s="53">
        <f t="shared" ref="AA78:AJ78" si="106">G78-Q78</f>
        <v>2.0412216000000001E-4</v>
      </c>
      <c r="AB78" s="53">
        <f t="shared" si="106"/>
        <v>9.9118247109892961E-6</v>
      </c>
      <c r="AC78" s="53">
        <f t="shared" si="106"/>
        <v>1.18761984E-4</v>
      </c>
      <c r="AD78" s="53">
        <f t="shared" si="106"/>
        <v>5.7668798318483179E-6</v>
      </c>
      <c r="AE78" s="53">
        <f t="shared" si="106"/>
        <v>1.3269710692813425E-3</v>
      </c>
      <c r="AF78" s="53">
        <f t="shared" si="106"/>
        <v>6.4435456862060934E-5</v>
      </c>
      <c r="AG78" s="53">
        <f t="shared" si="106"/>
        <v>1.3964924793600001E-4</v>
      </c>
      <c r="AH78" s="53">
        <f t="shared" si="106"/>
        <v>6.540620130098751E-6</v>
      </c>
      <c r="AI78" s="53">
        <f t="shared" si="106"/>
        <v>0.35055939758400001</v>
      </c>
      <c r="AJ78" s="53">
        <f t="shared" si="106"/>
        <v>1.7022567758653018E-2</v>
      </c>
      <c r="AK78" s="1"/>
      <c r="AL78" s="55">
        <f t="shared" si="7"/>
        <v>35.145000000000003</v>
      </c>
      <c r="AM78" s="55">
        <f t="shared" si="8"/>
        <v>14.732784000000001</v>
      </c>
      <c r="AN78" s="1"/>
      <c r="AO78" s="1"/>
      <c r="AP78" s="1"/>
      <c r="AQ78" s="1"/>
      <c r="AR78" s="1"/>
      <c r="AS78" s="1"/>
      <c r="AT78" s="1"/>
      <c r="AU78" s="1"/>
      <c r="AV78" s="1"/>
      <c r="AW78" s="1"/>
      <c r="AX78" s="1"/>
      <c r="AY78" s="53">
        <f>IF($A78&lt;Customisation!$H$13,G78,G78*(1-Customisation!$H$24*Customisation!$H$12))</f>
        <v>1.2567852000000001E-4</v>
      </c>
      <c r="AZ78" s="53">
        <f>IF($A78&lt;Customisation!$H$13,H78,H78*(1-Customisation!$H$24*Customisation!$H$12))</f>
        <v>6.1027350493281215E-6</v>
      </c>
      <c r="BA78" s="53">
        <f>IF($A78&lt;Customisation!$H$13,I78,I78*(1-Customisation!$H$24*Customisation!$H$12))</f>
        <v>7.3122048000000007E-5</v>
      </c>
      <c r="BB78" s="53">
        <f>IF($A78&lt;Customisation!$H$13,J78,J78*(1-Customisation!$H$24*Customisation!$H$12))</f>
        <v>3.5506822105181794E-6</v>
      </c>
      <c r="BC78" s="53">
        <f>IF($A78&lt;Customisation!$H$13,K78,K78*(1-Customisation!$H$24*Customisation!$H$12))</f>
        <v>8.1701937736743818E-4</v>
      </c>
      <c r="BD78" s="53">
        <f>IF($A78&lt;Customisation!$H$13,L78,L78*(1-Customisation!$H$24*Customisation!$H$12))</f>
        <v>3.9673070547301986E-5</v>
      </c>
      <c r="BE78" s="53">
        <f>IF($A78&lt;Customisation!$H$13,M78,M78*(1-Customisation!$H$24*Customisation!$H$12))</f>
        <v>8.5982388192000007E-5</v>
      </c>
      <c r="BF78" s="53">
        <f>IF($A78&lt;Customisation!$H$13,N78,N78*(1-Customisation!$H$24*Customisation!$H$12))</f>
        <v>4.0270760305153472E-6</v>
      </c>
      <c r="BG78" s="53">
        <f>IF($A78&lt;Customisation!$H$13,O78,O78*(1-Customisation!$H$24*Customisation!$H$12))</f>
        <v>0.21584029024800003</v>
      </c>
      <c r="BH78" s="53">
        <f>IF($A78&lt;Customisation!$H$13,P78,P78*(1-Customisation!$H$24*Customisation!$H$12))</f>
        <v>1.0480837173716116E-2</v>
      </c>
      <c r="BI78" s="53">
        <f t="shared" si="88"/>
        <v>2.1649319999999991E-5</v>
      </c>
      <c r="BJ78" s="53">
        <f t="shared" si="89"/>
        <v>1.0512541360140159E-6</v>
      </c>
      <c r="BK78" s="53">
        <f t="shared" si="90"/>
        <v>1.2595967999999992E-5</v>
      </c>
      <c r="BL78" s="53">
        <f t="shared" si="91"/>
        <v>6.1163877004451839E-7</v>
      </c>
      <c r="BM78" s="53">
        <f t="shared" si="92"/>
        <v>1.4073935583286965E-4</v>
      </c>
      <c r="BN78" s="53">
        <f t="shared" si="93"/>
        <v>6.8340636065822164E-6</v>
      </c>
      <c r="BO78" s="53">
        <f t="shared" si="94"/>
        <v>1.4811283872000008E-5</v>
      </c>
      <c r="BP78" s="53">
        <f t="shared" si="95"/>
        <v>6.9370213501047318E-7</v>
      </c>
      <c r="BQ78" s="53">
        <f t="shared" si="96"/>
        <v>3.7180542168000014E-2</v>
      </c>
      <c r="BR78" s="53">
        <f t="shared" si="97"/>
        <v>1.8054238531904718E-3</v>
      </c>
    </row>
    <row r="79" spans="1:70" ht="14.25" customHeight="1" x14ac:dyDescent="0.3">
      <c r="A79" s="1">
        <f t="shared" si="34"/>
        <v>75</v>
      </c>
      <c r="B79" s="52">
        <f>'Life table'!D77</f>
        <v>0.6920989811826227</v>
      </c>
      <c r="C79" s="52">
        <f>IF($A79&lt;Customisation!$H$13,0,B79)/LOOKUP(Customisation!$H$13,$A$4:$A$104,$B$4:$B$104)</f>
        <v>0.7019459803592617</v>
      </c>
      <c r="D79" s="1">
        <f>IF($A79&lt;=Customisation!$H$13,1,1/(1+Customisation!$H$21)^($A79-Customisation!$H$13))</f>
        <v>4.6245998269296387E-2</v>
      </c>
      <c r="E79" s="1">
        <f t="shared" si="11"/>
        <v>32.028834036344762</v>
      </c>
      <c r="F79" s="1">
        <f t="shared" si="2"/>
        <v>3.246219259283397E-2</v>
      </c>
      <c r="G79" s="53">
        <f>'Age data'!M83*Customisation!$H$22</f>
        <v>2.6838000000000003E-4</v>
      </c>
      <c r="H79" s="53">
        <f t="shared" si="3"/>
        <v>1.2411501015513765E-5</v>
      </c>
      <c r="I79" s="53">
        <f>'Age data'!N83*Customisation!$H$22</f>
        <v>1.7820999999999996E-4</v>
      </c>
      <c r="J79" s="54">
        <f t="shared" si="4"/>
        <v>8.2414993515713073E-6</v>
      </c>
      <c r="K79" s="53">
        <f>I79*'Life table'!I77</f>
        <v>1.8700459636407114E-3</v>
      </c>
      <c r="L79" s="53">
        <f>J79*'Life table'!J77</f>
        <v>8.6482142398033025E-5</v>
      </c>
      <c r="M79" s="53">
        <f t="shared" si="5"/>
        <v>1.9120016000000002E-4</v>
      </c>
      <c r="N79" s="53">
        <f>((G79-I79)*$AW$5+I79*$AW$6)/(1+Customisation!$H$21)^($A79-Customisation!$E$13)</f>
        <v>8.5375420289041835E-6</v>
      </c>
      <c r="O79" s="53">
        <f>G79*Customisation!$H$17</f>
        <v>0.46091581200000009</v>
      </c>
      <c r="P79" s="109">
        <f>O79/(1+Customisation!$H$21)^($A79-Customisation!$E$13)</f>
        <v>2.1315511844043344E-2</v>
      </c>
      <c r="Q79" s="53">
        <f>IF($A79&lt;Customisation!$H$13,G79,G79*(1-Customisation!$H$11*Customisation!$H$12))</f>
        <v>1.1250489600000002E-4</v>
      </c>
      <c r="R79" s="53">
        <f>IF($A79&lt;Customisation!$H$13,H79,H79*(1-Customisation!$H$11*Customisation!$H$12))</f>
        <v>5.2029012257033705E-6</v>
      </c>
      <c r="S79" s="53">
        <f>IF($A79&lt;Customisation!$H$13,I79,I79*(1-Customisation!$H$11*Customisation!$H$12))</f>
        <v>7.4705631999999993E-5</v>
      </c>
      <c r="T79" s="53">
        <f>IF($A79&lt;Customisation!$H$13,J79,J79*(1-Customisation!$H$11*Customisation!$H$12))</f>
        <v>3.4548365281786921E-6</v>
      </c>
      <c r="U79" s="53">
        <f>IF($A79&lt;Customisation!$H$13,K79,K79*(1-Customisation!$H$11*Customisation!$H$12))</f>
        <v>7.8392326795818619E-4</v>
      </c>
      <c r="V79" s="53">
        <f>IF($A79&lt;Customisation!$H$13,L79,L79*(1-Customisation!$H$11*Customisation!$H$12))</f>
        <v>3.6253314093255447E-5</v>
      </c>
      <c r="W79" s="53">
        <f>IF($A79&lt;Customisation!$H$13,M79,M79*(1-Customisation!$H$11*Customisation!$H$12))</f>
        <v>8.0151107072000015E-5</v>
      </c>
      <c r="X79" s="53">
        <f>IF($A79&lt;Customisation!$H$13,N79,N79*(1-Customisation!$H$11*Customisation!$H$12))</f>
        <v>3.5789376185166338E-6</v>
      </c>
      <c r="Y79" s="53">
        <f>IF($A79&lt;Customisation!$H$13,O79,O79*(1-Customisation!$H$11*Customisation!$H$12))</f>
        <v>0.19321590839040004</v>
      </c>
      <c r="Z79" s="53">
        <f>IF($A79&lt;Customisation!$H$13,P79,P79*(1-Customisation!$H$11*Customisation!$H$12))</f>
        <v>8.935462565022971E-3</v>
      </c>
      <c r="AA79" s="53">
        <f t="shared" ref="AA79:AJ79" si="107">G79-Q79</f>
        <v>1.55875104E-4</v>
      </c>
      <c r="AB79" s="53">
        <f t="shared" si="107"/>
        <v>7.2085997898103944E-6</v>
      </c>
      <c r="AC79" s="53">
        <f t="shared" si="107"/>
        <v>1.0350436799999997E-4</v>
      </c>
      <c r="AD79" s="53">
        <f t="shared" si="107"/>
        <v>4.7866628233926156E-6</v>
      </c>
      <c r="AE79" s="53">
        <f t="shared" si="107"/>
        <v>1.0861226956825252E-3</v>
      </c>
      <c r="AF79" s="53">
        <f t="shared" si="107"/>
        <v>5.0228828304777578E-5</v>
      </c>
      <c r="AG79" s="53">
        <f t="shared" si="107"/>
        <v>1.1104905292800001E-4</v>
      </c>
      <c r="AH79" s="53">
        <f t="shared" si="107"/>
        <v>4.9586044103875497E-6</v>
      </c>
      <c r="AI79" s="53">
        <f t="shared" si="107"/>
        <v>0.26769990360960005</v>
      </c>
      <c r="AJ79" s="53">
        <f t="shared" si="107"/>
        <v>1.2380049279020373E-2</v>
      </c>
      <c r="AK79" s="1"/>
      <c r="AL79" s="55">
        <f t="shared" si="7"/>
        <v>26.838000000000005</v>
      </c>
      <c r="AM79" s="55">
        <f t="shared" si="8"/>
        <v>11.250489600000002</v>
      </c>
      <c r="AN79" s="1"/>
      <c r="AO79" s="1"/>
      <c r="AP79" s="1"/>
      <c r="AQ79" s="1"/>
      <c r="AR79" s="1"/>
      <c r="AS79" s="1"/>
      <c r="AT79" s="1"/>
      <c r="AU79" s="1"/>
      <c r="AV79" s="1"/>
      <c r="AW79" s="1"/>
      <c r="AX79" s="1"/>
      <c r="AY79" s="53">
        <f>IF($A79&lt;Customisation!$H$13,G79,G79*(1-Customisation!$H$24*Customisation!$H$12))</f>
        <v>9.5972688000000024E-5</v>
      </c>
      <c r="AZ79" s="53">
        <f>IF($A79&lt;Customisation!$H$13,H79,H79*(1-Customisation!$H$24*Customisation!$H$12))</f>
        <v>4.438352763147723E-6</v>
      </c>
      <c r="BA79" s="53">
        <f>IF($A79&lt;Customisation!$H$13,I79,I79*(1-Customisation!$H$24*Customisation!$H$12))</f>
        <v>6.3727895999999992E-5</v>
      </c>
      <c r="BB79" s="53">
        <f>IF($A79&lt;Customisation!$H$13,J79,J79*(1-Customisation!$H$24*Customisation!$H$12))</f>
        <v>2.9471601681218997E-6</v>
      </c>
      <c r="BC79" s="53">
        <f>IF($A79&lt;Customisation!$H$13,K79,K79*(1-Customisation!$H$24*Customisation!$H$12))</f>
        <v>6.6872843659791846E-4</v>
      </c>
      <c r="BD79" s="53">
        <f>IF($A79&lt;Customisation!$H$13,L79,L79*(1-Customisation!$H$24*Customisation!$H$12))</f>
        <v>3.0926014121536611E-5</v>
      </c>
      <c r="BE79" s="53">
        <f>IF($A79&lt;Customisation!$H$13,M79,M79*(1-Customisation!$H$24*Customisation!$H$12))</f>
        <v>6.8373177216000017E-5</v>
      </c>
      <c r="BF79" s="53">
        <f>IF($A79&lt;Customisation!$H$13,N79,N79*(1-Customisation!$H$24*Customisation!$H$12))</f>
        <v>3.0530250295361362E-6</v>
      </c>
      <c r="BG79" s="53">
        <f>IF($A79&lt;Customisation!$H$13,O79,O79*(1-Customisation!$H$24*Customisation!$H$12))</f>
        <v>0.16482349437120006</v>
      </c>
      <c r="BH79" s="53">
        <f>IF($A79&lt;Customisation!$H$13,P79,P79*(1-Customisation!$H$24*Customisation!$H$12))</f>
        <v>7.6224270354299005E-3</v>
      </c>
      <c r="BI79" s="53">
        <f t="shared" si="88"/>
        <v>1.6532207999999992E-5</v>
      </c>
      <c r="BJ79" s="53">
        <f t="shared" si="89"/>
        <v>7.6454846255564756E-7</v>
      </c>
      <c r="BK79" s="53">
        <f t="shared" si="90"/>
        <v>1.0977736E-5</v>
      </c>
      <c r="BL79" s="53">
        <f t="shared" si="91"/>
        <v>5.0767636005679232E-7</v>
      </c>
      <c r="BM79" s="53">
        <f t="shared" si="92"/>
        <v>1.1519483136026773E-4</v>
      </c>
      <c r="BN79" s="53">
        <f t="shared" si="93"/>
        <v>5.327299971718836E-6</v>
      </c>
      <c r="BO79" s="53">
        <f t="shared" si="94"/>
        <v>1.1777929855999998E-5</v>
      </c>
      <c r="BP79" s="53">
        <f t="shared" si="95"/>
        <v>5.2591258898049765E-7</v>
      </c>
      <c r="BQ79" s="53">
        <f t="shared" si="96"/>
        <v>2.839241401919998E-2</v>
      </c>
      <c r="BR79" s="53">
        <f t="shared" si="97"/>
        <v>1.3130355295930705E-3</v>
      </c>
    </row>
    <row r="80" spans="1:70" ht="14.25" customHeight="1" x14ac:dyDescent="0.3">
      <c r="A80" s="1">
        <f t="shared" si="34"/>
        <v>76</v>
      </c>
      <c r="B80" s="52">
        <f>'Life table'!D78</f>
        <v>0.66988260388666054</v>
      </c>
      <c r="C80" s="52">
        <f>IF($A80&lt;Customisation!$H$13,0,B80)/LOOKUP(Customisation!$H$13,$A$4:$A$104,$B$4:$B$104)</f>
        <v>0.67941351438972941</v>
      </c>
      <c r="D80" s="1">
        <f>IF($A80&lt;=Customisation!$H$13,1,1/(1+Customisation!$H$21)^($A80-Customisation!$H$13))</f>
        <v>4.4043807875520369E-2</v>
      </c>
      <c r="E80" s="1">
        <f t="shared" si="11"/>
        <v>32.075080034614061</v>
      </c>
      <c r="F80" s="1">
        <f t="shared" si="2"/>
        <v>2.9923958295813336E-2</v>
      </c>
      <c r="G80" s="53">
        <f>'Age data'!M84*Customisation!$H$22</f>
        <v>2.8613E-4</v>
      </c>
      <c r="H80" s="53">
        <f t="shared" si="3"/>
        <v>1.2602254747422644E-5</v>
      </c>
      <c r="I80" s="53">
        <f>'Age data'!N84*Customisation!$H$22</f>
        <v>1.9028E-4</v>
      </c>
      <c r="J80" s="54">
        <f t="shared" si="4"/>
        <v>8.3806557625540158E-6</v>
      </c>
      <c r="K80" s="53">
        <f>I80*'Life table'!I78</f>
        <v>1.8694869895342103E-3</v>
      </c>
      <c r="L80" s="53">
        <f>J80*'Life table'!J78</f>
        <v>8.2339325792829711E-5</v>
      </c>
      <c r="M80" s="53">
        <f t="shared" si="5"/>
        <v>2.0394324000000001E-4</v>
      </c>
      <c r="N80" s="53">
        <f>((G80-I80)*$AW$5+I80*$AW$6)/(1+Customisation!$H$21)^($A80-Customisation!$E$13)</f>
        <v>8.6730103736750463E-6</v>
      </c>
      <c r="O80" s="53">
        <f>G80*Customisation!$H$17</f>
        <v>0.49139966200000001</v>
      </c>
      <c r="P80" s="109">
        <f>O80/(1+Customisation!$H$21)^($A80-Customisation!$E$13)</f>
        <v>2.164311230322365E-2</v>
      </c>
      <c r="Q80" s="53">
        <f>IF($A80&lt;Customisation!$H$13,G80,G80*(1-Customisation!$H$11*Customisation!$H$12))</f>
        <v>1.19945696E-4</v>
      </c>
      <c r="R80" s="53">
        <f>IF($A80&lt;Customisation!$H$13,H80,H80*(1-Customisation!$H$11*Customisation!$H$12))</f>
        <v>5.2828651901195723E-6</v>
      </c>
      <c r="S80" s="53">
        <f>IF($A80&lt;Customisation!$H$13,I80,I80*(1-Customisation!$H$11*Customisation!$H$12))</f>
        <v>7.9765376000000008E-5</v>
      </c>
      <c r="T80" s="53">
        <f>IF($A80&lt;Customisation!$H$13,J80,J80*(1-Customisation!$H$11*Customisation!$H$12))</f>
        <v>3.5131708956626437E-6</v>
      </c>
      <c r="U80" s="53">
        <f>IF($A80&lt;Customisation!$H$13,K80,K80*(1-Customisation!$H$11*Customisation!$H$12))</f>
        <v>7.8368894601274096E-4</v>
      </c>
      <c r="V80" s="53">
        <f>IF($A80&lt;Customisation!$H$13,L80,L80*(1-Customisation!$H$11*Customisation!$H$12))</f>
        <v>3.4516645372354217E-5</v>
      </c>
      <c r="W80" s="53">
        <f>IF($A80&lt;Customisation!$H$13,M80,M80*(1-Customisation!$H$11*Customisation!$H$12))</f>
        <v>8.5493006208000005E-5</v>
      </c>
      <c r="X80" s="53">
        <f>IF($A80&lt;Customisation!$H$13,N80,N80*(1-Customisation!$H$11*Customisation!$H$12))</f>
        <v>3.6357259486445797E-6</v>
      </c>
      <c r="Y80" s="53">
        <f>IF($A80&lt;Customisation!$H$13,O80,O80*(1-Customisation!$H$11*Customisation!$H$12))</f>
        <v>0.20599473831040002</v>
      </c>
      <c r="Z80" s="53">
        <f>IF($A80&lt;Customisation!$H$13,P80,P80*(1-Customisation!$H$11*Customisation!$H$12))</f>
        <v>9.072792677511354E-3</v>
      </c>
      <c r="AA80" s="53">
        <f t="shared" ref="AA80:AJ80" si="108">G80-Q80</f>
        <v>1.66184304E-4</v>
      </c>
      <c r="AB80" s="53">
        <f t="shared" si="108"/>
        <v>7.3193895573030717E-6</v>
      </c>
      <c r="AC80" s="53">
        <f t="shared" si="108"/>
        <v>1.1051462399999999E-4</v>
      </c>
      <c r="AD80" s="53">
        <f t="shared" si="108"/>
        <v>4.8674848668913721E-6</v>
      </c>
      <c r="AE80" s="53">
        <f t="shared" si="108"/>
        <v>1.0857980435214692E-3</v>
      </c>
      <c r="AF80" s="53">
        <f t="shared" si="108"/>
        <v>4.7822680420475494E-5</v>
      </c>
      <c r="AG80" s="53">
        <f t="shared" si="108"/>
        <v>1.1845023379200001E-4</v>
      </c>
      <c r="AH80" s="53">
        <f t="shared" si="108"/>
        <v>5.0372844250304667E-6</v>
      </c>
      <c r="AI80" s="53">
        <f t="shared" si="108"/>
        <v>0.28540492368960002</v>
      </c>
      <c r="AJ80" s="53">
        <f t="shared" si="108"/>
        <v>1.2570319625712296E-2</v>
      </c>
      <c r="AK80" s="1"/>
      <c r="AL80" s="55">
        <f t="shared" si="7"/>
        <v>28.613</v>
      </c>
      <c r="AM80" s="55">
        <f t="shared" si="8"/>
        <v>11.9945696</v>
      </c>
      <c r="AN80" s="1"/>
      <c r="AO80" s="1"/>
      <c r="AP80" s="1"/>
      <c r="AQ80" s="1"/>
      <c r="AR80" s="1"/>
      <c r="AS80" s="1"/>
      <c r="AT80" s="1"/>
      <c r="AU80" s="1"/>
      <c r="AV80" s="1"/>
      <c r="AW80" s="1"/>
      <c r="AX80" s="1"/>
      <c r="AY80" s="53">
        <f>IF($A80&lt;Customisation!$H$13,G80,G80*(1-Customisation!$H$24*Customisation!$H$12))</f>
        <v>1.0232008800000001E-4</v>
      </c>
      <c r="AZ80" s="53">
        <f>IF($A80&lt;Customisation!$H$13,H80,H80*(1-Customisation!$H$24*Customisation!$H$12))</f>
        <v>4.5065662976783381E-6</v>
      </c>
      <c r="BA80" s="53">
        <f>IF($A80&lt;Customisation!$H$13,I80,I80*(1-Customisation!$H$24*Customisation!$H$12))</f>
        <v>6.8044128000000005E-5</v>
      </c>
      <c r="BB80" s="53">
        <f>IF($A80&lt;Customisation!$H$13,J80,J80*(1-Customisation!$H$24*Customisation!$H$12))</f>
        <v>2.9969225006893162E-6</v>
      </c>
      <c r="BC80" s="53">
        <f>IF($A80&lt;Customisation!$H$13,K80,K80*(1-Customisation!$H$24*Customisation!$H$12))</f>
        <v>6.685285474574336E-4</v>
      </c>
      <c r="BD80" s="53">
        <f>IF($A80&lt;Customisation!$H$13,L80,L80*(1-Customisation!$H$24*Customisation!$H$12))</f>
        <v>2.9444542903515907E-5</v>
      </c>
      <c r="BE80" s="53">
        <f>IF($A80&lt;Customisation!$H$13,M80,M80*(1-Customisation!$H$24*Customisation!$H$12))</f>
        <v>7.2930102624000004E-5</v>
      </c>
      <c r="BF80" s="53">
        <f>IF($A80&lt;Customisation!$H$13,N80,N80*(1-Customisation!$H$24*Customisation!$H$12))</f>
        <v>3.1014685096261969E-6</v>
      </c>
      <c r="BG80" s="53">
        <f>IF($A80&lt;Customisation!$H$13,O80,O80*(1-Customisation!$H$24*Customisation!$H$12))</f>
        <v>0.17572451913120002</v>
      </c>
      <c r="BH80" s="53">
        <f>IF($A80&lt;Customisation!$H$13,P80,P80*(1-Customisation!$H$24*Customisation!$H$12))</f>
        <v>7.7395769596327775E-3</v>
      </c>
      <c r="BI80" s="53">
        <f t="shared" si="88"/>
        <v>1.7625607999999991E-5</v>
      </c>
      <c r="BJ80" s="53">
        <f t="shared" si="89"/>
        <v>7.7629889244123417E-7</v>
      </c>
      <c r="BK80" s="53">
        <f t="shared" si="90"/>
        <v>1.1721248000000004E-5</v>
      </c>
      <c r="BL80" s="53">
        <f t="shared" si="91"/>
        <v>5.162483949733275E-7</v>
      </c>
      <c r="BM80" s="53">
        <f t="shared" si="92"/>
        <v>1.1516039855530736E-4</v>
      </c>
      <c r="BN80" s="53">
        <f t="shared" si="93"/>
        <v>5.0721024688383104E-6</v>
      </c>
      <c r="BO80" s="53">
        <f t="shared" si="94"/>
        <v>1.2562903584000001E-5</v>
      </c>
      <c r="BP80" s="53">
        <f t="shared" si="95"/>
        <v>5.3425743901838273E-7</v>
      </c>
      <c r="BQ80" s="53">
        <f t="shared" si="96"/>
        <v>3.0270219179200003E-2</v>
      </c>
      <c r="BR80" s="53">
        <f t="shared" si="97"/>
        <v>1.3332157178785765E-3</v>
      </c>
    </row>
    <row r="81" spans="1:70" ht="14.25" customHeight="1" x14ac:dyDescent="0.3">
      <c r="A81" s="1">
        <f t="shared" si="34"/>
        <v>77</v>
      </c>
      <c r="B81" s="52">
        <f>'Life table'!D79</f>
        <v>0.64620895266530598</v>
      </c>
      <c r="C81" s="52">
        <f>IF($A81&lt;Customisation!$H$13,0,B81)/LOOKUP(Customisation!$H$13,$A$4:$A$104,$B$4:$B$104)</f>
        <v>0.65540304079119638</v>
      </c>
      <c r="D81" s="1">
        <f>IF($A81&lt;=Customisation!$H$13,1,1/(1+Customisation!$H$21)^($A81-Customisation!$H$13))</f>
        <v>4.1946483690971779E-2</v>
      </c>
      <c r="E81" s="1">
        <f t="shared" si="11"/>
        <v>32.119123842489579</v>
      </c>
      <c r="F81" s="1">
        <f t="shared" si="2"/>
        <v>2.7491852961561231E-2</v>
      </c>
      <c r="G81" s="53">
        <f>'Age data'!M85*Customisation!$H$22</f>
        <v>3.0529999999999999E-4</v>
      </c>
      <c r="H81" s="53">
        <f t="shared" si="3"/>
        <v>1.2806261470853684E-5</v>
      </c>
      <c r="I81" s="53">
        <f>'Age data'!N85*Customisation!$H$22</f>
        <v>2.0306E-4</v>
      </c>
      <c r="J81" s="54">
        <f t="shared" si="4"/>
        <v>8.5176529782887291E-6</v>
      </c>
      <c r="K81" s="53">
        <f>I81*'Life table'!I79</f>
        <v>1.8613580108357108E-3</v>
      </c>
      <c r="L81" s="53">
        <f>J81*'Life table'!J79</f>
        <v>7.8077423444579806E-5</v>
      </c>
      <c r="M81" s="53">
        <f t="shared" si="5"/>
        <v>2.1761784000000003E-4</v>
      </c>
      <c r="N81" s="53">
        <f>((G81-I81)*$AW$5+I81*$AW$6)/(1+Customisation!$H$21)^($A81-Customisation!$E$13)</f>
        <v>8.8138630284548395E-6</v>
      </c>
      <c r="O81" s="53">
        <f>G81*Customisation!$H$17</f>
        <v>0.52432222000000006</v>
      </c>
      <c r="P81" s="109">
        <f>O81/(1+Customisation!$H$21)^($A81-Customisation!$E$13)</f>
        <v>2.199347345004412E-2</v>
      </c>
      <c r="Q81" s="53">
        <f>IF($A81&lt;Customisation!$H$13,G81,G81*(1-Customisation!$H$11*Customisation!$H$12))</f>
        <v>1.2798175999999999E-4</v>
      </c>
      <c r="R81" s="53">
        <f>IF($A81&lt;Customisation!$H$13,H81,H81*(1-Customisation!$H$11*Customisation!$H$12))</f>
        <v>5.3683848085818643E-6</v>
      </c>
      <c r="S81" s="53">
        <f>IF($A81&lt;Customisation!$H$13,I81,I81*(1-Customisation!$H$11*Customisation!$H$12))</f>
        <v>8.5122752000000006E-5</v>
      </c>
      <c r="T81" s="53">
        <f>IF($A81&lt;Customisation!$H$13,J81,J81*(1-Customisation!$H$11*Customisation!$H$12))</f>
        <v>3.5706001284986354E-6</v>
      </c>
      <c r="U81" s="53">
        <f>IF($A81&lt;Customisation!$H$13,K81,K81*(1-Customisation!$H$11*Customisation!$H$12))</f>
        <v>7.8028127814232999E-4</v>
      </c>
      <c r="V81" s="53">
        <f>IF($A81&lt;Customisation!$H$13,L81,L81*(1-Customisation!$H$11*Customisation!$H$12))</f>
        <v>3.2730055907967858E-5</v>
      </c>
      <c r="W81" s="53">
        <f>IF($A81&lt;Customisation!$H$13,M81,M81*(1-Customisation!$H$11*Customisation!$H$12))</f>
        <v>9.1225398528000011E-5</v>
      </c>
      <c r="X81" s="53">
        <f>IF($A81&lt;Customisation!$H$13,N81,N81*(1-Customisation!$H$11*Customisation!$H$12))</f>
        <v>3.6947713815282691E-6</v>
      </c>
      <c r="Y81" s="53">
        <f>IF($A81&lt;Customisation!$H$13,O81,O81*(1-Customisation!$H$11*Customisation!$H$12))</f>
        <v>0.21979587462400005</v>
      </c>
      <c r="Z81" s="53">
        <f>IF($A81&lt;Customisation!$H$13,P81,P81*(1-Customisation!$H$11*Customisation!$H$12))</f>
        <v>9.2196640702584959E-3</v>
      </c>
      <c r="AA81" s="53">
        <f t="shared" ref="AA81:AJ81" si="109">G81-Q81</f>
        <v>1.7731824E-4</v>
      </c>
      <c r="AB81" s="53">
        <f t="shared" si="109"/>
        <v>7.4378766622718195E-6</v>
      </c>
      <c r="AC81" s="53">
        <f t="shared" si="109"/>
        <v>1.1793724799999999E-4</v>
      </c>
      <c r="AD81" s="53">
        <f t="shared" si="109"/>
        <v>4.9470528497900937E-6</v>
      </c>
      <c r="AE81" s="53">
        <f t="shared" si="109"/>
        <v>1.0810767326933808E-3</v>
      </c>
      <c r="AF81" s="53">
        <f t="shared" si="109"/>
        <v>4.5347367536611949E-5</v>
      </c>
      <c r="AG81" s="53">
        <f t="shared" si="109"/>
        <v>1.2639244147200003E-4</v>
      </c>
      <c r="AH81" s="53">
        <f t="shared" si="109"/>
        <v>5.1190916469265704E-6</v>
      </c>
      <c r="AI81" s="53">
        <f t="shared" si="109"/>
        <v>0.30452634537599998</v>
      </c>
      <c r="AJ81" s="53">
        <f t="shared" si="109"/>
        <v>1.2773809379785624E-2</v>
      </c>
      <c r="AK81" s="1"/>
      <c r="AL81" s="55">
        <f t="shared" si="7"/>
        <v>30.53</v>
      </c>
      <c r="AM81" s="55">
        <f t="shared" si="8"/>
        <v>12.798176</v>
      </c>
      <c r="AN81" s="1"/>
      <c r="AO81" s="1"/>
      <c r="AP81" s="1"/>
      <c r="AQ81" s="1"/>
      <c r="AR81" s="1"/>
      <c r="AS81" s="1"/>
      <c r="AT81" s="1"/>
      <c r="AU81" s="1"/>
      <c r="AV81" s="1"/>
      <c r="AW81" s="1"/>
      <c r="AX81" s="1"/>
      <c r="AY81" s="53">
        <f>IF($A81&lt;Customisation!$H$13,G81,G81*(1-Customisation!$H$24*Customisation!$H$12))</f>
        <v>1.0917528E-4</v>
      </c>
      <c r="AZ81" s="53">
        <f>IF($A81&lt;Customisation!$H$13,H81,H81*(1-Customisation!$H$24*Customisation!$H$12))</f>
        <v>4.5795191019772775E-6</v>
      </c>
      <c r="BA81" s="53">
        <f>IF($A81&lt;Customisation!$H$13,I81,I81*(1-Customisation!$H$24*Customisation!$H$12))</f>
        <v>7.2614256E-5</v>
      </c>
      <c r="BB81" s="53">
        <f>IF($A81&lt;Customisation!$H$13,J81,J81*(1-Customisation!$H$24*Customisation!$H$12))</f>
        <v>3.0459127050360499E-6</v>
      </c>
      <c r="BC81" s="53">
        <f>IF($A81&lt;Customisation!$H$13,K81,K81*(1-Customisation!$H$24*Customisation!$H$12))</f>
        <v>6.6562162467485029E-4</v>
      </c>
      <c r="BD81" s="53">
        <f>IF($A81&lt;Customisation!$H$13,L81,L81*(1-Customisation!$H$24*Customisation!$H$12))</f>
        <v>2.792048662378174E-5</v>
      </c>
      <c r="BE81" s="53">
        <f>IF($A81&lt;Customisation!$H$13,M81,M81*(1-Customisation!$H$24*Customisation!$H$12))</f>
        <v>7.7820139584000022E-5</v>
      </c>
      <c r="BF81" s="53">
        <f>IF($A81&lt;Customisation!$H$13,N81,N81*(1-Customisation!$H$24*Customisation!$H$12))</f>
        <v>3.1518374189754508E-6</v>
      </c>
      <c r="BG81" s="53">
        <f>IF($A81&lt;Customisation!$H$13,O81,O81*(1-Customisation!$H$24*Customisation!$H$12))</f>
        <v>0.18749762587200003</v>
      </c>
      <c r="BH81" s="53">
        <f>IF($A81&lt;Customisation!$H$13,P81,P81*(1-Customisation!$H$24*Customisation!$H$12))</f>
        <v>7.8648661057357776E-3</v>
      </c>
      <c r="BI81" s="53">
        <f t="shared" si="88"/>
        <v>1.8806479999999989E-5</v>
      </c>
      <c r="BJ81" s="53">
        <f t="shared" si="89"/>
        <v>7.888657066045868E-7</v>
      </c>
      <c r="BK81" s="53">
        <f t="shared" si="90"/>
        <v>1.2508496000000006E-5</v>
      </c>
      <c r="BL81" s="53">
        <f t="shared" si="91"/>
        <v>5.2468742346258549E-7</v>
      </c>
      <c r="BM81" s="53">
        <f t="shared" si="92"/>
        <v>1.146596534674797E-4</v>
      </c>
      <c r="BN81" s="53">
        <f t="shared" si="93"/>
        <v>4.8095692841861173E-6</v>
      </c>
      <c r="BO81" s="53">
        <f t="shared" si="94"/>
        <v>1.3405258943999989E-5</v>
      </c>
      <c r="BP81" s="53">
        <f t="shared" si="95"/>
        <v>5.4293396255281825E-7</v>
      </c>
      <c r="BQ81" s="53">
        <f t="shared" si="96"/>
        <v>3.2298248752000019E-2</v>
      </c>
      <c r="BR81" s="53">
        <f t="shared" si="97"/>
        <v>1.3547979645227182E-3</v>
      </c>
    </row>
    <row r="82" spans="1:70" ht="14.25" customHeight="1" x14ac:dyDescent="0.3">
      <c r="A82" s="1">
        <f t="shared" si="34"/>
        <v>78</v>
      </c>
      <c r="B82" s="52">
        <f>'Life table'!D80</f>
        <v>0.62113604530189215</v>
      </c>
      <c r="C82" s="52">
        <f>IF($A82&lt;Customisation!$H$13,0,B82)/LOOKUP(Customisation!$H$13,$A$4:$A$104,$B$4:$B$104)</f>
        <v>0.62997340280849801</v>
      </c>
      <c r="D82" s="1">
        <f>IF($A82&lt;=Customisation!$H$13,1,1/(1+Customisation!$H$21)^($A82-Customisation!$H$13))</f>
        <v>3.9949032086639788E-2</v>
      </c>
      <c r="E82" s="1">
        <f t="shared" si="11"/>
        <v>32.16107032618055</v>
      </c>
      <c r="F82" s="1">
        <f t="shared" si="2"/>
        <v>2.516682768252634E-2</v>
      </c>
      <c r="G82" s="53">
        <f>'Age data'!M86*Customisation!$H$22</f>
        <v>3.2659999999999997E-4</v>
      </c>
      <c r="H82" s="53">
        <f t="shared" si="3"/>
        <v>1.3047353879496553E-5</v>
      </c>
      <c r="I82" s="53">
        <f>'Age data'!N86*Customisation!$H$22</f>
        <v>2.1725999999999999E-4</v>
      </c>
      <c r="J82" s="54">
        <f t="shared" si="4"/>
        <v>8.6793267111433596E-6</v>
      </c>
      <c r="K82" s="53">
        <f>I82*'Life table'!I80</f>
        <v>1.8502681551168826E-3</v>
      </c>
      <c r="L82" s="53">
        <f>J82*'Life table'!J80</f>
        <v>7.3916421897652138E-5</v>
      </c>
      <c r="M82" s="53">
        <f t="shared" si="5"/>
        <v>2.3281183999999998E-4</v>
      </c>
      <c r="N82" s="53">
        <f>((G82-I82)*$AW$5+I82*$AW$6)/(1+Customisation!$H$21)^($A82-Customisation!$E$13)</f>
        <v>8.9802432533054775E-6</v>
      </c>
      <c r="O82" s="53">
        <f>G82*Customisation!$H$17</f>
        <v>0.56090284000000001</v>
      </c>
      <c r="P82" s="109">
        <f>O82/(1+Customisation!$H$21)^($A82-Customisation!$E$13)</f>
        <v>2.2407525552647384E-2</v>
      </c>
      <c r="Q82" s="53">
        <f>IF($A82&lt;Customisation!$H$13,G82,G82*(1-Customisation!$H$11*Customisation!$H$12))</f>
        <v>1.3691071999999998E-4</v>
      </c>
      <c r="R82" s="53">
        <f>IF($A82&lt;Customisation!$H$13,H82,H82*(1-Customisation!$H$11*Customisation!$H$12))</f>
        <v>5.4694507462849552E-6</v>
      </c>
      <c r="S82" s="53">
        <f>IF($A82&lt;Customisation!$H$13,I82,I82*(1-Customisation!$H$11*Customisation!$H$12))</f>
        <v>9.1075391999999997E-5</v>
      </c>
      <c r="T82" s="53">
        <f>IF($A82&lt;Customisation!$H$13,J82,J82*(1-Customisation!$H$11*Customisation!$H$12))</f>
        <v>3.6383737573112966E-6</v>
      </c>
      <c r="U82" s="53">
        <f>IF($A82&lt;Customisation!$H$13,K82,K82*(1-Customisation!$H$11*Customisation!$H$12))</f>
        <v>7.7563241062499728E-4</v>
      </c>
      <c r="V82" s="53">
        <f>IF($A82&lt;Customisation!$H$13,L82,L82*(1-Customisation!$H$11*Customisation!$H$12))</f>
        <v>3.0985764059495776E-5</v>
      </c>
      <c r="W82" s="53">
        <f>IF($A82&lt;Customisation!$H$13,M82,M82*(1-Customisation!$H$11*Customisation!$H$12))</f>
        <v>9.7594723327999996E-5</v>
      </c>
      <c r="X82" s="53">
        <f>IF($A82&lt;Customisation!$H$13,N82,N82*(1-Customisation!$H$11*Customisation!$H$12))</f>
        <v>3.7645179717856563E-6</v>
      </c>
      <c r="Y82" s="53">
        <f>IF($A82&lt;Customisation!$H$13,O82,O82*(1-Customisation!$H$11*Customisation!$H$12))</f>
        <v>0.23513047052800001</v>
      </c>
      <c r="Z82" s="53">
        <f>IF($A82&lt;Customisation!$H$13,P82,P82*(1-Customisation!$H$11*Customisation!$H$12))</f>
        <v>9.3932347116697842E-3</v>
      </c>
      <c r="AA82" s="53">
        <f t="shared" ref="AA82:AJ82" si="110">G82-Q82</f>
        <v>1.8968927999999999E-4</v>
      </c>
      <c r="AB82" s="53">
        <f t="shared" si="110"/>
        <v>7.5779031332115983E-6</v>
      </c>
      <c r="AC82" s="53">
        <f t="shared" si="110"/>
        <v>1.2618460800000001E-4</v>
      </c>
      <c r="AD82" s="53">
        <f t="shared" si="110"/>
        <v>5.0409529538320629E-6</v>
      </c>
      <c r="AE82" s="53">
        <f t="shared" si="110"/>
        <v>1.0746357444918852E-3</v>
      </c>
      <c r="AF82" s="53">
        <f t="shared" si="110"/>
        <v>4.2930657838156362E-5</v>
      </c>
      <c r="AG82" s="53">
        <f t="shared" si="110"/>
        <v>1.35217116672E-4</v>
      </c>
      <c r="AH82" s="53">
        <f t="shared" si="110"/>
        <v>5.2157252815198212E-6</v>
      </c>
      <c r="AI82" s="53">
        <f t="shared" si="110"/>
        <v>0.325772369472</v>
      </c>
      <c r="AJ82" s="53">
        <f t="shared" si="110"/>
        <v>1.30142908409776E-2</v>
      </c>
      <c r="AK82" s="1"/>
      <c r="AL82" s="55">
        <f t="shared" si="7"/>
        <v>32.659999999999997</v>
      </c>
      <c r="AM82" s="55">
        <f t="shared" si="8"/>
        <v>13.691071999999998</v>
      </c>
      <c r="AN82" s="1"/>
      <c r="AO82" s="1"/>
      <c r="AP82" s="1"/>
      <c r="AQ82" s="1"/>
      <c r="AR82" s="1"/>
      <c r="AS82" s="1"/>
      <c r="AT82" s="1"/>
      <c r="AU82" s="1"/>
      <c r="AV82" s="1"/>
      <c r="AW82" s="1"/>
      <c r="AX82" s="1"/>
      <c r="AY82" s="53">
        <f>IF($A82&lt;Customisation!$H$13,G82,G82*(1-Customisation!$H$24*Customisation!$H$12))</f>
        <v>1.1679216E-4</v>
      </c>
      <c r="AZ82" s="53">
        <f>IF($A82&lt;Customisation!$H$13,H82,H82*(1-Customisation!$H$24*Customisation!$H$12))</f>
        <v>4.6657337473079682E-6</v>
      </c>
      <c r="BA82" s="53">
        <f>IF($A82&lt;Customisation!$H$13,I82,I82*(1-Customisation!$H$24*Customisation!$H$12))</f>
        <v>7.7692176000000002E-5</v>
      </c>
      <c r="BB82" s="53">
        <f>IF($A82&lt;Customisation!$H$13,J82,J82*(1-Customisation!$H$24*Customisation!$H$12))</f>
        <v>3.1037272319048656E-6</v>
      </c>
      <c r="BC82" s="53">
        <f>IF($A82&lt;Customisation!$H$13,K82,K82*(1-Customisation!$H$24*Customisation!$H$12))</f>
        <v>6.6165589226979725E-4</v>
      </c>
      <c r="BD82" s="53">
        <f>IF($A82&lt;Customisation!$H$13,L82,L82*(1-Customisation!$H$24*Customisation!$H$12))</f>
        <v>2.6432512470600407E-5</v>
      </c>
      <c r="BE82" s="53">
        <f>IF($A82&lt;Customisation!$H$13,M82,M82*(1-Customisation!$H$24*Customisation!$H$12))</f>
        <v>8.3253513983999998E-5</v>
      </c>
      <c r="BF82" s="53">
        <f>IF($A82&lt;Customisation!$H$13,N82,N82*(1-Customisation!$H$24*Customisation!$H$12))</f>
        <v>3.211334987382039E-6</v>
      </c>
      <c r="BG82" s="53">
        <f>IF($A82&lt;Customisation!$H$13,O82,O82*(1-Customisation!$H$24*Customisation!$H$12))</f>
        <v>0.20057885558400002</v>
      </c>
      <c r="BH82" s="53">
        <f>IF($A82&lt;Customisation!$H$13,P82,P82*(1-Customisation!$H$24*Customisation!$H$12))</f>
        <v>8.0129311376267044E-3</v>
      </c>
      <c r="BI82" s="53">
        <f t="shared" si="88"/>
        <v>2.0118559999999984E-5</v>
      </c>
      <c r="BJ82" s="53">
        <f t="shared" si="89"/>
        <v>8.0371699897698693E-7</v>
      </c>
      <c r="BK82" s="53">
        <f t="shared" si="90"/>
        <v>1.3383215999999995E-5</v>
      </c>
      <c r="BL82" s="53">
        <f t="shared" si="91"/>
        <v>5.3464652540643101E-7</v>
      </c>
      <c r="BM82" s="53">
        <f t="shared" si="92"/>
        <v>1.1397651835520003E-4</v>
      </c>
      <c r="BN82" s="53">
        <f t="shared" si="93"/>
        <v>4.5532515888953691E-6</v>
      </c>
      <c r="BO82" s="53">
        <f t="shared" si="94"/>
        <v>1.4341209343999997E-5</v>
      </c>
      <c r="BP82" s="53">
        <f t="shared" si="95"/>
        <v>5.5318298440361729E-7</v>
      </c>
      <c r="BQ82" s="53">
        <f t="shared" si="96"/>
        <v>3.4551614943999998E-2</v>
      </c>
      <c r="BR82" s="53">
        <f t="shared" si="97"/>
        <v>1.3803035740430798E-3</v>
      </c>
    </row>
    <row r="83" spans="1:70" ht="14.25" customHeight="1" x14ac:dyDescent="0.3">
      <c r="A83" s="1">
        <f t="shared" si="34"/>
        <v>79</v>
      </c>
      <c r="B83" s="52">
        <f>'Life table'!D81</f>
        <v>0.5947377633765617</v>
      </c>
      <c r="C83" s="52">
        <f>IF($A83&lt;Customisation!$H$13,0,B83)/LOOKUP(Customisation!$H$13,$A$4:$A$104,$B$4:$B$104)</f>
        <v>0.60319953318913677</v>
      </c>
      <c r="D83" s="1">
        <f>IF($A83&lt;=Customisation!$H$13,1,1/(1+Customisation!$H$21)^($A83-Customisation!$H$13))</f>
        <v>3.8046697225371226E-2</v>
      </c>
      <c r="E83" s="1">
        <f t="shared" si="11"/>
        <v>32.201019358267189</v>
      </c>
      <c r="F83" s="1">
        <f t="shared" si="2"/>
        <v>2.294975000573235E-2</v>
      </c>
      <c r="G83" s="53">
        <f>'Age data'!M87*Customisation!$H$22</f>
        <v>3.5216000000000002E-4</v>
      </c>
      <c r="H83" s="53">
        <f t="shared" si="3"/>
        <v>1.3398524894886732E-5</v>
      </c>
      <c r="I83" s="53">
        <f>'Age data'!N87*Customisation!$H$22</f>
        <v>2.3429999999999998E-4</v>
      </c>
      <c r="J83" s="54">
        <f t="shared" si="4"/>
        <v>8.9143411599044781E-6</v>
      </c>
      <c r="K83" s="53">
        <f>I83*'Life table'!I81</f>
        <v>1.844455458074613E-3</v>
      </c>
      <c r="L83" s="53">
        <f>J83*'Life table'!J81</f>
        <v>7.0175438359048196E-5</v>
      </c>
      <c r="M83" s="53">
        <f t="shared" si="5"/>
        <v>2.5104464000000001E-4</v>
      </c>
      <c r="N83" s="53">
        <f>((G83-I83)*$AW$5+I83*$AW$6)/(1+Customisation!$H$21)^($A83-Customisation!$E$13)</f>
        <v>9.222427465750428E-6</v>
      </c>
      <c r="O83" s="53">
        <f>G83*Customisation!$H$17</f>
        <v>0.60479958400000011</v>
      </c>
      <c r="P83" s="109">
        <f>O83/(1+Customisation!$H$21)^($A83-Customisation!$E$13)</f>
        <v>2.3010626654478478E-2</v>
      </c>
      <c r="Q83" s="53">
        <f>IF($A83&lt;Customisation!$H$13,G83,G83*(1-Customisation!$H$11*Customisation!$H$12))</f>
        <v>1.4762547200000001E-4</v>
      </c>
      <c r="R83" s="53">
        <f>IF($A83&lt;Customisation!$H$13,H83,H83*(1-Customisation!$H$11*Customisation!$H$12))</f>
        <v>5.6166616359365184E-6</v>
      </c>
      <c r="S83" s="53">
        <f>IF($A83&lt;Customisation!$H$13,I83,I83*(1-Customisation!$H$11*Customisation!$H$12))</f>
        <v>9.8218559999999999E-5</v>
      </c>
      <c r="T83" s="53">
        <f>IF($A83&lt;Customisation!$H$13,J83,J83*(1-Customisation!$H$11*Customisation!$H$12))</f>
        <v>3.7368918142319573E-6</v>
      </c>
      <c r="U83" s="53">
        <f>IF($A83&lt;Customisation!$H$13,K83,K83*(1-Customisation!$H$11*Customisation!$H$12))</f>
        <v>7.7319572802487775E-4</v>
      </c>
      <c r="V83" s="53">
        <f>IF($A83&lt;Customisation!$H$13,L83,L83*(1-Customisation!$H$11*Customisation!$H$12))</f>
        <v>2.9417543760113006E-5</v>
      </c>
      <c r="W83" s="53">
        <f>IF($A83&lt;Customisation!$H$13,M83,M83*(1-Customisation!$H$11*Customisation!$H$12))</f>
        <v>1.0523791308800001E-4</v>
      </c>
      <c r="X83" s="53">
        <f>IF($A83&lt;Customisation!$H$13,N83,N83*(1-Customisation!$H$11*Customisation!$H$12))</f>
        <v>3.8660415936425799E-6</v>
      </c>
      <c r="Y83" s="53">
        <f>IF($A83&lt;Customisation!$H$13,O83,O83*(1-Customisation!$H$11*Customisation!$H$12))</f>
        <v>0.25353198561280005</v>
      </c>
      <c r="Z83" s="53">
        <f>IF($A83&lt;Customisation!$H$13,P83,P83*(1-Customisation!$H$11*Customisation!$H$12))</f>
        <v>9.6460546935573776E-3</v>
      </c>
      <c r="AA83" s="53">
        <f t="shared" ref="AA83:AJ83" si="111">G83-Q83</f>
        <v>2.0453452800000001E-4</v>
      </c>
      <c r="AB83" s="53">
        <f t="shared" si="111"/>
        <v>7.7818632589502129E-6</v>
      </c>
      <c r="AC83" s="53">
        <f t="shared" si="111"/>
        <v>1.3608143999999998E-4</v>
      </c>
      <c r="AD83" s="53">
        <f t="shared" si="111"/>
        <v>5.1774493456725208E-6</v>
      </c>
      <c r="AE83" s="53">
        <f t="shared" si="111"/>
        <v>1.0712597300497353E-3</v>
      </c>
      <c r="AF83" s="53">
        <f t="shared" si="111"/>
        <v>4.075789459893519E-5</v>
      </c>
      <c r="AG83" s="53">
        <f t="shared" si="111"/>
        <v>1.45806726912E-4</v>
      </c>
      <c r="AH83" s="53">
        <f t="shared" si="111"/>
        <v>5.3563858721078481E-6</v>
      </c>
      <c r="AI83" s="53">
        <f t="shared" si="111"/>
        <v>0.35126759838720006</v>
      </c>
      <c r="AJ83" s="53">
        <f t="shared" si="111"/>
        <v>1.33645719609211E-2</v>
      </c>
      <c r="AK83" s="1"/>
      <c r="AL83" s="55">
        <f t="shared" si="7"/>
        <v>35.216000000000001</v>
      </c>
      <c r="AM83" s="55">
        <f t="shared" si="8"/>
        <v>14.7625472</v>
      </c>
      <c r="AN83" s="1"/>
      <c r="AO83" s="1"/>
      <c r="AP83" s="1"/>
      <c r="AQ83" s="1"/>
      <c r="AR83" s="1"/>
      <c r="AS83" s="1"/>
      <c r="AT83" s="1"/>
      <c r="AU83" s="1"/>
      <c r="AV83" s="1"/>
      <c r="AW83" s="1"/>
      <c r="AX83" s="1"/>
      <c r="AY83" s="53">
        <f>IF($A83&lt;Customisation!$H$13,G83,G83*(1-Customisation!$H$24*Customisation!$H$12))</f>
        <v>1.25932416E-4</v>
      </c>
      <c r="AZ83" s="53">
        <f>IF($A83&lt;Customisation!$H$13,H83,H83*(1-Customisation!$H$24*Customisation!$H$12))</f>
        <v>4.7913125024114954E-6</v>
      </c>
      <c r="BA83" s="53">
        <f>IF($A83&lt;Customisation!$H$13,I83,I83*(1-Customisation!$H$24*Customisation!$H$12))</f>
        <v>8.3785679999999992E-5</v>
      </c>
      <c r="BB83" s="53">
        <f>IF($A83&lt;Customisation!$H$13,J83,J83*(1-Customisation!$H$24*Customisation!$H$12))</f>
        <v>3.1877683987818416E-6</v>
      </c>
      <c r="BC83" s="53">
        <f>IF($A83&lt;Customisation!$H$13,K83,K83*(1-Customisation!$H$24*Customisation!$H$12))</f>
        <v>6.5957727180748164E-4</v>
      </c>
      <c r="BD83" s="53">
        <f>IF($A83&lt;Customisation!$H$13,L83,L83*(1-Customisation!$H$24*Customisation!$H$12))</f>
        <v>2.5094736757195637E-5</v>
      </c>
      <c r="BE83" s="53">
        <f>IF($A83&lt;Customisation!$H$13,M83,M83*(1-Customisation!$H$24*Customisation!$H$12))</f>
        <v>8.9773563264000013E-5</v>
      </c>
      <c r="BF83" s="53">
        <f>IF($A83&lt;Customisation!$H$13,N83,N83*(1-Customisation!$H$24*Customisation!$H$12))</f>
        <v>3.2979400617523535E-6</v>
      </c>
      <c r="BG83" s="53">
        <f>IF($A83&lt;Customisation!$H$13,O83,O83*(1-Customisation!$H$24*Customisation!$H$12))</f>
        <v>0.21627633123840007</v>
      </c>
      <c r="BH83" s="53">
        <f>IF($A83&lt;Customisation!$H$13,P83,P83*(1-Customisation!$H$24*Customisation!$H$12))</f>
        <v>8.2286000916415043E-3</v>
      </c>
      <c r="BI83" s="53">
        <f t="shared" si="88"/>
        <v>2.1693056000000004E-5</v>
      </c>
      <c r="BJ83" s="53">
        <f t="shared" si="89"/>
        <v>8.2534913352502299E-7</v>
      </c>
      <c r="BK83" s="53">
        <f t="shared" si="90"/>
        <v>1.4432880000000007E-5</v>
      </c>
      <c r="BL83" s="53">
        <f t="shared" si="91"/>
        <v>5.4912341545011573E-7</v>
      </c>
      <c r="BM83" s="53">
        <f t="shared" si="92"/>
        <v>1.1361845621739612E-4</v>
      </c>
      <c r="BN83" s="53">
        <f t="shared" si="93"/>
        <v>4.322807002917369E-6</v>
      </c>
      <c r="BO83" s="53">
        <f t="shared" si="94"/>
        <v>1.5464349823999995E-5</v>
      </c>
      <c r="BP83" s="53">
        <f t="shared" si="95"/>
        <v>5.6810153189022639E-7</v>
      </c>
      <c r="BQ83" s="53">
        <f t="shared" si="96"/>
        <v>3.7255654374399982E-2</v>
      </c>
      <c r="BR83" s="53">
        <f t="shared" si="97"/>
        <v>1.4174546019158733E-3</v>
      </c>
    </row>
    <row r="84" spans="1:70" ht="14.25" customHeight="1" x14ac:dyDescent="0.3">
      <c r="A84" s="1">
        <f t="shared" si="34"/>
        <v>80</v>
      </c>
      <c r="B84" s="52">
        <f>'Life table'!D82</f>
        <v>0.56713003640062165</v>
      </c>
      <c r="C84" s="52">
        <f>IF($A84&lt;Customisation!$H$13,0,B84)/LOOKUP(Customisation!$H$13,$A$4:$A$104,$B$4:$B$104)</f>
        <v>0.57519901085849701</v>
      </c>
      <c r="D84" s="1">
        <f>IF($A84&lt;=Customisation!$H$13,1,1/(1+Customisation!$H$21)^($A84-Customisation!$H$13))</f>
        <v>3.6234949738448791E-2</v>
      </c>
      <c r="E84" s="1">
        <f t="shared" si="11"/>
        <v>32.239066055492557</v>
      </c>
      <c r="F84" s="1">
        <f t="shared" si="2"/>
        <v>2.0842307248063099E-2</v>
      </c>
      <c r="G84" s="53">
        <f>'Age data'!M88*Customisation!$H$22</f>
        <v>2.7334999999999995E-4</v>
      </c>
      <c r="H84" s="53">
        <f t="shared" si="3"/>
        <v>9.9048235110049753E-6</v>
      </c>
      <c r="I84" s="53">
        <f>'Age data'!N88*Customisation!$H$22</f>
        <v>2.1157999999999998E-4</v>
      </c>
      <c r="J84" s="54">
        <f t="shared" si="4"/>
        <v>7.6665906656609939E-6</v>
      </c>
      <c r="K84" s="53">
        <f>I84*'Life table'!I82</f>
        <v>1.52995023283942E-3</v>
      </c>
      <c r="L84" s="53">
        <f>J84*'Life table'!J82</f>
        <v>5.5437669789264407E-5</v>
      </c>
      <c r="M84" s="53">
        <f t="shared" si="5"/>
        <v>2.0508491999999997E-4</v>
      </c>
      <c r="N84" s="53">
        <f>((G84-I84)*$AW$5+I84*$AW$6)/(1+Customisation!$H$21)^($A84-Customisation!$E$13)</f>
        <v>7.1843037092277195E-6</v>
      </c>
      <c r="O84" s="53">
        <f>G84*Customisation!$H$17</f>
        <v>0.46945128999999997</v>
      </c>
      <c r="P84" s="109">
        <f>O84/(1+Customisation!$H$21)^($A84-Customisation!$E$13)</f>
        <v>1.7010543897799945E-2</v>
      </c>
      <c r="Q84" s="53">
        <f>IF($A84&lt;Customisation!$H$13,G84,G84*(1-Customisation!$H$11*Customisation!$H$12))</f>
        <v>1.1458831999999999E-4</v>
      </c>
      <c r="R84" s="53">
        <f>IF($A84&lt;Customisation!$H$13,H84,H84*(1-Customisation!$H$11*Customisation!$H$12))</f>
        <v>4.1521020158132861E-6</v>
      </c>
      <c r="S84" s="53">
        <f>IF($A84&lt;Customisation!$H$13,I84,I84*(1-Customisation!$H$11*Customisation!$H$12))</f>
        <v>8.8694335999999987E-5</v>
      </c>
      <c r="T84" s="53">
        <f>IF($A84&lt;Customisation!$H$13,J84,J84*(1-Customisation!$H$11*Customisation!$H$12))</f>
        <v>3.2138348070450886E-6</v>
      </c>
      <c r="U84" s="53">
        <f>IF($A84&lt;Customisation!$H$13,K84,K84*(1-Customisation!$H$11*Customisation!$H$12))</f>
        <v>6.413551376062849E-4</v>
      </c>
      <c r="V84" s="53">
        <f>IF($A84&lt;Customisation!$H$13,L84,L84*(1-Customisation!$H$11*Customisation!$H$12))</f>
        <v>2.3239471175659641E-5</v>
      </c>
      <c r="W84" s="53">
        <f>IF($A84&lt;Customisation!$H$13,M84,M84*(1-Customisation!$H$11*Customisation!$H$12))</f>
        <v>8.597159846399999E-5</v>
      </c>
      <c r="X84" s="53">
        <f>IF($A84&lt;Customisation!$H$13,N84,N84*(1-Customisation!$H$11*Customisation!$H$12))</f>
        <v>3.0116601149082601E-6</v>
      </c>
      <c r="Y84" s="53">
        <f>IF($A84&lt;Customisation!$H$13,O84,O84*(1-Customisation!$H$11*Customisation!$H$12))</f>
        <v>0.196793980768</v>
      </c>
      <c r="Z84" s="53">
        <f>IF($A84&lt;Customisation!$H$13,P84,P84*(1-Customisation!$H$11*Customisation!$H$12))</f>
        <v>7.1308200019577373E-3</v>
      </c>
      <c r="AA84" s="53">
        <f t="shared" ref="AA84:AJ84" si="112">G84-Q84</f>
        <v>1.5876167999999996E-4</v>
      </c>
      <c r="AB84" s="53">
        <f t="shared" si="112"/>
        <v>5.7527214951916892E-6</v>
      </c>
      <c r="AC84" s="53">
        <f t="shared" si="112"/>
        <v>1.2288566399999999E-4</v>
      </c>
      <c r="AD84" s="53">
        <f t="shared" si="112"/>
        <v>4.4527558586159053E-6</v>
      </c>
      <c r="AE84" s="53">
        <f t="shared" si="112"/>
        <v>8.8859509523313512E-4</v>
      </c>
      <c r="AF84" s="53">
        <f t="shared" si="112"/>
        <v>3.2198198613604762E-5</v>
      </c>
      <c r="AG84" s="53">
        <f t="shared" si="112"/>
        <v>1.1911332153599998E-4</v>
      </c>
      <c r="AH84" s="53">
        <f t="shared" si="112"/>
        <v>4.1726435943194594E-6</v>
      </c>
      <c r="AI84" s="53">
        <f t="shared" si="112"/>
        <v>0.27265730923199993</v>
      </c>
      <c r="AJ84" s="53">
        <f t="shared" si="112"/>
        <v>9.8797238958422077E-3</v>
      </c>
      <c r="AK84" s="1"/>
      <c r="AL84" s="55">
        <f t="shared" si="7"/>
        <v>27.334999999999994</v>
      </c>
      <c r="AM84" s="55">
        <f t="shared" si="8"/>
        <v>11.458831999999999</v>
      </c>
      <c r="AN84" s="1"/>
      <c r="AO84" s="1"/>
      <c r="AP84" s="1"/>
      <c r="AQ84" s="1"/>
      <c r="AR84" s="1"/>
      <c r="AS84" s="1"/>
      <c r="AT84" s="1"/>
      <c r="AU84" s="1"/>
      <c r="AV84" s="1"/>
      <c r="AW84" s="1"/>
      <c r="AX84" s="1"/>
      <c r="AY84" s="53">
        <f>IF($A84&lt;Customisation!$H$13,G84,G84*(1-Customisation!$H$24*Customisation!$H$12))</f>
        <v>9.7749959999999988E-5</v>
      </c>
      <c r="AZ84" s="53">
        <f>IF($A84&lt;Customisation!$H$13,H84,H84*(1-Customisation!$H$24*Customisation!$H$12))</f>
        <v>3.5419648875353794E-6</v>
      </c>
      <c r="BA84" s="53">
        <f>IF($A84&lt;Customisation!$H$13,I84,I84*(1-Customisation!$H$24*Customisation!$H$12))</f>
        <v>7.5661008000000001E-5</v>
      </c>
      <c r="BB84" s="53">
        <f>IF($A84&lt;Customisation!$H$13,J84,J84*(1-Customisation!$H$24*Customisation!$H$12))</f>
        <v>2.7415728220403717E-6</v>
      </c>
      <c r="BC84" s="53">
        <f>IF($A84&lt;Customisation!$H$13,K84,K84*(1-Customisation!$H$24*Customisation!$H$12))</f>
        <v>5.4711020326337668E-4</v>
      </c>
      <c r="BD84" s="53">
        <f>IF($A84&lt;Customisation!$H$13,L84,L84*(1-Customisation!$H$24*Customisation!$H$12))</f>
        <v>1.9824510716640953E-5</v>
      </c>
      <c r="BE84" s="53">
        <f>IF($A84&lt;Customisation!$H$13,M84,M84*(1-Customisation!$H$24*Customisation!$H$12))</f>
        <v>7.3338367391999996E-5</v>
      </c>
      <c r="BF84" s="53">
        <f>IF($A84&lt;Customisation!$H$13,N84,N84*(1-Customisation!$H$24*Customisation!$H$12))</f>
        <v>2.5691070064198326E-6</v>
      </c>
      <c r="BG84" s="53">
        <f>IF($A84&lt;Customisation!$H$13,O84,O84*(1-Customisation!$H$24*Customisation!$H$12))</f>
        <v>0.16787578130399999</v>
      </c>
      <c r="BH84" s="53">
        <f>IF($A84&lt;Customisation!$H$13,P84,P84*(1-Customisation!$H$24*Customisation!$H$12))</f>
        <v>6.0829704978532604E-3</v>
      </c>
      <c r="BI84" s="53">
        <f t="shared" si="88"/>
        <v>1.6838360000000002E-5</v>
      </c>
      <c r="BJ84" s="53">
        <f t="shared" si="89"/>
        <v>6.1013712827790674E-7</v>
      </c>
      <c r="BK84" s="53">
        <f t="shared" si="90"/>
        <v>1.3033327999999986E-5</v>
      </c>
      <c r="BL84" s="53">
        <f t="shared" si="91"/>
        <v>4.7226198500471688E-7</v>
      </c>
      <c r="BM84" s="53">
        <f t="shared" si="92"/>
        <v>9.424493434290822E-5</v>
      </c>
      <c r="BN84" s="53">
        <f t="shared" si="93"/>
        <v>3.4149604590186882E-6</v>
      </c>
      <c r="BO84" s="53">
        <f t="shared" si="94"/>
        <v>1.2633231071999994E-5</v>
      </c>
      <c r="BP84" s="53">
        <f t="shared" si="95"/>
        <v>4.4255310848842752E-7</v>
      </c>
      <c r="BQ84" s="53">
        <f t="shared" si="96"/>
        <v>2.8918199464000011E-2</v>
      </c>
      <c r="BR84" s="53">
        <f t="shared" si="97"/>
        <v>1.0478495041044769E-3</v>
      </c>
    </row>
    <row r="85" spans="1:70" ht="14.25" customHeight="1" x14ac:dyDescent="0.3">
      <c r="A85" s="1">
        <f t="shared" si="34"/>
        <v>81</v>
      </c>
      <c r="B85" s="52">
        <f>'Life table'!D83</f>
        <v>0.53352191044352082</v>
      </c>
      <c r="C85" s="52">
        <f>IF($A85&lt;Customisation!$H$13,0,B85)/LOOKUP(Customisation!$H$13,$A$4:$A$104,$B$4:$B$104)</f>
        <v>0.54111271747502254</v>
      </c>
      <c r="D85" s="1">
        <f>IF($A85&lt;=Customisation!$H$13,1,1/(1+Customisation!$H$21)^($A85-Customisation!$H$13))</f>
        <v>3.4509475941379798E-2</v>
      </c>
      <c r="E85" s="1">
        <f t="shared" si="11"/>
        <v>32.275301005231007</v>
      </c>
      <c r="F85" s="1">
        <f t="shared" si="2"/>
        <v>1.8673516305278935E-2</v>
      </c>
      <c r="G85" s="53">
        <f>'Age data'!M89*Customisation!$H$22</f>
        <v>2.9962000000000001E-4</v>
      </c>
      <c r="H85" s="53">
        <f t="shared" si="3"/>
        <v>1.0339729181556216E-5</v>
      </c>
      <c r="I85" s="53">
        <f>'Age data'!N89*Customisation!$H$22</f>
        <v>2.3216999999999997E-4</v>
      </c>
      <c r="J85" s="54">
        <f t="shared" si="4"/>
        <v>8.012065029310147E-6</v>
      </c>
      <c r="K85" s="53">
        <f>I85*'Life table'!I83</f>
        <v>1.5451104495143629E-3</v>
      </c>
      <c r="L85" s="53">
        <f>J85*'Life table'!J83</f>
        <v>5.3320951884290443E-5</v>
      </c>
      <c r="M85" s="53">
        <f t="shared" si="5"/>
        <v>2.2488255999999999E-4</v>
      </c>
      <c r="N85" s="53">
        <f>((G85-I85)*$AW$5+I85*$AW$6)/(1+Customisation!$H$21)^($A85-Customisation!$E$13)</f>
        <v>7.5027679026252537E-6</v>
      </c>
      <c r="O85" s="53">
        <f>G85*Customisation!$H$17</f>
        <v>0.51456738800000001</v>
      </c>
      <c r="P85" s="109">
        <f>O85/(1+Customisation!$H$21)^($A85-Customisation!$E$13)</f>
        <v>1.7757450896404646E-2</v>
      </c>
      <c r="Q85" s="53">
        <f>IF($A85&lt;Customisation!$H$13,G85,G85*(1-Customisation!$H$11*Customisation!$H$12))</f>
        <v>1.25600704E-4</v>
      </c>
      <c r="R85" s="53">
        <f>IF($A85&lt;Customisation!$H$13,H85,H85*(1-Customisation!$H$11*Customisation!$H$12))</f>
        <v>4.3344144729083661E-6</v>
      </c>
      <c r="S85" s="53">
        <f>IF($A85&lt;Customisation!$H$13,I85,I85*(1-Customisation!$H$11*Customisation!$H$12))</f>
        <v>9.7325663999999997E-5</v>
      </c>
      <c r="T85" s="53">
        <f>IF($A85&lt;Customisation!$H$13,J85,J85*(1-Customisation!$H$11*Customisation!$H$12))</f>
        <v>3.3586576602868137E-6</v>
      </c>
      <c r="U85" s="53">
        <f>IF($A85&lt;Customisation!$H$13,K85,K85*(1-Customisation!$H$11*Customisation!$H$12))</f>
        <v>6.4771030043642098E-4</v>
      </c>
      <c r="V85" s="53">
        <f>IF($A85&lt;Customisation!$H$13,L85,L85*(1-Customisation!$H$11*Customisation!$H$12))</f>
        <v>2.2352143029894554E-5</v>
      </c>
      <c r="W85" s="53">
        <f>IF($A85&lt;Customisation!$H$13,M85,M85*(1-Customisation!$H$11*Customisation!$H$12))</f>
        <v>9.4270769152000002E-5</v>
      </c>
      <c r="X85" s="53">
        <f>IF($A85&lt;Customisation!$H$13,N85,N85*(1-Customisation!$H$11*Customisation!$H$12))</f>
        <v>3.1451603047805065E-6</v>
      </c>
      <c r="Y85" s="53">
        <f>IF($A85&lt;Customisation!$H$13,O85,O85*(1-Customisation!$H$11*Customisation!$H$12))</f>
        <v>0.21570664904960002</v>
      </c>
      <c r="Z85" s="53">
        <f>IF($A85&lt;Customisation!$H$13,P85,P85*(1-Customisation!$H$11*Customisation!$H$12))</f>
        <v>7.4439234157728275E-3</v>
      </c>
      <c r="AA85" s="53">
        <f t="shared" ref="AA85:AJ85" si="113">G85-Q85</f>
        <v>1.7401929600000001E-4</v>
      </c>
      <c r="AB85" s="53">
        <f t="shared" si="113"/>
        <v>6.0053147086478501E-6</v>
      </c>
      <c r="AC85" s="53">
        <f t="shared" si="113"/>
        <v>1.3484433599999997E-4</v>
      </c>
      <c r="AD85" s="53">
        <f t="shared" si="113"/>
        <v>4.6534073690233334E-6</v>
      </c>
      <c r="AE85" s="53">
        <f t="shared" si="113"/>
        <v>8.9740014907794196E-4</v>
      </c>
      <c r="AF85" s="53">
        <f t="shared" si="113"/>
        <v>3.0968808854395889E-5</v>
      </c>
      <c r="AG85" s="53">
        <f t="shared" si="113"/>
        <v>1.3061179084799998E-4</v>
      </c>
      <c r="AH85" s="53">
        <f t="shared" si="113"/>
        <v>4.3576075978447476E-6</v>
      </c>
      <c r="AI85" s="53">
        <f t="shared" si="113"/>
        <v>0.2988607389504</v>
      </c>
      <c r="AJ85" s="53">
        <f t="shared" si="113"/>
        <v>1.0313527480631818E-2</v>
      </c>
      <c r="AK85" s="1"/>
      <c r="AL85" s="55">
        <f t="shared" si="7"/>
        <v>29.962</v>
      </c>
      <c r="AM85" s="55">
        <f t="shared" si="8"/>
        <v>12.560070399999999</v>
      </c>
      <c r="AN85" s="1"/>
      <c r="AO85" s="1"/>
      <c r="AP85" s="1"/>
      <c r="AQ85" s="1"/>
      <c r="AR85" s="1"/>
      <c r="AS85" s="1"/>
      <c r="AT85" s="1"/>
      <c r="AU85" s="1"/>
      <c r="AV85" s="1"/>
      <c r="AW85" s="1"/>
      <c r="AX85" s="1"/>
      <c r="AY85" s="53">
        <f>IF($A85&lt;Customisation!$H$13,G85,G85*(1-Customisation!$H$24*Customisation!$H$12))</f>
        <v>1.0714411200000002E-4</v>
      </c>
      <c r="AZ85" s="53">
        <f>IF($A85&lt;Customisation!$H$13,H85,H85*(1-Customisation!$H$24*Customisation!$H$12))</f>
        <v>3.6974871553245033E-6</v>
      </c>
      <c r="BA85" s="53">
        <f>IF($A85&lt;Customisation!$H$13,I85,I85*(1-Customisation!$H$24*Customisation!$H$12))</f>
        <v>8.3023992000000001E-5</v>
      </c>
      <c r="BB85" s="53">
        <f>IF($A85&lt;Customisation!$H$13,J85,J85*(1-Customisation!$H$24*Customisation!$H$12))</f>
        <v>2.8651144544813087E-6</v>
      </c>
      <c r="BC85" s="53">
        <f>IF($A85&lt;Customisation!$H$13,K85,K85*(1-Customisation!$H$24*Customisation!$H$12))</f>
        <v>5.5253149674633622E-4</v>
      </c>
      <c r="BD85" s="53">
        <f>IF($A85&lt;Customisation!$H$13,L85,L85*(1-Customisation!$H$24*Customisation!$H$12))</f>
        <v>1.9067572393822263E-5</v>
      </c>
      <c r="BE85" s="53">
        <f>IF($A85&lt;Customisation!$H$13,M85,M85*(1-Customisation!$H$24*Customisation!$H$12))</f>
        <v>8.0418003456000001E-5</v>
      </c>
      <c r="BF85" s="53">
        <f>IF($A85&lt;Customisation!$H$13,N85,N85*(1-Customisation!$H$24*Customisation!$H$12))</f>
        <v>2.6829898019787908E-6</v>
      </c>
      <c r="BG85" s="53">
        <f>IF($A85&lt;Customisation!$H$13,O85,O85*(1-Customisation!$H$24*Customisation!$H$12))</f>
        <v>0.18400929794880003</v>
      </c>
      <c r="BH85" s="53">
        <f>IF($A85&lt;Customisation!$H$13,P85,P85*(1-Customisation!$H$24*Customisation!$H$12))</f>
        <v>6.3500644405543021E-3</v>
      </c>
      <c r="BI85" s="53">
        <f t="shared" si="88"/>
        <v>1.845659199999998E-5</v>
      </c>
      <c r="BJ85" s="53">
        <f t="shared" si="89"/>
        <v>6.3692731758386286E-7</v>
      </c>
      <c r="BK85" s="53">
        <f t="shared" si="90"/>
        <v>1.4301671999999996E-5</v>
      </c>
      <c r="BL85" s="53">
        <f t="shared" si="91"/>
        <v>4.9354320580550498E-7</v>
      </c>
      <c r="BM85" s="53">
        <f t="shared" si="92"/>
        <v>9.5178803690084768E-5</v>
      </c>
      <c r="BN85" s="53">
        <f t="shared" si="93"/>
        <v>3.2845706360722905E-6</v>
      </c>
      <c r="BO85" s="53">
        <f t="shared" si="94"/>
        <v>1.3852765696000002E-5</v>
      </c>
      <c r="BP85" s="53">
        <f t="shared" si="95"/>
        <v>4.6217050280171577E-7</v>
      </c>
      <c r="BQ85" s="53">
        <f t="shared" si="96"/>
        <v>3.1697351100799992E-2</v>
      </c>
      <c r="BR85" s="53">
        <f t="shared" si="97"/>
        <v>1.0938589752185254E-3</v>
      </c>
    </row>
    <row r="86" spans="1:70" ht="14.25" customHeight="1" x14ac:dyDescent="0.3">
      <c r="A86" s="1">
        <f t="shared" si="34"/>
        <v>82</v>
      </c>
      <c r="B86" s="52">
        <f>'Life table'!D84</f>
        <v>0.49657551814530698</v>
      </c>
      <c r="C86" s="52">
        <f>IF($A86&lt;Customisation!$H$13,0,B86)/LOOKUP(Customisation!$H$13,$A$4:$A$104,$B$4:$B$104)</f>
        <v>0.50364066178987721</v>
      </c>
      <c r="D86" s="1">
        <f>IF($A86&lt;=Customisation!$H$13,1,1/(1+Customisation!$H$21)^($A86-Customisation!$H$13))</f>
        <v>3.2866167563218862E-2</v>
      </c>
      <c r="E86" s="1">
        <f t="shared" si="11"/>
        <v>32.309810481172384</v>
      </c>
      <c r="F86" s="1">
        <f t="shared" si="2"/>
        <v>1.6552738382036542E-2</v>
      </c>
      <c r="G86" s="53">
        <f>'Age data'!M90*Customisation!$H$22</f>
        <v>3.3511999999999995E-4</v>
      </c>
      <c r="H86" s="53">
        <f t="shared" si="3"/>
        <v>1.1014110073785903E-5</v>
      </c>
      <c r="I86" s="53">
        <f>'Age data'!N90*Customisation!$H$22</f>
        <v>2.5986E-4</v>
      </c>
      <c r="J86" s="54">
        <f t="shared" si="4"/>
        <v>8.5406023029780538E-6</v>
      </c>
      <c r="K86" s="53">
        <f>I86*'Life table'!I84</f>
        <v>1.5885332580586567E-3</v>
      </c>
      <c r="L86" s="53">
        <f>J86*'Life table'!J84</f>
        <v>5.2209000239101803E-5</v>
      </c>
      <c r="M86" s="53">
        <f t="shared" si="5"/>
        <v>2.5158991999999999E-4</v>
      </c>
      <c r="N86" s="53">
        <f>((G86-I86)*$AW$5+I86*$AW$6)/(1+Customisation!$H$21)^($A86-Customisation!$E$13)</f>
        <v>7.9941493272879583E-6</v>
      </c>
      <c r="O86" s="53">
        <f>G86*Customisation!$H$17</f>
        <v>0.57553508799999997</v>
      </c>
      <c r="P86" s="109">
        <f>O86/(1+Customisation!$H$21)^($A86-Customisation!$E$13)</f>
        <v>1.8915632640719909E-2</v>
      </c>
      <c r="Q86" s="53">
        <f>IF($A86&lt;Customisation!$H$13,G86,G86*(1-Customisation!$H$11*Customisation!$H$12))</f>
        <v>1.4048230399999999E-4</v>
      </c>
      <c r="R86" s="53">
        <f>IF($A86&lt;Customisation!$H$13,H86,H86*(1-Customisation!$H$11*Customisation!$H$12))</f>
        <v>4.6171149429310506E-6</v>
      </c>
      <c r="S86" s="53">
        <f>IF($A86&lt;Customisation!$H$13,I86,I86*(1-Customisation!$H$11*Customisation!$H$12))</f>
        <v>1.0893331200000001E-4</v>
      </c>
      <c r="T86" s="53">
        <f>IF($A86&lt;Customisation!$H$13,J86,J86*(1-Customisation!$H$11*Customisation!$H$12))</f>
        <v>3.5802204854084005E-6</v>
      </c>
      <c r="U86" s="53">
        <f>IF($A86&lt;Customisation!$H$13,K86,K86*(1-Customisation!$H$11*Customisation!$H$12))</f>
        <v>6.6591314177818898E-4</v>
      </c>
      <c r="V86" s="53">
        <f>IF($A86&lt;Customisation!$H$13,L86,L86*(1-Customisation!$H$11*Customisation!$H$12))</f>
        <v>2.1886012900231478E-5</v>
      </c>
      <c r="W86" s="53">
        <f>IF($A86&lt;Customisation!$H$13,M86,M86*(1-Customisation!$H$11*Customisation!$H$12))</f>
        <v>1.05466494464E-4</v>
      </c>
      <c r="X86" s="53">
        <f>IF($A86&lt;Customisation!$H$13,N86,N86*(1-Customisation!$H$11*Customisation!$H$12))</f>
        <v>3.3511473979991121E-6</v>
      </c>
      <c r="Y86" s="53">
        <f>IF($A86&lt;Customisation!$H$13,O86,O86*(1-Customisation!$H$11*Customisation!$H$12))</f>
        <v>0.24126430888959999</v>
      </c>
      <c r="Z86" s="53">
        <f>IF($A86&lt;Customisation!$H$13,P86,P86*(1-Customisation!$H$11*Customisation!$H$12))</f>
        <v>7.9294332029897861E-3</v>
      </c>
      <c r="AA86" s="53">
        <f t="shared" ref="AA86:AJ86" si="114">G86-Q86</f>
        <v>1.9463769599999996E-4</v>
      </c>
      <c r="AB86" s="53">
        <f t="shared" si="114"/>
        <v>6.3969951308548526E-6</v>
      </c>
      <c r="AC86" s="53">
        <f t="shared" si="114"/>
        <v>1.5092668799999997E-4</v>
      </c>
      <c r="AD86" s="53">
        <f t="shared" si="114"/>
        <v>4.9603818175696538E-6</v>
      </c>
      <c r="AE86" s="53">
        <f t="shared" si="114"/>
        <v>9.2262011628046776E-4</v>
      </c>
      <c r="AF86" s="53">
        <f t="shared" si="114"/>
        <v>3.0322987338870325E-5</v>
      </c>
      <c r="AG86" s="53">
        <f t="shared" si="114"/>
        <v>1.46123425536E-4</v>
      </c>
      <c r="AH86" s="53">
        <f t="shared" si="114"/>
        <v>4.6430019292888458E-6</v>
      </c>
      <c r="AI86" s="53">
        <f t="shared" si="114"/>
        <v>0.33427077911039998</v>
      </c>
      <c r="AJ86" s="53">
        <f t="shared" si="114"/>
        <v>1.0986199437730123E-2</v>
      </c>
      <c r="AK86" s="1"/>
      <c r="AL86" s="55">
        <f t="shared" si="7"/>
        <v>33.511999999999993</v>
      </c>
      <c r="AM86" s="55">
        <f t="shared" si="8"/>
        <v>14.0482304</v>
      </c>
      <c r="AN86" s="1"/>
      <c r="AO86" s="1"/>
      <c r="AP86" s="1"/>
      <c r="AQ86" s="1"/>
      <c r="AR86" s="1"/>
      <c r="AS86" s="1"/>
      <c r="AT86" s="1"/>
      <c r="AU86" s="1"/>
      <c r="AV86" s="1"/>
      <c r="AW86" s="1"/>
      <c r="AX86" s="1"/>
      <c r="AY86" s="53">
        <f>IF($A86&lt;Customisation!$H$13,G86,G86*(1-Customisation!$H$24*Customisation!$H$12))</f>
        <v>1.1983891199999999E-4</v>
      </c>
      <c r="AZ86" s="53">
        <f>IF($A86&lt;Customisation!$H$13,H86,H86*(1-Customisation!$H$24*Customisation!$H$12))</f>
        <v>3.9386457623858392E-6</v>
      </c>
      <c r="BA86" s="53">
        <f>IF($A86&lt;Customisation!$H$13,I86,I86*(1-Customisation!$H$24*Customisation!$H$12))</f>
        <v>9.2925936000000009E-5</v>
      </c>
      <c r="BB86" s="53">
        <f>IF($A86&lt;Customisation!$H$13,J86,J86*(1-Customisation!$H$24*Customisation!$H$12))</f>
        <v>3.0541193835449524E-6</v>
      </c>
      <c r="BC86" s="53">
        <f>IF($A86&lt;Customisation!$H$13,K86,K86*(1-Customisation!$H$24*Customisation!$H$12))</f>
        <v>5.680594930817757E-4</v>
      </c>
      <c r="BD86" s="53">
        <f>IF($A86&lt;Customisation!$H$13,L86,L86*(1-Customisation!$H$24*Customisation!$H$12))</f>
        <v>1.8669938485502805E-5</v>
      </c>
      <c r="BE86" s="53">
        <f>IF($A86&lt;Customisation!$H$13,M86,M86*(1-Customisation!$H$24*Customisation!$H$12))</f>
        <v>8.9968555391999999E-5</v>
      </c>
      <c r="BF86" s="53">
        <f>IF($A86&lt;Customisation!$H$13,N86,N86*(1-Customisation!$H$24*Customisation!$H$12))</f>
        <v>2.8587077994381742E-6</v>
      </c>
      <c r="BG86" s="53">
        <f>IF($A86&lt;Customisation!$H$13,O86,O86*(1-Customisation!$H$24*Customisation!$H$12))</f>
        <v>0.2058113474688</v>
      </c>
      <c r="BH86" s="53">
        <f>IF($A86&lt;Customisation!$H$13,P86,P86*(1-Customisation!$H$24*Customisation!$H$12))</f>
        <v>6.7642302323214403E-3</v>
      </c>
      <c r="BI86" s="53">
        <f t="shared" si="88"/>
        <v>2.0643392000000004E-5</v>
      </c>
      <c r="BJ86" s="53">
        <f t="shared" si="89"/>
        <v>6.7846918054521134E-7</v>
      </c>
      <c r="BK86" s="53">
        <f t="shared" si="90"/>
        <v>1.6007376E-5</v>
      </c>
      <c r="BL86" s="53">
        <f t="shared" si="91"/>
        <v>5.2610110186344803E-7</v>
      </c>
      <c r="BM86" s="53">
        <f t="shared" si="92"/>
        <v>9.7853648696413277E-5</v>
      </c>
      <c r="BN86" s="53">
        <f t="shared" si="93"/>
        <v>3.216074414728673E-6</v>
      </c>
      <c r="BO86" s="53">
        <f t="shared" si="94"/>
        <v>1.5497939072000002E-5</v>
      </c>
      <c r="BP86" s="53">
        <f t="shared" si="95"/>
        <v>4.9243959856093783E-7</v>
      </c>
      <c r="BQ86" s="53">
        <f t="shared" si="96"/>
        <v>3.5452961420799983E-2</v>
      </c>
      <c r="BR86" s="53">
        <f t="shared" si="97"/>
        <v>1.1652029706683458E-3</v>
      </c>
    </row>
    <row r="87" spans="1:70" ht="14.25" customHeight="1" x14ac:dyDescent="0.3">
      <c r="A87" s="1">
        <f t="shared" si="34"/>
        <v>83</v>
      </c>
      <c r="B87" s="52">
        <f>'Life table'!D85</f>
        <v>0.45616916823382336</v>
      </c>
      <c r="C87" s="52">
        <f>IF($A87&lt;Customisation!$H$13,0,B87)/LOOKUP(Customisation!$H$13,$A$4:$A$104,$B$4:$B$104)</f>
        <v>0.46265942114003489</v>
      </c>
      <c r="D87" s="1">
        <f>IF($A87&lt;=Customisation!$H$13,1,1/(1+Customisation!$H$21)^($A87-Customisation!$H$13))</f>
        <v>3.1301111964970339E-2</v>
      </c>
      <c r="E87" s="1">
        <f t="shared" si="11"/>
        <v>32.342676648735605</v>
      </c>
      <c r="F87" s="1">
        <f t="shared" si="2"/>
        <v>1.4481754342752597E-2</v>
      </c>
      <c r="G87" s="53">
        <f>'Age data'!M91*Customisation!$H$22</f>
        <v>3.8056E-4</v>
      </c>
      <c r="H87" s="53">
        <f t="shared" si="3"/>
        <v>1.1911951169389113E-5</v>
      </c>
      <c r="I87" s="53">
        <f>'Age data'!N91*Customisation!$H$22</f>
        <v>2.9535999999999999E-4</v>
      </c>
      <c r="J87" s="54">
        <f t="shared" si="4"/>
        <v>9.2450964299736393E-6</v>
      </c>
      <c r="K87" s="53">
        <f>I87*'Life table'!I85</f>
        <v>1.6570357160452024E-3</v>
      </c>
      <c r="L87" s="53">
        <f>J87*'Life table'!J85</f>
        <v>5.1867060477885676E-5</v>
      </c>
      <c r="M87" s="53">
        <f t="shared" si="5"/>
        <v>2.8579488000000003E-4</v>
      </c>
      <c r="N87" s="53">
        <f>((G87-I87)*$AW$5+I87*$AW$6)/(1+Customisation!$H$21)^($A87-Customisation!$E$13)</f>
        <v>8.64863316839351E-6</v>
      </c>
      <c r="O87" s="53">
        <f>G87*Customisation!$H$17</f>
        <v>0.65357374400000001</v>
      </c>
      <c r="P87" s="109">
        <f>O87/(1+Customisation!$H$21)^($A87-Customisation!$E$13)</f>
        <v>2.0457584938308862E-2</v>
      </c>
      <c r="Q87" s="53">
        <f>IF($A87&lt;Customisation!$H$13,G87,G87*(1-Customisation!$H$11*Customisation!$H$12))</f>
        <v>1.5953075200000002E-4</v>
      </c>
      <c r="R87" s="53">
        <f>IF($A87&lt;Customisation!$H$13,H87,H87*(1-Customisation!$H$11*Customisation!$H$12))</f>
        <v>4.9934899302079163E-6</v>
      </c>
      <c r="S87" s="53">
        <f>IF($A87&lt;Customisation!$H$13,I87,I87*(1-Customisation!$H$11*Customisation!$H$12))</f>
        <v>1.2381491199999999E-4</v>
      </c>
      <c r="T87" s="53">
        <f>IF($A87&lt;Customisation!$H$13,J87,J87*(1-Customisation!$H$11*Customisation!$H$12))</f>
        <v>3.8755444234449501E-6</v>
      </c>
      <c r="U87" s="53">
        <f>IF($A87&lt;Customisation!$H$13,K87,K87*(1-Customisation!$H$11*Customisation!$H$12))</f>
        <v>6.9462937216614891E-4</v>
      </c>
      <c r="V87" s="53">
        <f>IF($A87&lt;Customisation!$H$13,L87,L87*(1-Customisation!$H$11*Customisation!$H$12))</f>
        <v>2.1742671752329675E-5</v>
      </c>
      <c r="W87" s="53">
        <f>IF($A87&lt;Customisation!$H$13,M87,M87*(1-Customisation!$H$11*Customisation!$H$12))</f>
        <v>1.1980521369600002E-4</v>
      </c>
      <c r="X87" s="53">
        <f>IF($A87&lt;Customisation!$H$13,N87,N87*(1-Customisation!$H$11*Customisation!$H$12))</f>
        <v>3.6255070241905595E-6</v>
      </c>
      <c r="Y87" s="53">
        <f>IF($A87&lt;Customisation!$H$13,O87,O87*(1-Customisation!$H$11*Customisation!$H$12))</f>
        <v>0.2739781134848</v>
      </c>
      <c r="Z87" s="53">
        <f>IF($A87&lt;Customisation!$H$13,P87,P87*(1-Customisation!$H$11*Customisation!$H$12))</f>
        <v>8.5758196061390748E-3</v>
      </c>
      <c r="AA87" s="53">
        <f t="shared" ref="AA87:AJ87" si="115">G87-Q87</f>
        <v>2.2102924799999999E-4</v>
      </c>
      <c r="AB87" s="53">
        <f t="shared" si="115"/>
        <v>6.9184612391811969E-6</v>
      </c>
      <c r="AC87" s="53">
        <f t="shared" si="115"/>
        <v>1.71545088E-4</v>
      </c>
      <c r="AD87" s="53">
        <f t="shared" si="115"/>
        <v>5.3695520065286891E-6</v>
      </c>
      <c r="AE87" s="53">
        <f t="shared" si="115"/>
        <v>9.6240634387905345E-4</v>
      </c>
      <c r="AF87" s="53">
        <f t="shared" si="115"/>
        <v>3.0124388725556001E-5</v>
      </c>
      <c r="AG87" s="53">
        <f t="shared" si="115"/>
        <v>1.65989666304E-4</v>
      </c>
      <c r="AH87" s="53">
        <f t="shared" si="115"/>
        <v>5.0231261442029501E-6</v>
      </c>
      <c r="AI87" s="53">
        <f t="shared" si="115"/>
        <v>0.37959563051520001</v>
      </c>
      <c r="AJ87" s="53">
        <f t="shared" si="115"/>
        <v>1.1881765332169787E-2</v>
      </c>
      <c r="AK87" s="1"/>
      <c r="AL87" s="55">
        <f t="shared" si="7"/>
        <v>38.055999999999997</v>
      </c>
      <c r="AM87" s="55">
        <f t="shared" si="8"/>
        <v>15.953075200000002</v>
      </c>
      <c r="AN87" s="1"/>
      <c r="AO87" s="1"/>
      <c r="AP87" s="1"/>
      <c r="AQ87" s="1"/>
      <c r="AR87" s="1"/>
      <c r="AS87" s="1"/>
      <c r="AT87" s="1"/>
      <c r="AU87" s="1"/>
      <c r="AV87" s="1"/>
      <c r="AW87" s="1"/>
      <c r="AX87" s="1"/>
      <c r="AY87" s="53">
        <f>IF($A87&lt;Customisation!$H$13,G87,G87*(1-Customisation!$H$24*Customisation!$H$12))</f>
        <v>1.3608825600000001E-4</v>
      </c>
      <c r="AZ87" s="53">
        <f>IF($A87&lt;Customisation!$H$13,H87,H87*(1-Customisation!$H$24*Customisation!$H$12))</f>
        <v>4.2597137381735474E-6</v>
      </c>
      <c r="BA87" s="53">
        <f>IF($A87&lt;Customisation!$H$13,I87,I87*(1-Customisation!$H$24*Customisation!$H$12))</f>
        <v>1.0562073600000001E-4</v>
      </c>
      <c r="BB87" s="53">
        <f>IF($A87&lt;Customisation!$H$13,J87,J87*(1-Customisation!$H$24*Customisation!$H$12))</f>
        <v>3.3060464833585735E-6</v>
      </c>
      <c r="BC87" s="53">
        <f>IF($A87&lt;Customisation!$H$13,K87,K87*(1-Customisation!$H$24*Customisation!$H$12))</f>
        <v>5.9255597205776439E-4</v>
      </c>
      <c r="BD87" s="53">
        <f>IF($A87&lt;Customisation!$H$13,L87,L87*(1-Customisation!$H$24*Customisation!$H$12))</f>
        <v>1.8547660826891919E-5</v>
      </c>
      <c r="BE87" s="53">
        <f>IF($A87&lt;Customisation!$H$13,M87,M87*(1-Customisation!$H$24*Customisation!$H$12))</f>
        <v>1.0220024908800001E-4</v>
      </c>
      <c r="BF87" s="53">
        <f>IF($A87&lt;Customisation!$H$13,N87,N87*(1-Customisation!$H$24*Customisation!$H$12))</f>
        <v>3.0927512210175194E-6</v>
      </c>
      <c r="BG87" s="53">
        <f>IF($A87&lt;Customisation!$H$13,O87,O87*(1-Customisation!$H$24*Customisation!$H$12))</f>
        <v>0.23371797085440002</v>
      </c>
      <c r="BH87" s="53">
        <f>IF($A87&lt;Customisation!$H$13,P87,P87*(1-Customisation!$H$24*Customisation!$H$12))</f>
        <v>7.3156323739392501E-3</v>
      </c>
      <c r="BI87" s="53">
        <f t="shared" si="88"/>
        <v>2.3442496000000007E-5</v>
      </c>
      <c r="BJ87" s="53">
        <f t="shared" si="89"/>
        <v>7.3377619203436889E-7</v>
      </c>
      <c r="BK87" s="53">
        <f t="shared" si="90"/>
        <v>1.8194175999999983E-5</v>
      </c>
      <c r="BL87" s="53">
        <f t="shared" si="91"/>
        <v>5.6949794008637656E-7</v>
      </c>
      <c r="BM87" s="53">
        <f t="shared" si="92"/>
        <v>1.0207340010838452E-4</v>
      </c>
      <c r="BN87" s="53">
        <f t="shared" si="93"/>
        <v>3.1950109254377556E-6</v>
      </c>
      <c r="BO87" s="53">
        <f t="shared" si="94"/>
        <v>1.7604964608000005E-5</v>
      </c>
      <c r="BP87" s="53">
        <f t="shared" si="95"/>
        <v>5.3275580317304003E-7</v>
      </c>
      <c r="BQ87" s="53">
        <f t="shared" si="96"/>
        <v>4.0260142630399981E-2</v>
      </c>
      <c r="BR87" s="53">
        <f t="shared" si="97"/>
        <v>1.2601872321998248E-3</v>
      </c>
    </row>
    <row r="88" spans="1:70" ht="14.25" customHeight="1" x14ac:dyDescent="0.3">
      <c r="A88" s="1">
        <f t="shared" si="34"/>
        <v>84</v>
      </c>
      <c r="B88" s="52">
        <f>'Life table'!D86</f>
        <v>0.41250921714216415</v>
      </c>
      <c r="C88" s="52">
        <f>IF($A88&lt;Customisation!$H$13,0,B88)/LOOKUP(Customisation!$H$13,$A$4:$A$104,$B$4:$B$104)</f>
        <v>0.41837828794272214</v>
      </c>
      <c r="D88" s="1">
        <f>IF($A88&lt;=Customisation!$H$13,1,1/(1+Customisation!$H$21)^($A88-Customisation!$H$13))</f>
        <v>2.9810582823781274E-2</v>
      </c>
      <c r="E88" s="1">
        <f t="shared" si="11"/>
        <v>32.373977760700576</v>
      </c>
      <c r="F88" s="1">
        <f t="shared" si="2"/>
        <v>1.2472100604388329E-2</v>
      </c>
      <c r="G88" s="53">
        <f>'Age data'!M92*Customisation!$H$22</f>
        <v>4.3948999999999995E-4</v>
      </c>
      <c r="H88" s="53">
        <f t="shared" si="3"/>
        <v>1.3101453045223631E-5</v>
      </c>
      <c r="I88" s="53">
        <f>'Age data'!N92*Customisation!$H$22</f>
        <v>3.4079999999999999E-4</v>
      </c>
      <c r="J88" s="54">
        <f t="shared" si="4"/>
        <v>1.0159446626344658E-5</v>
      </c>
      <c r="K88" s="53">
        <f>I88*'Life table'!I86</f>
        <v>1.7554913487315624E-3</v>
      </c>
      <c r="L88" s="53">
        <f>J88*'Life table'!J86</f>
        <v>5.2332220247793737E-5</v>
      </c>
      <c r="M88" s="53">
        <f t="shared" si="5"/>
        <v>3.2994835999999996E-4</v>
      </c>
      <c r="N88" s="53">
        <f>((G88-I88)*$AW$5+I88*$AW$6)/(1+Customisation!$H$21)^($A88-Customisation!$E$13)</f>
        <v>9.5092549900710247E-6</v>
      </c>
      <c r="O88" s="53">
        <f>G88*Customisation!$H$17</f>
        <v>0.754780126</v>
      </c>
      <c r="P88" s="109">
        <f>O88/(1+Customisation!$H$21)^($A88-Customisation!$E$13)</f>
        <v>2.2500435459867067E-2</v>
      </c>
      <c r="Q88" s="53">
        <f>IF($A88&lt;Customisation!$H$13,G88,G88*(1-Customisation!$H$11*Customisation!$H$12))</f>
        <v>1.8423420799999998E-4</v>
      </c>
      <c r="R88" s="53">
        <f>IF($A88&lt;Customisation!$H$13,H88,H88*(1-Customisation!$H$11*Customisation!$H$12))</f>
        <v>5.4921291165577463E-6</v>
      </c>
      <c r="S88" s="53">
        <f>IF($A88&lt;Customisation!$H$13,I88,I88*(1-Customisation!$H$11*Customisation!$H$12))</f>
        <v>1.4286335999999999E-4</v>
      </c>
      <c r="T88" s="53">
        <f>IF($A88&lt;Customisation!$H$13,J88,J88*(1-Customisation!$H$11*Customisation!$H$12))</f>
        <v>4.2588400257636811E-6</v>
      </c>
      <c r="U88" s="53">
        <f>IF($A88&lt;Customisation!$H$13,K88,K88*(1-Customisation!$H$11*Customisation!$H$12))</f>
        <v>7.3590197338827099E-4</v>
      </c>
      <c r="V88" s="53">
        <f>IF($A88&lt;Customisation!$H$13,L88,L88*(1-Customisation!$H$11*Customisation!$H$12))</f>
        <v>2.1937666727875136E-5</v>
      </c>
      <c r="W88" s="53">
        <f>IF($A88&lt;Customisation!$H$13,M88,M88*(1-Customisation!$H$11*Customisation!$H$12))</f>
        <v>1.3831435251199998E-4</v>
      </c>
      <c r="X88" s="53">
        <f>IF($A88&lt;Customisation!$H$13,N88,N88*(1-Customisation!$H$11*Customisation!$H$12))</f>
        <v>3.9862796918377736E-6</v>
      </c>
      <c r="Y88" s="53">
        <f>IF($A88&lt;Customisation!$H$13,O88,O88*(1-Customisation!$H$11*Customisation!$H$12))</f>
        <v>0.31640382881919998</v>
      </c>
      <c r="Z88" s="53">
        <f>IF($A88&lt;Customisation!$H$13,P88,P88*(1-Customisation!$H$11*Customisation!$H$12))</f>
        <v>9.4321825447762752E-3</v>
      </c>
      <c r="AA88" s="53">
        <f t="shared" ref="AA88:AJ88" si="116">G88-Q88</f>
        <v>2.55255792E-4</v>
      </c>
      <c r="AB88" s="53">
        <f t="shared" si="116"/>
        <v>7.6093239286658845E-6</v>
      </c>
      <c r="AC88" s="53">
        <f t="shared" si="116"/>
        <v>1.9793664E-4</v>
      </c>
      <c r="AD88" s="53">
        <f t="shared" si="116"/>
        <v>5.9006066005809766E-6</v>
      </c>
      <c r="AE88" s="53">
        <f t="shared" si="116"/>
        <v>1.0195893753432914E-3</v>
      </c>
      <c r="AF88" s="53">
        <f t="shared" si="116"/>
        <v>3.0394553519918601E-5</v>
      </c>
      <c r="AG88" s="53">
        <f t="shared" si="116"/>
        <v>1.9163400748799998E-4</v>
      </c>
      <c r="AH88" s="53">
        <f t="shared" si="116"/>
        <v>5.5229752982332511E-6</v>
      </c>
      <c r="AI88" s="53">
        <f t="shared" si="116"/>
        <v>0.43837629718080001</v>
      </c>
      <c r="AJ88" s="53">
        <f t="shared" si="116"/>
        <v>1.3068252915090792E-2</v>
      </c>
      <c r="AK88" s="1"/>
      <c r="AL88" s="55">
        <f t="shared" si="7"/>
        <v>43.948999999999998</v>
      </c>
      <c r="AM88" s="55">
        <f t="shared" si="8"/>
        <v>18.423420799999999</v>
      </c>
      <c r="AN88" s="1"/>
      <c r="AO88" s="1"/>
      <c r="AP88" s="1"/>
      <c r="AQ88" s="1"/>
      <c r="AR88" s="1"/>
      <c r="AS88" s="1"/>
      <c r="AT88" s="1"/>
      <c r="AU88" s="1"/>
      <c r="AV88" s="1"/>
      <c r="AW88" s="1"/>
      <c r="AX88" s="1"/>
      <c r="AY88" s="53">
        <f>IF($A88&lt;Customisation!$H$13,G88,G88*(1-Customisation!$H$24*Customisation!$H$12))</f>
        <v>1.5716162400000001E-4</v>
      </c>
      <c r="AZ88" s="53">
        <f>IF($A88&lt;Customisation!$H$13,H88,H88*(1-Customisation!$H$24*Customisation!$H$12))</f>
        <v>4.6850796089719711E-6</v>
      </c>
      <c r="BA88" s="53">
        <f>IF($A88&lt;Customisation!$H$13,I88,I88*(1-Customisation!$H$24*Customisation!$H$12))</f>
        <v>1.2187008E-4</v>
      </c>
      <c r="BB88" s="53">
        <f>IF($A88&lt;Customisation!$H$13,J88,J88*(1-Customisation!$H$24*Customisation!$H$12))</f>
        <v>3.63301811358085E-6</v>
      </c>
      <c r="BC88" s="53">
        <f>IF($A88&lt;Customisation!$H$13,K88,K88*(1-Customisation!$H$24*Customisation!$H$12))</f>
        <v>6.2776370630640674E-4</v>
      </c>
      <c r="BD88" s="53">
        <f>IF($A88&lt;Customisation!$H$13,L88,L88*(1-Customisation!$H$24*Customisation!$H$12))</f>
        <v>1.8714001960611043E-5</v>
      </c>
      <c r="BE88" s="53">
        <f>IF($A88&lt;Customisation!$H$13,M88,M88*(1-Customisation!$H$24*Customisation!$H$12))</f>
        <v>1.1798953353599999E-4</v>
      </c>
      <c r="BF88" s="53">
        <f>IF($A88&lt;Customisation!$H$13,N88,N88*(1-Customisation!$H$24*Customisation!$H$12))</f>
        <v>3.4005095844493988E-6</v>
      </c>
      <c r="BG88" s="53">
        <f>IF($A88&lt;Customisation!$H$13,O88,O88*(1-Customisation!$H$24*Customisation!$H$12))</f>
        <v>0.26990937305760004</v>
      </c>
      <c r="BH88" s="53">
        <f>IF($A88&lt;Customisation!$H$13,P88,P88*(1-Customisation!$H$24*Customisation!$H$12))</f>
        <v>8.0461557204484641E-3</v>
      </c>
      <c r="BI88" s="53">
        <f t="shared" si="88"/>
        <v>2.7072583999999971E-5</v>
      </c>
      <c r="BJ88" s="53">
        <f t="shared" si="89"/>
        <v>8.0704950758577514E-7</v>
      </c>
      <c r="BK88" s="53">
        <f t="shared" si="90"/>
        <v>2.0993279999999986E-5</v>
      </c>
      <c r="BL88" s="53">
        <f t="shared" si="91"/>
        <v>6.2582191218283108E-7</v>
      </c>
      <c r="BM88" s="53">
        <f t="shared" si="92"/>
        <v>1.0813826708186425E-4</v>
      </c>
      <c r="BN88" s="53">
        <f t="shared" si="93"/>
        <v>3.2236647672640929E-6</v>
      </c>
      <c r="BO88" s="53">
        <f t="shared" si="94"/>
        <v>2.032481897599999E-5</v>
      </c>
      <c r="BP88" s="53">
        <f t="shared" si="95"/>
        <v>5.8577010738837482E-7</v>
      </c>
      <c r="BQ88" s="53">
        <f t="shared" si="96"/>
        <v>4.649445576159994E-2</v>
      </c>
      <c r="BR88" s="53">
        <f t="shared" si="97"/>
        <v>1.3860268243278111E-3</v>
      </c>
    </row>
    <row r="89" spans="1:70" ht="14.25" customHeight="1" x14ac:dyDescent="0.3">
      <c r="A89" s="1">
        <f t="shared" si="34"/>
        <v>85</v>
      </c>
      <c r="B89" s="52">
        <f>'Life table'!D87</f>
        <v>0.3662586837161847</v>
      </c>
      <c r="C89" s="52">
        <f>IF($A89&lt;Customisation!$H$13,0,B89)/LOOKUP(Customisation!$H$13,$A$4:$A$104,$B$4:$B$104)</f>
        <v>0.37146971429858416</v>
      </c>
      <c r="D89" s="1">
        <f>IF($A89&lt;=Customisation!$H$13,1,1/(1+Customisation!$H$21)^($A89-Customisation!$H$13))</f>
        <v>2.8391031260744073E-2</v>
      </c>
      <c r="E89" s="1">
        <f t="shared" si="11"/>
        <v>32.403788343524354</v>
      </c>
      <c r="F89" s="1">
        <f t="shared" si="2"/>
        <v>1.0546408271070772E-2</v>
      </c>
      <c r="G89" s="53">
        <f>'Age data'!M93*Customisation!$H$22</f>
        <v>1.5123E-4</v>
      </c>
      <c r="H89" s="53">
        <f t="shared" si="3"/>
        <v>4.2935756575623265E-6</v>
      </c>
      <c r="I89" s="53">
        <f>'Age data'!N93*Customisation!$H$22</f>
        <v>1.3915999999999999E-4</v>
      </c>
      <c r="J89" s="54">
        <f t="shared" si="4"/>
        <v>3.9508959102451452E-6</v>
      </c>
      <c r="K89" s="53">
        <f>I89*'Life table'!I87</f>
        <v>6.5939872918118175E-4</v>
      </c>
      <c r="L89" s="53">
        <f>J89*'Life table'!J87</f>
        <v>1.8721009933477847E-5</v>
      </c>
      <c r="M89" s="53">
        <f t="shared" si="5"/>
        <v>1.2106636000000001E-4</v>
      </c>
      <c r="N89" s="53">
        <f>((G89-I89)*$AW$5+I89*$AW$6)/(1+Customisation!$H$21)^($A89-Customisation!$E$13)</f>
        <v>3.3279802603623951E-6</v>
      </c>
      <c r="O89" s="53">
        <f>G89*Customisation!$H$17</f>
        <v>0.25972240200000002</v>
      </c>
      <c r="P89" s="109">
        <f>O89/(1+Customisation!$H$21)^($A89-Customisation!$E$13)</f>
        <v>7.3737868342975393E-3</v>
      </c>
      <c r="Q89" s="53">
        <f>IF($A89&lt;Customisation!$H$13,G89,G89*(1-Customisation!$H$11*Customisation!$H$12))</f>
        <v>6.3395616000000004E-5</v>
      </c>
      <c r="R89" s="53">
        <f>IF($A89&lt;Customisation!$H$13,H89,H89*(1-Customisation!$H$11*Customisation!$H$12))</f>
        <v>1.7998669156501273E-6</v>
      </c>
      <c r="S89" s="53">
        <f>IF($A89&lt;Customisation!$H$13,I89,I89*(1-Customisation!$H$11*Customisation!$H$12))</f>
        <v>5.8335871999999995E-5</v>
      </c>
      <c r="T89" s="53">
        <f>IF($A89&lt;Customisation!$H$13,J89,J89*(1-Customisation!$H$11*Customisation!$H$12))</f>
        <v>1.6562155655747649E-6</v>
      </c>
      <c r="U89" s="53">
        <f>IF($A89&lt;Customisation!$H$13,K89,K89*(1-Customisation!$H$11*Customisation!$H$12))</f>
        <v>2.7641994727275142E-4</v>
      </c>
      <c r="V89" s="53">
        <f>IF($A89&lt;Customisation!$H$13,L89,L89*(1-Customisation!$H$11*Customisation!$H$12))</f>
        <v>7.847847364113914E-6</v>
      </c>
      <c r="W89" s="53">
        <f>IF($A89&lt;Customisation!$H$13,M89,M89*(1-Customisation!$H$11*Customisation!$H$12))</f>
        <v>5.0751018112000007E-5</v>
      </c>
      <c r="X89" s="53">
        <f>IF($A89&lt;Customisation!$H$13,N89,N89*(1-Customisation!$H$11*Customisation!$H$12))</f>
        <v>1.3950893251439161E-6</v>
      </c>
      <c r="Y89" s="53">
        <f>IF($A89&lt;Customisation!$H$13,O89,O89*(1-Customisation!$H$11*Customisation!$H$12))</f>
        <v>0.10887563091840001</v>
      </c>
      <c r="Z89" s="53">
        <f>IF($A89&lt;Customisation!$H$13,P89,P89*(1-Customisation!$H$11*Customisation!$H$12))</f>
        <v>3.0910914409375285E-3</v>
      </c>
      <c r="AA89" s="53">
        <f t="shared" ref="AA89:AJ89" si="117">G89-Q89</f>
        <v>8.7834383999999997E-5</v>
      </c>
      <c r="AB89" s="53">
        <f t="shared" si="117"/>
        <v>2.4937087419121992E-6</v>
      </c>
      <c r="AC89" s="53">
        <f t="shared" si="117"/>
        <v>8.0824127999999987E-5</v>
      </c>
      <c r="AD89" s="53">
        <f t="shared" si="117"/>
        <v>2.2946803446703801E-6</v>
      </c>
      <c r="AE89" s="53">
        <f t="shared" si="117"/>
        <v>3.8297878190843033E-4</v>
      </c>
      <c r="AF89" s="53">
        <f t="shared" si="117"/>
        <v>1.0873162569363933E-5</v>
      </c>
      <c r="AG89" s="53">
        <f t="shared" si="117"/>
        <v>7.0315341888E-5</v>
      </c>
      <c r="AH89" s="53">
        <f t="shared" si="117"/>
        <v>1.932890935218479E-6</v>
      </c>
      <c r="AI89" s="53">
        <f t="shared" si="117"/>
        <v>0.1508467710816</v>
      </c>
      <c r="AJ89" s="53">
        <f t="shared" si="117"/>
        <v>4.2826953933600108E-3</v>
      </c>
      <c r="AK89" s="1"/>
      <c r="AL89" s="55">
        <f t="shared" si="7"/>
        <v>15.122999999999999</v>
      </c>
      <c r="AM89" s="55">
        <f t="shared" si="8"/>
        <v>6.3395616000000006</v>
      </c>
      <c r="AN89" s="1"/>
      <c r="AO89" s="1"/>
      <c r="AP89" s="1"/>
      <c r="AQ89" s="1"/>
      <c r="AR89" s="1"/>
      <c r="AS89" s="1"/>
      <c r="AT89" s="1"/>
      <c r="AU89" s="1"/>
      <c r="AV89" s="1"/>
      <c r="AW89" s="1"/>
      <c r="AX89" s="1"/>
      <c r="AY89" s="53">
        <f>IF($A89&lt;Customisation!$H$13,G89,G89*(1-Customisation!$H$24*Customisation!$H$12))</f>
        <v>5.4079848000000001E-5</v>
      </c>
      <c r="AZ89" s="53">
        <f>IF($A89&lt;Customisation!$H$13,H89,H89*(1-Customisation!$H$24*Customisation!$H$12))</f>
        <v>1.5353826551442881E-6</v>
      </c>
      <c r="BA89" s="53">
        <f>IF($A89&lt;Customisation!$H$13,I89,I89*(1-Customisation!$H$24*Customisation!$H$12))</f>
        <v>4.9763616000000003E-5</v>
      </c>
      <c r="BB89" s="53">
        <f>IF($A89&lt;Customisation!$H$13,J89,J89*(1-Customisation!$H$24*Customisation!$H$12))</f>
        <v>1.4128403775036641E-6</v>
      </c>
      <c r="BC89" s="53">
        <f>IF($A89&lt;Customisation!$H$13,K89,K89*(1-Customisation!$H$24*Customisation!$H$12))</f>
        <v>2.3580098555519061E-4</v>
      </c>
      <c r="BD89" s="53">
        <f>IF($A89&lt;Customisation!$H$13,L89,L89*(1-Customisation!$H$24*Customisation!$H$12))</f>
        <v>6.6946331522116788E-6</v>
      </c>
      <c r="BE89" s="53">
        <f>IF($A89&lt;Customisation!$H$13,M89,M89*(1-Customisation!$H$24*Customisation!$H$12))</f>
        <v>4.3293330336000009E-5</v>
      </c>
      <c r="BF89" s="53">
        <f>IF($A89&lt;Customisation!$H$13,N89,N89*(1-Customisation!$H$24*Customisation!$H$12))</f>
        <v>1.1900857411055925E-6</v>
      </c>
      <c r="BG89" s="53">
        <f>IF($A89&lt;Customisation!$H$13,O89,O89*(1-Customisation!$H$24*Customisation!$H$12))</f>
        <v>9.2876730955200021E-2</v>
      </c>
      <c r="BH89" s="53">
        <f>IF($A89&lt;Customisation!$H$13,P89,P89*(1-Customisation!$H$24*Customisation!$H$12))</f>
        <v>2.6368661719448003E-3</v>
      </c>
      <c r="BI89" s="53">
        <f t="shared" si="88"/>
        <v>9.3157680000000023E-6</v>
      </c>
      <c r="BJ89" s="53">
        <f t="shared" si="89"/>
        <v>2.6448426050583923E-7</v>
      </c>
      <c r="BK89" s="53">
        <f t="shared" si="90"/>
        <v>8.5722559999999921E-6</v>
      </c>
      <c r="BL89" s="53">
        <f t="shared" si="91"/>
        <v>2.4337518807110086E-7</v>
      </c>
      <c r="BM89" s="53">
        <f t="shared" si="92"/>
        <v>4.0618961717560809E-5</v>
      </c>
      <c r="BN89" s="53">
        <f t="shared" si="93"/>
        <v>1.1532142119022352E-6</v>
      </c>
      <c r="BO89" s="53">
        <f t="shared" si="94"/>
        <v>7.4576877759999978E-6</v>
      </c>
      <c r="BP89" s="53">
        <f t="shared" si="95"/>
        <v>2.0500358403832361E-7</v>
      </c>
      <c r="BQ89" s="53">
        <f t="shared" si="96"/>
        <v>1.5998899963199989E-2</v>
      </c>
      <c r="BR89" s="53">
        <f t="shared" si="97"/>
        <v>4.5422526899272821E-4</v>
      </c>
    </row>
    <row r="90" spans="1:70" ht="14.25" customHeight="1" x14ac:dyDescent="0.3">
      <c r="A90" s="1">
        <f t="shared" si="34"/>
        <v>86</v>
      </c>
      <c r="B90" s="52">
        <f>'Life table'!D88</f>
        <v>0.31857912827001178</v>
      </c>
      <c r="C90" s="52">
        <f>IF($A90&lt;Customisation!$H$13,0,B90)/LOOKUP(Customisation!$H$13,$A$4:$A$104,$B$4:$B$104)</f>
        <v>0.32311178689119446</v>
      </c>
      <c r="D90" s="1">
        <f>IF($A90&lt;=Customisation!$H$13,1,1/(1+Customisation!$H$21)^($A90-Customisation!$H$13))</f>
        <v>2.7039077391184833E-2</v>
      </c>
      <c r="E90" s="1">
        <f t="shared" si="11"/>
        <v>32.4321793747851</v>
      </c>
      <c r="F90" s="1">
        <f t="shared" si="2"/>
        <v>8.7366446117550286E-3</v>
      </c>
      <c r="G90" s="53">
        <f>'Age data'!M94*Customisation!$H$22</f>
        <v>1.7963000000000001E-4</v>
      </c>
      <c r="H90" s="53">
        <f t="shared" si="3"/>
        <v>4.8570294717785318E-6</v>
      </c>
      <c r="I90" s="53">
        <f>'Age data'!N94*Customisation!$H$22</f>
        <v>1.6471999999999998E-4</v>
      </c>
      <c r="J90" s="54">
        <f t="shared" si="4"/>
        <v>4.4538768278759648E-6</v>
      </c>
      <c r="K90" s="53">
        <f>I90*'Life table'!I88</f>
        <v>7.202805250278979E-4</v>
      </c>
      <c r="L90" s="53">
        <f>J90*'Life table'!J88</f>
        <v>1.9475720859592574E-5</v>
      </c>
      <c r="M90" s="53">
        <f t="shared" si="5"/>
        <v>1.4360460000000002E-4</v>
      </c>
      <c r="N90" s="53">
        <f>((G90-I90)*$AW$5+I90*$AW$6)/(1+Customisation!$H$21)^($A90-Customisation!$E$13)</f>
        <v>3.7594381203611335E-6</v>
      </c>
      <c r="O90" s="53">
        <f>G90*Customisation!$H$17</f>
        <v>0.30849656200000003</v>
      </c>
      <c r="P90" s="109">
        <f>O90/(1+Customisation!$H$21)^($A90-Customisation!$E$13)</f>
        <v>8.3414624148324505E-3</v>
      </c>
      <c r="Q90" s="53">
        <f>IF($A90&lt;Customisation!$H$13,G90,G90*(1-Customisation!$H$11*Customisation!$H$12))</f>
        <v>7.5300896000000012E-5</v>
      </c>
      <c r="R90" s="53">
        <f>IF($A90&lt;Customisation!$H$13,H90,H90*(1-Customisation!$H$11*Customisation!$H$12))</f>
        <v>2.0360667545695608E-6</v>
      </c>
      <c r="S90" s="53">
        <f>IF($A90&lt;Customisation!$H$13,I90,I90*(1-Customisation!$H$11*Customisation!$H$12))</f>
        <v>6.9050623999999998E-5</v>
      </c>
      <c r="T90" s="53">
        <f>IF($A90&lt;Customisation!$H$13,J90,J90*(1-Customisation!$H$11*Customisation!$H$12))</f>
        <v>1.8670651662456046E-6</v>
      </c>
      <c r="U90" s="53">
        <f>IF($A90&lt;Customisation!$H$13,K90,K90*(1-Customisation!$H$11*Customisation!$H$12))</f>
        <v>3.0194159609169479E-4</v>
      </c>
      <c r="V90" s="53">
        <f>IF($A90&lt;Customisation!$H$13,L90,L90*(1-Customisation!$H$11*Customisation!$H$12))</f>
        <v>8.1642221843412074E-6</v>
      </c>
      <c r="W90" s="53">
        <f>IF($A90&lt;Customisation!$H$13,M90,M90*(1-Customisation!$H$11*Customisation!$H$12))</f>
        <v>6.019904832000001E-5</v>
      </c>
      <c r="X90" s="53">
        <f>IF($A90&lt;Customisation!$H$13,N90,N90*(1-Customisation!$H$11*Customisation!$H$12))</f>
        <v>1.5759564600553873E-6</v>
      </c>
      <c r="Y90" s="53">
        <f>IF($A90&lt;Customisation!$H$13,O90,O90*(1-Customisation!$H$11*Customisation!$H$12))</f>
        <v>0.1293217587904</v>
      </c>
      <c r="Z90" s="53">
        <f>IF($A90&lt;Customisation!$H$13,P90,P90*(1-Customisation!$H$11*Customisation!$H$12))</f>
        <v>3.4967410442977632E-3</v>
      </c>
      <c r="AA90" s="53">
        <f t="shared" ref="AA90:AJ90" si="118">G90-Q90</f>
        <v>1.04329104E-4</v>
      </c>
      <c r="AB90" s="53">
        <f t="shared" si="118"/>
        <v>2.820962717208971E-6</v>
      </c>
      <c r="AC90" s="53">
        <f t="shared" si="118"/>
        <v>9.5669375999999983E-5</v>
      </c>
      <c r="AD90" s="53">
        <f t="shared" si="118"/>
        <v>2.5868116616303604E-6</v>
      </c>
      <c r="AE90" s="53">
        <f t="shared" si="118"/>
        <v>4.1833892893620311E-4</v>
      </c>
      <c r="AF90" s="53">
        <f t="shared" si="118"/>
        <v>1.1311498675251367E-5</v>
      </c>
      <c r="AG90" s="53">
        <f t="shared" si="118"/>
        <v>8.3405551680000014E-5</v>
      </c>
      <c r="AH90" s="53">
        <f t="shared" si="118"/>
        <v>2.1834816603057462E-6</v>
      </c>
      <c r="AI90" s="53">
        <f t="shared" si="118"/>
        <v>0.17917480320960003</v>
      </c>
      <c r="AJ90" s="53">
        <f t="shared" si="118"/>
        <v>4.8447213705346878E-3</v>
      </c>
      <c r="AK90" s="1"/>
      <c r="AL90" s="55">
        <f t="shared" si="7"/>
        <v>17.963000000000001</v>
      </c>
      <c r="AM90" s="55">
        <f t="shared" si="8"/>
        <v>7.530089600000001</v>
      </c>
      <c r="AN90" s="1"/>
      <c r="AO90" s="1"/>
      <c r="AP90" s="1"/>
      <c r="AQ90" s="1"/>
      <c r="AR90" s="1"/>
      <c r="AS90" s="1"/>
      <c r="AT90" s="1"/>
      <c r="AU90" s="1"/>
      <c r="AV90" s="1"/>
      <c r="AW90" s="1"/>
      <c r="AX90" s="1"/>
      <c r="AY90" s="53">
        <f>IF($A90&lt;Customisation!$H$13,G90,G90*(1-Customisation!$H$24*Customisation!$H$12))</f>
        <v>6.4235688000000013E-5</v>
      </c>
      <c r="AZ90" s="53">
        <f>IF($A90&lt;Customisation!$H$13,H90,H90*(1-Customisation!$H$24*Customisation!$H$12))</f>
        <v>1.736873739108003E-6</v>
      </c>
      <c r="BA90" s="53">
        <f>IF($A90&lt;Customisation!$H$13,I90,I90*(1-Customisation!$H$24*Customisation!$H$12))</f>
        <v>5.8903872E-5</v>
      </c>
      <c r="BB90" s="53">
        <f>IF($A90&lt;Customisation!$H$13,J90,J90*(1-Customisation!$H$24*Customisation!$H$12))</f>
        <v>1.5927063536484451E-6</v>
      </c>
      <c r="BC90" s="53">
        <f>IF($A90&lt;Customisation!$H$13,K90,K90*(1-Customisation!$H$24*Customisation!$H$12))</f>
        <v>2.5757231574997632E-4</v>
      </c>
      <c r="BD90" s="53">
        <f>IF($A90&lt;Customisation!$H$13,L90,L90*(1-Customisation!$H$24*Customisation!$H$12))</f>
        <v>6.9645177793903054E-6</v>
      </c>
      <c r="BE90" s="53">
        <f>IF($A90&lt;Customisation!$H$13,M90,M90*(1-Customisation!$H$24*Customisation!$H$12))</f>
        <v>5.1353004960000009E-5</v>
      </c>
      <c r="BF90" s="53">
        <f>IF($A90&lt;Customisation!$H$13,N90,N90*(1-Customisation!$H$24*Customisation!$H$12))</f>
        <v>1.3443750718411415E-6</v>
      </c>
      <c r="BG90" s="53">
        <f>IF($A90&lt;Customisation!$H$13,O90,O90*(1-Customisation!$H$24*Customisation!$H$12))</f>
        <v>0.11031837057120002</v>
      </c>
      <c r="BH90" s="53">
        <f>IF($A90&lt;Customisation!$H$13,P90,P90*(1-Customisation!$H$24*Customisation!$H$12))</f>
        <v>2.9829069595440844E-3</v>
      </c>
      <c r="BI90" s="53">
        <f t="shared" si="88"/>
        <v>1.1065207999999999E-5</v>
      </c>
      <c r="BJ90" s="53">
        <f t="shared" si="89"/>
        <v>2.9919301546155778E-7</v>
      </c>
      <c r="BK90" s="53">
        <f t="shared" si="90"/>
        <v>1.0146751999999998E-5</v>
      </c>
      <c r="BL90" s="53">
        <f t="shared" si="91"/>
        <v>2.7435881259715945E-7</v>
      </c>
      <c r="BM90" s="53">
        <f t="shared" si="92"/>
        <v>4.4369280341718476E-5</v>
      </c>
      <c r="BN90" s="53">
        <f t="shared" si="93"/>
        <v>1.1997044049509021E-6</v>
      </c>
      <c r="BO90" s="53">
        <f t="shared" si="94"/>
        <v>8.8460433600000011E-6</v>
      </c>
      <c r="BP90" s="53">
        <f t="shared" si="95"/>
        <v>2.3158138821424583E-7</v>
      </c>
      <c r="BQ90" s="53">
        <f t="shared" si="96"/>
        <v>1.9003388219199988E-2</v>
      </c>
      <c r="BR90" s="53">
        <f t="shared" si="97"/>
        <v>5.1383408475367881E-4</v>
      </c>
    </row>
    <row r="91" spans="1:70" ht="14.25" customHeight="1" x14ac:dyDescent="0.3">
      <c r="A91" s="1">
        <f t="shared" si="34"/>
        <v>87</v>
      </c>
      <c r="B91" s="52">
        <f>'Life table'!D89</f>
        <v>0.27105349391469141</v>
      </c>
      <c r="C91" s="52">
        <f>IF($A91&lt;Customisation!$H$13,0,B91)/LOOKUP(Customisation!$H$13,$A$4:$A$104,$B$4:$B$104)</f>
        <v>0.27490997052276606</v>
      </c>
      <c r="D91" s="1">
        <f>IF($A91&lt;=Customisation!$H$13,1,1/(1+Customisation!$H$21)^($A91-Customisation!$H$13))</f>
        <v>2.5751502277318886E-2</v>
      </c>
      <c r="E91" s="1">
        <f t="shared" si="11"/>
        <v>32.459218452176287</v>
      </c>
      <c r="F91" s="1">
        <f t="shared" si="2"/>
        <v>7.0793447319746775E-3</v>
      </c>
      <c r="G91" s="53">
        <f>'Age data'!M95*Customisation!$H$22</f>
        <v>2.1796999999999997E-4</v>
      </c>
      <c r="H91" s="53">
        <f t="shared" si="3"/>
        <v>5.6130549513871968E-6</v>
      </c>
      <c r="I91" s="53">
        <f>'Age data'!N95*Customisation!$H$22</f>
        <v>2.0022E-4</v>
      </c>
      <c r="J91" s="54">
        <f t="shared" si="4"/>
        <v>5.1559657859647876E-6</v>
      </c>
      <c r="K91" s="53">
        <f>I91*'Life table'!I89</f>
        <v>8.1125009590883135E-4</v>
      </c>
      <c r="L91" s="53">
        <f>J91*'Life table'!J89</f>
        <v>2.0890908692271434E-5</v>
      </c>
      <c r="M91" s="53">
        <f t="shared" si="5"/>
        <v>1.7437316E-4</v>
      </c>
      <c r="N91" s="53">
        <f>((G91-I91)*$AW$5+I91*$AW$6)/(1+Customisation!$H$21)^($A91-Customisation!$E$13)</f>
        <v>4.3476193353393773E-6</v>
      </c>
      <c r="O91" s="53">
        <f>G91*Customisation!$H$17</f>
        <v>0.37434167799999996</v>
      </c>
      <c r="P91" s="109">
        <f>O91/(1+Customisation!$H$21)^($A91-Customisation!$E$13)</f>
        <v>9.6398605735123714E-3</v>
      </c>
      <c r="Q91" s="53">
        <f>IF($A91&lt;Customisation!$H$13,G91,G91*(1-Customisation!$H$11*Customisation!$H$12))</f>
        <v>9.1373023999999993E-5</v>
      </c>
      <c r="R91" s="53">
        <f>IF($A91&lt;Customisation!$H$13,H91,H91*(1-Customisation!$H$11*Customisation!$H$12))</f>
        <v>2.3529926356215132E-6</v>
      </c>
      <c r="S91" s="53">
        <f>IF($A91&lt;Customisation!$H$13,I91,I91*(1-Customisation!$H$11*Customisation!$H$12))</f>
        <v>8.3932224000000008E-5</v>
      </c>
      <c r="T91" s="53">
        <f>IF($A91&lt;Customisation!$H$13,J91,J91*(1-Customisation!$H$11*Customisation!$H$12))</f>
        <v>2.1613808574764392E-6</v>
      </c>
      <c r="U91" s="53">
        <f>IF($A91&lt;Customisation!$H$13,K91,K91*(1-Customisation!$H$11*Customisation!$H$12))</f>
        <v>3.4007604020498211E-4</v>
      </c>
      <c r="V91" s="53">
        <f>IF($A91&lt;Customisation!$H$13,L91,L91*(1-Customisation!$H$11*Customisation!$H$12))</f>
        <v>8.7574689238001849E-6</v>
      </c>
      <c r="W91" s="53">
        <f>IF($A91&lt;Customisation!$H$13,M91,M91*(1-Customisation!$H$11*Customisation!$H$12))</f>
        <v>7.3097228672000004E-5</v>
      </c>
      <c r="X91" s="53">
        <f>IF($A91&lt;Customisation!$H$13,N91,N91*(1-Customisation!$H$11*Customisation!$H$12))</f>
        <v>1.8225220253742671E-6</v>
      </c>
      <c r="Y91" s="53">
        <f>IF($A91&lt;Customisation!$H$13,O91,O91*(1-Customisation!$H$11*Customisation!$H$12))</f>
        <v>0.15692403141759997</v>
      </c>
      <c r="Z91" s="53">
        <f>IF($A91&lt;Customisation!$H$13,P91,P91*(1-Customisation!$H$11*Customisation!$H$12))</f>
        <v>4.0410295524163859E-3</v>
      </c>
      <c r="AA91" s="53">
        <f t="shared" ref="AA91:AJ91" si="119">G91-Q91</f>
        <v>1.2659697599999998E-4</v>
      </c>
      <c r="AB91" s="53">
        <f t="shared" si="119"/>
        <v>3.2600623157656836E-6</v>
      </c>
      <c r="AC91" s="53">
        <f t="shared" si="119"/>
        <v>1.16287776E-4</v>
      </c>
      <c r="AD91" s="53">
        <f t="shared" si="119"/>
        <v>2.9945849284883484E-6</v>
      </c>
      <c r="AE91" s="53">
        <f t="shared" si="119"/>
        <v>4.7117405570384923E-4</v>
      </c>
      <c r="AF91" s="53">
        <f t="shared" si="119"/>
        <v>1.2133439768471249E-5</v>
      </c>
      <c r="AG91" s="53">
        <f t="shared" si="119"/>
        <v>1.01275931328E-4</v>
      </c>
      <c r="AH91" s="53">
        <f t="shared" si="119"/>
        <v>2.5250973099651102E-6</v>
      </c>
      <c r="AI91" s="53">
        <f t="shared" si="119"/>
        <v>0.21741764658239998</v>
      </c>
      <c r="AJ91" s="53">
        <f t="shared" si="119"/>
        <v>5.5988310210959855E-3</v>
      </c>
      <c r="AK91" s="1"/>
      <c r="AL91" s="55">
        <f t="shared" si="7"/>
        <v>21.796999999999997</v>
      </c>
      <c r="AM91" s="55">
        <f t="shared" si="8"/>
        <v>9.1373023999999994</v>
      </c>
      <c r="AN91" s="1"/>
      <c r="AO91" s="1"/>
      <c r="AP91" s="1"/>
      <c r="AQ91" s="1"/>
      <c r="AR91" s="1"/>
      <c r="AS91" s="1"/>
      <c r="AT91" s="1"/>
      <c r="AU91" s="1"/>
      <c r="AV91" s="1"/>
      <c r="AW91" s="1"/>
      <c r="AX91" s="1"/>
      <c r="AY91" s="53">
        <f>IF($A91&lt;Customisation!$H$13,G91,G91*(1-Customisation!$H$24*Customisation!$H$12))</f>
        <v>7.7946071999999999E-5</v>
      </c>
      <c r="AZ91" s="53">
        <f>IF($A91&lt;Customisation!$H$13,H91,H91*(1-Customisation!$H$24*Customisation!$H$12))</f>
        <v>2.0072284506160616E-6</v>
      </c>
      <c r="BA91" s="53">
        <f>IF($A91&lt;Customisation!$H$13,I91,I91*(1-Customisation!$H$24*Customisation!$H$12))</f>
        <v>7.1598672000000013E-5</v>
      </c>
      <c r="BB91" s="53">
        <f>IF($A91&lt;Customisation!$H$13,J91,J91*(1-Customisation!$H$24*Customisation!$H$12))</f>
        <v>1.8437733650610083E-6</v>
      </c>
      <c r="BC91" s="53">
        <f>IF($A91&lt;Customisation!$H$13,K91,K91*(1-Customisation!$H$24*Customisation!$H$12))</f>
        <v>2.9010303429699813E-4</v>
      </c>
      <c r="BD91" s="53">
        <f>IF($A91&lt;Customisation!$H$13,L91,L91*(1-Customisation!$H$24*Customisation!$H$12))</f>
        <v>7.4705889483562657E-6</v>
      </c>
      <c r="BE91" s="53">
        <f>IF($A91&lt;Customisation!$H$13,M91,M91*(1-Customisation!$H$24*Customisation!$H$12))</f>
        <v>6.235584201600001E-5</v>
      </c>
      <c r="BF91" s="53">
        <f>IF($A91&lt;Customisation!$H$13,N91,N91*(1-Customisation!$H$24*Customisation!$H$12))</f>
        <v>1.5547086743173615E-6</v>
      </c>
      <c r="BG91" s="53">
        <f>IF($A91&lt;Customisation!$H$13,O91,O91*(1-Customisation!$H$24*Customisation!$H$12))</f>
        <v>0.1338645840528</v>
      </c>
      <c r="BH91" s="53">
        <f>IF($A91&lt;Customisation!$H$13,P91,P91*(1-Customisation!$H$24*Customisation!$H$12))</f>
        <v>3.4472141410880242E-3</v>
      </c>
      <c r="BI91" s="53">
        <f t="shared" si="88"/>
        <v>1.3426951999999994E-5</v>
      </c>
      <c r="BJ91" s="53">
        <f t="shared" si="89"/>
        <v>3.4576418500545164E-7</v>
      </c>
      <c r="BK91" s="53">
        <f t="shared" si="90"/>
        <v>1.2333551999999995E-5</v>
      </c>
      <c r="BL91" s="53">
        <f t="shared" si="91"/>
        <v>3.1760749241543091E-7</v>
      </c>
      <c r="BM91" s="53">
        <f t="shared" si="92"/>
        <v>4.9973005907983986E-5</v>
      </c>
      <c r="BN91" s="53">
        <f t="shared" si="93"/>
        <v>1.2868799754439192E-6</v>
      </c>
      <c r="BO91" s="53">
        <f t="shared" si="94"/>
        <v>1.0741386655999994E-5</v>
      </c>
      <c r="BP91" s="53">
        <f t="shared" si="95"/>
        <v>2.6781335105690563E-7</v>
      </c>
      <c r="BQ91" s="53">
        <f t="shared" si="96"/>
        <v>2.3059447364799979E-2</v>
      </c>
      <c r="BR91" s="53">
        <f t="shared" si="97"/>
        <v>5.938154113283617E-4</v>
      </c>
    </row>
    <row r="92" spans="1:70" ht="14.25" customHeight="1" x14ac:dyDescent="0.3">
      <c r="A92" s="1">
        <f t="shared" si="34"/>
        <v>88</v>
      </c>
      <c r="B92" s="52">
        <f>'Life table'!D90</f>
        <v>0.22544603302860544</v>
      </c>
      <c r="C92" s="52">
        <f>IF($A92&lt;Customisation!$H$13,0,B92)/LOOKUP(Customisation!$H$13,$A$4:$A$104,$B$4:$B$104)</f>
        <v>0.22865361888260544</v>
      </c>
      <c r="D92" s="1">
        <f>IF($A92&lt;=Customisation!$H$13,1,1/(1+Customisation!$H$21)^($A92-Customisation!$H$13))</f>
        <v>2.4525240264113228E-2</v>
      </c>
      <c r="E92" s="1">
        <f t="shared" si="11"/>
        <v>32.484969954453604</v>
      </c>
      <c r="F92" s="1">
        <f t="shared" si="2"/>
        <v>5.6077849403548758E-3</v>
      </c>
      <c r="G92" s="53">
        <f>'Age data'!M96*Customisation!$H$22</f>
        <v>2.7192999999999998E-4</v>
      </c>
      <c r="H92" s="53">
        <f t="shared" si="3"/>
        <v>6.6691485850203099E-6</v>
      </c>
      <c r="I92" s="53">
        <f>'Age data'!N96*Customisation!$H$22</f>
        <v>2.4991999999999999E-4</v>
      </c>
      <c r="J92" s="54">
        <f t="shared" si="4"/>
        <v>6.1293480468071774E-6</v>
      </c>
      <c r="K92" s="53">
        <f>I92*'Life table'!I90</f>
        <v>9.4227763819362516E-4</v>
      </c>
      <c r="L92" s="53">
        <f>J92*'Life table'!J90</f>
        <v>2.310958547219981E-5</v>
      </c>
      <c r="M92" s="53">
        <f t="shared" si="5"/>
        <v>2.1758660000000001E-4</v>
      </c>
      <c r="N92" s="53">
        <f>((G92-I92)*$AW$5+I92*$AW$6)/(1+Customisation!$H$21)^($A92-Customisation!$E$13)</f>
        <v>5.1667421243844004E-6</v>
      </c>
      <c r="O92" s="53">
        <f>G92*Customisation!$H$17</f>
        <v>0.46701258200000001</v>
      </c>
      <c r="P92" s="109">
        <f>O92/(1+Customisation!$H$21)^($A92-Customisation!$E$13)</f>
        <v>1.145359577991388E-2</v>
      </c>
      <c r="Q92" s="53">
        <f>IF($A92&lt;Customisation!$H$13,G92,G92*(1-Customisation!$H$11*Customisation!$H$12))</f>
        <v>1.13993056E-4</v>
      </c>
      <c r="R92" s="53">
        <f>IF($A92&lt;Customisation!$H$13,H92,H92*(1-Customisation!$H$11*Customisation!$H$12))</f>
        <v>2.795707086840514E-6</v>
      </c>
      <c r="S92" s="53">
        <f>IF($A92&lt;Customisation!$H$13,I92,I92*(1-Customisation!$H$11*Customisation!$H$12))</f>
        <v>1.04766464E-4</v>
      </c>
      <c r="T92" s="53">
        <f>IF($A92&lt;Customisation!$H$13,J92,J92*(1-Customisation!$H$11*Customisation!$H$12))</f>
        <v>2.569422701221569E-6</v>
      </c>
      <c r="U92" s="53">
        <f>IF($A92&lt;Customisation!$H$13,K92,K92*(1-Customisation!$H$11*Customisation!$H$12))</f>
        <v>3.9500278593076766E-4</v>
      </c>
      <c r="V92" s="53">
        <f>IF($A92&lt;Customisation!$H$13,L92,L92*(1-Customisation!$H$11*Customisation!$H$12))</f>
        <v>9.6875382299461609E-6</v>
      </c>
      <c r="W92" s="53">
        <f>IF($A92&lt;Customisation!$H$13,M92,M92*(1-Customisation!$H$11*Customisation!$H$12))</f>
        <v>9.1212302720000007E-5</v>
      </c>
      <c r="X92" s="53">
        <f>IF($A92&lt;Customisation!$H$13,N92,N92*(1-Customisation!$H$11*Customisation!$H$12))</f>
        <v>2.1658982985419408E-6</v>
      </c>
      <c r="Y92" s="53">
        <f>IF($A92&lt;Customisation!$H$13,O92,O92*(1-Customisation!$H$11*Customisation!$H$12))</f>
        <v>0.19577167437440002</v>
      </c>
      <c r="Z92" s="53">
        <f>IF($A92&lt;Customisation!$H$13,P92,P92*(1-Customisation!$H$11*Customisation!$H$12))</f>
        <v>4.8013473509398987E-3</v>
      </c>
      <c r="AA92" s="53">
        <f t="shared" ref="AA92:AJ92" si="120">G92-Q92</f>
        <v>1.5793694399999998E-4</v>
      </c>
      <c r="AB92" s="53">
        <f t="shared" si="120"/>
        <v>3.8734414981797959E-6</v>
      </c>
      <c r="AC92" s="53">
        <f t="shared" si="120"/>
        <v>1.45153536E-4</v>
      </c>
      <c r="AD92" s="53">
        <f t="shared" si="120"/>
        <v>3.5599253455856084E-6</v>
      </c>
      <c r="AE92" s="53">
        <f t="shared" si="120"/>
        <v>5.4727485226285745E-4</v>
      </c>
      <c r="AF92" s="53">
        <f t="shared" si="120"/>
        <v>1.3422047242253649E-5</v>
      </c>
      <c r="AG92" s="53">
        <f t="shared" si="120"/>
        <v>1.2637429727999999E-4</v>
      </c>
      <c r="AH92" s="53">
        <f t="shared" si="120"/>
        <v>3.0008438258424596E-6</v>
      </c>
      <c r="AI92" s="53">
        <f t="shared" si="120"/>
        <v>0.27124090762559999</v>
      </c>
      <c r="AJ92" s="53">
        <f t="shared" si="120"/>
        <v>6.6522484289739817E-3</v>
      </c>
      <c r="AK92" s="1"/>
      <c r="AL92" s="55">
        <f t="shared" si="7"/>
        <v>27.192999999999998</v>
      </c>
      <c r="AM92" s="55">
        <f t="shared" si="8"/>
        <v>11.3993056</v>
      </c>
      <c r="AN92" s="1"/>
      <c r="AO92" s="1"/>
      <c r="AP92" s="1"/>
      <c r="AQ92" s="1"/>
      <c r="AR92" s="1"/>
      <c r="AS92" s="1"/>
      <c r="AT92" s="1"/>
      <c r="AU92" s="1"/>
      <c r="AV92" s="1"/>
      <c r="AW92" s="1"/>
      <c r="AX92" s="1"/>
      <c r="AY92" s="53">
        <f>IF($A92&lt;Customisation!$H$13,G92,G92*(1-Customisation!$H$24*Customisation!$H$12))</f>
        <v>9.7242167999999995E-5</v>
      </c>
      <c r="AZ92" s="53">
        <f>IF($A92&lt;Customisation!$H$13,H92,H92*(1-Customisation!$H$24*Customisation!$H$12))</f>
        <v>2.3848875340032629E-6</v>
      </c>
      <c r="BA92" s="53">
        <f>IF($A92&lt;Customisation!$H$13,I92,I92*(1-Customisation!$H$24*Customisation!$H$12))</f>
        <v>8.9371392000000001E-5</v>
      </c>
      <c r="BB92" s="53">
        <f>IF($A92&lt;Customisation!$H$13,J92,J92*(1-Customisation!$H$24*Customisation!$H$12))</f>
        <v>2.1918548615382469E-6</v>
      </c>
      <c r="BC92" s="53">
        <f>IF($A92&lt;Customisation!$H$13,K92,K92*(1-Customisation!$H$24*Customisation!$H$12))</f>
        <v>3.369584834180404E-4</v>
      </c>
      <c r="BD92" s="53">
        <f>IF($A92&lt;Customisation!$H$13,L92,L92*(1-Customisation!$H$24*Customisation!$H$12))</f>
        <v>8.2639877648586526E-6</v>
      </c>
      <c r="BE92" s="53">
        <f>IF($A92&lt;Customisation!$H$13,M92,M92*(1-Customisation!$H$24*Customisation!$H$12))</f>
        <v>7.7808968160000017E-5</v>
      </c>
      <c r="BF92" s="53">
        <f>IF($A92&lt;Customisation!$H$13,N92,N92*(1-Customisation!$H$24*Customisation!$H$12))</f>
        <v>1.8476269836798617E-6</v>
      </c>
      <c r="BG92" s="53">
        <f>IF($A92&lt;Customisation!$H$13,O92,O92*(1-Customisation!$H$24*Customisation!$H$12))</f>
        <v>0.16700369932320003</v>
      </c>
      <c r="BH92" s="53">
        <f>IF($A92&lt;Customisation!$H$13,P92,P92*(1-Customisation!$H$24*Customisation!$H$12))</f>
        <v>4.0958058508972044E-3</v>
      </c>
      <c r="BI92" s="53">
        <f t="shared" si="88"/>
        <v>1.6750888000000003E-5</v>
      </c>
      <c r="BJ92" s="53">
        <f t="shared" si="89"/>
        <v>4.1081955283725113E-7</v>
      </c>
      <c r="BK92" s="53">
        <f t="shared" si="90"/>
        <v>1.5395071999999994E-5</v>
      </c>
      <c r="BL92" s="53">
        <f t="shared" si="91"/>
        <v>3.7756783968332213E-7</v>
      </c>
      <c r="BM92" s="53">
        <f t="shared" si="92"/>
        <v>5.8044302512727259E-5</v>
      </c>
      <c r="BN92" s="53">
        <f t="shared" si="93"/>
        <v>1.4235504650875082E-6</v>
      </c>
      <c r="BO92" s="53">
        <f t="shared" si="94"/>
        <v>1.3403334559999991E-5</v>
      </c>
      <c r="BP92" s="53">
        <f t="shared" si="95"/>
        <v>3.1827131486207912E-7</v>
      </c>
      <c r="BQ92" s="53">
        <f t="shared" si="96"/>
        <v>2.876797505119999E-2</v>
      </c>
      <c r="BR92" s="53">
        <f t="shared" si="97"/>
        <v>7.0554150004269438E-4</v>
      </c>
    </row>
    <row r="93" spans="1:70" ht="14.25" customHeight="1" x14ac:dyDescent="0.3">
      <c r="A93" s="1">
        <f t="shared" si="34"/>
        <v>89</v>
      </c>
      <c r="B93" s="52">
        <f>'Life table'!D91</f>
        <v>0.18336653096381625</v>
      </c>
      <c r="C93" s="52">
        <f>IF($A93&lt;Customisation!$H$13,0,B93)/LOOKUP(Customisation!$H$13,$A$4:$A$104,$B$4:$B$104)</f>
        <v>0.18597542091816716</v>
      </c>
      <c r="D93" s="1">
        <f>IF($A93&lt;=Customisation!$H$13,1,1/(1+Customisation!$H$21)^($A93-Customisation!$H$13))</f>
        <v>2.3357371680107829E-2</v>
      </c>
      <c r="E93" s="1">
        <f t="shared" si="11"/>
        <v>32.509495194717715</v>
      </c>
      <c r="F93" s="1">
        <f t="shared" si="2"/>
        <v>4.3438970297501305E-3</v>
      </c>
      <c r="G93" s="53">
        <f>'Age data'!M97*Customisation!$H$22</f>
        <v>3.4861000000000001E-4</v>
      </c>
      <c r="H93" s="53">
        <f t="shared" si="3"/>
        <v>8.1426133414023904E-6</v>
      </c>
      <c r="I93" s="53">
        <f>'Age data'!N97*Customisation!$H$22</f>
        <v>3.2020999999999997E-4</v>
      </c>
      <c r="J93" s="54">
        <f t="shared" si="4"/>
        <v>7.4792639856873272E-6</v>
      </c>
      <c r="K93" s="53">
        <f>I93*'Life table'!I91</f>
        <v>1.1273951216396164E-3</v>
      </c>
      <c r="L93" s="53">
        <f>J93*'Life table'!J91</f>
        <v>2.6332986886476895E-5</v>
      </c>
      <c r="M93" s="53">
        <f t="shared" si="5"/>
        <v>2.7887947999999998E-4</v>
      </c>
      <c r="N93" s="53">
        <f>((G93-I93)*$AW$5+I93*$AW$6)/(1+Customisation!$H$21)^($A93-Customisation!$E$13)</f>
        <v>6.3068092586688602E-6</v>
      </c>
      <c r="O93" s="53">
        <f>G93*Customisation!$H$17</f>
        <v>0.59870281400000003</v>
      </c>
      <c r="P93" s="109">
        <f>O93/(1+Customisation!$H$21)^($A93-Customisation!$E$13)</f>
        <v>1.3984124152524466E-2</v>
      </c>
      <c r="Q93" s="53">
        <f>IF($A93&lt;Customisation!$H$13,G93,G93*(1-Customisation!$H$11*Customisation!$H$12))</f>
        <v>1.4613731200000001E-4</v>
      </c>
      <c r="R93" s="53">
        <f>IF($A93&lt;Customisation!$H$13,H93,H93*(1-Customisation!$H$11*Customisation!$H$12))</f>
        <v>3.4133835127158823E-6</v>
      </c>
      <c r="S93" s="53">
        <f>IF($A93&lt;Customisation!$H$13,I93,I93*(1-Customisation!$H$11*Customisation!$H$12))</f>
        <v>1.3423203200000001E-4</v>
      </c>
      <c r="T93" s="53">
        <f>IF($A93&lt;Customisation!$H$13,J93,J93*(1-Customisation!$H$11*Customisation!$H$12))</f>
        <v>3.1353074628001277E-6</v>
      </c>
      <c r="U93" s="53">
        <f>IF($A93&lt;Customisation!$H$13,K93,K93*(1-Customisation!$H$11*Customisation!$H$12))</f>
        <v>4.7260403499132717E-4</v>
      </c>
      <c r="V93" s="53">
        <f>IF($A93&lt;Customisation!$H$13,L93,L93*(1-Customisation!$H$11*Customisation!$H$12))</f>
        <v>1.1038788102811115E-5</v>
      </c>
      <c r="W93" s="53">
        <f>IF($A93&lt;Customisation!$H$13,M93,M93*(1-Customisation!$H$11*Customisation!$H$12))</f>
        <v>1.16906278016E-4</v>
      </c>
      <c r="X93" s="53">
        <f>IF($A93&lt;Customisation!$H$13,N93,N93*(1-Customisation!$H$11*Customisation!$H$12))</f>
        <v>2.6438144412339863E-6</v>
      </c>
      <c r="Y93" s="53">
        <f>IF($A93&lt;Customisation!$H$13,O93,O93*(1-Customisation!$H$11*Customisation!$H$12))</f>
        <v>0.25097621962880001</v>
      </c>
      <c r="Z93" s="53">
        <f>IF($A93&lt;Customisation!$H$13,P93,P93*(1-Customisation!$H$11*Customisation!$H$12))</f>
        <v>5.8621448447382565E-3</v>
      </c>
      <c r="AA93" s="53">
        <f t="shared" ref="AA93:AJ93" si="121">G93-Q93</f>
        <v>2.02472688E-4</v>
      </c>
      <c r="AB93" s="53">
        <f t="shared" si="121"/>
        <v>4.7292298286865081E-6</v>
      </c>
      <c r="AC93" s="53">
        <f t="shared" si="121"/>
        <v>1.8597796799999997E-4</v>
      </c>
      <c r="AD93" s="53">
        <f t="shared" si="121"/>
        <v>4.3439565228872E-6</v>
      </c>
      <c r="AE93" s="53">
        <f t="shared" si="121"/>
        <v>6.5479108664828918E-4</v>
      </c>
      <c r="AF93" s="53">
        <f t="shared" si="121"/>
        <v>1.529419878366578E-5</v>
      </c>
      <c r="AG93" s="53">
        <f t="shared" si="121"/>
        <v>1.6197320198399999E-4</v>
      </c>
      <c r="AH93" s="53">
        <f t="shared" si="121"/>
        <v>3.662994817434874E-6</v>
      </c>
      <c r="AI93" s="53">
        <f t="shared" si="121"/>
        <v>0.34772659437120002</v>
      </c>
      <c r="AJ93" s="53">
        <f t="shared" si="121"/>
        <v>8.1219793077862094E-3</v>
      </c>
      <c r="AK93" s="1"/>
      <c r="AL93" s="55">
        <f t="shared" si="7"/>
        <v>34.861000000000004</v>
      </c>
      <c r="AM93" s="55">
        <f t="shared" si="8"/>
        <v>14.613731200000002</v>
      </c>
      <c r="AN93" s="1"/>
      <c r="AO93" s="1"/>
      <c r="AP93" s="1"/>
      <c r="AQ93" s="1"/>
      <c r="AR93" s="1"/>
      <c r="AS93" s="1"/>
      <c r="AT93" s="1"/>
      <c r="AU93" s="1"/>
      <c r="AV93" s="1"/>
      <c r="AW93" s="1"/>
      <c r="AX93" s="1"/>
      <c r="AY93" s="53">
        <f>IF($A93&lt;Customisation!$H$13,G93,G93*(1-Customisation!$H$24*Customisation!$H$12))</f>
        <v>1.2466293600000002E-4</v>
      </c>
      <c r="AZ93" s="53">
        <f>IF($A93&lt;Customisation!$H$13,H93,H93*(1-Customisation!$H$24*Customisation!$H$12))</f>
        <v>2.9117985308854952E-6</v>
      </c>
      <c r="BA93" s="53">
        <f>IF($A93&lt;Customisation!$H$13,I93,I93*(1-Customisation!$H$24*Customisation!$H$12))</f>
        <v>1.14507096E-4</v>
      </c>
      <c r="BB93" s="53">
        <f>IF($A93&lt;Customisation!$H$13,J93,J93*(1-Customisation!$H$24*Customisation!$H$12))</f>
        <v>2.6745848012817884E-6</v>
      </c>
      <c r="BC93" s="53">
        <f>IF($A93&lt;Customisation!$H$13,K93,K93*(1-Customisation!$H$24*Customisation!$H$12))</f>
        <v>4.0315649549832683E-4</v>
      </c>
      <c r="BD93" s="53">
        <f>IF($A93&lt;Customisation!$H$13,L93,L93*(1-Customisation!$H$24*Customisation!$H$12))</f>
        <v>9.4166761106041377E-6</v>
      </c>
      <c r="BE93" s="53">
        <f>IF($A93&lt;Customisation!$H$13,M93,M93*(1-Customisation!$H$24*Customisation!$H$12))</f>
        <v>9.9727302048000004E-5</v>
      </c>
      <c r="BF93" s="53">
        <f>IF($A93&lt;Customisation!$H$13,N93,N93*(1-Customisation!$H$24*Customisation!$H$12))</f>
        <v>2.2553149908999846E-6</v>
      </c>
      <c r="BG93" s="53">
        <f>IF($A93&lt;Customisation!$H$13,O93,O93*(1-Customisation!$H$24*Customisation!$H$12))</f>
        <v>0.21409612628640004</v>
      </c>
      <c r="BH93" s="53">
        <f>IF($A93&lt;Customisation!$H$13,P93,P93*(1-Customisation!$H$24*Customisation!$H$12))</f>
        <v>5.0007227969427496E-3</v>
      </c>
      <c r="BI93" s="53">
        <f t="shared" si="88"/>
        <v>2.1474375999999993E-5</v>
      </c>
      <c r="BJ93" s="53">
        <f t="shared" si="89"/>
        <v>5.0158498183038709E-7</v>
      </c>
      <c r="BK93" s="53">
        <f t="shared" si="90"/>
        <v>1.9724936000000003E-5</v>
      </c>
      <c r="BL93" s="53">
        <f t="shared" si="91"/>
        <v>4.607226615183393E-7</v>
      </c>
      <c r="BM93" s="53">
        <f t="shared" si="92"/>
        <v>6.9447539493000337E-5</v>
      </c>
      <c r="BN93" s="53">
        <f t="shared" si="93"/>
        <v>1.6221119922069771E-6</v>
      </c>
      <c r="BO93" s="53">
        <f t="shared" si="94"/>
        <v>1.7178975967999997E-5</v>
      </c>
      <c r="BP93" s="53">
        <f t="shared" si="95"/>
        <v>3.884994503340017E-7</v>
      </c>
      <c r="BQ93" s="53">
        <f t="shared" si="96"/>
        <v>3.6880093342399972E-2</v>
      </c>
      <c r="BR93" s="53">
        <f t="shared" si="97"/>
        <v>8.6142204779550684E-4</v>
      </c>
    </row>
    <row r="94" spans="1:70" ht="14.25" customHeight="1" x14ac:dyDescent="0.3">
      <c r="A94" s="1">
        <f t="shared" si="34"/>
        <v>90</v>
      </c>
      <c r="B94" s="52">
        <f>'Life table'!D92</f>
        <v>0.14598542996153266</v>
      </c>
      <c r="C94" s="52">
        <f>IF($A94&lt;Customisation!$H$13,0,B94)/LOOKUP(Customisation!$H$13,$A$4:$A$104,$B$4:$B$104)</f>
        <v>0.14806247160978958</v>
      </c>
      <c r="D94" s="1">
        <f>IF($A94&lt;=Customisation!$H$13,1,1/(1+Customisation!$H$21)^($A94-Customisation!$H$13))</f>
        <v>2.2245115885816989E-2</v>
      </c>
      <c r="E94" s="1">
        <f t="shared" si="11"/>
        <v>32.532852566397821</v>
      </c>
      <c r="F94" s="1">
        <f t="shared" si="2"/>
        <v>3.2936668393002571E-3</v>
      </c>
      <c r="G94" s="53">
        <f>'Age data'!M98*Customisation!$H$22</f>
        <v>4.5581999999999996E-4</v>
      </c>
      <c r="H94" s="53">
        <f t="shared" si="3"/>
        <v>1.0139768723073099E-5</v>
      </c>
      <c r="I94" s="53">
        <f>'Age data'!N98*Customisation!$H$22</f>
        <v>4.1889999999999999E-4</v>
      </c>
      <c r="J94" s="54">
        <f t="shared" si="4"/>
        <v>9.3184790445687356E-6</v>
      </c>
      <c r="K94" s="53">
        <f>I94*'Life table'!I92</f>
        <v>1.3799850211148326E-3</v>
      </c>
      <c r="L94" s="53">
        <f>J94*'Life table'!J92</f>
        <v>3.0697926715391051E-5</v>
      </c>
      <c r="M94" s="53">
        <f t="shared" si="5"/>
        <v>3.6471847999999997E-4</v>
      </c>
      <c r="N94" s="53">
        <f>((G94-I94)*$AW$5+I94*$AW$6)/(1+Customisation!$H$21)^($A94-Customisation!$E$13)</f>
        <v>7.8553144186657827E-6</v>
      </c>
      <c r="O94" s="53">
        <f>G94*Customisation!$H$17</f>
        <v>0.78282526799999996</v>
      </c>
      <c r="P94" s="109">
        <f>O94/(1+Customisation!$H$21)^($A94-Customisation!$E$13)</f>
        <v>1.7414038805005739E-2</v>
      </c>
      <c r="Q94" s="53">
        <f>IF($A94&lt;Customisation!$H$13,G94,G94*(1-Customisation!$H$11*Customisation!$H$12))</f>
        <v>1.9107974399999999E-4</v>
      </c>
      <c r="R94" s="53">
        <f>IF($A94&lt;Customisation!$H$13,H94,H94*(1-Customisation!$H$11*Customisation!$H$12))</f>
        <v>4.250591048712243E-6</v>
      </c>
      <c r="S94" s="53">
        <f>IF($A94&lt;Customisation!$H$13,I94,I94*(1-Customisation!$H$11*Customisation!$H$12))</f>
        <v>1.7560288E-4</v>
      </c>
      <c r="T94" s="53">
        <f>IF($A94&lt;Customisation!$H$13,J94,J94*(1-Customisation!$H$11*Customisation!$H$12))</f>
        <v>3.9063064154832139E-6</v>
      </c>
      <c r="U94" s="53">
        <f>IF($A94&lt;Customisation!$H$13,K94,K94*(1-Customisation!$H$11*Customisation!$H$12))</f>
        <v>5.7848972085133789E-4</v>
      </c>
      <c r="V94" s="53">
        <f>IF($A94&lt;Customisation!$H$13,L94,L94*(1-Customisation!$H$11*Customisation!$H$12))</f>
        <v>1.286857087909193E-5</v>
      </c>
      <c r="W94" s="53">
        <f>IF($A94&lt;Customisation!$H$13,M94,M94*(1-Customisation!$H$11*Customisation!$H$12))</f>
        <v>1.52889986816E-4</v>
      </c>
      <c r="X94" s="53">
        <f>IF($A94&lt;Customisation!$H$13,N94,N94*(1-Customisation!$H$11*Customisation!$H$12))</f>
        <v>3.2929478043046964E-6</v>
      </c>
      <c r="Y94" s="53">
        <f>IF($A94&lt;Customisation!$H$13,O94,O94*(1-Customisation!$H$11*Customisation!$H$12))</f>
        <v>0.32816035234559998</v>
      </c>
      <c r="Z94" s="53">
        <f>IF($A94&lt;Customisation!$H$13,P94,P94*(1-Customisation!$H$11*Customisation!$H$12))</f>
        <v>7.299965067058406E-3</v>
      </c>
      <c r="AA94" s="53">
        <f t="shared" ref="AA94:AJ94" si="122">G94-Q94</f>
        <v>2.6474025599999997E-4</v>
      </c>
      <c r="AB94" s="53">
        <f t="shared" si="122"/>
        <v>5.8891776743608559E-6</v>
      </c>
      <c r="AC94" s="53">
        <f t="shared" si="122"/>
        <v>2.4329711999999999E-4</v>
      </c>
      <c r="AD94" s="53">
        <f t="shared" si="122"/>
        <v>5.4121726290855217E-6</v>
      </c>
      <c r="AE94" s="53">
        <f t="shared" si="122"/>
        <v>8.0149530026349467E-4</v>
      </c>
      <c r="AF94" s="53">
        <f t="shared" si="122"/>
        <v>1.7829355836299121E-5</v>
      </c>
      <c r="AG94" s="53">
        <f t="shared" si="122"/>
        <v>2.1182849318399996E-4</v>
      </c>
      <c r="AH94" s="53">
        <f t="shared" si="122"/>
        <v>4.5623666143610867E-6</v>
      </c>
      <c r="AI94" s="53">
        <f t="shared" si="122"/>
        <v>0.45466491565439998</v>
      </c>
      <c r="AJ94" s="53">
        <f t="shared" si="122"/>
        <v>1.0114073737947333E-2</v>
      </c>
      <c r="AK94" s="1"/>
      <c r="AL94" s="55">
        <f t="shared" si="7"/>
        <v>45.581999999999994</v>
      </c>
      <c r="AM94" s="55">
        <f t="shared" si="8"/>
        <v>19.1079744</v>
      </c>
      <c r="AN94" s="1"/>
      <c r="AO94" s="1"/>
      <c r="AP94" s="1"/>
      <c r="AQ94" s="1"/>
      <c r="AR94" s="1"/>
      <c r="AS94" s="1"/>
      <c r="AT94" s="1"/>
      <c r="AU94" s="1"/>
      <c r="AV94" s="1"/>
      <c r="AW94" s="1"/>
      <c r="AX94" s="1"/>
      <c r="AY94" s="53">
        <f>IF($A94&lt;Customisation!$H$13,G94,G94*(1-Customisation!$H$24*Customisation!$H$12))</f>
        <v>1.6300123199999999E-4</v>
      </c>
      <c r="AZ94" s="53">
        <f>IF($A94&lt;Customisation!$H$13,H94,H94*(1-Customisation!$H$24*Customisation!$H$12))</f>
        <v>3.6259812953709404E-6</v>
      </c>
      <c r="BA94" s="53">
        <f>IF($A94&lt;Customisation!$H$13,I94,I94*(1-Customisation!$H$24*Customisation!$H$12))</f>
        <v>1.4979864E-4</v>
      </c>
      <c r="BB94" s="53">
        <f>IF($A94&lt;Customisation!$H$13,J94,J94*(1-Customisation!$H$24*Customisation!$H$12))</f>
        <v>3.3322881063377803E-6</v>
      </c>
      <c r="BC94" s="53">
        <f>IF($A94&lt;Customisation!$H$13,K94,K94*(1-Customisation!$H$24*Customisation!$H$12))</f>
        <v>4.934826435506642E-4</v>
      </c>
      <c r="BD94" s="53">
        <f>IF($A94&lt;Customisation!$H$13,L94,L94*(1-Customisation!$H$24*Customisation!$H$12))</f>
        <v>1.097757859342384E-5</v>
      </c>
      <c r="BE94" s="53">
        <f>IF($A94&lt;Customisation!$H$13,M94,M94*(1-Customisation!$H$24*Customisation!$H$12))</f>
        <v>1.3042332844800001E-4</v>
      </c>
      <c r="BF94" s="53">
        <f>IF($A94&lt;Customisation!$H$13,N94,N94*(1-Customisation!$H$24*Customisation!$H$12))</f>
        <v>2.8090604361148843E-6</v>
      </c>
      <c r="BG94" s="53">
        <f>IF($A94&lt;Customisation!$H$13,O94,O94*(1-Customisation!$H$24*Customisation!$H$12))</f>
        <v>0.27993831583680001</v>
      </c>
      <c r="BH94" s="53">
        <f>IF($A94&lt;Customisation!$H$13,P94,P94*(1-Customisation!$H$24*Customisation!$H$12))</f>
        <v>6.2272602766700524E-3</v>
      </c>
      <c r="BI94" s="53">
        <f t="shared" si="88"/>
        <v>2.8078511999999998E-5</v>
      </c>
      <c r="BJ94" s="53">
        <f t="shared" si="89"/>
        <v>6.2460975334130265E-7</v>
      </c>
      <c r="BK94" s="53">
        <f t="shared" si="90"/>
        <v>2.5804240000000002E-5</v>
      </c>
      <c r="BL94" s="53">
        <f t="shared" si="91"/>
        <v>5.7401830914543361E-7</v>
      </c>
      <c r="BM94" s="53">
        <f t="shared" si="92"/>
        <v>8.5007077300673682E-5</v>
      </c>
      <c r="BN94" s="53">
        <f t="shared" si="93"/>
        <v>1.8909922856680897E-6</v>
      </c>
      <c r="BO94" s="53">
        <f t="shared" si="94"/>
        <v>2.2466658367999994E-5</v>
      </c>
      <c r="BP94" s="53">
        <f t="shared" si="95"/>
        <v>4.838873681898121E-7</v>
      </c>
      <c r="BQ94" s="53">
        <f t="shared" si="96"/>
        <v>4.822203650879997E-2</v>
      </c>
      <c r="BR94" s="53">
        <f t="shared" si="97"/>
        <v>1.0727047903883536E-3</v>
      </c>
    </row>
    <row r="95" spans="1:70" ht="14.25" customHeight="1" x14ac:dyDescent="0.3">
      <c r="A95" s="1">
        <f t="shared" si="34"/>
        <v>91</v>
      </c>
      <c r="B95" s="52">
        <f>'Life table'!D93</f>
        <v>0.1138905331844897</v>
      </c>
      <c r="C95" s="52">
        <f>IF($A95&lt;Customisation!$H$13,0,B95)/LOOKUP(Customisation!$H$13,$A$4:$A$104,$B$4:$B$104)</f>
        <v>0.11551093722637734</v>
      </c>
      <c r="D95" s="1">
        <f>IF($A95&lt;=Customisation!$H$13,1,1/(1+Customisation!$H$21)^($A95-Customisation!$H$13))</f>
        <v>2.1185824653159029E-2</v>
      </c>
      <c r="E95" s="1">
        <f t="shared" si="11"/>
        <v>32.555097682283638</v>
      </c>
      <c r="F95" s="1">
        <f t="shared" si="2"/>
        <v>2.4471944616000899E-3</v>
      </c>
      <c r="G95" s="53">
        <f>'Age data'!M99*Customisation!$H$22</f>
        <v>6.0988999999999998E-4</v>
      </c>
      <c r="H95" s="53">
        <f t="shared" si="3"/>
        <v>1.2921022597715159E-5</v>
      </c>
      <c r="I95" s="53">
        <f>'Age data'!N99*Customisation!$H$22</f>
        <v>5.6090000000000003E-4</v>
      </c>
      <c r="J95" s="54">
        <f t="shared" si="4"/>
        <v>1.1883129047956901E-5</v>
      </c>
      <c r="K95" s="53">
        <f>I95*'Life table'!I93</f>
        <v>1.7285566701225811E-3</v>
      </c>
      <c r="L95" s="53">
        <f>J95*'Life table'!J93</f>
        <v>3.6620898516265465E-5</v>
      </c>
      <c r="M95" s="53">
        <f t="shared" si="5"/>
        <v>4.8813635999999999E-4</v>
      </c>
      <c r="N95" s="53">
        <f>((G95-I95)*$AW$5+I95*$AW$6)/(1+Customisation!$H$21)^($A95-Customisation!$E$13)</f>
        <v>1.0012913657165377E-5</v>
      </c>
      <c r="O95" s="53">
        <f>G95*Customisation!$H$17</f>
        <v>1.0474250860000001</v>
      </c>
      <c r="P95" s="109">
        <f>O95/(1+Customisation!$H$21)^($A95-Customisation!$E$13)</f>
        <v>2.2190564209316015E-2</v>
      </c>
      <c r="Q95" s="53">
        <f>IF($A95&lt;Customisation!$H$13,G95,G95*(1-Customisation!$H$11*Customisation!$H$12))</f>
        <v>2.55665888E-4</v>
      </c>
      <c r="R95" s="53">
        <f>IF($A95&lt;Customisation!$H$13,H95,H95*(1-Customisation!$H$11*Customisation!$H$12))</f>
        <v>5.4164926729621949E-6</v>
      </c>
      <c r="S95" s="53">
        <f>IF($A95&lt;Customisation!$H$13,I95,I95*(1-Customisation!$H$11*Customisation!$H$12))</f>
        <v>2.3512928000000001E-4</v>
      </c>
      <c r="T95" s="53">
        <f>IF($A95&lt;Customisation!$H$13,J95,J95*(1-Customisation!$H$11*Customisation!$H$12))</f>
        <v>4.9814076969035328E-6</v>
      </c>
      <c r="U95" s="53">
        <f>IF($A95&lt;Customisation!$H$13,K95,K95*(1-Customisation!$H$11*Customisation!$H$12))</f>
        <v>7.2461095611538607E-4</v>
      </c>
      <c r="V95" s="53">
        <f>IF($A95&lt;Customisation!$H$13,L95,L95*(1-Customisation!$H$11*Customisation!$H$12))</f>
        <v>1.5351480658018483E-5</v>
      </c>
      <c r="W95" s="53">
        <f>IF($A95&lt;Customisation!$H$13,M95,M95*(1-Customisation!$H$11*Customisation!$H$12))</f>
        <v>2.0462676211200002E-4</v>
      </c>
      <c r="X95" s="53">
        <f>IF($A95&lt;Customisation!$H$13,N95,N95*(1-Customisation!$H$11*Customisation!$H$12))</f>
        <v>4.1974134050837259E-6</v>
      </c>
      <c r="Y95" s="53">
        <f>IF($A95&lt;Customisation!$H$13,O95,O95*(1-Customisation!$H$11*Customisation!$H$12))</f>
        <v>0.43908059605120003</v>
      </c>
      <c r="Z95" s="53">
        <f>IF($A95&lt;Customisation!$H$13,P95,P95*(1-Customisation!$H$11*Customisation!$H$12))</f>
        <v>9.3022845165452745E-3</v>
      </c>
      <c r="AA95" s="53">
        <f t="shared" ref="AA95:AJ95" si="123">G95-Q95</f>
        <v>3.5422411199999997E-4</v>
      </c>
      <c r="AB95" s="53">
        <f t="shared" si="123"/>
        <v>7.5045299247529645E-6</v>
      </c>
      <c r="AC95" s="53">
        <f t="shared" si="123"/>
        <v>3.2577072000000002E-4</v>
      </c>
      <c r="AD95" s="53">
        <f t="shared" si="123"/>
        <v>6.9017213510533677E-6</v>
      </c>
      <c r="AE95" s="53">
        <f t="shared" si="123"/>
        <v>1.003945714007195E-3</v>
      </c>
      <c r="AF95" s="53">
        <f t="shared" si="123"/>
        <v>2.1269417858246982E-5</v>
      </c>
      <c r="AG95" s="53">
        <f t="shared" si="123"/>
        <v>2.83509597888E-4</v>
      </c>
      <c r="AH95" s="53">
        <f t="shared" si="123"/>
        <v>5.8155002520816507E-6</v>
      </c>
      <c r="AI95" s="53">
        <f t="shared" si="123"/>
        <v>0.60834448994879997</v>
      </c>
      <c r="AJ95" s="53">
        <f t="shared" si="123"/>
        <v>1.2888279692770741E-2</v>
      </c>
      <c r="AK95" s="1"/>
      <c r="AL95" s="55">
        <f t="shared" si="7"/>
        <v>60.988999999999997</v>
      </c>
      <c r="AM95" s="55">
        <f t="shared" si="8"/>
        <v>25.566588800000002</v>
      </c>
      <c r="AN95" s="1"/>
      <c r="AO95" s="1"/>
      <c r="AP95" s="1"/>
      <c r="AQ95" s="1"/>
      <c r="AR95" s="1"/>
      <c r="AS95" s="1"/>
      <c r="AT95" s="1"/>
      <c r="AU95" s="1"/>
      <c r="AV95" s="1"/>
      <c r="AW95" s="1"/>
      <c r="AX95" s="1"/>
      <c r="AY95" s="53">
        <f>IF($A95&lt;Customisation!$H$13,G95,G95*(1-Customisation!$H$24*Customisation!$H$12))</f>
        <v>2.1809666400000001E-4</v>
      </c>
      <c r="AZ95" s="53">
        <f>IF($A95&lt;Customisation!$H$13,H95,H95*(1-Customisation!$H$24*Customisation!$H$12))</f>
        <v>4.6205576809429417E-6</v>
      </c>
      <c r="BA95" s="53">
        <f>IF($A95&lt;Customisation!$H$13,I95,I95*(1-Customisation!$H$24*Customisation!$H$12))</f>
        <v>2.0057784000000002E-4</v>
      </c>
      <c r="BB95" s="53">
        <f>IF($A95&lt;Customisation!$H$13,J95,J95*(1-Customisation!$H$24*Customisation!$H$12))</f>
        <v>4.2494069475493884E-6</v>
      </c>
      <c r="BC95" s="53">
        <f>IF($A95&lt;Customisation!$H$13,K95,K95*(1-Customisation!$H$24*Customisation!$H$12))</f>
        <v>6.1813186523583508E-4</v>
      </c>
      <c r="BD95" s="53">
        <f>IF($A95&lt;Customisation!$H$13,L95,L95*(1-Customisation!$H$24*Customisation!$H$12))</f>
        <v>1.3095633309416532E-5</v>
      </c>
      <c r="BE95" s="53">
        <f>IF($A95&lt;Customisation!$H$13,M95,M95*(1-Customisation!$H$24*Customisation!$H$12))</f>
        <v>1.7455756233600002E-4</v>
      </c>
      <c r="BF95" s="53">
        <f>IF($A95&lt;Customisation!$H$13,N95,N95*(1-Customisation!$H$24*Customisation!$H$12))</f>
        <v>3.5806179238023388E-6</v>
      </c>
      <c r="BG95" s="53">
        <f>IF($A95&lt;Customisation!$H$13,O95,O95*(1-Customisation!$H$24*Customisation!$H$12))</f>
        <v>0.37455921075360005</v>
      </c>
      <c r="BH95" s="53">
        <f>IF($A95&lt;Customisation!$H$13,P95,P95*(1-Customisation!$H$24*Customisation!$H$12))</f>
        <v>7.9353457612514073E-3</v>
      </c>
      <c r="BI95" s="53">
        <f t="shared" si="88"/>
        <v>3.7569223999999992E-5</v>
      </c>
      <c r="BJ95" s="53">
        <f t="shared" si="89"/>
        <v>7.9593499201925323E-7</v>
      </c>
      <c r="BK95" s="53">
        <f t="shared" si="90"/>
        <v>3.4551439999999992E-5</v>
      </c>
      <c r="BL95" s="53">
        <f t="shared" si="91"/>
        <v>7.3200074935414448E-7</v>
      </c>
      <c r="BM95" s="53">
        <f t="shared" si="92"/>
        <v>1.0647909087955099E-4</v>
      </c>
      <c r="BN95" s="53">
        <f t="shared" si="93"/>
        <v>2.2558473486019506E-6</v>
      </c>
      <c r="BO95" s="53">
        <f t="shared" si="94"/>
        <v>3.0069199775999996E-5</v>
      </c>
      <c r="BP95" s="53">
        <f t="shared" si="95"/>
        <v>6.1679548128138708E-7</v>
      </c>
      <c r="BQ95" s="53">
        <f t="shared" si="96"/>
        <v>6.4521385297599987E-2</v>
      </c>
      <c r="BR95" s="53">
        <f t="shared" si="97"/>
        <v>1.3669387552938672E-3</v>
      </c>
    </row>
    <row r="96" spans="1:70" ht="14.25" customHeight="1" x14ac:dyDescent="0.3">
      <c r="A96" s="1">
        <f t="shared" si="34"/>
        <v>92</v>
      </c>
      <c r="B96" s="52">
        <f>'Life table'!D94</f>
        <v>8.7121702264807241E-2</v>
      </c>
      <c r="C96" s="52">
        <f>IF($A96&lt;Customisation!$H$13,0,B96)/LOOKUP(Customisation!$H$13,$A$4:$A$104,$B$4:$B$104)</f>
        <v>8.8361246540689609E-2</v>
      </c>
      <c r="D96" s="1">
        <f>IF($A96&lt;=Customisation!$H$13,1,1/(1+Customisation!$H$21)^($A96-Customisation!$H$13))</f>
        <v>2.0176975860151457E-2</v>
      </c>
      <c r="E96" s="1">
        <f t="shared" si="11"/>
        <v>32.576283506936797</v>
      </c>
      <c r="F96" s="1">
        <f t="shared" si="2"/>
        <v>1.7828627384243857E-3</v>
      </c>
      <c r="G96" s="53">
        <f>'Age data'!M100*Customisation!$H$22</f>
        <v>8.3993000000000002E-4</v>
      </c>
      <c r="H96" s="53">
        <f t="shared" si="3"/>
        <v>1.6947247334217013E-5</v>
      </c>
      <c r="I96" s="53">
        <f>'Age data'!N100*Customisation!$H$22</f>
        <v>7.7176999999999996E-4</v>
      </c>
      <c r="J96" s="54">
        <f t="shared" si="4"/>
        <v>1.5571984659589088E-5</v>
      </c>
      <c r="K96" s="53">
        <f>I96*'Life table'!I94</f>
        <v>2.2188544062852395E-3</v>
      </c>
      <c r="L96" s="53">
        <f>J96*'Life table'!J94</f>
        <v>4.4769771792807965E-5</v>
      </c>
      <c r="M96" s="53">
        <f t="shared" si="5"/>
        <v>6.7201500000000009E-4</v>
      </c>
      <c r="N96" s="53">
        <f>((G96-I96)*$AW$5+I96*$AW$6)/(1+Customisation!$H$21)^($A96-Customisation!$E$13)</f>
        <v>1.3128210541105634E-5</v>
      </c>
      <c r="O96" s="53">
        <f>G96*Customisation!$H$17</f>
        <v>1.4424957820000002</v>
      </c>
      <c r="P96" s="109">
        <f>O96/(1+Customisation!$H$21)^($A96-Customisation!$E$13)</f>
        <v>2.9105202571784301E-2</v>
      </c>
      <c r="Q96" s="53">
        <f>IF($A96&lt;Customisation!$H$13,G96,G96*(1-Customisation!$H$11*Customisation!$H$12))</f>
        <v>3.52098656E-4</v>
      </c>
      <c r="R96" s="53">
        <f>IF($A96&lt;Customisation!$H$13,H96,H96*(1-Customisation!$H$11*Customisation!$H$12))</f>
        <v>7.104286082503772E-6</v>
      </c>
      <c r="S96" s="53">
        <f>IF($A96&lt;Customisation!$H$13,I96,I96*(1-Customisation!$H$11*Customisation!$H$12))</f>
        <v>3.2352598399999999E-4</v>
      </c>
      <c r="T96" s="53">
        <f>IF($A96&lt;Customisation!$H$13,J96,J96*(1-Customisation!$H$11*Customisation!$H$12))</f>
        <v>6.5277759692997463E-6</v>
      </c>
      <c r="U96" s="53">
        <f>IF($A96&lt;Customisation!$H$13,K96,K96*(1-Customisation!$H$11*Customisation!$H$12))</f>
        <v>9.3014376711477245E-4</v>
      </c>
      <c r="V96" s="53">
        <f>IF($A96&lt;Customisation!$H$13,L96,L96*(1-Customisation!$H$11*Customisation!$H$12))</f>
        <v>1.8767488335545099E-5</v>
      </c>
      <c r="W96" s="53">
        <f>IF($A96&lt;Customisation!$H$13,M96,M96*(1-Customisation!$H$11*Customisation!$H$12))</f>
        <v>2.8170868800000005E-4</v>
      </c>
      <c r="X96" s="53">
        <f>IF($A96&lt;Customisation!$H$13,N96,N96*(1-Customisation!$H$11*Customisation!$H$12))</f>
        <v>5.5033458588314819E-6</v>
      </c>
      <c r="Y96" s="53">
        <f>IF($A96&lt;Customisation!$H$13,O96,O96*(1-Customisation!$H$11*Customisation!$H$12))</f>
        <v>0.60469423181440007</v>
      </c>
      <c r="Z96" s="53">
        <f>IF($A96&lt;Customisation!$H$13,P96,P96*(1-Customisation!$H$11*Customisation!$H$12))</f>
        <v>1.220090091809198E-2</v>
      </c>
      <c r="AA96" s="53">
        <f t="shared" ref="AA96:AJ96" si="124">G96-Q96</f>
        <v>4.8783134400000002E-4</v>
      </c>
      <c r="AB96" s="53">
        <f t="shared" si="124"/>
        <v>9.8429612517132422E-6</v>
      </c>
      <c r="AC96" s="53">
        <f t="shared" si="124"/>
        <v>4.4824401599999998E-4</v>
      </c>
      <c r="AD96" s="53">
        <f t="shared" si="124"/>
        <v>9.0442086902893419E-6</v>
      </c>
      <c r="AE96" s="53">
        <f t="shared" si="124"/>
        <v>1.2887106391704672E-3</v>
      </c>
      <c r="AF96" s="53">
        <f t="shared" si="124"/>
        <v>2.6002283457262866E-5</v>
      </c>
      <c r="AG96" s="53">
        <f t="shared" si="124"/>
        <v>3.9030631200000004E-4</v>
      </c>
      <c r="AH96" s="53">
        <f t="shared" si="124"/>
        <v>7.6248646822741524E-6</v>
      </c>
      <c r="AI96" s="53">
        <f t="shared" si="124"/>
        <v>0.8378015501856001</v>
      </c>
      <c r="AJ96" s="53">
        <f t="shared" si="124"/>
        <v>1.6904301653692319E-2</v>
      </c>
      <c r="AK96" s="1"/>
      <c r="AL96" s="55">
        <f t="shared" si="7"/>
        <v>83.992999999999995</v>
      </c>
      <c r="AM96" s="55">
        <f t="shared" si="8"/>
        <v>35.209865600000001</v>
      </c>
      <c r="AN96" s="1"/>
      <c r="AO96" s="1"/>
      <c r="AP96" s="1"/>
      <c r="AQ96" s="1"/>
      <c r="AR96" s="1"/>
      <c r="AS96" s="1"/>
      <c r="AT96" s="1"/>
      <c r="AU96" s="1"/>
      <c r="AV96" s="1"/>
      <c r="AW96" s="1"/>
      <c r="AX96" s="1"/>
      <c r="AY96" s="53">
        <f>IF($A96&lt;Customisation!$H$13,G96,G96*(1-Customisation!$H$24*Customisation!$H$12))</f>
        <v>3.0035896800000001E-4</v>
      </c>
      <c r="AZ96" s="53">
        <f>IF($A96&lt;Customisation!$H$13,H96,H96*(1-Customisation!$H$24*Customisation!$H$12))</f>
        <v>6.0603356467160047E-6</v>
      </c>
      <c r="BA96" s="53">
        <f>IF($A96&lt;Customisation!$H$13,I96,I96*(1-Customisation!$H$24*Customisation!$H$12))</f>
        <v>2.75984952E-4</v>
      </c>
      <c r="BB96" s="53">
        <f>IF($A96&lt;Customisation!$H$13,J96,J96*(1-Customisation!$H$24*Customisation!$H$12))</f>
        <v>5.5685417142690588E-6</v>
      </c>
      <c r="BC96" s="53">
        <f>IF($A96&lt;Customisation!$H$13,K96,K96*(1-Customisation!$H$24*Customisation!$H$12))</f>
        <v>7.9346233568760173E-4</v>
      </c>
      <c r="BD96" s="53">
        <f>IF($A96&lt;Customisation!$H$13,L96,L96*(1-Customisation!$H$24*Customisation!$H$12))</f>
        <v>1.6009670393108131E-5</v>
      </c>
      <c r="BE96" s="53">
        <f>IF($A96&lt;Customisation!$H$13,M96,M96*(1-Customisation!$H$24*Customisation!$H$12))</f>
        <v>2.4031256400000006E-4</v>
      </c>
      <c r="BF96" s="53">
        <f>IF($A96&lt;Customisation!$H$13,N96,N96*(1-Customisation!$H$24*Customisation!$H$12))</f>
        <v>4.6946480894993752E-6</v>
      </c>
      <c r="BG96" s="53">
        <f>IF($A96&lt;Customisation!$H$13,O96,O96*(1-Customisation!$H$24*Customisation!$H$12))</f>
        <v>0.51583649164320011</v>
      </c>
      <c r="BH96" s="53">
        <f>IF($A96&lt;Customisation!$H$13,P96,P96*(1-Customisation!$H$24*Customisation!$H$12))</f>
        <v>1.0408020439670066E-2</v>
      </c>
      <c r="BI96" s="53">
        <f t="shared" si="88"/>
        <v>5.1739687999999989E-5</v>
      </c>
      <c r="BJ96" s="53">
        <f t="shared" si="89"/>
        <v>1.0439504357877673E-6</v>
      </c>
      <c r="BK96" s="53">
        <f t="shared" si="90"/>
        <v>4.7541031999999992E-5</v>
      </c>
      <c r="BL96" s="53">
        <f t="shared" si="91"/>
        <v>9.592342550306875E-7</v>
      </c>
      <c r="BM96" s="53">
        <f t="shared" si="92"/>
        <v>1.3668143142717072E-4</v>
      </c>
      <c r="BN96" s="53">
        <f t="shared" si="93"/>
        <v>2.7578179424369675E-6</v>
      </c>
      <c r="BO96" s="53">
        <f t="shared" si="94"/>
        <v>4.1396123999999987E-5</v>
      </c>
      <c r="BP96" s="53">
        <f t="shared" si="95"/>
        <v>8.0869776933210663E-7</v>
      </c>
      <c r="BQ96" s="53">
        <f t="shared" si="96"/>
        <v>8.8857740171199961E-2</v>
      </c>
      <c r="BR96" s="53">
        <f t="shared" si="97"/>
        <v>1.7928804784219134E-3</v>
      </c>
    </row>
    <row r="97" spans="1:70" ht="14.25" customHeight="1" x14ac:dyDescent="0.3">
      <c r="A97" s="1">
        <f t="shared" si="34"/>
        <v>93</v>
      </c>
      <c r="B97" s="52">
        <f>'Life table'!D95</f>
        <v>6.5314268970903339E-2</v>
      </c>
      <c r="C97" s="52">
        <f>IF($A97&lt;Customisation!$H$13,0,B97)/LOOKUP(Customisation!$H$13,$A$4:$A$104,$B$4:$B$104)</f>
        <v>6.6243542919089599E-2</v>
      </c>
      <c r="D97" s="1">
        <f>IF($A97&lt;=Customisation!$H$13,1,1/(1+Customisation!$H$21)^($A97-Customisation!$H$13))</f>
        <v>1.9216167485858526E-2</v>
      </c>
      <c r="E97" s="1">
        <f t="shared" si="11"/>
        <v>32.59646048279695</v>
      </c>
      <c r="F97" s="1">
        <f t="shared" si="2"/>
        <v>1.2729470155898833E-3</v>
      </c>
      <c r="G97" s="53">
        <f>'Age data'!M101*Customisation!$H$22</f>
        <v>1.1913799999999999E-3</v>
      </c>
      <c r="H97" s="53">
        <f t="shared" si="3"/>
        <v>2.2893757619302129E-5</v>
      </c>
      <c r="I97" s="53">
        <f>'Age data'!N101*Customisation!$H$22</f>
        <v>1.0948199999999998E-3</v>
      </c>
      <c r="J97" s="54">
        <f t="shared" si="4"/>
        <v>2.1038244486867628E-5</v>
      </c>
      <c r="K97" s="53">
        <f>I97*'Life table'!I95</f>
        <v>2.9209832155212179E-3</v>
      </c>
      <c r="L97" s="53">
        <f>J97*'Life table'!J95</f>
        <v>5.6130102692837313E-5</v>
      </c>
      <c r="M97" s="53">
        <f t="shared" si="5"/>
        <v>9.5324600000000004E-4</v>
      </c>
      <c r="N97" s="53">
        <f>((G97-I97)*$AW$5+I97*$AW$6)/(1+Customisation!$H$21)^($A97-Customisation!$E$13)</f>
        <v>1.7735469116249585E-5</v>
      </c>
      <c r="O97" s="53">
        <f>G97*Customisation!$H$17</f>
        <v>2.0460760119999999</v>
      </c>
      <c r="P97" s="109">
        <f>O97/(1+Customisation!$H$21)^($A97-Customisation!$E$13)</f>
        <v>3.9317739335389477E-2</v>
      </c>
      <c r="Q97" s="53">
        <f>IF($A97&lt;Customisation!$H$13,G97,G97*(1-Customisation!$H$11*Customisation!$H$12))</f>
        <v>4.9942649599999994E-4</v>
      </c>
      <c r="R97" s="53">
        <f>IF($A97&lt;Customisation!$H$13,H97,H97*(1-Customisation!$H$11*Customisation!$H$12))</f>
        <v>9.597063194011452E-6</v>
      </c>
      <c r="S97" s="53">
        <f>IF($A97&lt;Customisation!$H$13,I97,I97*(1-Customisation!$H$11*Customisation!$H$12))</f>
        <v>4.5894854399999992E-4</v>
      </c>
      <c r="T97" s="53">
        <f>IF($A97&lt;Customisation!$H$13,J97,J97*(1-Customisation!$H$11*Customisation!$H$12))</f>
        <v>8.8192320888949095E-6</v>
      </c>
      <c r="U97" s="53">
        <f>IF($A97&lt;Customisation!$H$13,K97,K97*(1-Customisation!$H$11*Customisation!$H$12))</f>
        <v>1.2244761639464946E-3</v>
      </c>
      <c r="V97" s="53">
        <f>IF($A97&lt;Customisation!$H$13,L97,L97*(1-Customisation!$H$11*Customisation!$H$12))</f>
        <v>2.3529739048837402E-5</v>
      </c>
      <c r="W97" s="53">
        <f>IF($A97&lt;Customisation!$H$13,M97,M97*(1-Customisation!$H$11*Customisation!$H$12))</f>
        <v>3.9960072320000006E-4</v>
      </c>
      <c r="X97" s="53">
        <f>IF($A97&lt;Customisation!$H$13,N97,N97*(1-Customisation!$H$11*Customisation!$H$12))</f>
        <v>7.4347086535318267E-6</v>
      </c>
      <c r="Y97" s="53">
        <f>IF($A97&lt;Customisation!$H$13,O97,O97*(1-Customisation!$H$11*Customisation!$H$12))</f>
        <v>0.8577150642304</v>
      </c>
      <c r="Z97" s="53">
        <f>IF($A97&lt;Customisation!$H$13,P97,P97*(1-Customisation!$H$11*Customisation!$H$12))</f>
        <v>1.648199632939527E-2</v>
      </c>
      <c r="AA97" s="53">
        <f t="shared" ref="AA97:AJ97" si="125">G97-Q97</f>
        <v>6.9195350399999997E-4</v>
      </c>
      <c r="AB97" s="53">
        <f t="shared" si="125"/>
        <v>1.3296694425290677E-5</v>
      </c>
      <c r="AC97" s="53">
        <f t="shared" si="125"/>
        <v>6.358714559999999E-4</v>
      </c>
      <c r="AD97" s="53">
        <f t="shared" si="125"/>
        <v>1.2219012397972718E-5</v>
      </c>
      <c r="AE97" s="53">
        <f t="shared" si="125"/>
        <v>1.6965070515747233E-3</v>
      </c>
      <c r="AF97" s="53">
        <f t="shared" si="125"/>
        <v>3.2600363643999915E-5</v>
      </c>
      <c r="AG97" s="53">
        <f t="shared" si="125"/>
        <v>5.5364527679999998E-4</v>
      </c>
      <c r="AH97" s="53">
        <f t="shared" si="125"/>
        <v>1.0300760462717758E-5</v>
      </c>
      <c r="AI97" s="53">
        <f t="shared" si="125"/>
        <v>1.1883609477696</v>
      </c>
      <c r="AJ97" s="53">
        <f t="shared" si="125"/>
        <v>2.2835743005994207E-2</v>
      </c>
      <c r="AK97" s="1"/>
      <c r="AL97" s="55">
        <f t="shared" si="7"/>
        <v>119.13799999999999</v>
      </c>
      <c r="AM97" s="55">
        <f t="shared" si="8"/>
        <v>49.942649599999996</v>
      </c>
      <c r="AN97" s="1"/>
      <c r="AO97" s="1"/>
      <c r="AP97" s="1"/>
      <c r="AQ97" s="1"/>
      <c r="AR97" s="1"/>
      <c r="AS97" s="1"/>
      <c r="AT97" s="1"/>
      <c r="AU97" s="1"/>
      <c r="AV97" s="1"/>
      <c r="AW97" s="1"/>
      <c r="AX97" s="1"/>
      <c r="AY97" s="53">
        <f>IF($A97&lt;Customisation!$H$13,G97,G97*(1-Customisation!$H$24*Customisation!$H$12))</f>
        <v>4.2603748799999999E-4</v>
      </c>
      <c r="AZ97" s="53">
        <f>IF($A97&lt;Customisation!$H$13,H97,H97*(1-Customisation!$H$24*Customisation!$H$12))</f>
        <v>8.1868077246624414E-6</v>
      </c>
      <c r="BA97" s="53">
        <f>IF($A97&lt;Customisation!$H$13,I97,I97*(1-Customisation!$H$24*Customisation!$H$12))</f>
        <v>3.9150763199999995E-4</v>
      </c>
      <c r="BB97" s="53">
        <f>IF($A97&lt;Customisation!$H$13,J97,J97*(1-Customisation!$H$24*Customisation!$H$12))</f>
        <v>7.5232762285038645E-6</v>
      </c>
      <c r="BC97" s="53">
        <f>IF($A97&lt;Customisation!$H$13,K97,K97*(1-Customisation!$H$24*Customisation!$H$12))</f>
        <v>1.0445435978703875E-3</v>
      </c>
      <c r="BD97" s="53">
        <f>IF($A97&lt;Customisation!$H$13,L97,L97*(1-Customisation!$H$24*Customisation!$H$12))</f>
        <v>2.0072124722958625E-5</v>
      </c>
      <c r="BE97" s="53">
        <f>IF($A97&lt;Customisation!$H$13,M97,M97*(1-Customisation!$H$24*Customisation!$H$12))</f>
        <v>3.4088076960000005E-4</v>
      </c>
      <c r="BF97" s="53">
        <f>IF($A97&lt;Customisation!$H$13,N97,N97*(1-Customisation!$H$24*Customisation!$H$12))</f>
        <v>6.3422037559708524E-6</v>
      </c>
      <c r="BG97" s="53">
        <f>IF($A97&lt;Customisation!$H$13,O97,O97*(1-Customisation!$H$24*Customisation!$H$12))</f>
        <v>0.7316767818912</v>
      </c>
      <c r="BH97" s="53">
        <f>IF($A97&lt;Customisation!$H$13,P97,P97*(1-Customisation!$H$24*Customisation!$H$12))</f>
        <v>1.4060023586335279E-2</v>
      </c>
      <c r="BI97" s="53">
        <f t="shared" si="88"/>
        <v>7.3389007999999953E-5</v>
      </c>
      <c r="BJ97" s="53">
        <f t="shared" si="89"/>
        <v>1.4102554693490106E-6</v>
      </c>
      <c r="BK97" s="53">
        <f t="shared" si="90"/>
        <v>6.7440911999999979E-5</v>
      </c>
      <c r="BL97" s="53">
        <f t="shared" si="91"/>
        <v>1.295955860391045E-6</v>
      </c>
      <c r="BM97" s="53">
        <f t="shared" si="92"/>
        <v>1.7993256607610705E-4</v>
      </c>
      <c r="BN97" s="53">
        <f t="shared" si="93"/>
        <v>3.4576143258787763E-6</v>
      </c>
      <c r="BO97" s="53">
        <f t="shared" si="94"/>
        <v>5.8719953600000008E-5</v>
      </c>
      <c r="BP97" s="53">
        <f t="shared" si="95"/>
        <v>1.0925048975609742E-6</v>
      </c>
      <c r="BQ97" s="53">
        <f t="shared" si="96"/>
        <v>0.1260382823392</v>
      </c>
      <c r="BR97" s="53">
        <f t="shared" si="97"/>
        <v>2.4219727430599917E-3</v>
      </c>
    </row>
    <row r="98" spans="1:70" ht="14.25" customHeight="1" x14ac:dyDescent="0.3">
      <c r="A98" s="1">
        <f t="shared" si="34"/>
        <v>94</v>
      </c>
      <c r="B98" s="52">
        <f>'Life table'!D96</f>
        <v>4.7882543725258943E-2</v>
      </c>
      <c r="C98" s="52">
        <f>IF($A98&lt;Customisation!$H$13,0,B98)/LOOKUP(Customisation!$H$13,$A$4:$A$104,$B$4:$B$104)</f>
        <v>4.856380374941377E-2</v>
      </c>
      <c r="D98" s="1">
        <f>IF($A98&lt;=Customisation!$H$13,1,1/(1+Customisation!$H$21)^($A98-Customisation!$H$13))</f>
        <v>1.8301111891293836E-2</v>
      </c>
      <c r="E98" s="1">
        <f t="shared" si="11"/>
        <v>32.615676650282808</v>
      </c>
      <c r="F98" s="1">
        <f t="shared" si="2"/>
        <v>8.8877160628485653E-4</v>
      </c>
      <c r="G98" s="53">
        <f>'Age data'!M102*Customisation!$H$22</f>
        <v>1.7366599999999997E-3</v>
      </c>
      <c r="H98" s="53">
        <f t="shared" si="3"/>
        <v>3.1782808977134347E-5</v>
      </c>
      <c r="I98" s="53">
        <f>'Age data'!N102*Customisation!$H$22</f>
        <v>1.5960799999999999E-3</v>
      </c>
      <c r="J98" s="54">
        <f t="shared" si="4"/>
        <v>2.9210038667456264E-5</v>
      </c>
      <c r="K98" s="53">
        <f>I98*'Life table'!I96</f>
        <v>3.9219972080875689E-3</v>
      </c>
      <c r="L98" s="53">
        <f>J98*'Life table'!J96</f>
        <v>7.1776909742552624E-5</v>
      </c>
      <c r="M98" s="53">
        <f t="shared" si="5"/>
        <v>1.3895949599999999E-3</v>
      </c>
      <c r="N98" s="53">
        <f>((G98-I98)*$AW$5+I98*$AW$6)/(1+Customisation!$H$21)^($A98-Customisation!$E$13)</f>
        <v>2.4622777478478922E-5</v>
      </c>
      <c r="O98" s="53">
        <f>G98*Customisation!$H$17</f>
        <v>2.9825398839999995</v>
      </c>
      <c r="P98" s="109">
        <f>O98/(1+Customisation!$H$21)^($A98-Customisation!$E$13)</f>
        <v>5.4583796137330526E-2</v>
      </c>
      <c r="Q98" s="53">
        <f>IF($A98&lt;Customisation!$H$13,G98,G98*(1-Customisation!$H$11*Customisation!$H$12))</f>
        <v>7.280078719999999E-4</v>
      </c>
      <c r="R98" s="53">
        <f>IF($A98&lt;Customisation!$H$13,H98,H98*(1-Customisation!$H$11*Customisation!$H$12))</f>
        <v>1.3323353523214718E-5</v>
      </c>
      <c r="S98" s="53">
        <f>IF($A98&lt;Customisation!$H$13,I98,I98*(1-Customisation!$H$11*Customisation!$H$12))</f>
        <v>6.6907673599999999E-4</v>
      </c>
      <c r="T98" s="53">
        <f>IF($A98&lt;Customisation!$H$13,J98,J98*(1-Customisation!$H$11*Customisation!$H$12))</f>
        <v>1.2244848209397666E-5</v>
      </c>
      <c r="U98" s="53">
        <f>IF($A98&lt;Customisation!$H$13,K98,K98*(1-Customisation!$H$11*Customisation!$H$12))</f>
        <v>1.6441012296303089E-3</v>
      </c>
      <c r="V98" s="53">
        <f>IF($A98&lt;Customisation!$H$13,L98,L98*(1-Customisation!$H$11*Customisation!$H$12))</f>
        <v>3.0088880564078062E-5</v>
      </c>
      <c r="W98" s="53">
        <f>IF($A98&lt;Customisation!$H$13,M98,M98*(1-Customisation!$H$11*Customisation!$H$12))</f>
        <v>5.8251820723199997E-4</v>
      </c>
      <c r="X98" s="53">
        <f>IF($A98&lt;Customisation!$H$13,N98,N98*(1-Customisation!$H$11*Customisation!$H$12))</f>
        <v>1.0321868318978364E-5</v>
      </c>
      <c r="Y98" s="53">
        <f>IF($A98&lt;Customisation!$H$13,O98,O98*(1-Customisation!$H$11*Customisation!$H$12))</f>
        <v>1.2502807193727998</v>
      </c>
      <c r="Z98" s="53">
        <f>IF($A98&lt;Customisation!$H$13,P98,P98*(1-Customisation!$H$11*Customisation!$H$12))</f>
        <v>2.2881527340768957E-2</v>
      </c>
      <c r="AA98" s="53">
        <f t="shared" ref="AA98:AJ98" si="126">G98-Q98</f>
        <v>1.0086521279999998E-3</v>
      </c>
      <c r="AB98" s="53">
        <f t="shared" si="126"/>
        <v>1.8459455453919629E-5</v>
      </c>
      <c r="AC98" s="53">
        <f t="shared" si="126"/>
        <v>9.2700326399999995E-4</v>
      </c>
      <c r="AD98" s="53">
        <f t="shared" si="126"/>
        <v>1.6965190458058597E-5</v>
      </c>
      <c r="AE98" s="53">
        <f t="shared" si="126"/>
        <v>2.2778959784572599E-3</v>
      </c>
      <c r="AF98" s="53">
        <f t="shared" si="126"/>
        <v>4.1688029178474562E-5</v>
      </c>
      <c r="AG98" s="53">
        <f t="shared" si="126"/>
        <v>8.0707675276799995E-4</v>
      </c>
      <c r="AH98" s="53">
        <f t="shared" si="126"/>
        <v>1.4300909159500558E-5</v>
      </c>
      <c r="AI98" s="53">
        <f t="shared" si="126"/>
        <v>1.7322591646271996</v>
      </c>
      <c r="AJ98" s="53">
        <f t="shared" si="126"/>
        <v>3.1702268796561572E-2</v>
      </c>
      <c r="AK98" s="1"/>
      <c r="AL98" s="55">
        <f t="shared" si="7"/>
        <v>173.66599999999997</v>
      </c>
      <c r="AM98" s="55">
        <f t="shared" si="8"/>
        <v>72.800787199999988</v>
      </c>
      <c r="AN98" s="1"/>
      <c r="AO98" s="1"/>
      <c r="AP98" s="1"/>
      <c r="AQ98" s="1"/>
      <c r="AR98" s="1"/>
      <c r="AS98" s="1"/>
      <c r="AT98" s="1"/>
      <c r="AU98" s="1"/>
      <c r="AV98" s="1"/>
      <c r="AW98" s="1"/>
      <c r="AX98" s="1"/>
      <c r="AY98" s="53">
        <f>IF($A98&lt;Customisation!$H$13,G98,G98*(1-Customisation!$H$24*Customisation!$H$12))</f>
        <v>6.2102961599999997E-4</v>
      </c>
      <c r="AZ98" s="53">
        <f>IF($A98&lt;Customisation!$H$13,H98,H98*(1-Customisation!$H$24*Customisation!$H$12))</f>
        <v>1.1365532490223243E-5</v>
      </c>
      <c r="BA98" s="53">
        <f>IF($A98&lt;Customisation!$H$13,I98,I98*(1-Customisation!$H$24*Customisation!$H$12))</f>
        <v>5.7075820800000002E-4</v>
      </c>
      <c r="BB98" s="53">
        <f>IF($A98&lt;Customisation!$H$13,J98,J98*(1-Customisation!$H$24*Customisation!$H$12))</f>
        <v>1.0445509827482361E-5</v>
      </c>
      <c r="BC98" s="53">
        <f>IF($A98&lt;Customisation!$H$13,K98,K98*(1-Customisation!$H$24*Customisation!$H$12))</f>
        <v>1.4025062016121148E-3</v>
      </c>
      <c r="BD98" s="53">
        <f>IF($A98&lt;Customisation!$H$13,L98,L98*(1-Customisation!$H$24*Customisation!$H$12))</f>
        <v>2.5667422923936821E-5</v>
      </c>
      <c r="BE98" s="53">
        <f>IF($A98&lt;Customisation!$H$13,M98,M98*(1-Customisation!$H$24*Customisation!$H$12))</f>
        <v>4.9691915769599999E-4</v>
      </c>
      <c r="BF98" s="53">
        <f>IF($A98&lt;Customisation!$H$13,N98,N98*(1-Customisation!$H$24*Customisation!$H$12))</f>
        <v>8.8051052263040627E-6</v>
      </c>
      <c r="BG98" s="53">
        <f>IF($A98&lt;Customisation!$H$13,O98,O98*(1-Customisation!$H$24*Customisation!$H$12))</f>
        <v>1.0665562625184</v>
      </c>
      <c r="BH98" s="53">
        <f>IF($A98&lt;Customisation!$H$13,P98,P98*(1-Customisation!$H$24*Customisation!$H$12))</f>
        <v>1.9519165498709398E-2</v>
      </c>
      <c r="BI98" s="53">
        <f t="shared" si="88"/>
        <v>1.0697825599999993E-4</v>
      </c>
      <c r="BJ98" s="53">
        <f t="shared" si="89"/>
        <v>1.9578210329914751E-6</v>
      </c>
      <c r="BK98" s="53">
        <f t="shared" si="90"/>
        <v>9.8318527999999967E-5</v>
      </c>
      <c r="BL98" s="53">
        <f t="shared" si="91"/>
        <v>1.7993383819153047E-6</v>
      </c>
      <c r="BM98" s="53">
        <f t="shared" si="92"/>
        <v>2.4159502801819415E-4</v>
      </c>
      <c r="BN98" s="53">
        <f t="shared" si="93"/>
        <v>4.4214576401412406E-6</v>
      </c>
      <c r="BO98" s="53">
        <f t="shared" si="94"/>
        <v>8.5599049535999981E-5</v>
      </c>
      <c r="BP98" s="53">
        <f t="shared" si="95"/>
        <v>1.5167630926743009E-6</v>
      </c>
      <c r="BQ98" s="53">
        <f t="shared" si="96"/>
        <v>0.18372445685439986</v>
      </c>
      <c r="BR98" s="53">
        <f t="shared" si="97"/>
        <v>3.3623618420595587E-3</v>
      </c>
    </row>
    <row r="99" spans="1:70" ht="14.25" customHeight="1" x14ac:dyDescent="0.3">
      <c r="A99" s="1">
        <f t="shared" si="34"/>
        <v>95</v>
      </c>
      <c r="B99" s="52">
        <f>'Life table'!D97</f>
        <v>3.4167546726033025E-2</v>
      </c>
      <c r="C99" s="52">
        <f>IF($A99&lt;Customisation!$H$13,0,B99)/LOOKUP(Customisation!$H$13,$A$4:$A$104,$B$4:$B$104)</f>
        <v>3.4653673441469184E-2</v>
      </c>
      <c r="D99" s="1">
        <f>IF($A99&lt;=Customisation!$H$13,1,1/(1+Customisation!$H$21)^($A99-Customisation!$H$13))</f>
        <v>1.7429630372660796E-2</v>
      </c>
      <c r="E99" s="1">
        <f t="shared" si="11"/>
        <v>32.633977762174105</v>
      </c>
      <c r="F99" s="1">
        <f t="shared" si="2"/>
        <v>6.0400071913970009E-4</v>
      </c>
      <c r="G99" s="53">
        <f>'Age data'!M103*Customisation!$H$22</f>
        <v>2.6035699999999999E-3</v>
      </c>
      <c r="H99" s="53">
        <f t="shared" si="3"/>
        <v>4.537926274934847E-5</v>
      </c>
      <c r="I99" s="53">
        <f>'Age data'!N103*Customisation!$H$22</f>
        <v>2.3927000000000002E-3</v>
      </c>
      <c r="J99" s="54">
        <f t="shared" si="4"/>
        <v>4.170387659266549E-5</v>
      </c>
      <c r="K99" s="53">
        <f>I99*'Life table'!I97</f>
        <v>5.3666452082792781E-3</v>
      </c>
      <c r="L99" s="53">
        <f>J99*'Life table'!J97</f>
        <v>9.3538642321519037E-5</v>
      </c>
      <c r="M99" s="53">
        <f t="shared" si="5"/>
        <v>2.08321668E-3</v>
      </c>
      <c r="N99" s="53">
        <f>((G99-I99)*$AW$5+I99*$AW$6)/(1+Customisation!$H$21)^($A99-Customisation!$E$13)</f>
        <v>3.5155539766123404E-5</v>
      </c>
      <c r="O99" s="53">
        <f>G99*Customisation!$H$17</f>
        <v>4.4713711180000004</v>
      </c>
      <c r="P99" s="109">
        <f>O99/(1+Customisation!$H$21)^($A99-Customisation!$E$13)</f>
        <v>7.7934345845731071E-2</v>
      </c>
      <c r="Q99" s="53">
        <f>IF($A99&lt;Customisation!$H$13,G99,G99*(1-Customisation!$H$11*Customisation!$H$12))</f>
        <v>1.091416544E-3</v>
      </c>
      <c r="R99" s="53">
        <f>IF($A99&lt;Customisation!$H$13,H99,H99*(1-Customisation!$H$11*Customisation!$H$12))</f>
        <v>1.9022986944526879E-5</v>
      </c>
      <c r="S99" s="53">
        <f>IF($A99&lt;Customisation!$H$13,I99,I99*(1-Customisation!$H$11*Customisation!$H$12))</f>
        <v>1.0030198400000001E-3</v>
      </c>
      <c r="T99" s="53">
        <f>IF($A99&lt;Customisation!$H$13,J99,J99*(1-Customisation!$H$11*Customisation!$H$12))</f>
        <v>1.7482265067645374E-5</v>
      </c>
      <c r="U99" s="53">
        <f>IF($A99&lt;Customisation!$H$13,K99,K99*(1-Customisation!$H$11*Customisation!$H$12))</f>
        <v>2.2496976713106734E-3</v>
      </c>
      <c r="V99" s="53">
        <f>IF($A99&lt;Customisation!$H$13,L99,L99*(1-Customisation!$H$11*Customisation!$H$12))</f>
        <v>3.9211398861180779E-5</v>
      </c>
      <c r="W99" s="53">
        <f>IF($A99&lt;Customisation!$H$13,M99,M99*(1-Customisation!$H$11*Customisation!$H$12))</f>
        <v>8.7328443225600009E-4</v>
      </c>
      <c r="X99" s="53">
        <f>IF($A99&lt;Customisation!$H$13,N99,N99*(1-Customisation!$H$11*Customisation!$H$12))</f>
        <v>1.4737202269958932E-5</v>
      </c>
      <c r="Y99" s="53">
        <f>IF($A99&lt;Customisation!$H$13,O99,O99*(1-Customisation!$H$11*Customisation!$H$12))</f>
        <v>1.8743987726656002</v>
      </c>
      <c r="Z99" s="53">
        <f>IF($A99&lt;Customisation!$H$13,P99,P99*(1-Customisation!$H$11*Customisation!$H$12))</f>
        <v>3.2670077778530468E-2</v>
      </c>
      <c r="AA99" s="53">
        <f t="shared" ref="AA99:AJ99" si="127">G99-Q99</f>
        <v>1.5121534559999999E-3</v>
      </c>
      <c r="AB99" s="53">
        <f t="shared" si="127"/>
        <v>2.6356275804821591E-5</v>
      </c>
      <c r="AC99" s="53">
        <f t="shared" si="127"/>
        <v>1.3896801600000001E-3</v>
      </c>
      <c r="AD99" s="53">
        <f t="shared" si="127"/>
        <v>2.4221611525020117E-5</v>
      </c>
      <c r="AE99" s="53">
        <f t="shared" si="127"/>
        <v>3.1169475369686047E-3</v>
      </c>
      <c r="AF99" s="53">
        <f t="shared" si="127"/>
        <v>5.4327243460338258E-5</v>
      </c>
      <c r="AG99" s="53">
        <f t="shared" si="127"/>
        <v>1.2099322477439999E-3</v>
      </c>
      <c r="AH99" s="53">
        <f t="shared" si="127"/>
        <v>2.0418337496164472E-5</v>
      </c>
      <c r="AI99" s="53">
        <f t="shared" si="127"/>
        <v>2.5969723453344002</v>
      </c>
      <c r="AJ99" s="53">
        <f t="shared" si="127"/>
        <v>4.5264268067200603E-2</v>
      </c>
      <c r="AK99" s="1"/>
      <c r="AL99" s="55">
        <f t="shared" si="7"/>
        <v>260.35699999999997</v>
      </c>
      <c r="AM99" s="55">
        <f t="shared" si="8"/>
        <v>109.14165439999999</v>
      </c>
      <c r="AN99" s="1"/>
      <c r="AO99" s="1"/>
      <c r="AP99" s="1"/>
      <c r="AQ99" s="1"/>
      <c r="AR99" s="1"/>
      <c r="AS99" s="1"/>
      <c r="AT99" s="1"/>
      <c r="AU99" s="1"/>
      <c r="AV99" s="1"/>
      <c r="AW99" s="1"/>
      <c r="AX99" s="1"/>
      <c r="AY99" s="53">
        <f>IF($A99&lt;Customisation!$H$13,G99,G99*(1-Customisation!$H$24*Customisation!$H$12))</f>
        <v>9.3103663200000007E-4</v>
      </c>
      <c r="AZ99" s="53">
        <f>IF($A99&lt;Customisation!$H$13,H99,H99*(1-Customisation!$H$24*Customisation!$H$12))</f>
        <v>1.6227624359167014E-5</v>
      </c>
      <c r="BA99" s="53">
        <f>IF($A99&lt;Customisation!$H$13,I99,I99*(1-Customisation!$H$24*Customisation!$H$12))</f>
        <v>8.5562952000000009E-4</v>
      </c>
      <c r="BB99" s="53">
        <f>IF($A99&lt;Customisation!$H$13,J99,J99*(1-Customisation!$H$24*Customisation!$H$12))</f>
        <v>1.4913306269537181E-5</v>
      </c>
      <c r="BC99" s="53">
        <f>IF($A99&lt;Customisation!$H$13,K99,K99*(1-Customisation!$H$24*Customisation!$H$12))</f>
        <v>1.9191123264806699E-3</v>
      </c>
      <c r="BD99" s="53">
        <f>IF($A99&lt;Customisation!$H$13,L99,L99*(1-Customisation!$H$24*Customisation!$H$12))</f>
        <v>3.3449418494175211E-5</v>
      </c>
      <c r="BE99" s="53">
        <f>IF($A99&lt;Customisation!$H$13,M99,M99*(1-Customisation!$H$24*Customisation!$H$12))</f>
        <v>7.4495828476800008E-4</v>
      </c>
      <c r="BF99" s="53">
        <f>IF($A99&lt;Customisation!$H$13,N99,N99*(1-Customisation!$H$24*Customisation!$H$12))</f>
        <v>1.2571621020365731E-5</v>
      </c>
      <c r="BG99" s="53">
        <f>IF($A99&lt;Customisation!$H$13,O99,O99*(1-Customisation!$H$24*Customisation!$H$12))</f>
        <v>1.5989623117968004</v>
      </c>
      <c r="BH99" s="53">
        <f>IF($A99&lt;Customisation!$H$13,P99,P99*(1-Customisation!$H$24*Customisation!$H$12))</f>
        <v>2.7869322074433434E-2</v>
      </c>
      <c r="BI99" s="53">
        <f t="shared" si="88"/>
        <v>1.6037991199999992E-4</v>
      </c>
      <c r="BJ99" s="53">
        <f t="shared" si="89"/>
        <v>2.795362585359865E-6</v>
      </c>
      <c r="BK99" s="53">
        <f t="shared" si="90"/>
        <v>1.4739031999999998E-4</v>
      </c>
      <c r="BL99" s="53">
        <f t="shared" si="91"/>
        <v>2.5689587981081925E-6</v>
      </c>
      <c r="BM99" s="53">
        <f t="shared" si="92"/>
        <v>3.3058534483000352E-4</v>
      </c>
      <c r="BN99" s="53">
        <f t="shared" si="93"/>
        <v>5.7619803670055681E-6</v>
      </c>
      <c r="BO99" s="53">
        <f t="shared" si="94"/>
        <v>1.2832614748800001E-4</v>
      </c>
      <c r="BP99" s="53">
        <f t="shared" si="95"/>
        <v>2.165581249593201E-6</v>
      </c>
      <c r="BQ99" s="53">
        <f t="shared" si="96"/>
        <v>0.2754364608687998</v>
      </c>
      <c r="BR99" s="53">
        <f t="shared" si="97"/>
        <v>4.8007557040970344E-3</v>
      </c>
    </row>
    <row r="100" spans="1:70" ht="14.25" customHeight="1" x14ac:dyDescent="0.3">
      <c r="A100" s="1">
        <f t="shared" si="34"/>
        <v>96</v>
      </c>
      <c r="B100" s="52">
        <f>'Life table'!D98</f>
        <v>2.3501463664567294E-2</v>
      </c>
      <c r="C100" s="52">
        <f>IF($A100&lt;Customisation!$H$13,0,B100)/LOOKUP(Customisation!$H$13,$A$4:$A$104,$B$4:$B$104)</f>
        <v>2.3835836203245746E-2</v>
      </c>
      <c r="D100" s="1">
        <f>IF($A100&lt;=Customisation!$H$13,1,1/(1+Customisation!$H$21)^($A100-Customisation!$H$13))</f>
        <v>1.6599647973962663E-2</v>
      </c>
      <c r="E100" s="1">
        <f t="shared" si="11"/>
        <v>32.651407392546766</v>
      </c>
      <c r="F100" s="1">
        <f t="shared" si="2"/>
        <v>3.9566649013891413E-4</v>
      </c>
      <c r="G100" s="53">
        <f>'Age data'!M104*Customisation!$H$22</f>
        <v>4.0349299999999999E-3</v>
      </c>
      <c r="H100" s="53">
        <f t="shared" si="3"/>
        <v>6.6978417599581171E-5</v>
      </c>
      <c r="I100" s="53">
        <f>'Age data'!N104*Customisation!$H$22</f>
        <v>3.7083300000000001E-3</v>
      </c>
      <c r="J100" s="54">
        <f t="shared" si="4"/>
        <v>6.155697257128496E-5</v>
      </c>
      <c r="K100" s="53">
        <f>I100*'Life table'!I98</f>
        <v>7.5425447025012221E-3</v>
      </c>
      <c r="L100" s="53">
        <f>J100*'Life table'!J98</f>
        <v>1.2520358688939722E-4</v>
      </c>
      <c r="M100" s="53">
        <f t="shared" si="5"/>
        <v>3.2285716400000004E-3</v>
      </c>
      <c r="N100" s="53">
        <f>((G100-I100)*$AW$5+I100*$AW$6)/(1+Customisation!$H$21)^($A100-Customisation!$E$13)</f>
        <v>5.1889640487606186E-5</v>
      </c>
      <c r="O100" s="53">
        <f>G100*Customisation!$H$17</f>
        <v>6.9295887820000006</v>
      </c>
      <c r="P100" s="109">
        <f>O100/(1+Customisation!$H$21)^($A100-Customisation!$E$13)</f>
        <v>0.11502873438552071</v>
      </c>
      <c r="Q100" s="53">
        <f>IF($A100&lt;Customisation!$H$13,G100,G100*(1-Customisation!$H$11*Customisation!$H$12))</f>
        <v>1.691442656E-3</v>
      </c>
      <c r="R100" s="53">
        <f>IF($A100&lt;Customisation!$H$13,H100,H100*(1-Customisation!$H$11*Customisation!$H$12))</f>
        <v>2.807735265774443E-5</v>
      </c>
      <c r="S100" s="53">
        <f>IF($A100&lt;Customisation!$H$13,I100,I100*(1-Customisation!$H$11*Customisation!$H$12))</f>
        <v>1.5545319360000002E-3</v>
      </c>
      <c r="T100" s="53">
        <f>IF($A100&lt;Customisation!$H$13,J100,J100*(1-Customisation!$H$11*Customisation!$H$12))</f>
        <v>2.5804682901882655E-5</v>
      </c>
      <c r="U100" s="53">
        <f>IF($A100&lt;Customisation!$H$13,K100,K100*(1-Customisation!$H$11*Customisation!$H$12))</f>
        <v>3.1618347392885124E-3</v>
      </c>
      <c r="V100" s="53">
        <f>IF($A100&lt;Customisation!$H$13,L100,L100*(1-Customisation!$H$11*Customisation!$H$12))</f>
        <v>5.2485343624035316E-5</v>
      </c>
      <c r="W100" s="53">
        <f>IF($A100&lt;Customisation!$H$13,M100,M100*(1-Customisation!$H$11*Customisation!$H$12))</f>
        <v>1.3534172314880002E-3</v>
      </c>
      <c r="X100" s="53">
        <f>IF($A100&lt;Customisation!$H$13,N100,N100*(1-Customisation!$H$11*Customisation!$H$12))</f>
        <v>2.1752137292404514E-5</v>
      </c>
      <c r="Y100" s="53">
        <f>IF($A100&lt;Customisation!$H$13,O100,O100*(1-Customisation!$H$11*Customisation!$H$12))</f>
        <v>2.9048836174144004</v>
      </c>
      <c r="Z100" s="53">
        <f>IF($A100&lt;Customisation!$H$13,P100,P100*(1-Customisation!$H$11*Customisation!$H$12))</f>
        <v>4.8220045454410283E-2</v>
      </c>
      <c r="AA100" s="53">
        <f t="shared" ref="AA100:AJ100" si="128">G100-Q100</f>
        <v>2.3434873439999999E-3</v>
      </c>
      <c r="AB100" s="53">
        <f t="shared" si="128"/>
        <v>3.8901064941836738E-5</v>
      </c>
      <c r="AC100" s="53">
        <f t="shared" si="128"/>
        <v>2.1537980639999999E-3</v>
      </c>
      <c r="AD100" s="53">
        <f t="shared" si="128"/>
        <v>3.5752289669402308E-5</v>
      </c>
      <c r="AE100" s="53">
        <f t="shared" si="128"/>
        <v>4.3807099632127092E-3</v>
      </c>
      <c r="AF100" s="53">
        <f t="shared" si="128"/>
        <v>7.2718243265361892E-5</v>
      </c>
      <c r="AG100" s="53">
        <f t="shared" si="128"/>
        <v>1.8751544085120002E-3</v>
      </c>
      <c r="AH100" s="53">
        <f t="shared" si="128"/>
        <v>3.0137503195201672E-5</v>
      </c>
      <c r="AI100" s="53">
        <f t="shared" si="128"/>
        <v>4.0247051645856002</v>
      </c>
      <c r="AJ100" s="53">
        <f t="shared" si="128"/>
        <v>6.6808688931110416E-2</v>
      </c>
      <c r="AK100" s="1"/>
      <c r="AL100" s="55">
        <f t="shared" si="7"/>
        <v>403.49299999999999</v>
      </c>
      <c r="AM100" s="55">
        <f t="shared" si="8"/>
        <v>169.14426560000001</v>
      </c>
      <c r="AN100" s="1"/>
      <c r="AO100" s="1"/>
      <c r="AP100" s="1"/>
      <c r="AQ100" s="1"/>
      <c r="AR100" s="1"/>
      <c r="AS100" s="1"/>
      <c r="AT100" s="1"/>
      <c r="AU100" s="1"/>
      <c r="AV100" s="1"/>
      <c r="AW100" s="1"/>
      <c r="AX100" s="1"/>
      <c r="AY100" s="53">
        <f>IF($A100&lt;Customisation!$H$13,G100,G100*(1-Customisation!$H$24*Customisation!$H$12))</f>
        <v>1.4428909680000001E-3</v>
      </c>
      <c r="AZ100" s="53">
        <f>IF($A100&lt;Customisation!$H$13,H100,H100*(1-Customisation!$H$24*Customisation!$H$12))</f>
        <v>2.3951482133610228E-5</v>
      </c>
      <c r="BA100" s="53">
        <f>IF($A100&lt;Customisation!$H$13,I100,I100*(1-Customisation!$H$24*Customisation!$H$12))</f>
        <v>1.3260988080000002E-3</v>
      </c>
      <c r="BB100" s="53">
        <f>IF($A100&lt;Customisation!$H$13,J100,J100*(1-Customisation!$H$24*Customisation!$H$12))</f>
        <v>2.2012773391491503E-5</v>
      </c>
      <c r="BC100" s="53">
        <f>IF($A100&lt;Customisation!$H$13,K100,K100*(1-Customisation!$H$24*Customisation!$H$12))</f>
        <v>2.6972139856144372E-3</v>
      </c>
      <c r="BD100" s="53">
        <f>IF($A100&lt;Customisation!$H$13,L100,L100*(1-Customisation!$H$24*Customisation!$H$12))</f>
        <v>4.4772802671648445E-5</v>
      </c>
      <c r="BE100" s="53">
        <f>IF($A100&lt;Customisation!$H$13,M100,M100*(1-Customisation!$H$24*Customisation!$H$12))</f>
        <v>1.1545372184640003E-3</v>
      </c>
      <c r="BF100" s="53">
        <f>IF($A100&lt;Customisation!$H$13,N100,N100*(1-Customisation!$H$24*Customisation!$H$12))</f>
        <v>1.8555735438367975E-5</v>
      </c>
      <c r="BG100" s="53">
        <f>IF($A100&lt;Customisation!$H$13,O100,O100*(1-Customisation!$H$24*Customisation!$H$12))</f>
        <v>2.4780209484432003</v>
      </c>
      <c r="BH100" s="53">
        <f>IF($A100&lt;Customisation!$H$13,P100,P100*(1-Customisation!$H$24*Customisation!$H$12))</f>
        <v>4.113427541626221E-2</v>
      </c>
      <c r="BI100" s="53">
        <f t="shared" si="88"/>
        <v>2.4855168799999992E-4</v>
      </c>
      <c r="BJ100" s="53">
        <f t="shared" si="89"/>
        <v>4.1258705241342013E-6</v>
      </c>
      <c r="BK100" s="53">
        <f t="shared" si="90"/>
        <v>2.2843312800000003E-4</v>
      </c>
      <c r="BL100" s="53">
        <f t="shared" si="91"/>
        <v>3.7919095103911522E-6</v>
      </c>
      <c r="BM100" s="53">
        <f t="shared" si="92"/>
        <v>4.646207536740752E-4</v>
      </c>
      <c r="BN100" s="53">
        <f t="shared" si="93"/>
        <v>7.7125409523868719E-6</v>
      </c>
      <c r="BO100" s="53">
        <f t="shared" si="94"/>
        <v>1.9888001302399987E-4</v>
      </c>
      <c r="BP100" s="53">
        <f t="shared" si="95"/>
        <v>3.1964018540365391E-6</v>
      </c>
      <c r="BQ100" s="53">
        <f t="shared" si="96"/>
        <v>0.42686266897120007</v>
      </c>
      <c r="BR100" s="53">
        <f t="shared" si="97"/>
        <v>7.0857700381480732E-3</v>
      </c>
    </row>
    <row r="101" spans="1:70" ht="14.25" customHeight="1" x14ac:dyDescent="0.3">
      <c r="A101" s="1">
        <f t="shared" si="34"/>
        <v>97</v>
      </c>
      <c r="B101" s="52">
        <f>'Life table'!D99</f>
        <v>1.5684876849732212E-2</v>
      </c>
      <c r="C101" s="52">
        <f>IF($A101&lt;Customisation!$H$13,0,B101)/LOOKUP(Customisation!$H$13,$A$4:$A$104,$B$4:$B$104)</f>
        <v>1.5908037082046213E-2</v>
      </c>
      <c r="D101" s="1">
        <f>IF($A101&lt;=Customisation!$H$13,1,1/(1+Customisation!$H$21)^($A101-Customisation!$H$13))</f>
        <v>1.580918854663111E-2</v>
      </c>
      <c r="E101" s="1">
        <f t="shared" si="11"/>
        <v>32.668007040520727</v>
      </c>
      <c r="F101" s="1">
        <f t="shared" si="2"/>
        <v>2.5149315763686801E-4</v>
      </c>
      <c r="G101" s="53">
        <f>'Age data'!M105*Customisation!$H$22</f>
        <v>6.482299999999999E-3</v>
      </c>
      <c r="H101" s="53">
        <f t="shared" si="3"/>
        <v>1.0247990291582683E-4</v>
      </c>
      <c r="I101" s="53">
        <f>'Age data'!N105*Customisation!$H$22</f>
        <v>5.9576099999999995E-3</v>
      </c>
      <c r="J101" s="54">
        <f t="shared" si="4"/>
        <v>9.4184979777294959E-5</v>
      </c>
      <c r="K101" s="53">
        <f>I101*'Life table'!I99</f>
        <v>1.0714115006168902E-2</v>
      </c>
      <c r="L101" s="53">
        <f>J101*'Life table'!J99</f>
        <v>1.6938146424281389E-4</v>
      </c>
      <c r="M101" s="53">
        <f t="shared" si="5"/>
        <v>5.1868510399999991E-3</v>
      </c>
      <c r="N101" s="53">
        <f>((G101-I101)*$AW$5+I101*$AW$6)/(1+Customisation!$H$21)^($A101-Customisation!$E$13)</f>
        <v>7.9393457596878009E-5</v>
      </c>
      <c r="O101" s="53">
        <f>G101*Customisation!$H$17</f>
        <v>11.132702019999998</v>
      </c>
      <c r="P101" s="109">
        <f>O101/(1+Customisation!$H$21)^($A101-Customisation!$E$13)</f>
        <v>0.17599898526764099</v>
      </c>
      <c r="Q101" s="53">
        <f>IF($A101&lt;Customisation!$H$13,G101,G101*(1-Customisation!$H$11*Customisation!$H$12))</f>
        <v>2.7173801599999995E-3</v>
      </c>
      <c r="R101" s="53">
        <f>IF($A101&lt;Customisation!$H$13,H101,H101*(1-Customisation!$H$11*Customisation!$H$12))</f>
        <v>4.295957530231461E-5</v>
      </c>
      <c r="S101" s="53">
        <f>IF($A101&lt;Customisation!$H$13,I101,I101*(1-Customisation!$H$11*Customisation!$H$12))</f>
        <v>2.4974301119999997E-3</v>
      </c>
      <c r="T101" s="53">
        <f>IF($A101&lt;Customisation!$H$13,J101,J101*(1-Customisation!$H$11*Customisation!$H$12))</f>
        <v>3.9482343522642047E-5</v>
      </c>
      <c r="U101" s="53">
        <f>IF($A101&lt;Customisation!$H$13,K101,K101*(1-Customisation!$H$11*Customisation!$H$12))</f>
        <v>4.4913570105860039E-3</v>
      </c>
      <c r="V101" s="53">
        <f>IF($A101&lt;Customisation!$H$13,L101,L101*(1-Customisation!$H$11*Customisation!$H$12))</f>
        <v>7.1004709810587585E-5</v>
      </c>
      <c r="W101" s="53">
        <f>IF($A101&lt;Customisation!$H$13,M101,M101*(1-Customisation!$H$11*Customisation!$H$12))</f>
        <v>2.1743279559679998E-3</v>
      </c>
      <c r="X101" s="53">
        <f>IF($A101&lt;Customisation!$H$13,N101,N101*(1-Customisation!$H$11*Customisation!$H$12))</f>
        <v>3.3281737424611265E-5</v>
      </c>
      <c r="Y101" s="53">
        <f>IF($A101&lt;Customisation!$H$13,O101,O101*(1-Customisation!$H$11*Customisation!$H$12))</f>
        <v>4.6668286867839992</v>
      </c>
      <c r="Z101" s="53">
        <f>IF($A101&lt;Customisation!$H$13,P101,P101*(1-Customisation!$H$11*Customisation!$H$12))</f>
        <v>7.3778774624195104E-2</v>
      </c>
      <c r="AA101" s="53">
        <f t="shared" ref="AA101:AJ101" si="129">G101-Q101</f>
        <v>3.7649198399999995E-3</v>
      </c>
      <c r="AB101" s="53">
        <f t="shared" si="129"/>
        <v>5.9520327613512219E-5</v>
      </c>
      <c r="AC101" s="53">
        <f t="shared" si="129"/>
        <v>3.4601798879999998E-3</v>
      </c>
      <c r="AD101" s="53">
        <f t="shared" si="129"/>
        <v>5.4702636254652912E-5</v>
      </c>
      <c r="AE101" s="53">
        <f t="shared" si="129"/>
        <v>6.222757995582898E-3</v>
      </c>
      <c r="AF101" s="53">
        <f t="shared" si="129"/>
        <v>9.8376754432226307E-5</v>
      </c>
      <c r="AG101" s="53">
        <f t="shared" si="129"/>
        <v>3.0125230840319993E-3</v>
      </c>
      <c r="AH101" s="53">
        <f t="shared" si="129"/>
        <v>4.6111720172266744E-5</v>
      </c>
      <c r="AI101" s="53">
        <f t="shared" si="129"/>
        <v>6.465873333215999</v>
      </c>
      <c r="AJ101" s="53">
        <f t="shared" si="129"/>
        <v>0.10222021064344589</v>
      </c>
      <c r="AK101" s="1"/>
      <c r="AL101" s="55">
        <f t="shared" si="7"/>
        <v>648.2299999999999</v>
      </c>
      <c r="AM101" s="55">
        <f t="shared" si="8"/>
        <v>271.73801599999996</v>
      </c>
      <c r="AN101" s="1"/>
      <c r="AO101" s="1"/>
      <c r="AP101" s="1"/>
      <c r="AQ101" s="1"/>
      <c r="AR101" s="1"/>
      <c r="AS101" s="1"/>
      <c r="AT101" s="1"/>
      <c r="AU101" s="1"/>
      <c r="AV101" s="1"/>
      <c r="AW101" s="1"/>
      <c r="AX101" s="1"/>
      <c r="AY101" s="53">
        <f>IF($A101&lt;Customisation!$H$13,G101,G101*(1-Customisation!$H$24*Customisation!$H$12))</f>
        <v>2.31807048E-3</v>
      </c>
      <c r="AZ101" s="53">
        <f>IF($A101&lt;Customisation!$H$13,H101,H101*(1-Customisation!$H$24*Customisation!$H$12))</f>
        <v>3.6646813282699677E-5</v>
      </c>
      <c r="BA101" s="53">
        <f>IF($A101&lt;Customisation!$H$13,I101,I101*(1-Customisation!$H$24*Customisation!$H$12))</f>
        <v>2.1304413359999998E-3</v>
      </c>
      <c r="BB101" s="53">
        <f>IF($A101&lt;Customisation!$H$13,J101,J101*(1-Customisation!$H$24*Customisation!$H$12))</f>
        <v>3.3680548768360678E-5</v>
      </c>
      <c r="BC101" s="53">
        <f>IF($A101&lt;Customisation!$H$13,K101,K101*(1-Customisation!$H$24*Customisation!$H$12))</f>
        <v>3.8313675262059998E-3</v>
      </c>
      <c r="BD101" s="53">
        <f>IF($A101&lt;Customisation!$H$13,L101,L101*(1-Customisation!$H$24*Customisation!$H$12))</f>
        <v>6.0570811613230254E-5</v>
      </c>
      <c r="BE101" s="53">
        <f>IF($A101&lt;Customisation!$H$13,M101,M101*(1-Customisation!$H$24*Customisation!$H$12))</f>
        <v>1.8548179319039999E-3</v>
      </c>
      <c r="BF101" s="53">
        <f>IF($A101&lt;Customisation!$H$13,N101,N101*(1-Customisation!$H$24*Customisation!$H$12))</f>
        <v>2.839110043664358E-5</v>
      </c>
      <c r="BG101" s="53">
        <f>IF($A101&lt;Customisation!$H$13,O101,O101*(1-Customisation!$H$24*Customisation!$H$12))</f>
        <v>3.9810542423519997</v>
      </c>
      <c r="BH101" s="53">
        <f>IF($A101&lt;Customisation!$H$13,P101,P101*(1-Customisation!$H$24*Customisation!$H$12))</f>
        <v>6.2937237131708429E-2</v>
      </c>
      <c r="BI101" s="53">
        <f t="shared" si="88"/>
        <v>3.9930967999999949E-4</v>
      </c>
      <c r="BJ101" s="53">
        <f t="shared" si="89"/>
        <v>6.3127620196149327E-6</v>
      </c>
      <c r="BK101" s="53">
        <f t="shared" si="90"/>
        <v>3.6698877599999988E-4</v>
      </c>
      <c r="BL101" s="53">
        <f t="shared" si="91"/>
        <v>5.8017947542813686E-6</v>
      </c>
      <c r="BM101" s="53">
        <f t="shared" si="92"/>
        <v>6.5998948438000414E-4</v>
      </c>
      <c r="BN101" s="53">
        <f t="shared" si="93"/>
        <v>1.0433898197357331E-5</v>
      </c>
      <c r="BO101" s="53">
        <f t="shared" si="94"/>
        <v>3.1951002406399999E-4</v>
      </c>
      <c r="BP101" s="53">
        <f t="shared" si="95"/>
        <v>4.890636987967685E-6</v>
      </c>
      <c r="BQ101" s="53">
        <f t="shared" si="96"/>
        <v>0.68577444443199953</v>
      </c>
      <c r="BR101" s="53">
        <f t="shared" si="97"/>
        <v>1.0841537492486675E-2</v>
      </c>
    </row>
    <row r="102" spans="1:70" ht="14.25" customHeight="1" x14ac:dyDescent="0.3">
      <c r="A102" s="1">
        <f t="shared" si="34"/>
        <v>98</v>
      </c>
      <c r="B102" s="52">
        <f>'Life table'!D100</f>
        <v>1.0147644775471251E-2</v>
      </c>
      <c r="C102" s="52">
        <f>IF($A102&lt;Customisation!$H$13,0,B102)/LOOKUP(Customisation!$H$13,$A$4:$A$104,$B$4:$B$104)</f>
        <v>1.0292022750971439E-2</v>
      </c>
      <c r="D102" s="1">
        <f>IF($A102&lt;=Customisation!$H$13,1,1/(1+Customisation!$H$21)^($A102-Customisation!$H$13))</f>
        <v>1.5056370044410581E-2</v>
      </c>
      <c r="E102" s="1">
        <f t="shared" si="11"/>
        <v>32.683816229067361</v>
      </c>
      <c r="F102" s="1">
        <f t="shared" si="2"/>
        <v>1.5496050304411856E-4</v>
      </c>
      <c r="G102" s="53">
        <f>'Age data'!M106*Customisation!$H$22</f>
        <v>1.077709E-2</v>
      </c>
      <c r="H102" s="53">
        <f t="shared" si="3"/>
        <v>1.6226385504191683E-4</v>
      </c>
      <c r="I102" s="53">
        <f>'Age data'!N106*Customisation!$H$22</f>
        <v>9.9045000000000001E-3</v>
      </c>
      <c r="J102" s="54">
        <f t="shared" si="4"/>
        <v>1.491258171048646E-4</v>
      </c>
      <c r="K102" s="53">
        <f>I102*'Life table'!I100</f>
        <v>1.4924897805281398E-2</v>
      </c>
      <c r="L102" s="53">
        <f>J102*'Life table'!J100</f>
        <v>2.2471478423132806E-4</v>
      </c>
      <c r="M102" s="53">
        <f t="shared" si="5"/>
        <v>8.6232595600000007E-3</v>
      </c>
      <c r="N102" s="53">
        <f>((G102-I102)*$AW$5+I102*$AW$6)/(1+Customisation!$H$21)^($A102-Customisation!$E$13)</f>
        <v>1.2570802240037125E-4</v>
      </c>
      <c r="O102" s="53">
        <f>G102*Customisation!$H$17</f>
        <v>18.508574366000001</v>
      </c>
      <c r="P102" s="109">
        <f>O102/(1+Customisation!$H$21)^($A102-Customisation!$E$13)</f>
        <v>0.27867194464898798</v>
      </c>
      <c r="Q102" s="53">
        <f>IF($A102&lt;Customisation!$H$13,G102,G102*(1-Customisation!$H$11*Customisation!$H$12))</f>
        <v>4.5177561279999999E-3</v>
      </c>
      <c r="R102" s="53">
        <f>IF($A102&lt;Customisation!$H$13,H102,H102*(1-Customisation!$H$11*Customisation!$H$12))</f>
        <v>6.8021008033571534E-5</v>
      </c>
      <c r="S102" s="53">
        <f>IF($A102&lt;Customisation!$H$13,I102,I102*(1-Customisation!$H$11*Customisation!$H$12))</f>
        <v>4.1519664000000001E-3</v>
      </c>
      <c r="T102" s="53">
        <f>IF($A102&lt;Customisation!$H$13,J102,J102*(1-Customisation!$H$11*Customisation!$H$12))</f>
        <v>6.2513542530359236E-5</v>
      </c>
      <c r="U102" s="53">
        <f>IF($A102&lt;Customisation!$H$13,K102,K102*(1-Customisation!$H$11*Customisation!$H$12))</f>
        <v>6.2565171599739625E-3</v>
      </c>
      <c r="V102" s="53">
        <f>IF($A102&lt;Customisation!$H$13,L102,L102*(1-Customisation!$H$11*Customisation!$H$12))</f>
        <v>9.4200437549772726E-5</v>
      </c>
      <c r="W102" s="53">
        <f>IF($A102&lt;Customisation!$H$13,M102,M102*(1-Customisation!$H$11*Customisation!$H$12))</f>
        <v>3.6148704075520005E-3</v>
      </c>
      <c r="X102" s="53">
        <f>IF($A102&lt;Customisation!$H$13,N102,N102*(1-Customisation!$H$11*Customisation!$H$12))</f>
        <v>5.2696802990235629E-5</v>
      </c>
      <c r="Y102" s="53">
        <f>IF($A102&lt;Customisation!$H$13,O102,O102*(1-Customisation!$H$11*Customisation!$H$12))</f>
        <v>7.7587943742272012</v>
      </c>
      <c r="Z102" s="53">
        <f>IF($A102&lt;Customisation!$H$13,P102,P102*(1-Customisation!$H$11*Customisation!$H$12))</f>
        <v>0.11681927919685577</v>
      </c>
      <c r="AA102" s="53">
        <f t="shared" ref="AA102:AJ102" si="130">G102-Q102</f>
        <v>6.2593338719999997E-3</v>
      </c>
      <c r="AB102" s="53">
        <f t="shared" si="130"/>
        <v>9.4242847008345294E-5</v>
      </c>
      <c r="AC102" s="53">
        <f t="shared" si="130"/>
        <v>5.7525336E-3</v>
      </c>
      <c r="AD102" s="53">
        <f t="shared" si="130"/>
        <v>8.6612274574505361E-5</v>
      </c>
      <c r="AE102" s="53">
        <f t="shared" si="130"/>
        <v>8.6683806453074358E-3</v>
      </c>
      <c r="AF102" s="53">
        <f t="shared" si="130"/>
        <v>1.3051434668155535E-4</v>
      </c>
      <c r="AG102" s="53">
        <f t="shared" si="130"/>
        <v>5.0083891524480006E-3</v>
      </c>
      <c r="AH102" s="53">
        <f t="shared" si="130"/>
        <v>7.3011219410135618E-5</v>
      </c>
      <c r="AI102" s="53">
        <f t="shared" si="130"/>
        <v>10.749779991772801</v>
      </c>
      <c r="AJ102" s="53">
        <f t="shared" si="130"/>
        <v>0.16185266545213223</v>
      </c>
      <c r="AK102" s="1"/>
      <c r="AL102" s="55">
        <f t="shared" si="7"/>
        <v>1077.7090000000001</v>
      </c>
      <c r="AM102" s="55">
        <f t="shared" si="8"/>
        <v>451.77561279999998</v>
      </c>
      <c r="AN102" s="1"/>
      <c r="AO102" s="1"/>
      <c r="AP102" s="1"/>
      <c r="AQ102" s="1"/>
      <c r="AR102" s="1"/>
      <c r="AS102" s="1"/>
      <c r="AT102" s="1"/>
      <c r="AU102" s="1"/>
      <c r="AV102" s="1"/>
      <c r="AW102" s="1"/>
      <c r="AX102" s="1"/>
      <c r="AY102" s="53">
        <f>IF($A102&lt;Customisation!$H$13,G102,G102*(1-Customisation!$H$24*Customisation!$H$12))</f>
        <v>3.8538873840000001E-3</v>
      </c>
      <c r="AZ102" s="53">
        <f>IF($A102&lt;Customisation!$H$13,H102,H102*(1-Customisation!$H$24*Customisation!$H$12))</f>
        <v>5.8025554562989464E-5</v>
      </c>
      <c r="BA102" s="53">
        <f>IF($A102&lt;Customisation!$H$13,I102,I102*(1-Customisation!$H$24*Customisation!$H$12))</f>
        <v>3.5418492000000002E-3</v>
      </c>
      <c r="BB102" s="53">
        <f>IF($A102&lt;Customisation!$H$13,J102,J102*(1-Customisation!$H$24*Customisation!$H$12))</f>
        <v>5.3327392196699582E-5</v>
      </c>
      <c r="BC102" s="53">
        <f>IF($A102&lt;Customisation!$H$13,K102,K102*(1-Customisation!$H$24*Customisation!$H$12))</f>
        <v>5.3371434551686284E-3</v>
      </c>
      <c r="BD102" s="53">
        <f>IF($A102&lt;Customisation!$H$13,L102,L102*(1-Customisation!$H$24*Customisation!$H$12))</f>
        <v>8.0358006841122916E-5</v>
      </c>
      <c r="BE102" s="53">
        <f>IF($A102&lt;Customisation!$H$13,M102,M102*(1-Customisation!$H$24*Customisation!$H$12))</f>
        <v>3.0836776186560005E-3</v>
      </c>
      <c r="BF102" s="53">
        <f>IF($A102&lt;Customisation!$H$13,N102,N102*(1-Customisation!$H$24*Customisation!$H$12))</f>
        <v>4.4953188810372767E-5</v>
      </c>
      <c r="BG102" s="53">
        <f>IF($A102&lt;Customisation!$H$13,O102,O102*(1-Customisation!$H$24*Customisation!$H$12))</f>
        <v>6.6186661932816007</v>
      </c>
      <c r="BH102" s="53">
        <f>IF($A102&lt;Customisation!$H$13,P102,P102*(1-Customisation!$H$24*Customisation!$H$12))</f>
        <v>9.9653087406478116E-2</v>
      </c>
      <c r="BI102" s="53">
        <f t="shared" si="88"/>
        <v>6.6386874399999981E-4</v>
      </c>
      <c r="BJ102" s="53">
        <f t="shared" si="89"/>
        <v>9.9954534705820703E-6</v>
      </c>
      <c r="BK102" s="53">
        <f t="shared" si="90"/>
        <v>6.1011719999999993E-4</v>
      </c>
      <c r="BL102" s="53">
        <f t="shared" si="91"/>
        <v>9.1861503336596544E-6</v>
      </c>
      <c r="BM102" s="53">
        <f t="shared" si="92"/>
        <v>9.1937370480533413E-4</v>
      </c>
      <c r="BN102" s="53">
        <f t="shared" si="93"/>
        <v>1.384243070864981E-5</v>
      </c>
      <c r="BO102" s="53">
        <f t="shared" si="94"/>
        <v>5.3119278889599995E-4</v>
      </c>
      <c r="BP102" s="53">
        <f t="shared" si="95"/>
        <v>7.743614179862862E-6</v>
      </c>
      <c r="BQ102" s="53">
        <f t="shared" si="96"/>
        <v>1.1401281809456005</v>
      </c>
      <c r="BR102" s="53">
        <f t="shared" si="97"/>
        <v>1.716619179037765E-2</v>
      </c>
    </row>
    <row r="103" spans="1:70" ht="14.25" customHeight="1" x14ac:dyDescent="0.3">
      <c r="A103" s="1">
        <f t="shared" si="34"/>
        <v>99</v>
      </c>
      <c r="B103" s="52">
        <f>'Life table'!D101</f>
        <v>6.3593260278923232E-3</v>
      </c>
      <c r="C103" s="52">
        <f>IF($A103&lt;Customisation!$H$13,0,B103)/LOOKUP(Customisation!$H$13,$A$4:$A$104,$B$4:$B$104)</f>
        <v>6.4498048175787815E-3</v>
      </c>
      <c r="D103" s="1">
        <f>IF($A103&lt;=Customisation!$H$13,1,1/(1+Customisation!$H$21)^($A103-Customisation!$H$13))</f>
        <v>1.4339400042295789E-2</v>
      </c>
      <c r="E103" s="1">
        <f t="shared" si="11"/>
        <v>32.698872599111773</v>
      </c>
      <c r="F103" s="1">
        <f t="shared" si="2"/>
        <v>9.2486331473988769E-5</v>
      </c>
      <c r="G103" s="53">
        <f>'Age data'!M107*Customisation!$H$22</f>
        <v>1.8468519999999999E-2</v>
      </c>
      <c r="H103" s="53">
        <f t="shared" si="3"/>
        <v>2.6482749646914062E-4</v>
      </c>
      <c r="I103" s="53">
        <f>'Age data'!N107*Customisation!$H$22</f>
        <v>1.697326E-2</v>
      </c>
      <c r="J103" s="54">
        <f t="shared" si="4"/>
        <v>2.4338636516189741E-4</v>
      </c>
      <c r="K103" s="53">
        <f>I103*'Life table'!I101</f>
        <v>1.8784137109399999E-2</v>
      </c>
      <c r="L103" s="53">
        <f>J103*'Life table'!J101</f>
        <v>2.6935325646102023E-4</v>
      </c>
      <c r="M103" s="53">
        <f t="shared" si="5"/>
        <v>1.4777565120000001E-2</v>
      </c>
      <c r="N103" s="53">
        <f>((G103-I103)*$AW$5+I103*$AW$6)/(1+Customisation!$H$21)^($A103-Customisation!$E$13)</f>
        <v>2.0516587996587037E-4</v>
      </c>
      <c r="O103" s="53">
        <f>G103*Customisation!$H$17</f>
        <v>31.717836248000001</v>
      </c>
      <c r="P103" s="109">
        <f>O103/(1+Customisation!$H$21)^($A103-Customisation!$E$13)</f>
        <v>0.45481474243610209</v>
      </c>
      <c r="Q103" s="53">
        <f>IF($A103&lt;Customisation!$H$13,G103,G103*(1-Customisation!$H$11*Customisation!$H$12))</f>
        <v>7.7420035840000002E-3</v>
      </c>
      <c r="R103" s="53">
        <f>IF($A103&lt;Customisation!$H$13,H103,H103*(1-Customisation!$H$11*Customisation!$H$12))</f>
        <v>1.1101568651986375E-4</v>
      </c>
      <c r="S103" s="53">
        <f>IF($A103&lt;Customisation!$H$13,I103,I103*(1-Customisation!$H$11*Customisation!$H$12))</f>
        <v>7.1151905920000006E-3</v>
      </c>
      <c r="T103" s="53">
        <f>IF($A103&lt;Customisation!$H$13,J103,J103*(1-Customisation!$H$11*Customisation!$H$12))</f>
        <v>1.020275642758674E-4</v>
      </c>
      <c r="U103" s="53">
        <f>IF($A103&lt;Customisation!$H$13,K103,K103*(1-Customisation!$H$11*Customisation!$H$12))</f>
        <v>7.8743102762604805E-3</v>
      </c>
      <c r="V103" s="53">
        <f>IF($A103&lt;Customisation!$H$13,L103,L103*(1-Customisation!$H$11*Customisation!$H$12))</f>
        <v>1.1291288510845969E-4</v>
      </c>
      <c r="W103" s="53">
        <f>IF($A103&lt;Customisation!$H$13,M103,M103*(1-Customisation!$H$11*Customisation!$H$12))</f>
        <v>6.1947552983040001E-3</v>
      </c>
      <c r="X103" s="53">
        <f>IF($A103&lt;Customisation!$H$13,N103,N103*(1-Customisation!$H$11*Customisation!$H$12))</f>
        <v>8.6005536881692858E-5</v>
      </c>
      <c r="Y103" s="53">
        <f>IF($A103&lt;Customisation!$H$13,O103,O103*(1-Customisation!$H$11*Customisation!$H$12))</f>
        <v>13.296116955161601</v>
      </c>
      <c r="Z103" s="53">
        <f>IF($A103&lt;Customisation!$H$13,P103,P103*(1-Customisation!$H$11*Customisation!$H$12))</f>
        <v>0.190658340029214</v>
      </c>
      <c r="AA103" s="53">
        <f t="shared" ref="AA103:AJ103" si="131">G103-Q103</f>
        <v>1.0726516415999999E-2</v>
      </c>
      <c r="AB103" s="53">
        <f t="shared" si="131"/>
        <v>1.5381180994927687E-4</v>
      </c>
      <c r="AC103" s="53">
        <f t="shared" si="131"/>
        <v>9.8580694079999989E-3</v>
      </c>
      <c r="AD103" s="53">
        <f t="shared" si="131"/>
        <v>1.4135880088603003E-4</v>
      </c>
      <c r="AE103" s="53">
        <f t="shared" si="131"/>
        <v>1.0909826833139518E-2</v>
      </c>
      <c r="AF103" s="53">
        <f t="shared" si="131"/>
        <v>1.5644037135256056E-4</v>
      </c>
      <c r="AG103" s="53">
        <f t="shared" si="131"/>
        <v>8.5828098216959997E-3</v>
      </c>
      <c r="AH103" s="53">
        <f t="shared" si="131"/>
        <v>1.1916034308417751E-4</v>
      </c>
      <c r="AI103" s="53">
        <f t="shared" si="131"/>
        <v>18.4217192928384</v>
      </c>
      <c r="AJ103" s="53">
        <f t="shared" si="131"/>
        <v>0.26415640240688809</v>
      </c>
      <c r="AK103" s="1"/>
      <c r="AL103" s="55">
        <f t="shared" si="7"/>
        <v>1846.8519999999999</v>
      </c>
      <c r="AM103" s="55">
        <f t="shared" si="8"/>
        <v>774.20035840000003</v>
      </c>
      <c r="AN103" s="1"/>
      <c r="AO103" s="1"/>
      <c r="AP103" s="1"/>
      <c r="AQ103" s="1"/>
      <c r="AR103" s="1"/>
      <c r="AS103" s="1"/>
      <c r="AT103" s="1"/>
      <c r="AU103" s="1"/>
      <c r="AV103" s="1"/>
      <c r="AW103" s="1"/>
      <c r="AX103" s="1"/>
      <c r="AY103" s="53">
        <f>IF($A103&lt;Customisation!$H$13,G103,G103*(1-Customisation!$H$24*Customisation!$H$12))</f>
        <v>6.6043427520000005E-3</v>
      </c>
      <c r="AZ103" s="53">
        <f>IF($A103&lt;Customisation!$H$13,H103,H103*(1-Customisation!$H$24*Customisation!$H$12))</f>
        <v>9.4702312737364694E-5</v>
      </c>
      <c r="BA103" s="53">
        <f>IF($A103&lt;Customisation!$H$13,I103,I103*(1-Customisation!$H$24*Customisation!$H$12))</f>
        <v>6.0696377760000005E-3</v>
      </c>
      <c r="BB103" s="53">
        <f>IF($A103&lt;Customisation!$H$13,J103,J103*(1-Customisation!$H$24*Customisation!$H$12))</f>
        <v>8.7034964181894516E-5</v>
      </c>
      <c r="BC103" s="53">
        <f>IF($A103&lt;Customisation!$H$13,K103,K103*(1-Customisation!$H$24*Customisation!$H$12))</f>
        <v>6.7172074303214402E-3</v>
      </c>
      <c r="BD103" s="53">
        <f>IF($A103&lt;Customisation!$H$13,L103,L103*(1-Customisation!$H$24*Customisation!$H$12))</f>
        <v>9.6320724510460848E-5</v>
      </c>
      <c r="BE103" s="53">
        <f>IF($A103&lt;Customisation!$H$13,M103,M103*(1-Customisation!$H$24*Customisation!$H$12))</f>
        <v>5.2844572869120005E-3</v>
      </c>
      <c r="BF103" s="53">
        <f>IF($A103&lt;Customisation!$H$13,N103,N103*(1-Customisation!$H$24*Customisation!$H$12))</f>
        <v>7.3367318675795256E-5</v>
      </c>
      <c r="BG103" s="53">
        <f>IF($A103&lt;Customisation!$H$13,O103,O103*(1-Customisation!$H$24*Customisation!$H$12))</f>
        <v>11.342298242284802</v>
      </c>
      <c r="BH103" s="53">
        <f>IF($A103&lt;Customisation!$H$13,P103,P103*(1-Customisation!$H$24*Customisation!$H$12))</f>
        <v>0.16264175189515012</v>
      </c>
      <c r="BI103" s="53">
        <f t="shared" si="88"/>
        <v>1.1376608319999997E-3</v>
      </c>
      <c r="BJ103" s="53">
        <f t="shared" si="89"/>
        <v>1.6313373782499057E-5</v>
      </c>
      <c r="BK103" s="53">
        <f t="shared" si="90"/>
        <v>1.0455528160000001E-3</v>
      </c>
      <c r="BL103" s="53">
        <f t="shared" si="91"/>
        <v>1.499260009397288E-5</v>
      </c>
      <c r="BM103" s="53">
        <f t="shared" si="92"/>
        <v>1.1571028459390403E-3</v>
      </c>
      <c r="BN103" s="53">
        <f t="shared" si="93"/>
        <v>1.6592160597998841E-5</v>
      </c>
      <c r="BO103" s="53">
        <f t="shared" si="94"/>
        <v>9.1029801139199968E-4</v>
      </c>
      <c r="BP103" s="53">
        <f t="shared" si="95"/>
        <v>1.2638218205897602E-5</v>
      </c>
      <c r="BQ103" s="53">
        <f t="shared" si="96"/>
        <v>1.9538187128767994</v>
      </c>
      <c r="BR103" s="53">
        <f t="shared" si="97"/>
        <v>2.801658813406388E-2</v>
      </c>
    </row>
    <row r="104" spans="1:70" ht="14.25" customHeight="1" x14ac:dyDescent="0.3">
      <c r="A104" s="1">
        <f t="shared" si="34"/>
        <v>100</v>
      </c>
      <c r="B104" s="52">
        <f>'Life table'!D102</f>
        <v>3.8581395078619934E-3</v>
      </c>
      <c r="C104" s="52">
        <f>IF($A104&lt;Customisation!$H$13,0,B104)/LOOKUP(Customisation!$H$13,$A$4:$A$104,$B$4:$B$104)</f>
        <v>3.9130320847768707E-3</v>
      </c>
      <c r="D104" s="1">
        <f>IF($A104&lt;=Customisation!$H$13,1,1/(1+Customisation!$H$21)^($A104-Customisation!$H$13))</f>
        <v>1.3656571468853134E-2</v>
      </c>
      <c r="E104" s="1">
        <f t="shared" si="11"/>
        <v>32.713211999154069</v>
      </c>
      <c r="F104" s="1">
        <f t="shared" si="2"/>
        <v>5.343860232567071E-5</v>
      </c>
      <c r="G104" s="53">
        <f>'Age data'!M108*Customisation!$H$22</f>
        <v>1.5212459999999999E-2</v>
      </c>
      <c r="H104" s="53">
        <f t="shared" si="3"/>
        <v>2.0775004720706953E-4</v>
      </c>
      <c r="I104" s="53">
        <f>'Age data'!N108*Customisation!$H$22</f>
        <v>1.398132E-2</v>
      </c>
      <c r="J104" s="54">
        <f t="shared" si="4"/>
        <v>1.9093689580890571E-4</v>
      </c>
      <c r="K104" s="53">
        <f>I104*'Life table'!I102</f>
        <v>6.9906600000000001E-3</v>
      </c>
      <c r="L104" s="53">
        <f>J104*'Life table'!J102</f>
        <v>9.5468447904452854E-5</v>
      </c>
      <c r="M104" s="53">
        <f t="shared" si="5"/>
        <v>1.2172404720000002E-2</v>
      </c>
      <c r="N104" s="53">
        <f>((G104-I104)*$AW$5+I104*$AW$6)/(1+Customisation!$H$21)^($A104-Customisation!$E$13)</f>
        <v>1.6094944297138306E-4</v>
      </c>
      <c r="O104" s="53">
        <f>G104*Customisation!$H$17</f>
        <v>26.125878803999999</v>
      </c>
      <c r="P104" s="109">
        <f>O104/(1+Customisation!$H$21)^($A104-Customisation!$E$13)</f>
        <v>0.35678993107342122</v>
      </c>
      <c r="Q104" s="53">
        <f>IF($A104&lt;Customisation!$H$13,G104,G104*(1-Customisation!$H$11*Customisation!$H$12))</f>
        <v>6.3770632319999996E-3</v>
      </c>
      <c r="R104" s="53">
        <f>IF($A104&lt;Customisation!$H$13,H104,H104*(1-Customisation!$H$11*Customisation!$H$12))</f>
        <v>8.7088819789203552E-5</v>
      </c>
      <c r="S104" s="53">
        <f>IF($A104&lt;Customisation!$H$13,I104,I104*(1-Customisation!$H$11*Customisation!$H$12))</f>
        <v>5.8609693440000001E-3</v>
      </c>
      <c r="T104" s="53">
        <f>IF($A104&lt;Customisation!$H$13,J104,J104*(1-Customisation!$H$11*Customisation!$H$12))</f>
        <v>8.004074672309327E-5</v>
      </c>
      <c r="U104" s="53">
        <f>IF($A104&lt;Customisation!$H$13,K104,K104*(1-Customisation!$H$11*Customisation!$H$12))</f>
        <v>2.930484672E-3</v>
      </c>
      <c r="V104" s="53">
        <f>IF($A104&lt;Customisation!$H$13,L104,L104*(1-Customisation!$H$11*Customisation!$H$12))</f>
        <v>4.0020373361546635E-5</v>
      </c>
      <c r="W104" s="53">
        <f>IF($A104&lt;Customisation!$H$13,M104,M104*(1-Customisation!$H$11*Customisation!$H$12))</f>
        <v>5.1026720586240006E-3</v>
      </c>
      <c r="X104" s="53">
        <f>IF($A104&lt;Customisation!$H$13,N104,N104*(1-Customisation!$H$11*Customisation!$H$12))</f>
        <v>6.747000649360378E-5</v>
      </c>
      <c r="Y104" s="53">
        <f>IF($A104&lt;Customisation!$H$13,O104,O104*(1-Customisation!$H$11*Customisation!$H$12))</f>
        <v>10.9519683946368</v>
      </c>
      <c r="Z104" s="53">
        <f>IF($A104&lt;Customisation!$H$13,P104,P104*(1-Customisation!$H$11*Customisation!$H$12))</f>
        <v>0.14956633910597819</v>
      </c>
      <c r="AA104" s="53">
        <f t="shared" ref="AA104:AJ104" si="132">G104-Q104</f>
        <v>8.8353967679999992E-3</v>
      </c>
      <c r="AB104" s="53">
        <f t="shared" si="132"/>
        <v>1.2066122741786598E-4</v>
      </c>
      <c r="AC104" s="53">
        <f t="shared" si="132"/>
        <v>8.1203506559999993E-3</v>
      </c>
      <c r="AD104" s="53">
        <f t="shared" si="132"/>
        <v>1.1089614908581244E-4</v>
      </c>
      <c r="AE104" s="53">
        <f t="shared" si="132"/>
        <v>4.0601753279999996E-3</v>
      </c>
      <c r="AF104" s="53">
        <f t="shared" si="132"/>
        <v>5.5448074542906219E-5</v>
      </c>
      <c r="AG104" s="53">
        <f t="shared" si="132"/>
        <v>7.0697326613760013E-3</v>
      </c>
      <c r="AH104" s="53">
        <f t="shared" si="132"/>
        <v>9.3479436477779285E-5</v>
      </c>
      <c r="AI104" s="53">
        <f t="shared" si="132"/>
        <v>15.173910409363199</v>
      </c>
      <c r="AJ104" s="53">
        <f t="shared" si="132"/>
        <v>0.20722359196744303</v>
      </c>
      <c r="AK104" s="1"/>
      <c r="AL104" s="55">
        <f t="shared" si="7"/>
        <v>1521.2459999999999</v>
      </c>
      <c r="AM104" s="55">
        <f t="shared" si="8"/>
        <v>637.70632319999993</v>
      </c>
      <c r="AN104" s="1"/>
      <c r="AO104" s="1"/>
      <c r="AP104" s="1"/>
      <c r="AQ104" s="1"/>
      <c r="AR104" s="1"/>
      <c r="AS104" s="1"/>
      <c r="AT104" s="1"/>
      <c r="AU104" s="1"/>
      <c r="AV104" s="1"/>
      <c r="AW104" s="1"/>
      <c r="AX104" s="1"/>
      <c r="AY104" s="53">
        <f>IF($A104&lt;Customisation!$H$13,G104,G104*(1-Customisation!$H$24*Customisation!$H$12))</f>
        <v>5.4399756960000004E-3</v>
      </c>
      <c r="AZ104" s="53">
        <f>IF($A104&lt;Customisation!$H$13,H104,H104*(1-Customisation!$H$24*Customisation!$H$12))</f>
        <v>7.4291416881248066E-5</v>
      </c>
      <c r="BA104" s="53">
        <f>IF($A104&lt;Customisation!$H$13,I104,I104*(1-Customisation!$H$24*Customisation!$H$12))</f>
        <v>4.9997200320000008E-3</v>
      </c>
      <c r="BB104" s="53">
        <f>IF($A104&lt;Customisation!$H$13,J104,J104*(1-Customisation!$H$24*Customisation!$H$12))</f>
        <v>6.827903394126469E-5</v>
      </c>
      <c r="BC104" s="53">
        <f>IF($A104&lt;Customisation!$H$13,K104,K104*(1-Customisation!$H$24*Customisation!$H$12))</f>
        <v>2.4998600160000004E-3</v>
      </c>
      <c r="BD104" s="53">
        <f>IF($A104&lt;Customisation!$H$13,L104,L104*(1-Customisation!$H$24*Customisation!$H$12))</f>
        <v>3.4139516970632345E-5</v>
      </c>
      <c r="BE104" s="53">
        <f>IF($A104&lt;Customisation!$H$13,M104,M104*(1-Customisation!$H$24*Customisation!$H$12))</f>
        <v>4.3528519278720011E-3</v>
      </c>
      <c r="BF104" s="53">
        <f>IF($A104&lt;Customisation!$H$13,N104,N104*(1-Customisation!$H$24*Customisation!$H$12))</f>
        <v>5.7555520806566588E-5</v>
      </c>
      <c r="BG104" s="53">
        <f>IF($A104&lt;Customisation!$H$13,O104,O104*(1-Customisation!$H$24*Customisation!$H$12))</f>
        <v>9.3426142603104001</v>
      </c>
      <c r="BH104" s="53">
        <f>IF($A104&lt;Customisation!$H$13,P104,P104*(1-Customisation!$H$24*Customisation!$H$12))</f>
        <v>0.12758807935185543</v>
      </c>
      <c r="BI104" s="53">
        <f t="shared" si="88"/>
        <v>9.3708753599999924E-4</v>
      </c>
      <c r="BJ104" s="53">
        <f t="shared" si="89"/>
        <v>1.2797402907955486E-5</v>
      </c>
      <c r="BK104" s="53">
        <f t="shared" si="90"/>
        <v>8.6124931199999932E-4</v>
      </c>
      <c r="BL104" s="53">
        <f t="shared" si="91"/>
        <v>1.176171278182858E-5</v>
      </c>
      <c r="BM104" s="53">
        <f t="shared" si="92"/>
        <v>4.3062465599999966E-4</v>
      </c>
      <c r="BN104" s="53">
        <f t="shared" si="93"/>
        <v>5.8808563909142902E-6</v>
      </c>
      <c r="BO104" s="53">
        <f t="shared" si="94"/>
        <v>7.4982013075199951E-4</v>
      </c>
      <c r="BP104" s="53">
        <f t="shared" si="95"/>
        <v>9.9144856870371923E-6</v>
      </c>
      <c r="BQ104" s="53">
        <f t="shared" si="96"/>
        <v>1.6093541343264004</v>
      </c>
      <c r="BR104" s="53">
        <f t="shared" si="97"/>
        <v>2.1978259754122764E-2</v>
      </c>
    </row>
    <row r="105" spans="1:70" ht="14.25" customHeight="1" x14ac:dyDescent="0.3">
      <c r="A105" s="1"/>
      <c r="B105" s="1"/>
      <c r="C105" s="1"/>
      <c r="D105" s="1"/>
      <c r="E105" s="1"/>
      <c r="F105" s="1"/>
      <c r="G105" s="1"/>
      <c r="H105" s="1"/>
      <c r="I105" s="1"/>
      <c r="J105" s="1"/>
      <c r="K105" s="1"/>
      <c r="L105" s="1"/>
      <c r="M105" s="1"/>
      <c r="N105" s="1"/>
      <c r="O105" s="1"/>
      <c r="P105" s="106"/>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0" ht="14.25" customHeight="1" x14ac:dyDescent="0.3">
      <c r="A106" s="1"/>
      <c r="B106" s="1"/>
      <c r="C106" s="1"/>
      <c r="D106" s="1"/>
      <c r="E106" s="1"/>
      <c r="F106" s="1"/>
      <c r="G106" s="1"/>
      <c r="H106" s="1"/>
      <c r="I106" s="1"/>
      <c r="J106" s="1"/>
      <c r="K106" s="1"/>
      <c r="L106" s="1"/>
      <c r="M106" s="1"/>
      <c r="N106" s="1"/>
      <c r="O106" s="1"/>
      <c r="P106" s="106"/>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0" ht="14.25" customHeight="1" x14ac:dyDescent="0.3">
      <c r="A107" s="1"/>
      <c r="B107" s="1"/>
      <c r="C107" s="1"/>
      <c r="D107" s="1"/>
      <c r="E107" s="1"/>
      <c r="F107" s="1"/>
      <c r="G107" s="1"/>
      <c r="H107" s="1"/>
      <c r="I107" s="1"/>
      <c r="J107" s="1"/>
      <c r="K107" s="1"/>
      <c r="L107" s="1"/>
      <c r="M107" s="1"/>
      <c r="N107" s="1"/>
      <c r="O107" s="1"/>
      <c r="P107" s="106"/>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0" ht="14.25" customHeight="1" x14ac:dyDescent="0.3">
      <c r="A108" s="1"/>
      <c r="B108" s="1"/>
      <c r="C108" s="1"/>
      <c r="D108" s="1"/>
      <c r="E108" s="1"/>
      <c r="F108" s="1"/>
      <c r="G108" s="1"/>
      <c r="H108" s="1"/>
      <c r="I108" s="1"/>
      <c r="J108" s="1"/>
      <c r="K108" s="1"/>
      <c r="L108" s="1"/>
      <c r="M108" s="1"/>
      <c r="N108" s="1"/>
      <c r="O108" s="1"/>
      <c r="P108" s="106"/>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0" ht="14.25" customHeight="1" x14ac:dyDescent="0.3">
      <c r="A109" s="1"/>
      <c r="B109" s="1"/>
      <c r="C109" s="1"/>
      <c r="D109" s="1"/>
      <c r="E109" s="1"/>
      <c r="F109" s="1"/>
      <c r="G109" s="1"/>
      <c r="H109" s="1"/>
      <c r="I109" s="1"/>
      <c r="J109" s="1"/>
      <c r="K109" s="1"/>
      <c r="L109" s="1"/>
      <c r="M109" s="1"/>
      <c r="N109" s="1"/>
      <c r="O109" s="1"/>
      <c r="P109" s="106"/>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0" ht="14.25" customHeight="1" x14ac:dyDescent="0.3">
      <c r="A110" s="1"/>
      <c r="B110" s="1"/>
      <c r="C110" s="1"/>
      <c r="D110" s="1"/>
      <c r="E110" s="1"/>
      <c r="F110" s="1"/>
      <c r="G110" s="1"/>
      <c r="H110" s="1"/>
      <c r="I110" s="1"/>
      <c r="J110" s="1"/>
      <c r="K110" s="1"/>
      <c r="L110" s="1"/>
      <c r="M110" s="1"/>
      <c r="N110" s="1"/>
      <c r="O110" s="1"/>
      <c r="P110" s="106"/>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0" ht="14.25" customHeight="1" x14ac:dyDescent="0.3">
      <c r="A111" s="1"/>
      <c r="B111" s="1"/>
      <c r="C111" s="1"/>
      <c r="D111" s="1"/>
      <c r="E111" s="1"/>
      <c r="F111" s="1"/>
      <c r="G111" s="1"/>
      <c r="H111" s="1"/>
      <c r="I111" s="1"/>
      <c r="J111" s="1"/>
      <c r="K111" s="1"/>
      <c r="L111" s="1"/>
      <c r="M111" s="1"/>
      <c r="N111" s="1"/>
      <c r="O111" s="1"/>
      <c r="P111" s="106"/>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0" ht="14.25" customHeight="1" x14ac:dyDescent="0.3">
      <c r="A112" s="1"/>
      <c r="B112" s="1"/>
      <c r="C112" s="1"/>
      <c r="D112" s="1"/>
      <c r="E112" s="1"/>
      <c r="F112" s="1"/>
      <c r="G112" s="1"/>
      <c r="H112" s="1"/>
      <c r="I112" s="1"/>
      <c r="J112" s="1"/>
      <c r="K112" s="1"/>
      <c r="L112" s="1"/>
      <c r="M112" s="1"/>
      <c r="N112" s="1"/>
      <c r="O112" s="1"/>
      <c r="P112" s="106"/>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06"/>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06"/>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06"/>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06"/>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06"/>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06"/>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06"/>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06"/>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06"/>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06"/>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06"/>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06"/>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06"/>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06"/>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06"/>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06"/>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06"/>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06"/>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06"/>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06"/>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06"/>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06"/>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06"/>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06"/>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06"/>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06"/>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06"/>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06"/>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06"/>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06"/>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06"/>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06"/>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06"/>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06"/>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06"/>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06"/>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06"/>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06"/>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06"/>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06"/>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06"/>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06"/>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06"/>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06"/>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06"/>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06"/>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06"/>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06"/>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06"/>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06"/>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06"/>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06"/>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06"/>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06"/>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06"/>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06"/>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06"/>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06"/>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06"/>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06"/>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06"/>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06"/>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06"/>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06"/>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06"/>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06"/>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06"/>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06"/>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06"/>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06"/>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06"/>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06"/>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06"/>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06"/>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06"/>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06"/>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06"/>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06"/>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06"/>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06"/>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06"/>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06"/>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06"/>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06"/>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06"/>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06"/>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06"/>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06"/>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06"/>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06"/>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06"/>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06"/>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06"/>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06"/>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06"/>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06"/>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06"/>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06"/>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06"/>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06"/>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06"/>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06"/>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06"/>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06"/>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06"/>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06"/>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06"/>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06"/>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06"/>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06"/>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06"/>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06"/>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06"/>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06"/>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06"/>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06"/>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06"/>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06"/>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06"/>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06"/>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06"/>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06"/>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06"/>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06"/>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06"/>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06"/>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06"/>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06"/>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06"/>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06"/>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06"/>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06"/>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06"/>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06"/>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06"/>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06"/>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06"/>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06"/>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06"/>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06"/>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06"/>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06"/>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06"/>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06"/>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06"/>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06"/>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06"/>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06"/>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06"/>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06"/>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06"/>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06"/>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06"/>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06"/>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06"/>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06"/>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06"/>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06"/>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06"/>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06"/>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06"/>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06"/>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06"/>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06"/>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06"/>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06"/>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06"/>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06"/>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06"/>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06"/>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06"/>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06"/>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06"/>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06"/>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06"/>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06"/>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06"/>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06"/>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06"/>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06"/>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06"/>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06"/>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06"/>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06"/>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06"/>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06"/>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06"/>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06"/>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06"/>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06"/>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06"/>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06"/>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06"/>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06"/>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06"/>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06"/>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06"/>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06"/>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06"/>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06"/>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06"/>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06"/>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06"/>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06"/>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06"/>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06"/>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06"/>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06"/>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06"/>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06"/>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06"/>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06"/>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06"/>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06"/>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06"/>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06"/>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06"/>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06"/>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06"/>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06"/>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06"/>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06"/>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06"/>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06"/>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06"/>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06"/>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06"/>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06"/>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06"/>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06"/>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06"/>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06"/>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06"/>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06"/>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06"/>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06"/>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06"/>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06"/>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06"/>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06"/>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06"/>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06"/>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06"/>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06"/>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06"/>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06"/>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06"/>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06"/>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06"/>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06"/>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06"/>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06"/>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06"/>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06"/>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06"/>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06"/>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06"/>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06"/>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06"/>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06"/>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06"/>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06"/>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06"/>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06"/>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06"/>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06"/>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06"/>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06"/>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06"/>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06"/>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06"/>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06"/>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06"/>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06"/>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06"/>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06"/>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06"/>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06"/>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06"/>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06"/>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06"/>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06"/>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06"/>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06"/>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06"/>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06"/>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06"/>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06"/>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06"/>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06"/>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06"/>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06"/>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06"/>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06"/>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06"/>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06"/>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06"/>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06"/>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06"/>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06"/>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06"/>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06"/>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06"/>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06"/>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06"/>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06"/>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06"/>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06"/>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06"/>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06"/>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06"/>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06"/>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06"/>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06"/>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06"/>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06"/>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06"/>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06"/>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06"/>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06"/>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06"/>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06"/>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06"/>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06"/>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06"/>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06"/>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06"/>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06"/>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06"/>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06"/>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06"/>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06"/>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06"/>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06"/>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06"/>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06"/>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06"/>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06"/>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06"/>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06"/>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06"/>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06"/>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06"/>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06"/>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06"/>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06"/>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06"/>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06"/>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06"/>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06"/>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06"/>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06"/>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06"/>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06"/>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06"/>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06"/>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06"/>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06"/>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06"/>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06"/>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06"/>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06"/>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06"/>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06"/>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06"/>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06"/>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06"/>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06"/>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06"/>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06"/>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06"/>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06"/>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06"/>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06"/>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06"/>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06"/>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06"/>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06"/>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06"/>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06"/>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06"/>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06"/>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06"/>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06"/>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06"/>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06"/>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06"/>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06"/>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06"/>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06"/>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06"/>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06"/>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06"/>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06"/>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06"/>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06"/>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06"/>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06"/>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06"/>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06"/>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06"/>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06"/>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06"/>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06"/>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06"/>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06"/>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06"/>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06"/>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06"/>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06"/>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06"/>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06"/>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06"/>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06"/>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06"/>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06"/>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06"/>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06"/>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06"/>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06"/>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06"/>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06"/>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06"/>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06"/>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06"/>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06"/>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06"/>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06"/>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06"/>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06"/>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06"/>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06"/>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06"/>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06"/>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06"/>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06"/>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06"/>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06"/>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06"/>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06"/>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06"/>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06"/>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06"/>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06"/>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06"/>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06"/>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06"/>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06"/>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06"/>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06"/>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06"/>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06"/>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06"/>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06"/>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06"/>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06"/>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06"/>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06"/>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06"/>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06"/>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06"/>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06"/>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06"/>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06"/>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06"/>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06"/>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06"/>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06"/>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06"/>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06"/>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06"/>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06"/>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06"/>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06"/>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06"/>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06"/>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06"/>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06"/>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06"/>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06"/>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06"/>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06"/>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06"/>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06"/>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06"/>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06"/>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06"/>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06"/>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06"/>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06"/>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06"/>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06"/>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06"/>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06"/>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06"/>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06"/>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06"/>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06"/>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06"/>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06"/>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06"/>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06"/>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06"/>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06"/>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06"/>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06"/>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06"/>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06"/>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06"/>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06"/>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06"/>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06"/>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06"/>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06"/>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06"/>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06"/>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06"/>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06"/>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06"/>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06"/>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06"/>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06"/>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06"/>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06"/>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06"/>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06"/>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06"/>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06"/>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06"/>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06"/>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06"/>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06"/>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06"/>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06"/>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06"/>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06"/>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06"/>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06"/>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06"/>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06"/>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06"/>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06"/>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06"/>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06"/>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06"/>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06"/>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06"/>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06"/>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06"/>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06"/>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06"/>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06"/>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06"/>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06"/>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06"/>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06"/>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06"/>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06"/>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06"/>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06"/>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06"/>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06"/>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06"/>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06"/>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06"/>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06"/>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06"/>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06"/>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06"/>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06"/>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06"/>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06"/>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06"/>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06"/>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06"/>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06"/>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06"/>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06"/>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06"/>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06"/>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06"/>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06"/>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06"/>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06"/>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06"/>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06"/>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06"/>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06"/>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06"/>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06"/>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06"/>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06"/>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06"/>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06"/>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06"/>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06"/>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06"/>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06"/>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06"/>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06"/>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06"/>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06"/>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06"/>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06"/>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06"/>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06"/>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06"/>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06"/>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06"/>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06"/>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06"/>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06"/>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06"/>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06"/>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06"/>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06"/>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06"/>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06"/>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06"/>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06"/>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06"/>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06"/>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06"/>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06"/>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06"/>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06"/>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06"/>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06"/>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06"/>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06"/>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06"/>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06"/>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06"/>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06"/>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06"/>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06"/>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06"/>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06"/>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06"/>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06"/>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06"/>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06"/>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06"/>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06"/>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06"/>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06"/>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06"/>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06"/>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06"/>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06"/>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06"/>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06"/>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06"/>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06"/>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06"/>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06"/>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06"/>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06"/>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06"/>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06"/>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06"/>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06"/>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06"/>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06"/>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06"/>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06"/>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06"/>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06"/>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06"/>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06"/>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06"/>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06"/>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06"/>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06"/>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06"/>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06"/>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06"/>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06"/>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06"/>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06"/>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06"/>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06"/>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06"/>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06"/>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06"/>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06"/>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06"/>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06"/>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06"/>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06"/>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06"/>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06"/>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06"/>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06"/>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06"/>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06"/>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06"/>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06"/>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06"/>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06"/>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06"/>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06"/>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06"/>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06"/>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06"/>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06"/>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06"/>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06"/>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06"/>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06"/>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06"/>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06"/>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06"/>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06"/>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06"/>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06"/>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06"/>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06"/>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06"/>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06"/>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06"/>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06"/>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06"/>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06"/>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06"/>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06"/>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06"/>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06"/>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06"/>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06"/>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06"/>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06"/>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06"/>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06"/>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06"/>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06"/>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06"/>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06"/>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06"/>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06"/>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06"/>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06"/>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06"/>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06"/>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06"/>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06"/>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06"/>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06"/>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06"/>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06"/>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06"/>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06"/>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06"/>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06"/>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06"/>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06"/>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06"/>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06"/>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06"/>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06"/>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06"/>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06"/>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06"/>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06"/>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06"/>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06"/>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06"/>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06"/>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06"/>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06"/>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06"/>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06"/>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06"/>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06"/>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06"/>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06"/>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06"/>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06"/>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06"/>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06"/>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06"/>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06"/>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06"/>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06"/>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06"/>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06"/>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06"/>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06"/>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06"/>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06"/>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06"/>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06"/>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06"/>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06"/>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06"/>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06"/>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06"/>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06"/>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06"/>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06"/>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06"/>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06"/>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06"/>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06"/>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06"/>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06"/>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06"/>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06"/>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06"/>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06"/>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06"/>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06"/>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06"/>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06"/>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06"/>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06"/>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06"/>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06"/>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06"/>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06"/>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06"/>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06"/>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06"/>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06"/>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06"/>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06"/>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06"/>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06"/>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06"/>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06"/>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06"/>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06"/>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06"/>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06"/>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06"/>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06"/>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06"/>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06"/>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06"/>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06"/>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06"/>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06"/>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06"/>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06"/>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06"/>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06"/>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06"/>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06"/>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06"/>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06"/>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06"/>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06"/>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06"/>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06"/>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06"/>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06"/>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06"/>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06"/>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06"/>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06"/>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06"/>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06"/>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06"/>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06"/>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06"/>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06"/>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06"/>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06"/>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06"/>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06"/>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06"/>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06"/>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06"/>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06"/>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06"/>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06"/>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06"/>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06"/>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06"/>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06"/>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06"/>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06"/>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06"/>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06"/>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06"/>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06"/>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06"/>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06"/>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W10"/>
  <sheetViews>
    <sheetView topLeftCell="E1" workbookViewId="0">
      <selection activeCell="V1" sqref="V1"/>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5" width="8.6640625" customWidth="1"/>
    <col min="16" max="16" width="12" customWidth="1"/>
    <col min="17" max="19" width="8.6640625" customWidth="1"/>
    <col min="20" max="20" width="11.6640625" customWidth="1"/>
    <col min="21" max="22" width="13.6640625" customWidth="1"/>
    <col min="23" max="23" width="8.6640625" customWidth="1"/>
  </cols>
  <sheetData>
    <row r="1" spans="1:23" ht="45.75" customHeight="1" x14ac:dyDescent="0.3">
      <c r="A1" s="57" t="s">
        <v>6</v>
      </c>
      <c r="B1" s="47" t="s">
        <v>83</v>
      </c>
      <c r="C1" s="57" t="s">
        <v>84</v>
      </c>
      <c r="D1" s="57" t="s">
        <v>85</v>
      </c>
      <c r="E1" s="57" t="s">
        <v>86</v>
      </c>
      <c r="F1" s="57" t="s">
        <v>87</v>
      </c>
      <c r="G1" s="57" t="s">
        <v>88</v>
      </c>
      <c r="H1" s="58" t="s">
        <v>89</v>
      </c>
      <c r="I1" s="58" t="s">
        <v>90</v>
      </c>
      <c r="J1" s="58" t="s">
        <v>91</v>
      </c>
      <c r="K1" s="57" t="s">
        <v>9</v>
      </c>
      <c r="L1" s="57" t="s">
        <v>92</v>
      </c>
      <c r="M1" s="59" t="s">
        <v>93</v>
      </c>
      <c r="N1" s="60" t="s">
        <v>94</v>
      </c>
      <c r="O1" s="60" t="s">
        <v>95</v>
      </c>
      <c r="P1" s="60" t="s">
        <v>96</v>
      </c>
      <c r="Q1" s="60" t="s">
        <v>97</v>
      </c>
      <c r="R1" s="57" t="s">
        <v>19</v>
      </c>
      <c r="S1" s="57" t="s">
        <v>98</v>
      </c>
      <c r="T1" s="61" t="s">
        <v>99</v>
      </c>
      <c r="U1" s="61" t="s">
        <v>100</v>
      </c>
      <c r="V1" s="61" t="s">
        <v>101</v>
      </c>
      <c r="W1" s="57" t="s">
        <v>135</v>
      </c>
    </row>
    <row r="2" spans="1:23" ht="14.25" customHeight="1" x14ac:dyDescent="0.3">
      <c r="A2" s="62" t="s">
        <v>2</v>
      </c>
      <c r="B2" s="44" t="s">
        <v>107</v>
      </c>
      <c r="C2" s="44" t="s">
        <v>106</v>
      </c>
      <c r="D2" s="44" t="s">
        <v>103</v>
      </c>
      <c r="E2" s="62" t="s">
        <v>105</v>
      </c>
      <c r="F2" s="62" t="s">
        <v>104</v>
      </c>
      <c r="G2" s="63" t="str">
        <f t="shared" ref="G2:G3" si="0">IF(C2="AMRO","Participating","Not Eligible")</f>
        <v>Not Eligible</v>
      </c>
      <c r="H2" s="67">
        <v>365284.2</v>
      </c>
      <c r="I2" s="67">
        <v>357582.4</v>
      </c>
      <c r="J2" s="67">
        <v>352162.2</v>
      </c>
      <c r="K2" s="127">
        <v>0.69</v>
      </c>
      <c r="L2" s="127">
        <v>0.88</v>
      </c>
      <c r="M2" s="130">
        <v>12</v>
      </c>
      <c r="N2" s="128">
        <v>23.48</v>
      </c>
      <c r="O2" s="129">
        <v>8.69</v>
      </c>
      <c r="P2" s="129">
        <v>12711.5</v>
      </c>
      <c r="Q2" s="64">
        <v>891.60308459999999</v>
      </c>
      <c r="R2" s="127">
        <v>0.05</v>
      </c>
      <c r="S2" s="131">
        <v>0.71</v>
      </c>
      <c r="T2" s="68">
        <v>10636.12</v>
      </c>
      <c r="U2" s="66">
        <v>10636.12</v>
      </c>
      <c r="V2" s="121">
        <v>4.9000000000000002E-2</v>
      </c>
      <c r="W2" s="127">
        <v>0.76</v>
      </c>
    </row>
    <row r="3" spans="1:23" ht="14.25" customHeight="1" x14ac:dyDescent="0.3">
      <c r="A3" s="62" t="s">
        <v>108</v>
      </c>
      <c r="B3" s="44" t="s">
        <v>109</v>
      </c>
      <c r="C3" s="44" t="s">
        <v>106</v>
      </c>
      <c r="D3" s="44" t="s">
        <v>103</v>
      </c>
      <c r="E3" s="62" t="s">
        <v>105</v>
      </c>
      <c r="F3" s="62" t="s">
        <v>104</v>
      </c>
      <c r="G3" s="63" t="str">
        <f t="shared" si="0"/>
        <v>Not Eligible</v>
      </c>
      <c r="H3" s="65">
        <v>1472216.7999999998</v>
      </c>
      <c r="I3" s="65">
        <v>1510422.2</v>
      </c>
      <c r="J3" s="65">
        <v>1709038.2000000002</v>
      </c>
      <c r="K3" s="127">
        <v>0.66</v>
      </c>
      <c r="L3" s="127">
        <v>0.88</v>
      </c>
      <c r="M3" s="130">
        <v>12</v>
      </c>
      <c r="N3" s="128">
        <v>23.48</v>
      </c>
      <c r="O3" s="129">
        <v>8.69</v>
      </c>
      <c r="P3" s="129">
        <v>1717.4</v>
      </c>
      <c r="Q3" s="64">
        <v>891.60308459999999</v>
      </c>
      <c r="R3" s="127">
        <v>0.05</v>
      </c>
      <c r="S3" s="131">
        <v>0.71</v>
      </c>
      <c r="T3" s="68">
        <v>7507.16</v>
      </c>
      <c r="U3" s="66">
        <v>7507.16</v>
      </c>
      <c r="V3" s="121">
        <v>4.9000000000000002E-2</v>
      </c>
      <c r="W3" s="127">
        <v>0.73</v>
      </c>
    </row>
    <row r="4" spans="1:23" ht="14.25" customHeight="1" x14ac:dyDescent="0.3">
      <c r="A4" s="62" t="s">
        <v>111</v>
      </c>
      <c r="B4" s="44" t="s">
        <v>112</v>
      </c>
      <c r="C4" s="44" t="s">
        <v>106</v>
      </c>
      <c r="D4" s="44" t="s">
        <v>103</v>
      </c>
      <c r="E4" s="62" t="s">
        <v>105</v>
      </c>
      <c r="F4" s="62" t="s">
        <v>104</v>
      </c>
      <c r="G4" s="63" t="str">
        <f t="shared" ref="G4:G7" si="1">IF(C4="AMRO","Participating","Not Eligible")</f>
        <v>Not Eligible</v>
      </c>
      <c r="H4" s="65">
        <v>114928.19999999998</v>
      </c>
      <c r="I4" s="65">
        <v>117924.6</v>
      </c>
      <c r="J4" s="65">
        <v>122323.60000000002</v>
      </c>
      <c r="K4" s="127">
        <v>0.72</v>
      </c>
      <c r="L4" s="127">
        <v>0.88</v>
      </c>
      <c r="M4" s="130">
        <v>12</v>
      </c>
      <c r="N4" s="128">
        <v>23.48</v>
      </c>
      <c r="O4" s="129">
        <v>8.69</v>
      </c>
      <c r="P4" s="129">
        <v>19431.8</v>
      </c>
      <c r="Q4" s="64">
        <v>1040.2035989999999</v>
      </c>
      <c r="R4" s="127">
        <v>0.05</v>
      </c>
      <c r="S4" s="131">
        <v>0.71</v>
      </c>
      <c r="T4" s="68">
        <v>16265.1</v>
      </c>
      <c r="U4" s="66">
        <v>16265.1</v>
      </c>
      <c r="V4" s="121">
        <v>4.9000000000000002E-2</v>
      </c>
      <c r="W4" s="127">
        <v>0.79</v>
      </c>
    </row>
    <row r="5" spans="1:23" ht="14.25" customHeight="1" x14ac:dyDescent="0.3">
      <c r="A5" s="62" t="s">
        <v>113</v>
      </c>
      <c r="B5" s="44" t="s">
        <v>114</v>
      </c>
      <c r="C5" s="44" t="s">
        <v>106</v>
      </c>
      <c r="D5" s="44" t="s">
        <v>103</v>
      </c>
      <c r="E5" s="62" t="s">
        <v>105</v>
      </c>
      <c r="F5" s="62" t="s">
        <v>104</v>
      </c>
      <c r="G5" s="63" t="str">
        <f t="shared" si="1"/>
        <v>Not Eligible</v>
      </c>
      <c r="H5" s="65">
        <v>365888.6</v>
      </c>
      <c r="I5" s="65">
        <v>382457.4</v>
      </c>
      <c r="J5" s="65">
        <v>398521.59999999998</v>
      </c>
      <c r="K5" s="127">
        <v>0.56999999999999995</v>
      </c>
      <c r="L5" s="127">
        <v>0.88</v>
      </c>
      <c r="M5" s="130">
        <v>12</v>
      </c>
      <c r="N5" s="128">
        <v>23.48</v>
      </c>
      <c r="O5" s="129">
        <v>8.69</v>
      </c>
      <c r="P5" s="129">
        <v>6259.5</v>
      </c>
      <c r="Q5" s="64">
        <v>594.40205639999999</v>
      </c>
      <c r="R5" s="127">
        <v>0.05</v>
      </c>
      <c r="S5" s="131">
        <v>0.71</v>
      </c>
      <c r="T5" s="68">
        <v>6104.14</v>
      </c>
      <c r="U5" s="66">
        <v>6104.14</v>
      </c>
      <c r="V5" s="121">
        <v>4.9000000000000002E-2</v>
      </c>
      <c r="W5" s="127">
        <v>0.63</v>
      </c>
    </row>
    <row r="6" spans="1:23" ht="14.25" customHeight="1" x14ac:dyDescent="0.3">
      <c r="A6" s="62" t="s">
        <v>115</v>
      </c>
      <c r="B6" s="44" t="s">
        <v>116</v>
      </c>
      <c r="C6" s="44" t="s">
        <v>106</v>
      </c>
      <c r="D6" s="44" t="s">
        <v>103</v>
      </c>
      <c r="E6" s="62" t="s">
        <v>105</v>
      </c>
      <c r="F6" s="62" t="s">
        <v>104</v>
      </c>
      <c r="G6" s="63" t="str">
        <f t="shared" si="1"/>
        <v>Not Eligible</v>
      </c>
      <c r="H6" s="65">
        <v>34210.400000000001</v>
      </c>
      <c r="I6" s="65">
        <v>35213.4</v>
      </c>
      <c r="J6" s="65">
        <v>35354.400000000001</v>
      </c>
      <c r="K6" s="127">
        <v>0.56999999999999995</v>
      </c>
      <c r="L6" s="127">
        <v>0.88</v>
      </c>
      <c r="M6" s="130">
        <v>12</v>
      </c>
      <c r="N6" s="128">
        <v>23.48</v>
      </c>
      <c r="O6" s="129">
        <v>8.69</v>
      </c>
      <c r="P6" s="129">
        <v>19431.8</v>
      </c>
      <c r="Q6" s="64">
        <v>743.00257050000005</v>
      </c>
      <c r="R6" s="127">
        <v>0.05</v>
      </c>
      <c r="S6" s="131">
        <v>0.71</v>
      </c>
      <c r="T6" s="68">
        <v>12472.44</v>
      </c>
      <c r="U6" s="66">
        <v>12482.44</v>
      </c>
      <c r="V6" s="121">
        <v>4.9000000000000002E-2</v>
      </c>
      <c r="W6" s="127">
        <v>0.63</v>
      </c>
    </row>
    <row r="7" spans="1:23" ht="14.25" customHeight="1" x14ac:dyDescent="0.3">
      <c r="A7" s="62" t="s">
        <v>117</v>
      </c>
      <c r="B7" s="44" t="s">
        <v>118</v>
      </c>
      <c r="C7" s="44" t="s">
        <v>106</v>
      </c>
      <c r="D7" s="44" t="s">
        <v>102</v>
      </c>
      <c r="E7" s="62" t="s">
        <v>105</v>
      </c>
      <c r="F7" s="62" t="s">
        <v>104</v>
      </c>
      <c r="G7" s="63" t="str">
        <f t="shared" si="1"/>
        <v>Not Eligible</v>
      </c>
      <c r="H7" s="65">
        <v>157299.80000000002</v>
      </c>
      <c r="I7" s="65">
        <v>153347.80000000002</v>
      </c>
      <c r="J7" s="65">
        <v>147677.39999999997</v>
      </c>
      <c r="K7" s="127">
        <v>0.78</v>
      </c>
      <c r="L7" s="127">
        <v>0.88</v>
      </c>
      <c r="M7" s="130">
        <v>12</v>
      </c>
      <c r="N7" s="128">
        <v>23.48</v>
      </c>
      <c r="O7" s="129">
        <v>8.69</v>
      </c>
      <c r="P7" s="129">
        <v>13057.1</v>
      </c>
      <c r="Q7" s="64">
        <v>764.82971740000005</v>
      </c>
      <c r="R7" s="127">
        <v>0.05</v>
      </c>
      <c r="S7" s="131">
        <v>0.71</v>
      </c>
      <c r="T7" s="68">
        <v>5695.13</v>
      </c>
      <c r="U7" s="66">
        <v>5965.13</v>
      </c>
      <c r="V7" s="121">
        <v>4.9000000000000002E-2</v>
      </c>
      <c r="W7" s="127">
        <v>0.86</v>
      </c>
    </row>
    <row r="8" spans="1:23" ht="14.25" customHeight="1" x14ac:dyDescent="0.3">
      <c r="A8" s="62" t="s">
        <v>119</v>
      </c>
      <c r="B8" s="44" t="s">
        <v>120</v>
      </c>
      <c r="C8" s="44" t="s">
        <v>106</v>
      </c>
      <c r="D8" s="44" t="s">
        <v>103</v>
      </c>
      <c r="E8" s="62" t="s">
        <v>105</v>
      </c>
      <c r="F8" s="62" t="s">
        <v>104</v>
      </c>
      <c r="G8" s="63" t="s">
        <v>110</v>
      </c>
      <c r="H8" s="65">
        <v>1136431.2</v>
      </c>
      <c r="I8" s="65">
        <v>1134871.5999999999</v>
      </c>
      <c r="J8" s="65">
        <v>1162357</v>
      </c>
      <c r="K8" s="127">
        <v>0.9</v>
      </c>
      <c r="L8" s="127">
        <v>0.88</v>
      </c>
      <c r="M8" s="130">
        <v>12</v>
      </c>
      <c r="N8" s="128">
        <v>23.48</v>
      </c>
      <c r="O8" s="129">
        <v>8.69</v>
      </c>
      <c r="P8" s="129">
        <v>5751.3</v>
      </c>
      <c r="Q8" s="64">
        <v>891.60308459999999</v>
      </c>
      <c r="R8" s="127">
        <v>0.05</v>
      </c>
      <c r="S8" s="131">
        <v>0.71</v>
      </c>
      <c r="T8" s="68">
        <v>10045.68</v>
      </c>
      <c r="U8" s="66">
        <v>10045.68</v>
      </c>
      <c r="V8" s="121">
        <v>4.9000000000000002E-2</v>
      </c>
      <c r="W8" s="127">
        <v>0.99</v>
      </c>
    </row>
    <row r="9" spans="1:23" ht="14.25" customHeight="1" x14ac:dyDescent="0.3">
      <c r="A9" s="62" t="s">
        <v>121</v>
      </c>
      <c r="B9" s="44" t="s">
        <v>122</v>
      </c>
      <c r="C9" s="44" t="s">
        <v>106</v>
      </c>
      <c r="D9" s="44" t="s">
        <v>102</v>
      </c>
      <c r="E9" s="62" t="s">
        <v>105</v>
      </c>
      <c r="F9" s="62" t="s">
        <v>104</v>
      </c>
      <c r="G9" s="63" t="str">
        <f t="shared" ref="G9" si="2">IF(C9="AMRO","Participating","Not Eligible")</f>
        <v>Not Eligible</v>
      </c>
      <c r="H9" s="65">
        <v>295777.60000000003</v>
      </c>
      <c r="I9" s="65">
        <v>284577.2</v>
      </c>
      <c r="J9" s="65">
        <v>276416.2</v>
      </c>
      <c r="K9" s="127">
        <v>0.74</v>
      </c>
      <c r="L9" s="127">
        <v>0.88</v>
      </c>
      <c r="M9" s="130">
        <v>12</v>
      </c>
      <c r="N9" s="128">
        <v>23.48</v>
      </c>
      <c r="O9" s="129">
        <v>8.69</v>
      </c>
      <c r="P9" s="129">
        <v>7069.5</v>
      </c>
      <c r="Q9" s="64">
        <v>764.82971740000005</v>
      </c>
      <c r="R9" s="127">
        <v>0.05</v>
      </c>
      <c r="S9" s="131">
        <v>0.71</v>
      </c>
      <c r="T9" s="68">
        <v>6621.57</v>
      </c>
      <c r="U9" s="66">
        <v>6621.57</v>
      </c>
      <c r="V9" s="121">
        <v>4.9000000000000002E-2</v>
      </c>
      <c r="W9" s="127">
        <v>0.81</v>
      </c>
    </row>
    <row r="10" spans="1:23" ht="15" customHeight="1" x14ac:dyDescent="0.3">
      <c r="O10" s="12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Azure</cp:lastModifiedBy>
  <dcterms:modified xsi:type="dcterms:W3CDTF">2024-01-11T02:50:14Z</dcterms:modified>
</cp:coreProperties>
</file>