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ash/Downloads/"/>
    </mc:Choice>
  </mc:AlternateContent>
  <xr:revisionPtr revIDLastSave="0" documentId="8_{320A84D5-6B9A-1641-B8CD-7C10500B6A02}" xr6:coauthVersionLast="47" xr6:coauthVersionMax="47" xr10:uidLastSave="{00000000-0000-0000-0000-000000000000}"/>
  <bookViews>
    <workbookView xWindow="0" yWindow="0" windowWidth="28800" windowHeight="18000" xr2:uid="{251CA1E2-2E0A-C14C-BFC2-F2B53113E278}"/>
  </bookViews>
  <sheets>
    <sheet name="DCF (Base)" sheetId="1" r:id="rId1"/>
    <sheet name="DCF (Optimistic)" sheetId="16" r:id="rId2"/>
    <sheet name="DCF (Conservative)" sheetId="1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7" i="17" l="1"/>
  <c r="C47" i="16"/>
  <c r="D53" i="16" s="1"/>
  <c r="D78" i="16"/>
  <c r="J62" i="16"/>
  <c r="D51" i="16"/>
  <c r="C41" i="16"/>
  <c r="N28" i="16"/>
  <c r="M28" i="16"/>
  <c r="L28" i="16"/>
  <c r="K28" i="16"/>
  <c r="J28" i="16"/>
  <c r="I28" i="16"/>
  <c r="H28" i="16"/>
  <c r="G28" i="16"/>
  <c r="F28" i="16"/>
  <c r="N66" i="17"/>
  <c r="D78" i="17"/>
  <c r="N62" i="17"/>
  <c r="M62" i="17"/>
  <c r="L62" i="17"/>
  <c r="K62" i="17"/>
  <c r="J62" i="17"/>
  <c r="K61" i="17"/>
  <c r="L61" i="17" s="1"/>
  <c r="N62" i="16"/>
  <c r="M62" i="16"/>
  <c r="L62" i="16"/>
  <c r="K62" i="16"/>
  <c r="K61" i="16"/>
  <c r="L61" i="16" s="1"/>
  <c r="D51" i="17"/>
  <c r="C45" i="17"/>
  <c r="C41" i="17"/>
  <c r="C35" i="17"/>
  <c r="C36" i="17" s="1"/>
  <c r="C32" i="17"/>
  <c r="C33" i="17" s="1"/>
  <c r="D53" i="17" s="1"/>
  <c r="M66" i="17" s="1"/>
  <c r="C45" i="16"/>
  <c r="C35" i="16"/>
  <c r="C36" i="16" s="1"/>
  <c r="C32" i="16"/>
  <c r="C33" i="16" s="1"/>
  <c r="J15" i="17"/>
  <c r="N12" i="17"/>
  <c r="M12" i="17"/>
  <c r="L12" i="17"/>
  <c r="K12" i="17"/>
  <c r="J12" i="17"/>
  <c r="K9" i="17"/>
  <c r="K26" i="17" s="1"/>
  <c r="J9" i="17"/>
  <c r="J9" i="16"/>
  <c r="H28" i="17"/>
  <c r="G28" i="17"/>
  <c r="J26" i="17"/>
  <c r="I26" i="17"/>
  <c r="H26" i="17"/>
  <c r="G26" i="17"/>
  <c r="F26" i="17"/>
  <c r="N23" i="17"/>
  <c r="M23" i="17"/>
  <c r="L23" i="17"/>
  <c r="K23" i="17"/>
  <c r="J23" i="17"/>
  <c r="I23" i="17"/>
  <c r="I28" i="17" s="1"/>
  <c r="H23" i="17"/>
  <c r="G23" i="17"/>
  <c r="K20" i="17"/>
  <c r="J20" i="17"/>
  <c r="I20" i="17"/>
  <c r="H20" i="17"/>
  <c r="G20" i="17"/>
  <c r="F20" i="17"/>
  <c r="M17" i="17"/>
  <c r="L17" i="17"/>
  <c r="K17" i="17"/>
  <c r="K15" i="17" s="1"/>
  <c r="J17" i="17"/>
  <c r="I17" i="17"/>
  <c r="H17" i="17"/>
  <c r="G17" i="17"/>
  <c r="F17" i="17"/>
  <c r="N17" i="17" s="1"/>
  <c r="L28" i="17"/>
  <c r="K28" i="17"/>
  <c r="I16" i="17"/>
  <c r="H16" i="17"/>
  <c r="G16" i="17"/>
  <c r="F16" i="17"/>
  <c r="F28" i="17" s="1"/>
  <c r="I13" i="17"/>
  <c r="H13" i="17"/>
  <c r="G13" i="17"/>
  <c r="F13" i="17"/>
  <c r="N15" i="16"/>
  <c r="M15" i="16"/>
  <c r="L15" i="16"/>
  <c r="K15" i="16"/>
  <c r="J15" i="16"/>
  <c r="N12" i="16"/>
  <c r="M12" i="16"/>
  <c r="L12" i="16"/>
  <c r="K12" i="16"/>
  <c r="K13" i="16" s="1"/>
  <c r="J12" i="16"/>
  <c r="K13" i="1"/>
  <c r="M9" i="16"/>
  <c r="N9" i="16" s="1"/>
  <c r="L9" i="16"/>
  <c r="L20" i="16" s="1"/>
  <c r="K9" i="16"/>
  <c r="J20" i="16"/>
  <c r="L26" i="16"/>
  <c r="K26" i="16"/>
  <c r="J26" i="16"/>
  <c r="I26" i="16"/>
  <c r="H26" i="16"/>
  <c r="G26" i="16"/>
  <c r="F26" i="16"/>
  <c r="N23" i="16"/>
  <c r="M23" i="16"/>
  <c r="L23" i="16"/>
  <c r="K23" i="16"/>
  <c r="J23" i="16"/>
  <c r="I23" i="16"/>
  <c r="H23" i="16"/>
  <c r="G23" i="16"/>
  <c r="K20" i="16"/>
  <c r="I20" i="16"/>
  <c r="H20" i="16"/>
  <c r="G20" i="16"/>
  <c r="F20" i="16"/>
  <c r="I17" i="16"/>
  <c r="H17" i="16"/>
  <c r="M17" i="16" s="1"/>
  <c r="G17" i="16"/>
  <c r="F17" i="16"/>
  <c r="I16" i="16"/>
  <c r="H16" i="16"/>
  <c r="G16" i="16"/>
  <c r="F16" i="16"/>
  <c r="L13" i="16"/>
  <c r="I13" i="16"/>
  <c r="H13" i="16"/>
  <c r="G13" i="16"/>
  <c r="F13" i="16"/>
  <c r="H28" i="1"/>
  <c r="G28" i="1"/>
  <c r="O28" i="1"/>
  <c r="N28" i="1"/>
  <c r="M28" i="1"/>
  <c r="L28" i="1"/>
  <c r="K28" i="1"/>
  <c r="J28" i="1"/>
  <c r="I28" i="1"/>
  <c r="H23" i="1"/>
  <c r="D41" i="1"/>
  <c r="D32" i="1"/>
  <c r="D35" i="1"/>
  <c r="E78" i="1" s="1"/>
  <c r="L61" i="1"/>
  <c r="M61" i="1" s="1"/>
  <c r="N61" i="1" s="1"/>
  <c r="O61" i="1" s="1"/>
  <c r="L66" i="17" l="1"/>
  <c r="J66" i="17"/>
  <c r="J68" i="17" s="1"/>
  <c r="K66" i="17"/>
  <c r="K68" i="17" s="1"/>
  <c r="J66" i="16"/>
  <c r="J68" i="16" s="1"/>
  <c r="M66" i="16"/>
  <c r="K66" i="16"/>
  <c r="K68" i="16" s="1"/>
  <c r="N66" i="16"/>
  <c r="L66" i="16"/>
  <c r="L68" i="16" s="1"/>
  <c r="L68" i="17"/>
  <c r="M61" i="17"/>
  <c r="M61" i="16"/>
  <c r="D58" i="17"/>
  <c r="N64" i="17" s="1"/>
  <c r="D58" i="16"/>
  <c r="N64" i="16" s="1"/>
  <c r="J13" i="17"/>
  <c r="K13" i="17"/>
  <c r="L9" i="17"/>
  <c r="M9" i="17" s="1"/>
  <c r="N9" i="17" s="1"/>
  <c r="L15" i="17"/>
  <c r="L20" i="17"/>
  <c r="L26" i="17"/>
  <c r="L13" i="17"/>
  <c r="M28" i="17"/>
  <c r="N28" i="17"/>
  <c r="J28" i="17"/>
  <c r="M20" i="16"/>
  <c r="M13" i="16"/>
  <c r="M26" i="16"/>
  <c r="J17" i="16"/>
  <c r="K17" i="16"/>
  <c r="N17" i="16"/>
  <c r="L17" i="16"/>
  <c r="D33" i="1"/>
  <c r="D36" i="1"/>
  <c r="G17" i="1"/>
  <c r="H17" i="1"/>
  <c r="I17" i="1"/>
  <c r="J17" i="1"/>
  <c r="J16" i="1"/>
  <c r="I16" i="1"/>
  <c r="H16" i="1"/>
  <c r="G16" i="1"/>
  <c r="O20" i="1"/>
  <c r="N20" i="1"/>
  <c r="M20" i="1"/>
  <c r="L20" i="1"/>
  <c r="K20" i="1"/>
  <c r="J20" i="1"/>
  <c r="I20" i="1"/>
  <c r="H20" i="1"/>
  <c r="G20" i="1"/>
  <c r="O23" i="1"/>
  <c r="N23" i="1"/>
  <c r="M23" i="1"/>
  <c r="L23" i="1"/>
  <c r="K23" i="1"/>
  <c r="J23" i="1"/>
  <c r="I23" i="1"/>
  <c r="O26" i="1"/>
  <c r="N26" i="1"/>
  <c r="M26" i="1"/>
  <c r="L26" i="1"/>
  <c r="K26" i="1"/>
  <c r="J26" i="1"/>
  <c r="I26" i="1"/>
  <c r="H26" i="1"/>
  <c r="G26" i="1"/>
  <c r="O13" i="1"/>
  <c r="N13" i="1"/>
  <c r="M13" i="1"/>
  <c r="L13" i="1"/>
  <c r="J13" i="1"/>
  <c r="I13" i="1"/>
  <c r="H13" i="1"/>
  <c r="G13" i="1"/>
  <c r="M68" i="17" l="1"/>
  <c r="N61" i="17"/>
  <c r="M68" i="16"/>
  <c r="N61" i="16"/>
  <c r="M15" i="17"/>
  <c r="M26" i="17"/>
  <c r="M20" i="17"/>
  <c r="M13" i="17"/>
  <c r="N20" i="16"/>
  <c r="N13" i="16"/>
  <c r="N26" i="16"/>
  <c r="L17" i="1"/>
  <c r="L15" i="1" s="1"/>
  <c r="K17" i="1"/>
  <c r="K15" i="1" s="1"/>
  <c r="M17" i="1"/>
  <c r="M15" i="1" s="1"/>
  <c r="D45" i="1"/>
  <c r="D47" i="1" s="1"/>
  <c r="E53" i="1" s="1"/>
  <c r="K66" i="1" s="1"/>
  <c r="N17" i="1"/>
  <c r="N15" i="1" s="1"/>
  <c r="O17" i="1"/>
  <c r="O15" i="1" s="1"/>
  <c r="L16" i="1"/>
  <c r="M16" i="1"/>
  <c r="K16" i="1"/>
  <c r="N16" i="1"/>
  <c r="O16" i="1"/>
  <c r="N70" i="17" l="1"/>
  <c r="N68" i="17"/>
  <c r="N70" i="16"/>
  <c r="N68" i="16"/>
  <c r="N26" i="17"/>
  <c r="N20" i="17"/>
  <c r="N13" i="17"/>
  <c r="N15" i="17"/>
  <c r="N62" i="1"/>
  <c r="K62" i="1"/>
  <c r="K68" i="1" s="1"/>
  <c r="L62" i="1"/>
  <c r="M62" i="1"/>
  <c r="O66" i="1"/>
  <c r="N66" i="1"/>
  <c r="M66" i="1"/>
  <c r="L66" i="1"/>
  <c r="O62" i="1"/>
  <c r="E51" i="1"/>
  <c r="D72" i="16" l="1"/>
  <c r="D76" i="16" s="1"/>
  <c r="D72" i="17"/>
  <c r="D76" i="17" s="1"/>
  <c r="D80" i="17" s="1"/>
  <c r="D84" i="17" s="1"/>
  <c r="D80" i="16"/>
  <c r="D84" i="16" s="1"/>
  <c r="L68" i="1"/>
  <c r="M68" i="1"/>
  <c r="N68" i="1"/>
  <c r="E58" i="1"/>
  <c r="O64" i="1" s="1"/>
  <c r="O70" i="1" s="1"/>
  <c r="O68" i="1"/>
  <c r="E72" i="1" l="1"/>
  <c r="E76" i="1" s="1"/>
  <c r="E80" i="1" s="1"/>
  <c r="E84" i="1" s="1"/>
  <c r="J13" i="16"/>
</calcChain>
</file>

<file path=xl/sharedStrings.xml><?xml version="1.0" encoding="utf-8"?>
<sst xmlns="http://schemas.openxmlformats.org/spreadsheetml/2006/main" count="183" uniqueCount="64">
  <si>
    <t>Company:</t>
  </si>
  <si>
    <t>Ticker:</t>
  </si>
  <si>
    <t>Date:</t>
  </si>
  <si>
    <t>Hasbro, Inc</t>
  </si>
  <si>
    <t xml:space="preserve">HAS </t>
  </si>
  <si>
    <t>Revenue</t>
  </si>
  <si>
    <t>2020 (A)</t>
  </si>
  <si>
    <t>2021 (A)</t>
  </si>
  <si>
    <t>2022 (A)</t>
  </si>
  <si>
    <t>2023 (A)</t>
  </si>
  <si>
    <t>2024 (E)</t>
  </si>
  <si>
    <t>2026 (E)</t>
  </si>
  <si>
    <t>2027 (E)</t>
  </si>
  <si>
    <t>2028 (E)</t>
  </si>
  <si>
    <t>2025 (E)</t>
  </si>
  <si>
    <t>EBIT</t>
  </si>
  <si>
    <t>Taxes</t>
  </si>
  <si>
    <t>Tax Rate</t>
  </si>
  <si>
    <t>Unlevered Future Free Cash Flow</t>
  </si>
  <si>
    <t>Free Cash Flow</t>
  </si>
  <si>
    <t>WACC Calculations</t>
  </si>
  <si>
    <t>Cost of Equity</t>
  </si>
  <si>
    <t>Cost of Debt</t>
  </si>
  <si>
    <t>% Equity</t>
  </si>
  <si>
    <t>% Debt</t>
  </si>
  <si>
    <t>% of Revenue</t>
  </si>
  <si>
    <t>Net Working Capital</t>
  </si>
  <si>
    <t>Change in NWC</t>
  </si>
  <si>
    <t>Equity</t>
  </si>
  <si>
    <t>Debt</t>
  </si>
  <si>
    <t>Risk Free Rate</t>
  </si>
  <si>
    <t>Beta</t>
  </si>
  <si>
    <t>WACC</t>
  </si>
  <si>
    <t>Terminal Value</t>
  </si>
  <si>
    <t>Equity Risk Premium</t>
  </si>
  <si>
    <t>Projected Cash Flow (2028)</t>
  </si>
  <si>
    <t>Growth Rate</t>
  </si>
  <si>
    <t>Discounted Free Cash Flow and Terminal Value</t>
  </si>
  <si>
    <t>Projected Free Cash Flow (2024-2028)</t>
  </si>
  <si>
    <t>Discount Factor</t>
  </si>
  <si>
    <t>Present Value of Free Cash Flow</t>
  </si>
  <si>
    <t>Present Value of Terminal Value</t>
  </si>
  <si>
    <t>Enterprise Value</t>
  </si>
  <si>
    <t xml:space="preserve">Implied Share Price </t>
  </si>
  <si>
    <t>Cash</t>
  </si>
  <si>
    <t>Equity  Value</t>
  </si>
  <si>
    <t>Outstanding Shares</t>
  </si>
  <si>
    <t>Implied Share Price</t>
  </si>
  <si>
    <t>Capital Expenditures</t>
  </si>
  <si>
    <t>Depreciation &amp; Amortization</t>
  </si>
  <si>
    <t>Sales Growth Rate</t>
  </si>
  <si>
    <t>Revenue Growth = Up 3%</t>
  </si>
  <si>
    <t>Tax rate = Down 4%</t>
  </si>
  <si>
    <t>Revenue Growth = Down 1%</t>
  </si>
  <si>
    <t>Tax rate = Up 3%</t>
  </si>
  <si>
    <t>WACC =Down by .4%</t>
  </si>
  <si>
    <t>WACC = Up by .4%</t>
  </si>
  <si>
    <t xml:space="preserve">Case Description: In light of recent deals such as Mattel partnering with Formula 1, the Toys and Children's Product industry is continuously climbing as more licenses partner </t>
  </si>
  <si>
    <t xml:space="preserve">with toy brands to increase revenue growth. As these companies get more sales, their debt/equity ratio will decrease, therefore lowering WACC. An assumption is also made that </t>
  </si>
  <si>
    <t xml:space="preserve">the tax rate will decrease. </t>
  </si>
  <si>
    <t xml:space="preserve">Case Description: The current debt/equity ratio of the Toys and Children's Products industry is increasing  to 36.6% growth. Similarly, Hasbro's revenue </t>
  </si>
  <si>
    <t>has been slowing down over the past few years, meaning that the industry itself isn't as lucrative as it used to be. This is likely due to the expansion of electronic</t>
  </si>
  <si>
    <t>toys such as video games becoming more popular for children over the years. With the debt/equity ratio increasing, the WACC would also likely increase. Hasbro's</t>
  </si>
  <si>
    <t>revenue growth slowing down creates an assumption that it will slow down in the future. An assumption is also made that the tax rate will go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</si>
</sst>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1];[Red]\-#,##0\ [$€-1]"/>
    <numFmt numFmtId="165" formatCode="0%;\(0%\)"/>
    <numFmt numFmtId="166" formatCode="0.0000000000000000%"/>
    <numFmt numFmtId="167" formatCode="0.00%;\(0.00%\)"/>
    <numFmt numFmtId="168" formatCode="&quot;$&quot;#,##0.00"/>
  </numFmts>
  <fonts count="7" x14ac:knownFonts="1">
    <font>
      <sz val="12"/>
      <color theme="1"/>
      <name val="Aptos Narrow"/>
      <family val="2"/>
      <scheme val="minor"/>
    </font>
    <font>
      <sz val="12"/>
      <color theme="0"/>
      <name val="Aptos Narrow"/>
      <family val="2"/>
      <scheme val="minor"/>
    </font>
    <font>
      <sz val="12"/>
      <color theme="0"/>
      <name val="Aptos Narrow (Body)"/>
    </font>
    <font>
      <sz val="12"/>
      <color theme="1"/>
      <name val="Aptos Narrow (Body)"/>
    </font>
    <font>
      <sz val="12"/>
      <color rgb="FF000000"/>
      <name val="Aptos Narrow"/>
      <family val="2"/>
      <scheme val="minor"/>
    </font>
    <font>
      <sz val="12"/>
      <color theme="2"/>
      <name val="Aptos Narrow"/>
      <family val="2"/>
      <scheme val="minor"/>
    </font>
    <font>
      <sz val="12"/>
      <color theme="2"/>
      <name val="Aptos Narrow (Body)"/>
    </font>
  </fonts>
  <fills count="3">
    <fill>
      <patternFill patternType="none"/>
    </fill>
    <fill>
      <patternFill patternType="gray125"/>
    </fill>
    <fill>
      <patternFill patternType="solid">
        <fgColor theme="7"/>
        <bgColor indexed="64"/>
      </patternFill>
    </fill>
  </fills>
  <borders count="4">
    <border>
      <left/>
      <right/>
      <top/>
      <bottom/>
      <diagonal/>
    </border>
    <border>
      <left/>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5">
    <xf numFmtId="0" fontId="0" fillId="0" borderId="0" xfId="0"/>
    <xf numFmtId="165" fontId="0" fillId="0" borderId="0" xfId="0" applyNumberFormat="1"/>
    <xf numFmtId="0" fontId="0" fillId="0" borderId="1" xfId="0" applyBorder="1"/>
    <xf numFmtId="3" fontId="0" fillId="0" borderId="3" xfId="0" applyNumberFormat="1" applyBorder="1"/>
    <xf numFmtId="10" fontId="0" fillId="0" borderId="0" xfId="0" applyNumberFormat="1"/>
    <xf numFmtId="166" fontId="0" fillId="0" borderId="0" xfId="0" applyNumberFormat="1"/>
    <xf numFmtId="167" fontId="0" fillId="0" borderId="0" xfId="0" applyNumberFormat="1"/>
    <xf numFmtId="2" fontId="0" fillId="0" borderId="0" xfId="0" applyNumberFormat="1"/>
    <xf numFmtId="3" fontId="0" fillId="0" borderId="0" xfId="0" applyNumberFormat="1"/>
    <xf numFmtId="10" fontId="0" fillId="0" borderId="3" xfId="0" applyNumberFormat="1" applyBorder="1"/>
    <xf numFmtId="10" fontId="0" fillId="0" borderId="1" xfId="0" applyNumberFormat="1" applyBorder="1"/>
    <xf numFmtId="0" fontId="4" fillId="0" borderId="1" xfId="0" applyFont="1" applyBorder="1"/>
    <xf numFmtId="10" fontId="4" fillId="0" borderId="1" xfId="0" applyNumberFormat="1" applyFont="1" applyBorder="1"/>
    <xf numFmtId="168" fontId="4" fillId="0" borderId="3" xfId="0" applyNumberFormat="1" applyFont="1" applyBorder="1"/>
    <xf numFmtId="37" fontId="0" fillId="0" borderId="0" xfId="0" applyNumberFormat="1"/>
    <xf numFmtId="0" fontId="5" fillId="2" borderId="0" xfId="0" applyFont="1" applyFill="1"/>
    <xf numFmtId="0" fontId="6" fillId="2" borderId="0" xfId="0" applyFont="1" applyFill="1"/>
    <xf numFmtId="0" fontId="2" fillId="2" borderId="0" xfId="0" applyFont="1" applyFill="1"/>
    <xf numFmtId="0" fontId="0" fillId="2" borderId="0" xfId="0" applyFill="1"/>
    <xf numFmtId="0" fontId="1" fillId="2" borderId="0" xfId="0" applyFont="1" applyFill="1"/>
    <xf numFmtId="164" fontId="1" fillId="2" borderId="0" xfId="0" applyNumberFormat="1" applyFont="1" applyFill="1"/>
    <xf numFmtId="0" fontId="3" fillId="0" borderId="0" xfId="0" applyFont="1" applyAlignment="1">
      <alignment horizontal="center" vertical="center"/>
    </xf>
    <xf numFmtId="14" fontId="0" fillId="0" borderId="0" xfId="0" applyNumberFormat="1" applyAlignment="1">
      <alignment horizontal="center" vertical="center"/>
    </xf>
    <xf numFmtId="37" fontId="0" fillId="0" borderId="2" xfId="0" applyNumberFormat="1" applyBorder="1"/>
    <xf numFmtId="37" fontId="0" fillId="0" borderId="3"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F588C-567A-2E48-9CC9-B2569FB78F9D}">
  <dimension ref="A2:T84"/>
  <sheetViews>
    <sheetView tabSelected="1" topLeftCell="B1" zoomScale="84" workbookViewId="0">
      <selection activeCell="H66" sqref="H66"/>
    </sheetView>
  </sheetViews>
  <sheetFormatPr baseColWidth="10" defaultRowHeight="16" x14ac:dyDescent="0.2"/>
  <cols>
    <col min="1" max="1" width="1" hidden="1" customWidth="1"/>
    <col min="4" max="5" width="21.1640625" bestFit="1" customWidth="1"/>
    <col min="11" max="11" width="11.1640625" bestFit="1" customWidth="1"/>
    <col min="12" max="14" width="11" bestFit="1" customWidth="1"/>
    <col min="15" max="15" width="12.1640625" bestFit="1" customWidth="1"/>
  </cols>
  <sheetData>
    <row r="2" spans="2:15" x14ac:dyDescent="0.2">
      <c r="B2" t="s">
        <v>0</v>
      </c>
      <c r="C2" s="21" t="s">
        <v>3</v>
      </c>
      <c r="D2" s="21"/>
    </row>
    <row r="3" spans="2:15" x14ac:dyDescent="0.2">
      <c r="B3" t="s">
        <v>1</v>
      </c>
      <c r="C3" s="21" t="s">
        <v>4</v>
      </c>
      <c r="D3" s="21"/>
    </row>
    <row r="4" spans="2:15" x14ac:dyDescent="0.2">
      <c r="B4" t="s">
        <v>2</v>
      </c>
      <c r="C4" s="22">
        <v>45559</v>
      </c>
      <c r="D4" s="22"/>
    </row>
    <row r="8" spans="2:15" x14ac:dyDescent="0.2">
      <c r="B8" s="17" t="s">
        <v>18</v>
      </c>
      <c r="C8" s="18"/>
      <c r="D8" s="18"/>
      <c r="E8" s="18"/>
      <c r="F8" s="18"/>
      <c r="G8" s="19" t="s">
        <v>6</v>
      </c>
      <c r="H8" s="19" t="s">
        <v>7</v>
      </c>
      <c r="I8" s="19" t="s">
        <v>8</v>
      </c>
      <c r="J8" s="19" t="s">
        <v>9</v>
      </c>
      <c r="K8" s="19" t="s">
        <v>10</v>
      </c>
      <c r="L8" s="20" t="s">
        <v>14</v>
      </c>
      <c r="M8" s="19" t="s">
        <v>11</v>
      </c>
      <c r="N8" s="19" t="s">
        <v>12</v>
      </c>
      <c r="O8" s="19" t="s">
        <v>13</v>
      </c>
    </row>
    <row r="9" spans="2:15" x14ac:dyDescent="0.2">
      <c r="B9" t="s">
        <v>5</v>
      </c>
      <c r="G9" s="8">
        <v>5465443</v>
      </c>
      <c r="H9" s="8">
        <v>6420400</v>
      </c>
      <c r="I9" s="8">
        <v>5856700</v>
      </c>
      <c r="J9" s="8">
        <v>5003100</v>
      </c>
      <c r="K9" s="8">
        <v>5126999</v>
      </c>
      <c r="L9" s="8">
        <v>5253966</v>
      </c>
      <c r="M9" s="8">
        <v>5384077</v>
      </c>
      <c r="N9" s="8">
        <v>5517411</v>
      </c>
      <c r="O9" s="8">
        <v>5654046</v>
      </c>
    </row>
    <row r="10" spans="2:15" x14ac:dyDescent="0.2">
      <c r="B10" t="s">
        <v>50</v>
      </c>
      <c r="G10" s="1">
        <v>0.15790000000000001</v>
      </c>
      <c r="H10" s="1">
        <v>0.17469999999999999</v>
      </c>
      <c r="I10" s="1">
        <v>-8.7800000000000003E-2</v>
      </c>
      <c r="J10" s="1">
        <v>-0.1457</v>
      </c>
      <c r="K10" s="1">
        <v>2.4799999999999999E-2</v>
      </c>
      <c r="L10" s="1">
        <v>2.4799999999999999E-2</v>
      </c>
      <c r="M10" s="1">
        <v>2.4799999999999999E-2</v>
      </c>
      <c r="N10" s="1">
        <v>2.4799999999999999E-2</v>
      </c>
      <c r="O10" s="1">
        <v>2.4799999999999999E-2</v>
      </c>
    </row>
    <row r="11" spans="2:15" x14ac:dyDescent="0.2">
      <c r="K11" s="1"/>
    </row>
    <row r="12" spans="2:15" x14ac:dyDescent="0.2">
      <c r="B12" t="s">
        <v>15</v>
      </c>
      <c r="G12" s="8">
        <v>234473</v>
      </c>
      <c r="H12" s="8">
        <v>78500</v>
      </c>
      <c r="I12" s="14">
        <v>-228200</v>
      </c>
      <c r="J12" s="8">
        <v>192300</v>
      </c>
      <c r="K12" s="8">
        <v>159603</v>
      </c>
      <c r="L12" s="8">
        <v>163555</v>
      </c>
      <c r="M12" s="8">
        <v>167605</v>
      </c>
      <c r="N12" s="8">
        <v>171756</v>
      </c>
      <c r="O12" s="8">
        <v>176009</v>
      </c>
    </row>
    <row r="13" spans="2:15" x14ac:dyDescent="0.2">
      <c r="B13" t="s">
        <v>25</v>
      </c>
      <c r="G13" s="1">
        <f t="shared" ref="G13:O13" si="0">G12/G9</f>
        <v>4.2901005462869159E-2</v>
      </c>
      <c r="H13" s="1">
        <f t="shared" si="0"/>
        <v>1.2226652545012772E-2</v>
      </c>
      <c r="I13" s="1">
        <f t="shared" si="0"/>
        <v>-3.8963921662369595E-2</v>
      </c>
      <c r="J13" s="1">
        <f t="shared" si="0"/>
        <v>3.8436169574863586E-2</v>
      </c>
      <c r="K13" s="1">
        <f t="shared" si="0"/>
        <v>3.1129906598382405E-2</v>
      </c>
      <c r="L13" s="1">
        <f t="shared" si="0"/>
        <v>3.1129816980163177E-2</v>
      </c>
      <c r="M13" s="1">
        <f t="shared" si="0"/>
        <v>3.1129755387970862E-2</v>
      </c>
      <c r="N13" s="1">
        <f t="shared" si="0"/>
        <v>3.1129817952659317E-2</v>
      </c>
      <c r="O13" s="1">
        <f t="shared" si="0"/>
        <v>3.1129743196288109E-2</v>
      </c>
    </row>
    <row r="14" spans="2:15" x14ac:dyDescent="0.2">
      <c r="K14" s="1"/>
    </row>
    <row r="15" spans="2:15" x14ac:dyDescent="0.2">
      <c r="B15" t="s">
        <v>16</v>
      </c>
      <c r="G15" s="8">
        <v>96621</v>
      </c>
      <c r="H15" s="8">
        <v>146600</v>
      </c>
      <c r="I15" s="8">
        <v>58500</v>
      </c>
      <c r="J15" s="8">
        <v>221300</v>
      </c>
      <c r="K15" s="8">
        <f>K9*K17</f>
        <v>121424.17158028633</v>
      </c>
      <c r="L15" s="8">
        <f>L9*L17</f>
        <v>124431.16705522874</v>
      </c>
      <c r="M15" s="8">
        <f>M9*M17</f>
        <v>127512.62277396063</v>
      </c>
      <c r="N15" s="8">
        <f>N9*N17</f>
        <v>130670.40971589019</v>
      </c>
      <c r="O15" s="8">
        <f>O9*O17</f>
        <v>133906.37517714195</v>
      </c>
    </row>
    <row r="16" spans="2:15" x14ac:dyDescent="0.2">
      <c r="B16" t="s">
        <v>17</v>
      </c>
      <c r="G16" s="1">
        <f>G15/322062</f>
        <v>0.30000745198129553</v>
      </c>
      <c r="H16" s="1">
        <f>H15/581900</f>
        <v>0.2519333218766111</v>
      </c>
      <c r="I16" s="1">
        <f>I15/261500</f>
        <v>0.22370936902485661</v>
      </c>
      <c r="J16" s="1">
        <f>J15/1709100</f>
        <v>0.12948335381194781</v>
      </c>
      <c r="K16" s="1">
        <f>AVERAGE(G16:J16)</f>
        <v>0.22628337417367778</v>
      </c>
      <c r="L16" s="1">
        <f>AVERAGE(G16:J16)</f>
        <v>0.22628337417367778</v>
      </c>
      <c r="M16" s="1">
        <f>AVERAGE(G16:J16)</f>
        <v>0.22628337417367778</v>
      </c>
      <c r="N16" s="1">
        <f xml:space="preserve"> AVERAGE(G16:J16)</f>
        <v>0.22628337417367778</v>
      </c>
      <c r="O16" s="1">
        <f xml:space="preserve"> AVERAGE(G16:J16)</f>
        <v>0.22628337417367778</v>
      </c>
    </row>
    <row r="17" spans="1:20" x14ac:dyDescent="0.2">
      <c r="B17" t="s">
        <v>25</v>
      </c>
      <c r="G17" s="1">
        <f>G15/G9</f>
        <v>1.7678530358838249E-2</v>
      </c>
      <c r="H17" s="1">
        <f>H15/H9</f>
        <v>2.2833468319730859E-2</v>
      </c>
      <c r="I17" s="1">
        <f>I15/I9</f>
        <v>9.9885601106425113E-3</v>
      </c>
      <c r="J17" s="1">
        <f>J15/J9</f>
        <v>4.423257580300214E-2</v>
      </c>
      <c r="K17" s="1">
        <f>AVERAGE(G17:J17)</f>
        <v>2.368328364805344E-2</v>
      </c>
      <c r="L17" s="1">
        <f>AVERAGE(G17:J17)</f>
        <v>2.368328364805344E-2</v>
      </c>
      <c r="M17" s="1">
        <f>AVERAGE(G17:J17)</f>
        <v>2.368328364805344E-2</v>
      </c>
      <c r="N17" s="1">
        <f xml:space="preserve"> AVERAGE(G17:J17)</f>
        <v>2.368328364805344E-2</v>
      </c>
      <c r="O17" s="1">
        <f xml:space="preserve"> AVERAGE(G17:J17)</f>
        <v>2.368328364805344E-2</v>
      </c>
      <c r="T17" s="4"/>
    </row>
    <row r="19" spans="1:20" x14ac:dyDescent="0.2">
      <c r="B19" t="s">
        <v>49</v>
      </c>
      <c r="G19" s="8">
        <v>652031</v>
      </c>
      <c r="H19" s="8">
        <v>908700</v>
      </c>
      <c r="I19" s="8">
        <v>788100</v>
      </c>
      <c r="J19" s="8">
        <v>659600</v>
      </c>
      <c r="K19" s="8">
        <v>598493</v>
      </c>
      <c r="L19" s="8">
        <v>613314</v>
      </c>
      <c r="M19" s="8">
        <v>628503</v>
      </c>
      <c r="N19" s="8">
        <v>644067</v>
      </c>
      <c r="O19" s="8">
        <v>660017</v>
      </c>
    </row>
    <row r="20" spans="1:20" x14ac:dyDescent="0.2">
      <c r="B20" t="s">
        <v>25</v>
      </c>
      <c r="G20" s="1">
        <f t="shared" ref="G20:O20" si="1">G19/G9</f>
        <v>0.11930066785071219</v>
      </c>
      <c r="H20" s="1">
        <f t="shared" si="1"/>
        <v>0.14153323780449817</v>
      </c>
      <c r="I20" s="1">
        <f t="shared" si="1"/>
        <v>0.1345638328751686</v>
      </c>
      <c r="J20" s="1">
        <f t="shared" si="1"/>
        <v>0.13183826027862725</v>
      </c>
      <c r="K20" s="1">
        <f t="shared" si="1"/>
        <v>0.11673359015673691</v>
      </c>
      <c r="L20" s="1">
        <f t="shared" si="1"/>
        <v>0.11673353044157499</v>
      </c>
      <c r="M20" s="1">
        <f t="shared" si="1"/>
        <v>0.11673365741240328</v>
      </c>
      <c r="N20" s="1">
        <f t="shared" si="1"/>
        <v>0.11673355492277085</v>
      </c>
      <c r="O20" s="1">
        <f t="shared" si="1"/>
        <v>0.11673357450576101</v>
      </c>
    </row>
    <row r="22" spans="1:20" x14ac:dyDescent="0.2">
      <c r="B22" t="s">
        <v>26</v>
      </c>
      <c r="G22" s="14">
        <v>-176785</v>
      </c>
      <c r="H22" s="14">
        <v>-202500</v>
      </c>
      <c r="I22" s="14">
        <v>1381900</v>
      </c>
      <c r="J22" s="14">
        <v>1020700</v>
      </c>
      <c r="K22" s="14">
        <v>714260</v>
      </c>
      <c r="L22" s="14">
        <v>731948</v>
      </c>
      <c r="M22" s="14">
        <v>750075</v>
      </c>
      <c r="N22" s="14">
        <v>768649</v>
      </c>
      <c r="O22" s="14">
        <v>787680</v>
      </c>
    </row>
    <row r="23" spans="1:20" x14ac:dyDescent="0.2">
      <c r="B23" t="s">
        <v>27</v>
      </c>
      <c r="G23" s="14">
        <v>-1689540</v>
      </c>
      <c r="H23" s="14">
        <f>H22-G22</f>
        <v>-25715</v>
      </c>
      <c r="I23" s="14">
        <f t="shared" ref="I23:O23" si="2">I22-H22</f>
        <v>1584400</v>
      </c>
      <c r="J23" s="14">
        <f t="shared" si="2"/>
        <v>-361200</v>
      </c>
      <c r="K23" s="14">
        <f t="shared" si="2"/>
        <v>-306440</v>
      </c>
      <c r="L23" s="14">
        <f t="shared" si="2"/>
        <v>17688</v>
      </c>
      <c r="M23" s="14">
        <f t="shared" si="2"/>
        <v>18127</v>
      </c>
      <c r="N23" s="14">
        <f t="shared" si="2"/>
        <v>18574</v>
      </c>
      <c r="O23" s="14">
        <f t="shared" si="2"/>
        <v>19031</v>
      </c>
    </row>
    <row r="24" spans="1:20" x14ac:dyDescent="0.2">
      <c r="J24" s="1"/>
    </row>
    <row r="25" spans="1:20" x14ac:dyDescent="0.2">
      <c r="B25" t="s">
        <v>48</v>
      </c>
      <c r="G25" s="14">
        <v>-125754</v>
      </c>
      <c r="H25" s="14">
        <v>-132700</v>
      </c>
      <c r="I25" s="14">
        <v>-174200</v>
      </c>
      <c r="J25" s="14">
        <v>-209300</v>
      </c>
      <c r="K25" s="14">
        <v>-147213</v>
      </c>
      <c r="L25" s="14">
        <v>-150859</v>
      </c>
      <c r="M25" s="14">
        <v>-154595</v>
      </c>
      <c r="N25" s="14">
        <v>-158423</v>
      </c>
      <c r="O25" s="14">
        <v>-162346</v>
      </c>
    </row>
    <row r="26" spans="1:20" x14ac:dyDescent="0.2">
      <c r="B26" t="s">
        <v>25</v>
      </c>
      <c r="G26" s="1">
        <f t="shared" ref="G26:O26" si="3">G25/G9</f>
        <v>-2.3008930840555834E-2</v>
      </c>
      <c r="H26" s="1">
        <f t="shared" si="3"/>
        <v>-2.0668494174817767E-2</v>
      </c>
      <c r="I26" s="1">
        <f t="shared" si="3"/>
        <v>-2.9743712329468812E-2</v>
      </c>
      <c r="J26" s="1">
        <f t="shared" si="3"/>
        <v>-4.1834062881013774E-2</v>
      </c>
      <c r="K26" s="1">
        <f t="shared" si="3"/>
        <v>-2.8713288221823331E-2</v>
      </c>
      <c r="L26" s="1">
        <f t="shared" si="3"/>
        <v>-2.8713356728992917E-2</v>
      </c>
      <c r="M26" s="1">
        <f t="shared" si="3"/>
        <v>-2.8713370926901675E-2</v>
      </c>
      <c r="N26" s="1">
        <f t="shared" si="3"/>
        <v>-2.8713285995913662E-2</v>
      </c>
      <c r="O26" s="1">
        <f t="shared" si="3"/>
        <v>-2.8713243578138557E-2</v>
      </c>
    </row>
    <row r="27" spans="1:20" ht="17" thickBot="1" x14ac:dyDescent="0.25">
      <c r="S27" s="14"/>
    </row>
    <row r="28" spans="1:20" ht="17" thickBot="1" x14ac:dyDescent="0.25">
      <c r="B28" s="2" t="s">
        <v>19</v>
      </c>
      <c r="C28" s="2"/>
      <c r="D28" s="2"/>
      <c r="E28" s="2"/>
      <c r="F28" s="2"/>
      <c r="G28" s="23">
        <f>G12*(1-G16)+G19+G25-G23</f>
        <v>2379946.3527115895</v>
      </c>
      <c r="H28" s="23">
        <f t="shared" ref="H28:O28" si="4">H12*(1-H16)+H19+H25-H23</f>
        <v>860438.23423268599</v>
      </c>
      <c r="I28" s="23">
        <f t="shared" si="4"/>
        <v>-1147649.5219885278</v>
      </c>
      <c r="J28" s="23">
        <f t="shared" si="4"/>
        <v>978900.35106196243</v>
      </c>
      <c r="K28" s="23">
        <f t="shared" si="4"/>
        <v>881207.49463175854</v>
      </c>
      <c r="L28" s="23">
        <f t="shared" si="4"/>
        <v>571312.22273702407</v>
      </c>
      <c r="M28" s="23">
        <f t="shared" si="4"/>
        <v>585459.77507162071</v>
      </c>
      <c r="N28" s="23">
        <f t="shared" si="4"/>
        <v>599960.47278542584</v>
      </c>
      <c r="O28" s="24">
        <f t="shared" si="4"/>
        <v>614821.0895950651</v>
      </c>
      <c r="S28" s="14"/>
    </row>
    <row r="29" spans="1:20" x14ac:dyDescent="0.2">
      <c r="S29" s="14"/>
    </row>
    <row r="30" spans="1:20" x14ac:dyDescent="0.2">
      <c r="S30" s="14"/>
    </row>
    <row r="31" spans="1:20" x14ac:dyDescent="0.2">
      <c r="A31" s="18"/>
      <c r="B31" s="17" t="s">
        <v>20</v>
      </c>
      <c r="C31" s="18"/>
      <c r="D31" s="18"/>
      <c r="E31" s="18"/>
      <c r="F31" s="18"/>
      <c r="G31" s="19"/>
      <c r="H31" s="19"/>
      <c r="I31" s="19"/>
      <c r="J31" s="19"/>
      <c r="K31" s="19"/>
      <c r="L31" s="20"/>
      <c r="M31" s="19"/>
      <c r="N31" s="19"/>
      <c r="O31" s="19"/>
      <c r="S31" s="14"/>
    </row>
    <row r="32" spans="1:20" x14ac:dyDescent="0.2">
      <c r="B32" t="s">
        <v>28</v>
      </c>
      <c r="D32" s="8">
        <f>9960000</f>
        <v>9960000</v>
      </c>
      <c r="S32" s="14"/>
    </row>
    <row r="33" spans="2:5" x14ac:dyDescent="0.2">
      <c r="B33" t="s">
        <v>23</v>
      </c>
      <c r="D33" s="4">
        <f>D32/(D35+D32)</f>
        <v>0.76752358054373959</v>
      </c>
    </row>
    <row r="35" spans="2:5" x14ac:dyDescent="0.2">
      <c r="B35" t="s">
        <v>29</v>
      </c>
      <c r="D35" s="8">
        <f>3016800</f>
        <v>3016800</v>
      </c>
    </row>
    <row r="36" spans="2:5" x14ac:dyDescent="0.2">
      <c r="B36" t="s">
        <v>24</v>
      </c>
      <c r="D36" s="4">
        <f>D35/(D32+D35)</f>
        <v>0.23247641945626041</v>
      </c>
    </row>
    <row r="38" spans="2:5" x14ac:dyDescent="0.2">
      <c r="B38" t="s">
        <v>30</v>
      </c>
      <c r="D38" s="6">
        <v>3.705E-2</v>
      </c>
    </row>
    <row r="39" spans="2:5" x14ac:dyDescent="0.2">
      <c r="B39" t="s">
        <v>31</v>
      </c>
      <c r="D39" s="7">
        <v>0.6</v>
      </c>
    </row>
    <row r="40" spans="2:5" x14ac:dyDescent="0.2">
      <c r="B40" t="s">
        <v>34</v>
      </c>
      <c r="D40" s="6">
        <v>3.8745297161188498E-2</v>
      </c>
    </row>
    <row r="41" spans="2:5" x14ac:dyDescent="0.2">
      <c r="B41" t="s">
        <v>21</v>
      </c>
      <c r="D41" s="6">
        <f>D38+D39*D40</f>
        <v>6.0297178296713098E-2</v>
      </c>
      <c r="E41" s="5"/>
    </row>
    <row r="42" spans="2:5" x14ac:dyDescent="0.2">
      <c r="D42" s="6"/>
    </row>
    <row r="43" spans="2:5" x14ac:dyDescent="0.2">
      <c r="B43" t="s">
        <v>22</v>
      </c>
      <c r="D43" s="6">
        <v>5.8200000000000002E-2</v>
      </c>
    </row>
    <row r="45" spans="2:5" x14ac:dyDescent="0.2">
      <c r="B45" t="s">
        <v>17</v>
      </c>
      <c r="D45" s="1">
        <f>J16</f>
        <v>0.12948335381194781</v>
      </c>
    </row>
    <row r="46" spans="2:5" ht="17" thickBot="1" x14ac:dyDescent="0.25"/>
    <row r="47" spans="2:5" ht="17" thickBot="1" x14ac:dyDescent="0.25">
      <c r="B47" s="2" t="s">
        <v>32</v>
      </c>
      <c r="C47" s="2"/>
      <c r="D47" s="9">
        <f>D33*D41+D36*D43*(1-D45)</f>
        <v>5.8057707494580571E-2</v>
      </c>
    </row>
    <row r="50" spans="2:15" x14ac:dyDescent="0.2">
      <c r="B50" s="17" t="s">
        <v>33</v>
      </c>
      <c r="C50" s="18"/>
      <c r="D50" s="18"/>
      <c r="E50" s="18"/>
      <c r="F50" s="18"/>
      <c r="G50" s="19"/>
      <c r="H50" s="19"/>
      <c r="I50" s="19"/>
      <c r="J50" s="19"/>
      <c r="K50" s="19"/>
      <c r="L50" s="20"/>
      <c r="M50" s="19"/>
      <c r="N50" s="19"/>
      <c r="O50" s="19"/>
    </row>
    <row r="51" spans="2:15" x14ac:dyDescent="0.2">
      <c r="B51" t="s">
        <v>35</v>
      </c>
      <c r="E51" s="8">
        <f>O28</f>
        <v>614821.0895950651</v>
      </c>
    </row>
    <row r="53" spans="2:15" x14ac:dyDescent="0.2">
      <c r="B53" t="s">
        <v>32</v>
      </c>
      <c r="E53" s="4">
        <f>D47</f>
        <v>5.8057707494580571E-2</v>
      </c>
    </row>
    <row r="55" spans="2:15" x14ac:dyDescent="0.2">
      <c r="B55" t="s">
        <v>36</v>
      </c>
      <c r="E55" s="4">
        <v>0.03</v>
      </c>
    </row>
    <row r="57" spans="2:15" ht="17" thickBot="1" x14ac:dyDescent="0.25"/>
    <row r="58" spans="2:15" ht="17" thickBot="1" x14ac:dyDescent="0.25">
      <c r="B58" s="2" t="s">
        <v>33</v>
      </c>
      <c r="C58" s="2"/>
      <c r="D58" s="10"/>
      <c r="E58" s="3">
        <f>(E51*(1+E55))/(E53-E55)</f>
        <v>22570116.33631273</v>
      </c>
    </row>
    <row r="61" spans="2:15" x14ac:dyDescent="0.2">
      <c r="B61" s="17" t="s">
        <v>37</v>
      </c>
      <c r="C61" s="18"/>
      <c r="D61" s="18"/>
      <c r="E61" s="18"/>
      <c r="F61" s="18"/>
      <c r="G61" s="19"/>
      <c r="H61" s="19"/>
      <c r="I61" s="19"/>
      <c r="J61" s="19"/>
      <c r="K61" s="19">
        <v>1</v>
      </c>
      <c r="L61" s="19">
        <f>K61+1</f>
        <v>2</v>
      </c>
      <c r="M61" s="19">
        <f t="shared" ref="M61:O61" si="5">L61+1</f>
        <v>3</v>
      </c>
      <c r="N61" s="19">
        <f t="shared" si="5"/>
        <v>4</v>
      </c>
      <c r="O61" s="19">
        <f t="shared" si="5"/>
        <v>5</v>
      </c>
    </row>
    <row r="62" spans="2:15" x14ac:dyDescent="0.2">
      <c r="B62" t="s">
        <v>38</v>
      </c>
      <c r="K62" s="8">
        <f>K28</f>
        <v>881207.49463175854</v>
      </c>
      <c r="L62" s="8">
        <f>L28</f>
        <v>571312.22273702407</v>
      </c>
      <c r="M62" s="8">
        <f>M28</f>
        <v>585459.77507162071</v>
      </c>
      <c r="N62" s="8">
        <f>N28</f>
        <v>599960.47278542584</v>
      </c>
      <c r="O62" s="8">
        <f>O28</f>
        <v>614821.0895950651</v>
      </c>
    </row>
    <row r="63" spans="2:15" x14ac:dyDescent="0.2">
      <c r="O63" s="8"/>
    </row>
    <row r="64" spans="2:15" x14ac:dyDescent="0.2">
      <c r="B64" t="s">
        <v>33</v>
      </c>
      <c r="O64" s="8">
        <f>E58</f>
        <v>22570116.33631273</v>
      </c>
    </row>
    <row r="66" spans="1:15" x14ac:dyDescent="0.2">
      <c r="B66" t="s">
        <v>39</v>
      </c>
      <c r="K66" s="7">
        <f>1/((1+$E$53)^K61)</f>
        <v>0.94512803310883886</v>
      </c>
      <c r="L66" s="7">
        <f>1/((1+$E$53)^L61)</f>
        <v>0.8932669989681824</v>
      </c>
      <c r="M66" s="7">
        <f>1/((1+$E$53)^M61)</f>
        <v>0.84425168177583343</v>
      </c>
      <c r="N66" s="7">
        <f>1/((1+$E$53)^N61)</f>
        <v>0.79792593144562274</v>
      </c>
      <c r="O66" s="7">
        <f>1/((1+$E$53)^O61)</f>
        <v>0.75414216615373963</v>
      </c>
    </row>
    <row r="68" spans="1:15" x14ac:dyDescent="0.2">
      <c r="B68" t="s">
        <v>40</v>
      </c>
      <c r="K68" s="8">
        <f>K62*K66</f>
        <v>832853.90616208164</v>
      </c>
      <c r="L68" s="8">
        <f t="shared" ref="L68:O68" si="6">L62*L66</f>
        <v>510334.35467814328</v>
      </c>
      <c r="M68" s="8">
        <f t="shared" si="6"/>
        <v>494275.39971631696</v>
      </c>
      <c r="N68" s="8">
        <f t="shared" si="6"/>
        <v>478724.01907786709</v>
      </c>
      <c r="O68" s="8">
        <f t="shared" si="6"/>
        <v>463662.50830422482</v>
      </c>
    </row>
    <row r="69" spans="1:15" x14ac:dyDescent="0.2">
      <c r="K69" s="8"/>
      <c r="L69" s="8"/>
      <c r="M69" s="8"/>
      <c r="N69" s="8"/>
      <c r="O69" s="8"/>
    </row>
    <row r="70" spans="1:15" x14ac:dyDescent="0.2">
      <c r="B70" t="s">
        <v>41</v>
      </c>
      <c r="K70" s="8"/>
      <c r="L70" s="8"/>
      <c r="M70" s="8"/>
      <c r="N70" s="8"/>
      <c r="O70" s="8">
        <f>O64*O66</f>
        <v>17021076.424208786</v>
      </c>
    </row>
    <row r="71" spans="1:15" ht="17" thickBot="1" x14ac:dyDescent="0.25"/>
    <row r="72" spans="1:15" ht="17" thickBot="1" x14ac:dyDescent="0.25">
      <c r="B72" s="2" t="s">
        <v>42</v>
      </c>
      <c r="C72" s="2"/>
      <c r="D72" s="10"/>
      <c r="E72" s="3">
        <f>SUM(K68:O70)</f>
        <v>19800926.612147421</v>
      </c>
    </row>
    <row r="75" spans="1:15" x14ac:dyDescent="0.2">
      <c r="A75" s="15"/>
      <c r="B75" s="16" t="s">
        <v>43</v>
      </c>
      <c r="C75" s="15"/>
      <c r="D75" s="15"/>
      <c r="E75" s="15"/>
      <c r="F75" s="15"/>
      <c r="G75" s="15"/>
      <c r="H75" s="15"/>
      <c r="I75" s="15"/>
      <c r="J75" s="15"/>
      <c r="K75" s="15"/>
      <c r="L75" s="15"/>
      <c r="M75" s="15"/>
      <c r="N75" s="15"/>
      <c r="O75" s="15"/>
    </row>
    <row r="76" spans="1:15" x14ac:dyDescent="0.2">
      <c r="B76" t="s">
        <v>42</v>
      </c>
      <c r="E76" s="8">
        <f>E72</f>
        <v>19800926.612147421</v>
      </c>
    </row>
    <row r="77" spans="1:15" x14ac:dyDescent="0.2">
      <c r="B77" t="s">
        <v>44</v>
      </c>
      <c r="E77" s="8">
        <v>626800</v>
      </c>
    </row>
    <row r="78" spans="1:15" x14ac:dyDescent="0.2">
      <c r="B78" t="s">
        <v>29</v>
      </c>
      <c r="E78" s="8">
        <f>D35</f>
        <v>3016800</v>
      </c>
    </row>
    <row r="79" spans="1:15" ht="17" thickBot="1" x14ac:dyDescent="0.25"/>
    <row r="80" spans="1:15" ht="17" thickBot="1" x14ac:dyDescent="0.25">
      <c r="B80" s="2" t="s">
        <v>45</v>
      </c>
      <c r="C80" s="2"/>
      <c r="D80" s="10"/>
      <c r="E80" s="3">
        <f>E76+E77-E78</f>
        <v>17410926.612147421</v>
      </c>
    </row>
    <row r="82" spans="2:5" x14ac:dyDescent="0.2">
      <c r="B82" t="s">
        <v>46</v>
      </c>
      <c r="E82" s="8">
        <v>138786</v>
      </c>
    </row>
    <row r="83" spans="2:5" ht="17" thickBot="1" x14ac:dyDescent="0.25"/>
    <row r="84" spans="2:5" ht="17" thickBot="1" x14ac:dyDescent="0.25">
      <c r="B84" s="11" t="s">
        <v>47</v>
      </c>
      <c r="C84" s="11"/>
      <c r="D84" s="12"/>
      <c r="E84" s="13">
        <f>E80/E82</f>
        <v>125.45160615730276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B1D79-6F9F-4C4A-9939-F34190AFE54D}">
  <dimension ref="A2:N84"/>
  <sheetViews>
    <sheetView workbookViewId="0">
      <selection activeCell="E4" sqref="E4"/>
    </sheetView>
  </sheetViews>
  <sheetFormatPr baseColWidth="10" defaultRowHeight="16" x14ac:dyDescent="0.2"/>
  <sheetData>
    <row r="2" spans="1:14" x14ac:dyDescent="0.2">
      <c r="B2" t="s">
        <v>51</v>
      </c>
      <c r="E2" t="s">
        <v>57</v>
      </c>
    </row>
    <row r="3" spans="1:14" x14ac:dyDescent="0.2">
      <c r="B3" t="s">
        <v>52</v>
      </c>
      <c r="E3" t="s">
        <v>58</v>
      </c>
    </row>
    <row r="4" spans="1:14" x14ac:dyDescent="0.2">
      <c r="B4" t="s">
        <v>55</v>
      </c>
      <c r="E4" t="s">
        <v>59</v>
      </c>
    </row>
    <row r="8" spans="1:14" x14ac:dyDescent="0.2">
      <c r="A8" s="17" t="s">
        <v>18</v>
      </c>
      <c r="B8" s="18"/>
      <c r="C8" s="18"/>
      <c r="D8" s="18"/>
      <c r="E8" s="18"/>
      <c r="F8" s="19" t="s">
        <v>6</v>
      </c>
      <c r="G8" s="19" t="s">
        <v>7</v>
      </c>
      <c r="H8" s="19" t="s">
        <v>8</v>
      </c>
      <c r="I8" s="19" t="s">
        <v>9</v>
      </c>
      <c r="J8" s="19" t="s">
        <v>10</v>
      </c>
      <c r="K8" s="20" t="s">
        <v>14</v>
      </c>
      <c r="L8" s="19" t="s">
        <v>11</v>
      </c>
      <c r="M8" s="19" t="s">
        <v>12</v>
      </c>
      <c r="N8" s="19" t="s">
        <v>13</v>
      </c>
    </row>
    <row r="9" spans="1:14" x14ac:dyDescent="0.2">
      <c r="A9" t="s">
        <v>5</v>
      </c>
      <c r="F9" s="8">
        <v>5465443</v>
      </c>
      <c r="G9" s="8">
        <v>6420400</v>
      </c>
      <c r="H9" s="8">
        <v>5856700</v>
      </c>
      <c r="I9" s="8">
        <v>5003100</v>
      </c>
      <c r="J9" s="8">
        <f>(J10*I9)+I9</f>
        <v>5253255</v>
      </c>
      <c r="K9" s="8">
        <f t="shared" ref="K9:N9" si="0">(K10*J9)+J9</f>
        <v>5515917.75</v>
      </c>
      <c r="L9" s="8">
        <f t="shared" si="0"/>
        <v>5791713.6375000002</v>
      </c>
      <c r="M9" s="8">
        <f t="shared" si="0"/>
        <v>6081299.319375</v>
      </c>
      <c r="N9" s="8">
        <f t="shared" si="0"/>
        <v>6385364.2853437504</v>
      </c>
    </row>
    <row r="10" spans="1:14" x14ac:dyDescent="0.2">
      <c r="A10" t="s">
        <v>50</v>
      </c>
      <c r="F10" s="1">
        <v>0.15790000000000001</v>
      </c>
      <c r="G10" s="1">
        <v>0.17469999999999999</v>
      </c>
      <c r="H10" s="1">
        <v>-8.7800000000000003E-2</v>
      </c>
      <c r="I10" s="1">
        <v>-0.1457</v>
      </c>
      <c r="J10" s="1">
        <v>0.05</v>
      </c>
      <c r="K10" s="1">
        <v>0.05</v>
      </c>
      <c r="L10" s="1">
        <v>0.05</v>
      </c>
      <c r="M10" s="1">
        <v>0.05</v>
      </c>
      <c r="N10" s="1">
        <v>0.05</v>
      </c>
    </row>
    <row r="11" spans="1:14" x14ac:dyDescent="0.2">
      <c r="J11" s="1"/>
    </row>
    <row r="12" spans="1:14" x14ac:dyDescent="0.2">
      <c r="A12" t="s">
        <v>15</v>
      </c>
      <c r="F12" s="8">
        <v>234473</v>
      </c>
      <c r="G12" s="8">
        <v>78500</v>
      </c>
      <c r="H12" s="14">
        <v>-228200</v>
      </c>
      <c r="I12" s="8">
        <v>192300</v>
      </c>
      <c r="J12" s="8">
        <f>J9*0.0297</f>
        <v>156021.6735</v>
      </c>
      <c r="K12" s="8">
        <f t="shared" ref="K12:N12" si="1">K9*0.0297</f>
        <v>163822.75717500001</v>
      </c>
      <c r="L12" s="8">
        <f t="shared" si="1"/>
        <v>172013.89503375001</v>
      </c>
      <c r="M12" s="8">
        <f t="shared" si="1"/>
        <v>180614.58978543751</v>
      </c>
      <c r="N12" s="8">
        <f t="shared" si="1"/>
        <v>189645.31927470939</v>
      </c>
    </row>
    <row r="13" spans="1:14" x14ac:dyDescent="0.2">
      <c r="A13" t="s">
        <v>25</v>
      </c>
      <c r="F13" s="1">
        <f t="shared" ref="F13:N13" si="2">F12/F9</f>
        <v>4.2901005462869159E-2</v>
      </c>
      <c r="G13" s="1">
        <f t="shared" si="2"/>
        <v>1.2226652545012772E-2</v>
      </c>
      <c r="H13" s="1">
        <f t="shared" si="2"/>
        <v>-3.8963921662369595E-2</v>
      </c>
      <c r="I13" s="1">
        <f t="shared" si="2"/>
        <v>3.8436169574863586E-2</v>
      </c>
      <c r="J13" s="1">
        <f t="shared" si="2"/>
        <v>2.9700000000000001E-2</v>
      </c>
      <c r="K13" s="1">
        <f>K12/K9</f>
        <v>2.9700000000000001E-2</v>
      </c>
      <c r="L13" s="1">
        <f t="shared" si="2"/>
        <v>2.9700000000000001E-2</v>
      </c>
      <c r="M13" s="1">
        <f t="shared" si="2"/>
        <v>2.9700000000000001E-2</v>
      </c>
      <c r="N13" s="1">
        <f t="shared" si="2"/>
        <v>2.9700000000000001E-2</v>
      </c>
    </row>
    <row r="14" spans="1:14" x14ac:dyDescent="0.2">
      <c r="J14" s="1"/>
    </row>
    <row r="15" spans="1:14" x14ac:dyDescent="0.2">
      <c r="A15" t="s">
        <v>16</v>
      </c>
      <c r="F15" s="8">
        <v>96621</v>
      </c>
      <c r="G15" s="8">
        <v>146600</v>
      </c>
      <c r="H15" s="8">
        <v>58500</v>
      </c>
      <c r="I15" s="8">
        <v>221300</v>
      </c>
      <c r="J15" s="8">
        <f>J9*0.0237</f>
        <v>124502.14349999999</v>
      </c>
      <c r="K15" s="8">
        <f t="shared" ref="K15:N15" si="3">K9*0.0237</f>
        <v>130727.25067499999</v>
      </c>
      <c r="L15" s="8">
        <f t="shared" si="3"/>
        <v>137263.61320875</v>
      </c>
      <c r="M15" s="8">
        <f t="shared" si="3"/>
        <v>144126.7938691875</v>
      </c>
      <c r="N15" s="8">
        <f t="shared" si="3"/>
        <v>151333.13356264686</v>
      </c>
    </row>
    <row r="16" spans="1:14" x14ac:dyDescent="0.2">
      <c r="A16" t="s">
        <v>17</v>
      </c>
      <c r="F16" s="1">
        <f>F15/322062</f>
        <v>0.30000745198129553</v>
      </c>
      <c r="G16" s="1">
        <f>G15/581900</f>
        <v>0.2519333218766111</v>
      </c>
      <c r="H16" s="1">
        <f>H15/261500</f>
        <v>0.22370936902485661</v>
      </c>
      <c r="I16" s="1">
        <f>I15/1709100</f>
        <v>0.12948335381194781</v>
      </c>
      <c r="J16" s="1">
        <v>0.19</v>
      </c>
      <c r="K16" s="1">
        <v>0.19</v>
      </c>
      <c r="L16" s="1">
        <v>0.19</v>
      </c>
      <c r="M16" s="1">
        <v>0.19</v>
      </c>
      <c r="N16" s="1">
        <v>0.19</v>
      </c>
    </row>
    <row r="17" spans="1:14" x14ac:dyDescent="0.2">
      <c r="A17" t="s">
        <v>25</v>
      </c>
      <c r="F17" s="1">
        <f>F15/F9</f>
        <v>1.7678530358838249E-2</v>
      </c>
      <c r="G17" s="1">
        <f>G15/G9</f>
        <v>2.2833468319730859E-2</v>
      </c>
      <c r="H17" s="1">
        <f>H15/H9</f>
        <v>9.9885601106425113E-3</v>
      </c>
      <c r="I17" s="1">
        <f>I15/I9</f>
        <v>4.423257580300214E-2</v>
      </c>
      <c r="J17" s="1">
        <f>AVERAGE(F17:I17)</f>
        <v>2.368328364805344E-2</v>
      </c>
      <c r="K17" s="1">
        <f>AVERAGE(F17:I17)</f>
        <v>2.368328364805344E-2</v>
      </c>
      <c r="L17" s="1">
        <f>AVERAGE(F17:I17)</f>
        <v>2.368328364805344E-2</v>
      </c>
      <c r="M17" s="1">
        <f xml:space="preserve"> AVERAGE(F17:I17)</f>
        <v>2.368328364805344E-2</v>
      </c>
      <c r="N17" s="1">
        <f xml:space="preserve"> AVERAGE(F17:I17)</f>
        <v>2.368328364805344E-2</v>
      </c>
    </row>
    <row r="19" spans="1:14" x14ac:dyDescent="0.2">
      <c r="A19" t="s">
        <v>49</v>
      </c>
      <c r="F19" s="8">
        <v>652031</v>
      </c>
      <c r="G19" s="8">
        <v>908700</v>
      </c>
      <c r="H19" s="8">
        <v>788100</v>
      </c>
      <c r="I19" s="8">
        <v>659600</v>
      </c>
      <c r="J19" s="8">
        <v>598493</v>
      </c>
      <c r="K19" s="8">
        <v>613314</v>
      </c>
      <c r="L19" s="8">
        <v>628503</v>
      </c>
      <c r="M19" s="8">
        <v>644067</v>
      </c>
      <c r="N19" s="8">
        <v>660017</v>
      </c>
    </row>
    <row r="20" spans="1:14" x14ac:dyDescent="0.2">
      <c r="A20" t="s">
        <v>25</v>
      </c>
      <c r="F20" s="1">
        <f t="shared" ref="F20:N20" si="4">F19/F9</f>
        <v>0.11930066785071219</v>
      </c>
      <c r="G20" s="1">
        <f t="shared" si="4"/>
        <v>0.14153323780449817</v>
      </c>
      <c r="H20" s="1">
        <f t="shared" si="4"/>
        <v>0.1345638328751686</v>
      </c>
      <c r="I20" s="1">
        <f t="shared" si="4"/>
        <v>0.13183826027862725</v>
      </c>
      <c r="J20" s="1">
        <f t="shared" si="4"/>
        <v>0.11392803128726856</v>
      </c>
      <c r="K20" s="1">
        <f t="shared" si="4"/>
        <v>0.11118983781076142</v>
      </c>
      <c r="L20" s="1">
        <f t="shared" si="4"/>
        <v>0.10851762351138859</v>
      </c>
      <c r="M20" s="1">
        <f t="shared" si="4"/>
        <v>0.10590943911410587</v>
      </c>
      <c r="N20" s="1">
        <f t="shared" si="4"/>
        <v>0.10336403226279964</v>
      </c>
    </row>
    <row r="22" spans="1:14" x14ac:dyDescent="0.2">
      <c r="A22" t="s">
        <v>26</v>
      </c>
      <c r="F22" s="14">
        <v>-176785</v>
      </c>
      <c r="G22" s="14">
        <v>-202500</v>
      </c>
      <c r="H22" s="14">
        <v>1381900</v>
      </c>
      <c r="I22" s="14">
        <v>1020700</v>
      </c>
      <c r="J22" s="14">
        <v>714260</v>
      </c>
      <c r="K22" s="14">
        <v>731948</v>
      </c>
      <c r="L22" s="14">
        <v>750075</v>
      </c>
      <c r="M22" s="14">
        <v>768649</v>
      </c>
      <c r="N22" s="14">
        <v>787680</v>
      </c>
    </row>
    <row r="23" spans="1:14" x14ac:dyDescent="0.2">
      <c r="A23" t="s">
        <v>27</v>
      </c>
      <c r="F23" s="14">
        <v>-1689540</v>
      </c>
      <c r="G23" s="14">
        <f>G22-F22</f>
        <v>-25715</v>
      </c>
      <c r="H23" s="14">
        <f t="shared" ref="H23:N23" si="5">H22-G22</f>
        <v>1584400</v>
      </c>
      <c r="I23" s="14">
        <f t="shared" si="5"/>
        <v>-361200</v>
      </c>
      <c r="J23" s="14">
        <f t="shared" si="5"/>
        <v>-306440</v>
      </c>
      <c r="K23" s="14">
        <f t="shared" si="5"/>
        <v>17688</v>
      </c>
      <c r="L23" s="14">
        <f t="shared" si="5"/>
        <v>18127</v>
      </c>
      <c r="M23" s="14">
        <f t="shared" si="5"/>
        <v>18574</v>
      </c>
      <c r="N23" s="14">
        <f t="shared" si="5"/>
        <v>19031</v>
      </c>
    </row>
    <row r="24" spans="1:14" x14ac:dyDescent="0.2">
      <c r="I24" s="1"/>
    </row>
    <row r="25" spans="1:14" x14ac:dyDescent="0.2">
      <c r="A25" t="s">
        <v>48</v>
      </c>
      <c r="F25" s="14">
        <v>-125754</v>
      </c>
      <c r="G25" s="14">
        <v>-132700</v>
      </c>
      <c r="H25" s="14">
        <v>-174200</v>
      </c>
      <c r="I25" s="14">
        <v>-209300</v>
      </c>
      <c r="J25" s="14">
        <v>-147213</v>
      </c>
      <c r="K25" s="14">
        <v>-150859</v>
      </c>
      <c r="L25" s="14">
        <v>-154595</v>
      </c>
      <c r="M25" s="14">
        <v>-158423</v>
      </c>
      <c r="N25" s="14">
        <v>-162346</v>
      </c>
    </row>
    <row r="26" spans="1:14" x14ac:dyDescent="0.2">
      <c r="A26" t="s">
        <v>25</v>
      </c>
      <c r="F26" s="1">
        <f t="shared" ref="F26:N26" si="6">F25/F9</f>
        <v>-2.3008930840555834E-2</v>
      </c>
      <c r="G26" s="1">
        <f t="shared" si="6"/>
        <v>-2.0668494174817767E-2</v>
      </c>
      <c r="H26" s="1">
        <f t="shared" si="6"/>
        <v>-2.9743712329468812E-2</v>
      </c>
      <c r="I26" s="1">
        <f t="shared" si="6"/>
        <v>-4.1834062881013774E-2</v>
      </c>
      <c r="J26" s="1">
        <f t="shared" si="6"/>
        <v>-2.8023197046402659E-2</v>
      </c>
      <c r="K26" s="1">
        <f t="shared" si="6"/>
        <v>-2.7349755169935229E-2</v>
      </c>
      <c r="L26" s="1">
        <f t="shared" si="6"/>
        <v>-2.6692445392851139E-2</v>
      </c>
      <c r="M26" s="1">
        <f t="shared" si="6"/>
        <v>-2.605084730746024E-2</v>
      </c>
      <c r="N26" s="1">
        <f t="shared" si="6"/>
        <v>-2.542470448751543E-2</v>
      </c>
    </row>
    <row r="27" spans="1:14" ht="17" thickBot="1" x14ac:dyDescent="0.25"/>
    <row r="28" spans="1:14" ht="17" thickBot="1" x14ac:dyDescent="0.25">
      <c r="A28" s="2" t="s">
        <v>19</v>
      </c>
      <c r="B28" s="2"/>
      <c r="C28" s="2"/>
      <c r="D28" s="2"/>
      <c r="E28" s="2"/>
      <c r="F28" s="23">
        <f t="shared" ref="F28:N28" si="7">F12*(1-F16)+F19+F25-F23</f>
        <v>2379946.3527115895</v>
      </c>
      <c r="G28" s="23">
        <f t="shared" si="7"/>
        <v>860438.23423268599</v>
      </c>
      <c r="H28" s="23">
        <f t="shared" si="7"/>
        <v>-1147649.5219885278</v>
      </c>
      <c r="I28" s="23">
        <f t="shared" si="7"/>
        <v>978900.35106196243</v>
      </c>
      <c r="J28" s="23">
        <f t="shared" si="7"/>
        <v>884097.55553500005</v>
      </c>
      <c r="K28" s="23">
        <f t="shared" si="7"/>
        <v>577463.43331174995</v>
      </c>
      <c r="L28" s="23">
        <f t="shared" si="7"/>
        <v>595112.25497733755</v>
      </c>
      <c r="M28" s="23">
        <f t="shared" si="7"/>
        <v>613367.8177262044</v>
      </c>
      <c r="N28" s="24">
        <f t="shared" si="7"/>
        <v>632252.70861251466</v>
      </c>
    </row>
    <row r="31" spans="1:14" x14ac:dyDescent="0.2">
      <c r="A31" s="17" t="s">
        <v>20</v>
      </c>
      <c r="B31" s="18"/>
      <c r="C31" s="18"/>
      <c r="D31" s="18"/>
      <c r="E31" s="18"/>
      <c r="F31" s="19"/>
      <c r="G31" s="19"/>
      <c r="H31" s="19"/>
      <c r="I31" s="19"/>
      <c r="J31" s="19"/>
      <c r="K31" s="20"/>
      <c r="L31" s="19"/>
      <c r="M31" s="19"/>
      <c r="N31" s="19"/>
    </row>
    <row r="32" spans="1:14" x14ac:dyDescent="0.2">
      <c r="A32" t="s">
        <v>28</v>
      </c>
      <c r="C32" s="8">
        <f>9960000</f>
        <v>9960000</v>
      </c>
    </row>
    <row r="33" spans="1:4" x14ac:dyDescent="0.2">
      <c r="A33" t="s">
        <v>23</v>
      </c>
      <c r="C33" s="4">
        <f>C32/(C35+C32)</f>
        <v>0.76752358054373959</v>
      </c>
    </row>
    <row r="35" spans="1:4" x14ac:dyDescent="0.2">
      <c r="A35" t="s">
        <v>29</v>
      </c>
      <c r="C35" s="8">
        <f>3016800</f>
        <v>3016800</v>
      </c>
    </row>
    <row r="36" spans="1:4" x14ac:dyDescent="0.2">
      <c r="A36" t="s">
        <v>24</v>
      </c>
      <c r="C36" s="4">
        <f>C35/(C32+C35)</f>
        <v>0.23247641945626041</v>
      </c>
    </row>
    <row r="38" spans="1:4" x14ac:dyDescent="0.2">
      <c r="A38" t="s">
        <v>30</v>
      </c>
      <c r="C38" s="6">
        <v>3.705E-2</v>
      </c>
    </row>
    <row r="39" spans="1:4" x14ac:dyDescent="0.2">
      <c r="A39" t="s">
        <v>31</v>
      </c>
      <c r="C39" s="7">
        <v>0.6</v>
      </c>
    </row>
    <row r="40" spans="1:4" x14ac:dyDescent="0.2">
      <c r="A40" t="s">
        <v>34</v>
      </c>
      <c r="C40" s="6">
        <v>3.8745297161188498E-2</v>
      </c>
    </row>
    <row r="41" spans="1:4" x14ac:dyDescent="0.2">
      <c r="A41" t="s">
        <v>21</v>
      </c>
      <c r="C41" s="6">
        <f>C38+C39*C40</f>
        <v>6.0297178296713098E-2</v>
      </c>
      <c r="D41" s="5"/>
    </row>
    <row r="42" spans="1:4" x14ac:dyDescent="0.2">
      <c r="C42" s="6"/>
    </row>
    <row r="43" spans="1:4" x14ac:dyDescent="0.2">
      <c r="A43" t="s">
        <v>22</v>
      </c>
      <c r="C43" s="6">
        <v>5.8200000000000002E-2</v>
      </c>
    </row>
    <row r="45" spans="1:4" x14ac:dyDescent="0.2">
      <c r="A45" t="s">
        <v>17</v>
      </c>
      <c r="C45" s="1">
        <f>I16</f>
        <v>0.12948335381194781</v>
      </c>
    </row>
    <row r="46" spans="1:4" ht="17" thickBot="1" x14ac:dyDescent="0.25"/>
    <row r="47" spans="1:4" ht="17" thickBot="1" x14ac:dyDescent="0.25">
      <c r="A47" s="2" t="s">
        <v>32</v>
      </c>
      <c r="B47" s="2"/>
      <c r="C47" s="9">
        <f>C33*C41+C36*C43*(1-C45) - 0.4%</f>
        <v>5.4057707494580567E-2</v>
      </c>
    </row>
    <row r="50" spans="1:14" x14ac:dyDescent="0.2">
      <c r="A50" s="17" t="s">
        <v>33</v>
      </c>
      <c r="B50" s="18"/>
      <c r="C50" s="18"/>
      <c r="D50" s="18"/>
      <c r="E50" s="18"/>
      <c r="F50" s="19"/>
      <c r="G50" s="19"/>
      <c r="H50" s="19"/>
      <c r="I50" s="19"/>
      <c r="J50" s="19"/>
      <c r="K50" s="20"/>
      <c r="L50" s="19"/>
      <c r="M50" s="19"/>
      <c r="N50" s="19"/>
    </row>
    <row r="51" spans="1:14" x14ac:dyDescent="0.2">
      <c r="A51" t="s">
        <v>35</v>
      </c>
      <c r="D51" s="8">
        <f>N28</f>
        <v>632252.70861251466</v>
      </c>
    </row>
    <row r="53" spans="1:14" x14ac:dyDescent="0.2">
      <c r="A53" t="s">
        <v>32</v>
      </c>
      <c r="D53" s="4">
        <f>C47</f>
        <v>5.4057707494580567E-2</v>
      </c>
    </row>
    <row r="55" spans="1:14" x14ac:dyDescent="0.2">
      <c r="A55" t="s">
        <v>36</v>
      </c>
      <c r="D55" s="4">
        <v>0.03</v>
      </c>
    </row>
    <row r="57" spans="1:14" ht="17" thickBot="1" x14ac:dyDescent="0.25"/>
    <row r="58" spans="1:14" ht="17" thickBot="1" x14ac:dyDescent="0.25">
      <c r="A58" s="2" t="s">
        <v>33</v>
      </c>
      <c r="B58" s="2"/>
      <c r="C58" s="10"/>
      <c r="D58" s="3">
        <f>(D51*(1+D55))/(D53-D55)</f>
        <v>27069091.683718789</v>
      </c>
    </row>
    <row r="61" spans="1:14" x14ac:dyDescent="0.2">
      <c r="A61" s="17" t="s">
        <v>37</v>
      </c>
      <c r="B61" s="18"/>
      <c r="C61" s="18"/>
      <c r="D61" s="18"/>
      <c r="E61" s="18"/>
      <c r="F61" s="19"/>
      <c r="G61" s="19"/>
      <c r="H61" s="19"/>
      <c r="I61" s="19"/>
      <c r="J61" s="19">
        <v>1</v>
      </c>
      <c r="K61" s="19">
        <f>J61+1</f>
        <v>2</v>
      </c>
      <c r="L61" s="19">
        <f t="shared" ref="L61:N61" si="8">K61+1</f>
        <v>3</v>
      </c>
      <c r="M61" s="19">
        <f t="shared" si="8"/>
        <v>4</v>
      </c>
      <c r="N61" s="19">
        <f t="shared" si="8"/>
        <v>5</v>
      </c>
    </row>
    <row r="62" spans="1:14" x14ac:dyDescent="0.2">
      <c r="A62" t="s">
        <v>38</v>
      </c>
      <c r="J62" s="8">
        <f>J28</f>
        <v>884097.55553500005</v>
      </c>
      <c r="K62" s="8">
        <f>K28</f>
        <v>577463.43331174995</v>
      </c>
      <c r="L62" s="8">
        <f>L28</f>
        <v>595112.25497733755</v>
      </c>
      <c r="M62" s="8">
        <f>M28</f>
        <v>613367.8177262044</v>
      </c>
      <c r="N62" s="8">
        <f>N28</f>
        <v>632252.70861251466</v>
      </c>
    </row>
    <row r="63" spans="1:14" x14ac:dyDescent="0.2">
      <c r="N63" s="8"/>
    </row>
    <row r="64" spans="1:14" x14ac:dyDescent="0.2">
      <c r="A64" t="s">
        <v>33</v>
      </c>
      <c r="N64" s="8">
        <f>D58</f>
        <v>27069091.683718789</v>
      </c>
    </row>
    <row r="66" spans="1:14" x14ac:dyDescent="0.2">
      <c r="A66" t="s">
        <v>39</v>
      </c>
      <c r="J66" s="7">
        <f>1/((1+$D$53)^J61)</f>
        <v>0.9487146603926726</v>
      </c>
      <c r="K66" s="7">
        <f t="shared" ref="K66:N66" si="9">1/((1+$D$53)^K61)</f>
        <v>0.90005950684398406</v>
      </c>
      <c r="L66" s="7">
        <f t="shared" si="9"/>
        <v>0.85389964936868668</v>
      </c>
      <c r="M66" s="7">
        <f t="shared" si="9"/>
        <v>0.81010711586023576</v>
      </c>
      <c r="N66" s="7">
        <f t="shared" si="9"/>
        <v>0.76856049730503107</v>
      </c>
    </row>
    <row r="68" spans="1:14" x14ac:dyDescent="0.2">
      <c r="A68" t="s">
        <v>40</v>
      </c>
      <c r="J68" s="8">
        <f>J62*J66</f>
        <v>838756.31215337955</v>
      </c>
      <c r="K68" s="8">
        <f t="shared" ref="K68:N68" si="10">K62*K66</f>
        <v>519751.45300700754</v>
      </c>
      <c r="L68" s="8">
        <f t="shared" si="10"/>
        <v>508166.14586015698</v>
      </c>
      <c r="M68" s="8">
        <f t="shared" si="10"/>
        <v>496893.63377966225</v>
      </c>
      <c r="N68" s="8">
        <f t="shared" si="10"/>
        <v>485924.45615368715</v>
      </c>
    </row>
    <row r="69" spans="1:14" x14ac:dyDescent="0.2">
      <c r="J69" s="8"/>
      <c r="K69" s="8"/>
      <c r="L69" s="8"/>
      <c r="M69" s="8"/>
      <c r="N69" s="8"/>
    </row>
    <row r="70" spans="1:14" x14ac:dyDescent="0.2">
      <c r="A70" t="s">
        <v>41</v>
      </c>
      <c r="J70" s="8"/>
      <c r="K70" s="8"/>
      <c r="L70" s="8"/>
      <c r="M70" s="8"/>
      <c r="N70" s="8">
        <f>N64*N66</f>
        <v>20804234.566034395</v>
      </c>
    </row>
    <row r="71" spans="1:14" ht="17" thickBot="1" x14ac:dyDescent="0.25"/>
    <row r="72" spans="1:14" ht="17" thickBot="1" x14ac:dyDescent="0.25">
      <c r="A72" s="2" t="s">
        <v>42</v>
      </c>
      <c r="B72" s="2"/>
      <c r="C72" s="10"/>
      <c r="D72" s="3">
        <f>SUM(J68:N70)</f>
        <v>23653726.566988289</v>
      </c>
    </row>
    <row r="75" spans="1:14" x14ac:dyDescent="0.2">
      <c r="A75" s="16" t="s">
        <v>43</v>
      </c>
      <c r="B75" s="15"/>
      <c r="C75" s="15"/>
      <c r="D75" s="15"/>
      <c r="E75" s="15"/>
      <c r="F75" s="15"/>
      <c r="G75" s="15"/>
      <c r="H75" s="15"/>
      <c r="I75" s="15"/>
      <c r="J75" s="15"/>
      <c r="K75" s="15"/>
      <c r="L75" s="15"/>
      <c r="M75" s="15"/>
      <c r="N75" s="15"/>
    </row>
    <row r="76" spans="1:14" x14ac:dyDescent="0.2">
      <c r="A76" t="s">
        <v>42</v>
      </c>
      <c r="D76" s="8">
        <f>D72</f>
        <v>23653726.566988289</v>
      </c>
    </row>
    <row r="77" spans="1:14" x14ac:dyDescent="0.2">
      <c r="A77" t="s">
        <v>44</v>
      </c>
      <c r="D77" s="8">
        <v>626800</v>
      </c>
    </row>
    <row r="78" spans="1:14" x14ac:dyDescent="0.2">
      <c r="A78" t="s">
        <v>29</v>
      </c>
      <c r="D78" s="8">
        <f>C35</f>
        <v>3016800</v>
      </c>
    </row>
    <row r="79" spans="1:14" ht="17" thickBot="1" x14ac:dyDescent="0.25"/>
    <row r="80" spans="1:14" ht="17" thickBot="1" x14ac:dyDescent="0.25">
      <c r="A80" s="2" t="s">
        <v>45</v>
      </c>
      <c r="B80" s="2"/>
      <c r="C80" s="10"/>
      <c r="D80" s="3">
        <f>D76+D77-D78</f>
        <v>21263726.566988289</v>
      </c>
    </row>
    <row r="82" spans="1:4" x14ac:dyDescent="0.2">
      <c r="A82" t="s">
        <v>46</v>
      </c>
      <c r="D82" s="8">
        <v>138786</v>
      </c>
    </row>
    <row r="83" spans="1:4" ht="17" thickBot="1" x14ac:dyDescent="0.25"/>
    <row r="84" spans="1:4" ht="17" thickBot="1" x14ac:dyDescent="0.25">
      <c r="A84" s="11" t="s">
        <v>47</v>
      </c>
      <c r="B84" s="11"/>
      <c r="C84" s="12"/>
      <c r="D84" s="13">
        <f>D80/D82</f>
        <v>153.21233097710353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4A04C-3262-E04A-8C61-41995F50217E}">
  <dimension ref="A2:N84"/>
  <sheetViews>
    <sheetView workbookViewId="0">
      <selection activeCell="P22" sqref="P22"/>
    </sheetView>
  </sheetViews>
  <sheetFormatPr baseColWidth="10" defaultRowHeight="16" x14ac:dyDescent="0.2"/>
  <sheetData>
    <row r="2" spans="1:14" x14ac:dyDescent="0.2">
      <c r="B2" t="s">
        <v>53</v>
      </c>
      <c r="E2" t="s">
        <v>60</v>
      </c>
    </row>
    <row r="3" spans="1:14" x14ac:dyDescent="0.2">
      <c r="B3" t="s">
        <v>54</v>
      </c>
      <c r="E3" t="s">
        <v>61</v>
      </c>
    </row>
    <row r="4" spans="1:14" x14ac:dyDescent="0.2">
      <c r="B4" t="s">
        <v>56</v>
      </c>
      <c r="E4" t="s">
        <v>62</v>
      </c>
    </row>
    <row r="5" spans="1:14" x14ac:dyDescent="0.2">
      <c r="E5" t="s">
        <v>63</v>
      </c>
    </row>
    <row r="8" spans="1:14" x14ac:dyDescent="0.2">
      <c r="A8" s="17" t="s">
        <v>18</v>
      </c>
      <c r="B8" s="18"/>
      <c r="C8" s="18"/>
      <c r="D8" s="18"/>
      <c r="E8" s="18"/>
      <c r="F8" s="19" t="s">
        <v>6</v>
      </c>
      <c r="G8" s="19" t="s">
        <v>7</v>
      </c>
      <c r="H8" s="19" t="s">
        <v>8</v>
      </c>
      <c r="I8" s="19" t="s">
        <v>9</v>
      </c>
      <c r="J8" s="19" t="s">
        <v>10</v>
      </c>
      <c r="K8" s="20" t="s">
        <v>14</v>
      </c>
      <c r="L8" s="19" t="s">
        <v>11</v>
      </c>
      <c r="M8" s="19" t="s">
        <v>12</v>
      </c>
      <c r="N8" s="19" t="s">
        <v>13</v>
      </c>
    </row>
    <row r="9" spans="1:14" x14ac:dyDescent="0.2">
      <c r="A9" t="s">
        <v>5</v>
      </c>
      <c r="F9" s="8">
        <v>5465443</v>
      </c>
      <c r="G9" s="8">
        <v>6420400</v>
      </c>
      <c r="H9" s="8">
        <v>5856700</v>
      </c>
      <c r="I9" s="8">
        <v>5003100</v>
      </c>
      <c r="J9" s="8">
        <f>(J10*I9)+I9</f>
        <v>5053131</v>
      </c>
      <c r="K9" s="8">
        <f t="shared" ref="K9:N9" si="0">(K10*J9)+J9</f>
        <v>5103662.3099999996</v>
      </c>
      <c r="L9" s="8">
        <f t="shared" si="0"/>
        <v>5154698.9331</v>
      </c>
      <c r="M9" s="8">
        <f t="shared" si="0"/>
        <v>5206245.9224309996</v>
      </c>
      <c r="N9" s="8">
        <f t="shared" si="0"/>
        <v>5258308.3816553093</v>
      </c>
    </row>
    <row r="10" spans="1:14" x14ac:dyDescent="0.2">
      <c r="A10" t="s">
        <v>50</v>
      </c>
      <c r="F10" s="1">
        <v>0.15790000000000001</v>
      </c>
      <c r="G10" s="1">
        <v>0.17469999999999999</v>
      </c>
      <c r="H10" s="1">
        <v>-8.7800000000000003E-2</v>
      </c>
      <c r="I10" s="1">
        <v>-0.1457</v>
      </c>
      <c r="J10" s="1">
        <v>0.01</v>
      </c>
      <c r="K10" s="1">
        <v>0.01</v>
      </c>
      <c r="L10" s="1">
        <v>0.01</v>
      </c>
      <c r="M10" s="1">
        <v>0.01</v>
      </c>
      <c r="N10" s="1">
        <v>0.01</v>
      </c>
    </row>
    <row r="11" spans="1:14" x14ac:dyDescent="0.2">
      <c r="J11" s="1"/>
    </row>
    <row r="12" spans="1:14" x14ac:dyDescent="0.2">
      <c r="A12" t="s">
        <v>15</v>
      </c>
      <c r="F12" s="8">
        <v>234473</v>
      </c>
      <c r="G12" s="8">
        <v>78500</v>
      </c>
      <c r="H12" s="14">
        <v>-228200</v>
      </c>
      <c r="I12" s="8">
        <v>192300</v>
      </c>
      <c r="J12" s="8">
        <f>J9*0.0297</f>
        <v>150077.99069999999</v>
      </c>
      <c r="K12" s="8">
        <f t="shared" ref="K12:N12" si="1">K9*0.0297</f>
        <v>151578.77060699998</v>
      </c>
      <c r="L12" s="8">
        <f t="shared" si="1"/>
        <v>153094.55831307001</v>
      </c>
      <c r="M12" s="8">
        <f t="shared" si="1"/>
        <v>154625.50389620068</v>
      </c>
      <c r="N12" s="8">
        <f t="shared" si="1"/>
        <v>156171.75893516268</v>
      </c>
    </row>
    <row r="13" spans="1:14" x14ac:dyDescent="0.2">
      <c r="A13" t="s">
        <v>25</v>
      </c>
      <c r="F13" s="1">
        <f t="shared" ref="F13:N13" si="2">F12/F9</f>
        <v>4.2901005462869159E-2</v>
      </c>
      <c r="G13" s="1">
        <f t="shared" si="2"/>
        <v>1.2226652545012772E-2</v>
      </c>
      <c r="H13" s="1">
        <f t="shared" si="2"/>
        <v>-3.8963921662369595E-2</v>
      </c>
      <c r="I13" s="1">
        <f t="shared" si="2"/>
        <v>3.8436169574863586E-2</v>
      </c>
      <c r="J13" s="1">
        <f t="shared" si="2"/>
        <v>2.9700000000000001E-2</v>
      </c>
      <c r="K13" s="1">
        <f t="shared" si="2"/>
        <v>2.9700000000000001E-2</v>
      </c>
      <c r="L13" s="1">
        <f t="shared" si="2"/>
        <v>2.9700000000000001E-2</v>
      </c>
      <c r="M13" s="1">
        <f t="shared" si="2"/>
        <v>2.9699999999999997E-2</v>
      </c>
      <c r="N13" s="1">
        <f t="shared" si="2"/>
        <v>2.9699999999999997E-2</v>
      </c>
    </row>
    <row r="14" spans="1:14" x14ac:dyDescent="0.2">
      <c r="J14" s="1"/>
    </row>
    <row r="15" spans="1:14" x14ac:dyDescent="0.2">
      <c r="A15" t="s">
        <v>16</v>
      </c>
      <c r="F15" s="8">
        <v>96621</v>
      </c>
      <c r="G15" s="8">
        <v>146600</v>
      </c>
      <c r="H15" s="8">
        <v>58500</v>
      </c>
      <c r="I15" s="8">
        <v>221300</v>
      </c>
      <c r="J15" s="8">
        <f>J9*J17</f>
        <v>119674.73478377193</v>
      </c>
      <c r="K15" s="8">
        <f>K9*K17</f>
        <v>120871.48213160963</v>
      </c>
      <c r="L15" s="8">
        <f>L9*L17</f>
        <v>122080.19695292575</v>
      </c>
      <c r="M15" s="8">
        <f>M9*M17</f>
        <v>123300.99892245499</v>
      </c>
      <c r="N15" s="8">
        <f>N9*N17</f>
        <v>124534.00891167954</v>
      </c>
    </row>
    <row r="16" spans="1:14" x14ac:dyDescent="0.2">
      <c r="A16" t="s">
        <v>17</v>
      </c>
      <c r="F16" s="1">
        <f>F15/322062</f>
        <v>0.30000745198129553</v>
      </c>
      <c r="G16" s="1">
        <f>G15/581900</f>
        <v>0.2519333218766111</v>
      </c>
      <c r="H16" s="1">
        <f>H15/261500</f>
        <v>0.22370936902485661</v>
      </c>
      <c r="I16" s="1">
        <f>I15/1709100</f>
        <v>0.12948335381194781</v>
      </c>
      <c r="J16" s="1">
        <v>0.26</v>
      </c>
      <c r="K16" s="1">
        <v>0.26</v>
      </c>
      <c r="L16" s="1">
        <v>0.26</v>
      </c>
      <c r="M16" s="1">
        <v>0.26</v>
      </c>
      <c r="N16" s="1">
        <v>0.26</v>
      </c>
    </row>
    <row r="17" spans="1:14" x14ac:dyDescent="0.2">
      <c r="A17" t="s">
        <v>25</v>
      </c>
      <c r="F17" s="1">
        <f>F15/F9</f>
        <v>1.7678530358838249E-2</v>
      </c>
      <c r="G17" s="1">
        <f>G15/G9</f>
        <v>2.2833468319730859E-2</v>
      </c>
      <c r="H17" s="1">
        <f>H15/H9</f>
        <v>9.9885601106425113E-3</v>
      </c>
      <c r="I17" s="1">
        <f>I15/I9</f>
        <v>4.423257580300214E-2</v>
      </c>
      <c r="J17" s="1">
        <f>AVERAGE(F17:I17)</f>
        <v>2.368328364805344E-2</v>
      </c>
      <c r="K17" s="1">
        <f>AVERAGE(F17:I17)</f>
        <v>2.368328364805344E-2</v>
      </c>
      <c r="L17" s="1">
        <f>AVERAGE(F17:I17)</f>
        <v>2.368328364805344E-2</v>
      </c>
      <c r="M17" s="1">
        <f xml:space="preserve"> AVERAGE(F17:I17)</f>
        <v>2.368328364805344E-2</v>
      </c>
      <c r="N17" s="1">
        <f xml:space="preserve"> AVERAGE(F17:I17)</f>
        <v>2.368328364805344E-2</v>
      </c>
    </row>
    <row r="19" spans="1:14" x14ac:dyDescent="0.2">
      <c r="A19" t="s">
        <v>49</v>
      </c>
      <c r="F19" s="8">
        <v>652031</v>
      </c>
      <c r="G19" s="8">
        <v>908700</v>
      </c>
      <c r="H19" s="8">
        <v>788100</v>
      </c>
      <c r="I19" s="8">
        <v>659600</v>
      </c>
      <c r="J19" s="8">
        <v>598493</v>
      </c>
      <c r="K19" s="8">
        <v>613314</v>
      </c>
      <c r="L19" s="8">
        <v>628503</v>
      </c>
      <c r="M19" s="8">
        <v>644067</v>
      </c>
      <c r="N19" s="8">
        <v>660017</v>
      </c>
    </row>
    <row r="20" spans="1:14" x14ac:dyDescent="0.2">
      <c r="A20" t="s">
        <v>25</v>
      </c>
      <c r="F20" s="1">
        <f t="shared" ref="F20:N20" si="3">F19/F9</f>
        <v>0.11930066785071219</v>
      </c>
      <c r="G20" s="1">
        <f t="shared" si="3"/>
        <v>0.14153323780449817</v>
      </c>
      <c r="H20" s="1">
        <f t="shared" si="3"/>
        <v>0.1345638328751686</v>
      </c>
      <c r="I20" s="1">
        <f t="shared" si="3"/>
        <v>0.13183826027862725</v>
      </c>
      <c r="J20" s="1">
        <f t="shared" si="3"/>
        <v>0.11844003252636831</v>
      </c>
      <c r="K20" s="1">
        <f t="shared" si="3"/>
        <v>0.12017135201094448</v>
      </c>
      <c r="L20" s="1">
        <f t="shared" si="3"/>
        <v>0.1219281684841335</v>
      </c>
      <c r="M20" s="1">
        <f t="shared" si="3"/>
        <v>0.12371044503008416</v>
      </c>
      <c r="N20" s="1">
        <f t="shared" si="3"/>
        <v>0.12551888403932435</v>
      </c>
    </row>
    <row r="22" spans="1:14" x14ac:dyDescent="0.2">
      <c r="A22" t="s">
        <v>26</v>
      </c>
      <c r="F22" s="14">
        <v>-176785</v>
      </c>
      <c r="G22" s="14">
        <v>-202500</v>
      </c>
      <c r="H22" s="14">
        <v>1381900</v>
      </c>
      <c r="I22" s="14">
        <v>1020700</v>
      </c>
      <c r="J22" s="14">
        <v>714260</v>
      </c>
      <c r="K22" s="14">
        <v>731948</v>
      </c>
      <c r="L22" s="14">
        <v>750075</v>
      </c>
      <c r="M22" s="14">
        <v>768649</v>
      </c>
      <c r="N22" s="14">
        <v>787680</v>
      </c>
    </row>
    <row r="23" spans="1:14" x14ac:dyDescent="0.2">
      <c r="A23" t="s">
        <v>27</v>
      </c>
      <c r="F23" s="14">
        <v>-1689540</v>
      </c>
      <c r="G23" s="14">
        <f>G22-F22</f>
        <v>-25715</v>
      </c>
      <c r="H23" s="14">
        <f t="shared" ref="H23:N23" si="4">H22-G22</f>
        <v>1584400</v>
      </c>
      <c r="I23" s="14">
        <f t="shared" si="4"/>
        <v>-361200</v>
      </c>
      <c r="J23" s="14">
        <f t="shared" si="4"/>
        <v>-306440</v>
      </c>
      <c r="K23" s="14">
        <f t="shared" si="4"/>
        <v>17688</v>
      </c>
      <c r="L23" s="14">
        <f t="shared" si="4"/>
        <v>18127</v>
      </c>
      <c r="M23" s="14">
        <f t="shared" si="4"/>
        <v>18574</v>
      </c>
      <c r="N23" s="14">
        <f t="shared" si="4"/>
        <v>19031</v>
      </c>
    </row>
    <row r="24" spans="1:14" x14ac:dyDescent="0.2">
      <c r="I24" s="1"/>
    </row>
    <row r="25" spans="1:14" x14ac:dyDescent="0.2">
      <c r="A25" t="s">
        <v>48</v>
      </c>
      <c r="F25" s="14">
        <v>-125754</v>
      </c>
      <c r="G25" s="14">
        <v>-132700</v>
      </c>
      <c r="H25" s="14">
        <v>-174200</v>
      </c>
      <c r="I25" s="14">
        <v>-209300</v>
      </c>
      <c r="J25" s="14">
        <v>-147213</v>
      </c>
      <c r="K25" s="14">
        <v>-150859</v>
      </c>
      <c r="L25" s="14">
        <v>-154595</v>
      </c>
      <c r="M25" s="14">
        <v>-158423</v>
      </c>
      <c r="N25" s="14">
        <v>-162346</v>
      </c>
    </row>
    <row r="26" spans="1:14" x14ac:dyDescent="0.2">
      <c r="A26" t="s">
        <v>25</v>
      </c>
      <c r="F26" s="1">
        <f t="shared" ref="F26:N26" si="5">F25/F9</f>
        <v>-2.3008930840555834E-2</v>
      </c>
      <c r="G26" s="1">
        <f t="shared" si="5"/>
        <v>-2.0668494174817767E-2</v>
      </c>
      <c r="H26" s="1">
        <f t="shared" si="5"/>
        <v>-2.9743712329468812E-2</v>
      </c>
      <c r="I26" s="1">
        <f t="shared" si="5"/>
        <v>-4.1834062881013774E-2</v>
      </c>
      <c r="J26" s="1">
        <f t="shared" si="5"/>
        <v>-2.9133026632398803E-2</v>
      </c>
      <c r="K26" s="1">
        <f t="shared" si="5"/>
        <v>-2.9558969782230753E-2</v>
      </c>
      <c r="L26" s="1">
        <f t="shared" si="5"/>
        <v>-2.999108231274094E-2</v>
      </c>
      <c r="M26" s="1">
        <f t="shared" si="5"/>
        <v>-3.0429411587615921E-2</v>
      </c>
      <c r="N26" s="1">
        <f t="shared" si="5"/>
        <v>-3.0874187707662301E-2</v>
      </c>
    </row>
    <row r="27" spans="1:14" ht="17" thickBot="1" x14ac:dyDescent="0.25"/>
    <row r="28" spans="1:14" ht="17" thickBot="1" x14ac:dyDescent="0.25">
      <c r="A28" s="2" t="s">
        <v>19</v>
      </c>
      <c r="B28" s="2"/>
      <c r="C28" s="2"/>
      <c r="D28" s="2"/>
      <c r="E28" s="2"/>
      <c r="F28" s="23">
        <f>F12*(1-F16)+F19+F25-F23</f>
        <v>2379946.3527115895</v>
      </c>
      <c r="G28" s="23">
        <f t="shared" ref="G28:N28" si="6">G12*(1-G16)+G19+G25-G23</f>
        <v>860438.23423268599</v>
      </c>
      <c r="H28" s="23">
        <f t="shared" si="6"/>
        <v>-1147649.5219885278</v>
      </c>
      <c r="I28" s="23">
        <f t="shared" si="6"/>
        <v>978900.35106196243</v>
      </c>
      <c r="J28" s="23">
        <f t="shared" si="6"/>
        <v>868777.71311799996</v>
      </c>
      <c r="K28" s="23">
        <f t="shared" si="6"/>
        <v>556935.29024918005</v>
      </c>
      <c r="L28" s="23">
        <f t="shared" si="6"/>
        <v>569070.97315167182</v>
      </c>
      <c r="M28" s="23">
        <f t="shared" si="6"/>
        <v>581492.87288318854</v>
      </c>
      <c r="N28" s="24">
        <f t="shared" si="6"/>
        <v>594207.1016120204</v>
      </c>
    </row>
    <row r="31" spans="1:14" x14ac:dyDescent="0.2">
      <c r="A31" s="17" t="s">
        <v>20</v>
      </c>
      <c r="B31" s="18"/>
      <c r="C31" s="18"/>
      <c r="D31" s="18"/>
      <c r="E31" s="18"/>
      <c r="F31" s="19"/>
      <c r="G31" s="19"/>
      <c r="H31" s="19"/>
      <c r="I31" s="19"/>
      <c r="J31" s="19"/>
      <c r="K31" s="20"/>
      <c r="L31" s="19"/>
      <c r="M31" s="19"/>
      <c r="N31" s="19"/>
    </row>
    <row r="32" spans="1:14" x14ac:dyDescent="0.2">
      <c r="A32" t="s">
        <v>28</v>
      </c>
      <c r="C32" s="8">
        <f>9960000</f>
        <v>9960000</v>
      </c>
    </row>
    <row r="33" spans="1:4" x14ac:dyDescent="0.2">
      <c r="A33" t="s">
        <v>23</v>
      </c>
      <c r="C33" s="4">
        <f>C32/(C35+C32)</f>
        <v>0.76752358054373959</v>
      </c>
    </row>
    <row r="35" spans="1:4" x14ac:dyDescent="0.2">
      <c r="A35" t="s">
        <v>29</v>
      </c>
      <c r="C35" s="8">
        <f>3016800</f>
        <v>3016800</v>
      </c>
    </row>
    <row r="36" spans="1:4" x14ac:dyDescent="0.2">
      <c r="A36" t="s">
        <v>24</v>
      </c>
      <c r="C36" s="4">
        <f>C35/(C32+C35)</f>
        <v>0.23247641945626041</v>
      </c>
    </row>
    <row r="38" spans="1:4" x14ac:dyDescent="0.2">
      <c r="A38" t="s">
        <v>30</v>
      </c>
      <c r="C38" s="6">
        <v>3.705E-2</v>
      </c>
    </row>
    <row r="39" spans="1:4" x14ac:dyDescent="0.2">
      <c r="A39" t="s">
        <v>31</v>
      </c>
      <c r="C39" s="7">
        <v>0.6</v>
      </c>
    </row>
    <row r="40" spans="1:4" x14ac:dyDescent="0.2">
      <c r="A40" t="s">
        <v>34</v>
      </c>
      <c r="C40" s="6">
        <v>3.8745297161188498E-2</v>
      </c>
    </row>
    <row r="41" spans="1:4" x14ac:dyDescent="0.2">
      <c r="A41" t="s">
        <v>21</v>
      </c>
      <c r="C41" s="6">
        <f>C38+C39*C40</f>
        <v>6.0297178296713098E-2</v>
      </c>
      <c r="D41" s="5"/>
    </row>
    <row r="42" spans="1:4" x14ac:dyDescent="0.2">
      <c r="C42" s="6"/>
    </row>
    <row r="43" spans="1:4" x14ac:dyDescent="0.2">
      <c r="A43" t="s">
        <v>22</v>
      </c>
      <c r="C43" s="6">
        <v>5.8200000000000002E-2</v>
      </c>
    </row>
    <row r="45" spans="1:4" x14ac:dyDescent="0.2">
      <c r="A45" t="s">
        <v>17</v>
      </c>
      <c r="C45" s="1">
        <f>I16</f>
        <v>0.12948335381194781</v>
      </c>
    </row>
    <row r="46" spans="1:4" ht="17" thickBot="1" x14ac:dyDescent="0.25"/>
    <row r="47" spans="1:4" ht="17" thickBot="1" x14ac:dyDescent="0.25">
      <c r="A47" s="2" t="s">
        <v>32</v>
      </c>
      <c r="B47" s="2"/>
      <c r="C47" s="9">
        <f>C33*C41+C36*C43*(1-C45) + 0.4%</f>
        <v>6.2057707494580575E-2</v>
      </c>
    </row>
    <row r="50" spans="1:14" x14ac:dyDescent="0.2">
      <c r="A50" s="17" t="s">
        <v>33</v>
      </c>
      <c r="B50" s="18"/>
      <c r="C50" s="18"/>
      <c r="D50" s="18"/>
      <c r="E50" s="18"/>
      <c r="F50" s="19"/>
      <c r="G50" s="19"/>
      <c r="H50" s="19"/>
      <c r="I50" s="19"/>
      <c r="J50" s="19"/>
      <c r="K50" s="20"/>
      <c r="L50" s="19"/>
      <c r="M50" s="19"/>
      <c r="N50" s="19"/>
    </row>
    <row r="51" spans="1:14" x14ac:dyDescent="0.2">
      <c r="A51" t="s">
        <v>35</v>
      </c>
      <c r="D51" s="8">
        <f>N28</f>
        <v>594207.1016120204</v>
      </c>
    </row>
    <row r="53" spans="1:14" x14ac:dyDescent="0.2">
      <c r="A53" t="s">
        <v>32</v>
      </c>
      <c r="D53" s="4">
        <f>C47</f>
        <v>6.2057707494580575E-2</v>
      </c>
    </row>
    <row r="55" spans="1:14" x14ac:dyDescent="0.2">
      <c r="A55" t="s">
        <v>36</v>
      </c>
      <c r="D55" s="4">
        <v>0.03</v>
      </c>
    </row>
    <row r="57" spans="1:14" ht="17" thickBot="1" x14ac:dyDescent="0.25"/>
    <row r="58" spans="1:14" ht="17" thickBot="1" x14ac:dyDescent="0.25">
      <c r="A58" s="2" t="s">
        <v>33</v>
      </c>
      <c r="B58" s="2"/>
      <c r="C58" s="10"/>
      <c r="D58" s="3">
        <f>(D51*(1+D55))/(D53-D55)</f>
        <v>19091612.048798144</v>
      </c>
    </row>
    <row r="61" spans="1:14" x14ac:dyDescent="0.2">
      <c r="A61" s="17" t="s">
        <v>37</v>
      </c>
      <c r="B61" s="18"/>
      <c r="C61" s="18"/>
      <c r="D61" s="18"/>
      <c r="E61" s="18"/>
      <c r="F61" s="19"/>
      <c r="G61" s="19"/>
      <c r="H61" s="19"/>
      <c r="I61" s="19"/>
      <c r="J61" s="19">
        <v>1</v>
      </c>
      <c r="K61" s="19">
        <f>J61+1</f>
        <v>2</v>
      </c>
      <c r="L61" s="19">
        <f t="shared" ref="L61:N61" si="7">K61+1</f>
        <v>3</v>
      </c>
      <c r="M61" s="19">
        <f t="shared" si="7"/>
        <v>4</v>
      </c>
      <c r="N61" s="19">
        <f t="shared" si="7"/>
        <v>5</v>
      </c>
    </row>
    <row r="62" spans="1:14" x14ac:dyDescent="0.2">
      <c r="A62" t="s">
        <v>38</v>
      </c>
      <c r="J62" s="8">
        <f>J28</f>
        <v>868777.71311799996</v>
      </c>
      <c r="K62" s="8">
        <f>K28</f>
        <v>556935.29024918005</v>
      </c>
      <c r="L62" s="8">
        <f>L28</f>
        <v>569070.97315167182</v>
      </c>
      <c r="M62" s="8">
        <f>M28</f>
        <v>581492.87288318854</v>
      </c>
      <c r="N62" s="8">
        <f>N28</f>
        <v>594207.1016120204</v>
      </c>
    </row>
    <row r="63" spans="1:14" x14ac:dyDescent="0.2">
      <c r="N63" s="8"/>
    </row>
    <row r="64" spans="1:14" x14ac:dyDescent="0.2">
      <c r="A64" t="s">
        <v>33</v>
      </c>
      <c r="N64" s="8">
        <f>D58</f>
        <v>19091612.048798144</v>
      </c>
    </row>
    <row r="66" spans="1:14" x14ac:dyDescent="0.2">
      <c r="A66" t="s">
        <v>39</v>
      </c>
      <c r="J66" s="7">
        <f>1/((1+$D$53)^J61)</f>
        <v>0.94156842226494819</v>
      </c>
      <c r="K66" s="7">
        <f t="shared" ref="K66:N66" si="8">1/((1+$D$53)^K61)</f>
        <v>0.88655109380650376</v>
      </c>
      <c r="L66" s="7">
        <f t="shared" si="8"/>
        <v>0.83474851465265387</v>
      </c>
      <c r="M66" s="7">
        <f t="shared" si="8"/>
        <v>0.78597284192950811</v>
      </c>
      <c r="N66" s="7">
        <f t="shared" si="8"/>
        <v>0.74004720871866458</v>
      </c>
    </row>
    <row r="68" spans="1:14" x14ac:dyDescent="0.2">
      <c r="A68" t="s">
        <v>40</v>
      </c>
      <c r="J68" s="8">
        <f>J62*J66</f>
        <v>818013.66063946497</v>
      </c>
      <c r="K68" s="8">
        <f t="shared" ref="K68:N68" si="9">K62*K66</f>
        <v>493751.59074985323</v>
      </c>
      <c r="L68" s="8">
        <f t="shared" si="9"/>
        <v>475031.14957029832</v>
      </c>
      <c r="M68" s="8">
        <f t="shared" si="9"/>
        <v>457037.60586175392</v>
      </c>
      <c r="N68" s="8">
        <f t="shared" si="9"/>
        <v>439741.30694878357</v>
      </c>
    </row>
    <row r="69" spans="1:14" x14ac:dyDescent="0.2">
      <c r="J69" s="8"/>
      <c r="K69" s="8"/>
      <c r="L69" s="8"/>
      <c r="M69" s="8"/>
      <c r="N69" s="8"/>
    </row>
    <row r="70" spans="1:14" x14ac:dyDescent="0.2">
      <c r="A70" t="s">
        <v>41</v>
      </c>
      <c r="J70" s="8"/>
      <c r="K70" s="8"/>
      <c r="L70" s="8"/>
      <c r="M70" s="8"/>
      <c r="N70" s="8">
        <f>N64*N66</f>
        <v>14128694.206652692</v>
      </c>
    </row>
    <row r="71" spans="1:14" ht="17" thickBot="1" x14ac:dyDescent="0.25"/>
    <row r="72" spans="1:14" ht="17" thickBot="1" x14ac:dyDescent="0.25">
      <c r="A72" s="2" t="s">
        <v>42</v>
      </c>
      <c r="B72" s="2"/>
      <c r="C72" s="10"/>
      <c r="D72" s="3">
        <f>SUM(J68:N70)</f>
        <v>16812269.520422846</v>
      </c>
    </row>
    <row r="75" spans="1:14" x14ac:dyDescent="0.2">
      <c r="A75" s="16" t="s">
        <v>43</v>
      </c>
      <c r="B75" s="15"/>
      <c r="C75" s="15"/>
      <c r="D75" s="15"/>
      <c r="E75" s="15"/>
      <c r="F75" s="15"/>
      <c r="G75" s="15"/>
      <c r="H75" s="15"/>
      <c r="I75" s="15"/>
      <c r="J75" s="15"/>
      <c r="K75" s="15"/>
      <c r="L75" s="15"/>
      <c r="M75" s="15"/>
      <c r="N75" s="15"/>
    </row>
    <row r="76" spans="1:14" x14ac:dyDescent="0.2">
      <c r="A76" t="s">
        <v>42</v>
      </c>
      <c r="D76" s="8">
        <f>D72</f>
        <v>16812269.520422846</v>
      </c>
    </row>
    <row r="77" spans="1:14" x14ac:dyDescent="0.2">
      <c r="A77" t="s">
        <v>44</v>
      </c>
      <c r="D77" s="8">
        <v>626800</v>
      </c>
    </row>
    <row r="78" spans="1:14" x14ac:dyDescent="0.2">
      <c r="A78" t="s">
        <v>29</v>
      </c>
      <c r="D78" s="8">
        <f>C35</f>
        <v>3016800</v>
      </c>
    </row>
    <row r="79" spans="1:14" ht="17" thickBot="1" x14ac:dyDescent="0.25"/>
    <row r="80" spans="1:14" ht="17" thickBot="1" x14ac:dyDescent="0.25">
      <c r="A80" s="2" t="s">
        <v>45</v>
      </c>
      <c r="B80" s="2"/>
      <c r="C80" s="10"/>
      <c r="D80" s="3">
        <f>D76+D77-D78</f>
        <v>14422269.520422846</v>
      </c>
    </row>
    <row r="82" spans="1:4" x14ac:dyDescent="0.2">
      <c r="A82" t="s">
        <v>46</v>
      </c>
      <c r="D82" s="8">
        <v>138786</v>
      </c>
    </row>
    <row r="83" spans="1:4" ht="17" thickBot="1" x14ac:dyDescent="0.25"/>
    <row r="84" spans="1:4" ht="17" thickBot="1" x14ac:dyDescent="0.25">
      <c r="A84" s="11" t="s">
        <v>47</v>
      </c>
      <c r="B84" s="11"/>
      <c r="C84" s="12"/>
      <c r="D84" s="13">
        <f>D80/D82</f>
        <v>103.91732249955216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DCF (Base)</vt:lpstr>
      <vt:lpstr>DCF (Optimistic)</vt:lpstr>
      <vt:lpstr>DCF (Conservative)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Gududuru, Ashmith</dc:creator>
  <cp:lastModifiedBy>Gududuru, Ashmith</cp:lastModifiedBy>
  <dcterms:created xsi:type="dcterms:W3CDTF">2024-09-10T20:11:35Z</dcterms:created>
  <dcterms:modified xsi:type="dcterms:W3CDTF">2024-10-16T18:59:39Z</dcterms:modified>
</cp:coreProperties>
</file>