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/Documents/"/>
    </mc:Choice>
  </mc:AlternateContent>
  <xr:revisionPtr revIDLastSave="0" documentId="8_{2FD98441-E25B-3040-9B20-81D98EF242D5}" xr6:coauthVersionLast="47" xr6:coauthVersionMax="47" xr10:uidLastSave="{00000000-0000-0000-0000-000000000000}"/>
  <bookViews>
    <workbookView xWindow="0" yWindow="500" windowWidth="28800" windowHeight="16520" xr2:uid="{251CA1E2-2E0A-C14C-BFC2-F2B53113E278}"/>
  </bookViews>
  <sheets>
    <sheet name="Discounted Cash Flow" sheetId="1" r:id="rId1"/>
    <sheet name="FCF Historicals and Estimates" sheetId="9" r:id="rId2"/>
    <sheet name="Balance Sheets (10K 2023)" sheetId="13" r:id="rId3"/>
    <sheet name="Cash Flow (10K 2023)" sheetId="14" r:id="rId4"/>
    <sheet name="Income Statement (10K 2023)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1" l="1"/>
  <c r="G28" i="1"/>
  <c r="O28" i="1"/>
  <c r="N28" i="1"/>
  <c r="M28" i="1"/>
  <c r="L28" i="1"/>
  <c r="K28" i="1"/>
  <c r="J28" i="1"/>
  <c r="I28" i="1"/>
  <c r="H23" i="1"/>
  <c r="D41" i="1"/>
  <c r="D32" i="1"/>
  <c r="D35" i="1"/>
  <c r="E78" i="1" s="1"/>
  <c r="L61" i="1"/>
  <c r="M61" i="1" s="1"/>
  <c r="N61" i="1" s="1"/>
  <c r="O61" i="1" s="1"/>
  <c r="D33" i="1" l="1"/>
  <c r="D36" i="1"/>
  <c r="G17" i="1"/>
  <c r="H17" i="1"/>
  <c r="I17" i="1"/>
  <c r="J17" i="1"/>
  <c r="J16" i="1"/>
  <c r="I16" i="1"/>
  <c r="H16" i="1"/>
  <c r="G16" i="1"/>
  <c r="O20" i="1"/>
  <c r="N20" i="1"/>
  <c r="M20" i="1"/>
  <c r="L20" i="1"/>
  <c r="K20" i="1"/>
  <c r="J20" i="1"/>
  <c r="I20" i="1"/>
  <c r="H20" i="1"/>
  <c r="G20" i="1"/>
  <c r="O23" i="1"/>
  <c r="N23" i="1"/>
  <c r="M23" i="1"/>
  <c r="L23" i="1"/>
  <c r="K23" i="1"/>
  <c r="J23" i="1"/>
  <c r="I23" i="1"/>
  <c r="O26" i="1"/>
  <c r="N26" i="1"/>
  <c r="M26" i="1"/>
  <c r="L26" i="1"/>
  <c r="K26" i="1"/>
  <c r="J26" i="1"/>
  <c r="I26" i="1"/>
  <c r="H26" i="1"/>
  <c r="G26" i="1"/>
  <c r="K13" i="1"/>
  <c r="O13" i="1"/>
  <c r="N13" i="1"/>
  <c r="M13" i="1"/>
  <c r="L13" i="1"/>
  <c r="J13" i="1"/>
  <c r="I13" i="1"/>
  <c r="H13" i="1"/>
  <c r="G13" i="1"/>
  <c r="L17" i="1" l="1"/>
  <c r="L15" i="1" s="1"/>
  <c r="K17" i="1"/>
  <c r="K15" i="1" s="1"/>
  <c r="M17" i="1"/>
  <c r="M15" i="1" s="1"/>
  <c r="D45" i="1"/>
  <c r="D47" i="1" s="1"/>
  <c r="E53" i="1" s="1"/>
  <c r="K66" i="1" s="1"/>
  <c r="N17" i="1"/>
  <c r="N15" i="1" s="1"/>
  <c r="O17" i="1"/>
  <c r="O15" i="1" s="1"/>
  <c r="L16" i="1"/>
  <c r="M16" i="1"/>
  <c r="K16" i="1"/>
  <c r="N16" i="1"/>
  <c r="O16" i="1"/>
  <c r="N62" i="1" l="1"/>
  <c r="K62" i="1"/>
  <c r="K68" i="1" s="1"/>
  <c r="L62" i="1"/>
  <c r="M62" i="1"/>
  <c r="O66" i="1"/>
  <c r="N66" i="1"/>
  <c r="M66" i="1"/>
  <c r="L66" i="1"/>
  <c r="O62" i="1"/>
  <c r="E51" i="1"/>
  <c r="L68" i="1" l="1"/>
  <c r="M68" i="1"/>
  <c r="N68" i="1"/>
  <c r="E58" i="1"/>
  <c r="O64" i="1" s="1"/>
  <c r="O70" i="1" s="1"/>
  <c r="O68" i="1"/>
  <c r="E72" i="1" l="1"/>
  <c r="E76" i="1" s="1"/>
  <c r="E80" i="1" s="1"/>
  <c r="E84" i="1" s="1"/>
</calcChain>
</file>

<file path=xl/sharedStrings.xml><?xml version="1.0" encoding="utf-8"?>
<sst xmlns="http://schemas.openxmlformats.org/spreadsheetml/2006/main" count="182" uniqueCount="158">
  <si>
    <t>Source</t>
  </si>
  <si>
    <t>Company:</t>
  </si>
  <si>
    <t>Ticker:</t>
  </si>
  <si>
    <t>Date:</t>
  </si>
  <si>
    <t>Hasbro, Inc</t>
  </si>
  <si>
    <t xml:space="preserve">HAS </t>
  </si>
  <si>
    <t>Revenue</t>
  </si>
  <si>
    <t>2020 (A)</t>
  </si>
  <si>
    <t>2021 (A)</t>
  </si>
  <si>
    <t>2022 (A)</t>
  </si>
  <si>
    <t>2023 (A)</t>
  </si>
  <si>
    <t>2024 (E)</t>
  </si>
  <si>
    <t>2026 (E)</t>
  </si>
  <si>
    <t>2027 (E)</t>
  </si>
  <si>
    <t>2028 (E)</t>
  </si>
  <si>
    <t>2025 (E)</t>
  </si>
  <si>
    <t>EBIT</t>
  </si>
  <si>
    <t>Taxes</t>
  </si>
  <si>
    <t>Tax Rate</t>
  </si>
  <si>
    <t>Unlevered Future Free Cash Flow</t>
  </si>
  <si>
    <t>Free Cash Flow</t>
  </si>
  <si>
    <t>WACC Calculations</t>
  </si>
  <si>
    <t>Cost of Equity</t>
  </si>
  <si>
    <t>Cost of Debt</t>
  </si>
  <si>
    <t>% Equity</t>
  </si>
  <si>
    <t>% Debt</t>
  </si>
  <si>
    <t>% of Revenue</t>
  </si>
  <si>
    <t>Net Working Capital</t>
  </si>
  <si>
    <t>Change in NWC</t>
  </si>
  <si>
    <t>Equity</t>
  </si>
  <si>
    <t>Debt</t>
  </si>
  <si>
    <t>Risk Free Rate</t>
  </si>
  <si>
    <t>Beta</t>
  </si>
  <si>
    <t>WACC</t>
  </si>
  <si>
    <t>Terminal Value</t>
  </si>
  <si>
    <t>Equity Risk Premium</t>
  </si>
  <si>
    <t>Projected Cash Flow (2028)</t>
  </si>
  <si>
    <t>Growth Rate</t>
  </si>
  <si>
    <t>Discounted Free Cash Flow and Terminal Value</t>
  </si>
  <si>
    <t>Projected Free Cash Flow (2024-2028)</t>
  </si>
  <si>
    <t>Discount Factor</t>
  </si>
  <si>
    <t>Present Value of Free Cash Flow</t>
  </si>
  <si>
    <t>Present Value of Terminal Value</t>
  </si>
  <si>
    <t>Enterprise Value</t>
  </si>
  <si>
    <t xml:space="preserve">Implied Share Price </t>
  </si>
  <si>
    <t>Cash</t>
  </si>
  <si>
    <t>Equity  Value</t>
  </si>
  <si>
    <t>Outstanding Shares</t>
  </si>
  <si>
    <t>Implied Share Price</t>
  </si>
  <si>
    <t>Depreciation and Amortization</t>
  </si>
  <si>
    <t>Accounts Recievable</t>
  </si>
  <si>
    <t>Accounts Payable</t>
  </si>
  <si>
    <t>Capital Expenditures</t>
  </si>
  <si>
    <t>Income Tax</t>
  </si>
  <si>
    <t>Income Before Tax</t>
  </si>
  <si>
    <t>Inventories</t>
  </si>
  <si>
    <t>ASSETS</t>
  </si>
  <si>
    <t>Current assets</t>
  </si>
  <si>
    <t>Prepaid expenses and other current assets</t>
  </si>
  <si>
    <t>Total current assets</t>
  </si>
  <si>
    <t>Goodwill</t>
  </si>
  <si>
    <t>Other</t>
  </si>
  <si>
    <t>Total other assets</t>
  </si>
  <si>
    <t>Total assets</t>
  </si>
  <si>
    <t>LIABILITIES, NONCONTROLLING INTERESTS AND SHAREHOLDERS' EQUITY</t>
  </si>
  <si>
    <t>Current liabilities</t>
  </si>
  <si>
    <t>Short-term borrowings</t>
  </si>
  <si>
    <t>Current portion of long-term debt</t>
  </si>
  <si>
    <t>Accounts payable</t>
  </si>
  <si>
    <t>Accrued liabilities</t>
  </si>
  <si>
    <t>Total current liabilities</t>
  </si>
  <si>
    <t>Long-term debt</t>
  </si>
  <si>
    <t>Other liabilities</t>
  </si>
  <si>
    <t>Total liabilities</t>
  </si>
  <si>
    <t>Shareholders' equity</t>
  </si>
  <si>
    <t>Preference stock of $2.50 par value. Authorized 5,000,000 shares; none issued</t>
  </si>
  <si>
    <t>Additional paid-in capital</t>
  </si>
  <si>
    <t>Retained earnings</t>
  </si>
  <si>
    <t>Accumulated other comprehensive loss</t>
  </si>
  <si>
    <t>Noncontrolling interests</t>
  </si>
  <si>
    <t>Total shareholders' equity</t>
  </si>
  <si>
    <t>Total liabilities, noncontrolling interests and shareholders' equity</t>
  </si>
  <si>
    <t>Net earnings (loss)</t>
  </si>
  <si>
    <t>Loss on disposal of business</t>
  </si>
  <si>
    <t>Impairment of goodwill</t>
  </si>
  <si>
    <t>Program cost amortization</t>
  </si>
  <si>
    <t>Deferred income taxes</t>
  </si>
  <si>
    <t>Stock-based compensation</t>
  </si>
  <si>
    <t>Other non-cash items</t>
  </si>
  <si>
    <t>Program spend, net</t>
  </si>
  <si>
    <t>Change in net deemed repatriation tax</t>
  </si>
  <si>
    <t>Net cash provided by operating activities</t>
  </si>
  <si>
    <t>Additions to property, plant and equipment</t>
  </si>
  <si>
    <t>Dividends paid</t>
  </si>
  <si>
    <t>Payments related to tax withholding for share-based compensation</t>
  </si>
  <si>
    <t>Stock-based compensation transactions</t>
  </si>
  <si>
    <t>Effect of exchange rate changes on cash</t>
  </si>
  <si>
    <t>Cash, cash equivalents and restricted cash at beginning of year</t>
  </si>
  <si>
    <t>Supplemental information</t>
  </si>
  <si>
    <t>Net revenues</t>
  </si>
  <si>
    <t>Costs and expenses:</t>
  </si>
  <si>
    <t>Cost of sales</t>
  </si>
  <si>
    <t>Royalties</t>
  </si>
  <si>
    <t>Product development</t>
  </si>
  <si>
    <t>Advertising</t>
  </si>
  <si>
    <t>Selling, distribution and administration</t>
  </si>
  <si>
    <t>Total costs and expenses</t>
  </si>
  <si>
    <t>Operating profit (loss)</t>
  </si>
  <si>
    <t>Non-operating expense (income):</t>
  </si>
  <si>
    <t>Interest expense</t>
  </si>
  <si>
    <t>Interest income</t>
  </si>
  <si>
    <t>Total non-operating expense, net</t>
  </si>
  <si>
    <t>Earnings (loss) before income taxes</t>
  </si>
  <si>
    <t>Net earnings (loss) attributable to Hasbro, Inc.</t>
  </si>
  <si>
    <t>Basic</t>
  </si>
  <si>
    <t>Diluted</t>
  </si>
  <si>
    <t>Depreciation &amp; Amortization</t>
  </si>
  <si>
    <t>Sales Growth Rate</t>
  </si>
  <si>
    <t>Cash and cash equivalents, including restricted cash of $0.6 in 2023 and $14.5 in 2022</t>
  </si>
  <si>
    <t>Accounts receivable, less allowance for credit losses of $12.7 in 2023 and $20.0 in 2022</t>
  </si>
  <si>
    <t>Property, plant and equipment, net</t>
  </si>
  <si>
    <t>Other assets</t>
  </si>
  <si>
    <t>Other intangibles, net</t>
  </si>
  <si>
    <t>Common stock of $0.50 par value. Authorized 600,000,000 shares; issued 220,286,736 shares as of 2023 and 2022</t>
  </si>
  <si>
    <t>Treasury stock, at cost, 81,498,181 shares in 2023 and 82,106,383 shares in 2022</t>
  </si>
  <si>
    <t>Amortization of intangible assets</t>
  </si>
  <si>
    <t>Other expense (income), net</t>
  </si>
  <si>
    <t>Income tax (benefit) expense</t>
  </si>
  <si>
    <t>Net earnings (loss) attributable to noncontrolling interests</t>
  </si>
  <si>
    <t>Per common share</t>
  </si>
  <si>
    <t>Cash dividends declared</t>
  </si>
  <si>
    <t>Cash flows from operating activities</t>
  </si>
  <si>
    <t>Adjustments to reconcile net earnings to net cash provided by operating activities:</t>
  </si>
  <si>
    <t>Depreciation of property, plant and equipment</t>
  </si>
  <si>
    <t>Impairment of intangibles and production assets</t>
  </si>
  <si>
    <t>Loss on Discovery investment</t>
  </si>
  <si>
    <t>Fair value adjustment on Discovery Option</t>
  </si>
  <si>
    <t>Inventory obsolescence</t>
  </si>
  <si>
    <t>Changes in operating assets and liabilities, net of acquired and disposed balances:</t>
  </si>
  <si>
    <t>Decrease (increase) in accounts receivable</t>
  </si>
  <si>
    <t>Decrease (increase) in inventories</t>
  </si>
  <si>
    <t>Decrease (increase) in prepaid expenses and other current assets</t>
  </si>
  <si>
    <t>(Decrease) increase in accounts payable and accrued liabilities</t>
  </si>
  <si>
    <t>Cash flows from investing activities</t>
  </si>
  <si>
    <t>Investments and acquisitions, net of cash acquired</t>
  </si>
  <si>
    <t>Proceeds from sale of business, net of cash transferred</t>
  </si>
  <si>
    <t>Net cash provided (utilized) by investing activities</t>
  </si>
  <si>
    <t>Cash flows from financing activities</t>
  </si>
  <si>
    <t>Proceeds from borrowings</t>
  </si>
  <si>
    <t>Repayments of borrowings</t>
  </si>
  <si>
    <t>Net (repayments) proceeds of other short-term borrowings</t>
  </si>
  <si>
    <t>Purchases of common stock</t>
  </si>
  <si>
    <t>Debt extinguishment costs</t>
  </si>
  <si>
    <t>Net cash utilized by financing activities</t>
  </si>
  <si>
    <t>Increase (decrease) in cash, cash equivalents and restricted cash</t>
  </si>
  <si>
    <t>Cash, cash equivalents and restricted cash at end of year</t>
  </si>
  <si>
    <t>Interest paid</t>
  </si>
  <si>
    <t>Income taxes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</si>
</sst>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#,##0\ [$€-1];[Red]\-#,##0\ [$€-1]"/>
    <numFmt numFmtId="165" formatCode="0%;\(0%\)"/>
    <numFmt numFmtId="166" formatCode="0.0000000000000000%"/>
    <numFmt numFmtId="167" formatCode="0.00%;\(0.00%\)"/>
    <numFmt numFmtId="168" formatCode="&quot;$&quot;#,##0.00"/>
    <numFmt numFmtId="169" formatCode="_(0_);_(\(0\);_(&quot;-&quot;_);@_)"/>
    <numFmt numFmtId="170" formatCode="_(\$* #,##0.0_);_(\$* \(#,##0.0\);_(\$* &quot;-&quot;_);_(@_)"/>
    <numFmt numFmtId="171" formatCode="_(#,##0.0_);_(\(#,##0.0\);_(&quot;-&quot;_);_(@_)"/>
    <numFmt numFmtId="172" formatCode="_(#,##0_);_(\(#,##0\);_(&quot;-&quot;_);_(@_)"/>
    <numFmt numFmtId="173" formatCode="_(\$* #,##0_);_(\$* \(#,##0\);_(\$* &quot;-&quot;_);_(@_)"/>
    <numFmt numFmtId="174" formatCode="_(\$* #,##0.00_);_(\$* \(#,##0.00\);_(\$* &quot;-&quot;_);_(@_)"/>
    <numFmt numFmtId="175" formatCode="#,##0.0_);\(#,##0.0\)"/>
    <numFmt numFmtId="176" formatCode="_(#,##0.00_);_(\(#,##0.00\);_(&quot;-&quot;_);_(@_)"/>
  </numFmts>
  <fonts count="15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0"/>
      <name val="Aptos Narrow (Body)"/>
    </font>
    <font>
      <sz val="12"/>
      <color theme="1"/>
      <name val="Aptos Narrow (Body)"/>
    </font>
    <font>
      <u/>
      <sz val="12"/>
      <color theme="1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Aptos Narrow"/>
      <family val="2"/>
      <scheme val="minor"/>
    </font>
    <font>
      <sz val="10"/>
      <color theme="0"/>
      <name val="Helvetica Neue"/>
      <family val="2"/>
    </font>
    <font>
      <b/>
      <sz val="11"/>
      <name val="Calibri"/>
      <family val="2"/>
    </font>
    <font>
      <sz val="11"/>
      <name val="Calibri"/>
      <family val="2"/>
    </font>
    <font>
      <b/>
      <u/>
      <sz val="11"/>
      <color rgb="FF0000FF"/>
      <name val="Calibri"/>
      <family val="2"/>
    </font>
    <font>
      <sz val="12"/>
      <color theme="2"/>
      <name val="Aptos Narrow"/>
      <family val="2"/>
      <scheme val="minor"/>
    </font>
    <font>
      <sz val="12"/>
      <color theme="2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165" fontId="0" fillId="0" borderId="0" xfId="0" applyNumberFormat="1"/>
    <xf numFmtId="0" fontId="0" fillId="0" borderId="1" xfId="0" applyBorder="1"/>
    <xf numFmtId="0" fontId="6" fillId="0" borderId="0" xfId="0" applyFont="1"/>
    <xf numFmtId="0" fontId="7" fillId="0" borderId="0" xfId="0" applyFont="1"/>
    <xf numFmtId="0" fontId="5" fillId="0" borderId="0" xfId="0" applyFont="1"/>
    <xf numFmtId="0" fontId="4" fillId="0" borderId="0" xfId="1"/>
    <xf numFmtId="3" fontId="0" fillId="0" borderId="3" xfId="0" applyNumberFormat="1" applyBorder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3" fontId="0" fillId="0" borderId="0" xfId="0" applyNumberFormat="1"/>
    <xf numFmtId="10" fontId="0" fillId="0" borderId="3" xfId="0" applyNumberFormat="1" applyBorder="1"/>
    <xf numFmtId="10" fontId="0" fillId="0" borderId="1" xfId="0" applyNumberFormat="1" applyBorder="1"/>
    <xf numFmtId="0" fontId="8" fillId="0" borderId="1" xfId="0" applyFont="1" applyBorder="1"/>
    <xf numFmtId="10" fontId="8" fillId="0" borderId="1" xfId="0" applyNumberFormat="1" applyFont="1" applyBorder="1"/>
    <xf numFmtId="168" fontId="8" fillId="0" borderId="3" xfId="0" applyNumberFormat="1" applyFont="1" applyBorder="1"/>
    <xf numFmtId="0" fontId="9" fillId="2" borderId="0" xfId="0" applyFont="1" applyFill="1"/>
    <xf numFmtId="0" fontId="0" fillId="0" borderId="0" xfId="0" applyAlignment="1">
      <alignment horizontal="left"/>
    </xf>
    <xf numFmtId="169" fontId="10" fillId="0" borderId="0" xfId="0" applyNumberFormat="1" applyFont="1" applyAlignment="1">
      <alignment horizontal="right"/>
    </xf>
    <xf numFmtId="169" fontId="11" fillId="0" borderId="0" xfId="0" applyNumberFormat="1" applyFont="1" applyAlignment="1">
      <alignment horizontal="right"/>
    </xf>
    <xf numFmtId="170" fontId="11" fillId="0" borderId="0" xfId="0" applyNumberFormat="1" applyFont="1"/>
    <xf numFmtId="171" fontId="11" fillId="0" borderId="0" xfId="0" applyNumberFormat="1" applyFont="1"/>
    <xf numFmtId="172" fontId="11" fillId="0" borderId="0" xfId="0" applyNumberFormat="1" applyFont="1"/>
    <xf numFmtId="173" fontId="11" fillId="0" borderId="0" xfId="0" applyNumberFormat="1" applyFont="1"/>
    <xf numFmtId="0" fontId="12" fillId="0" borderId="0" xfId="0" applyFont="1"/>
    <xf numFmtId="174" fontId="11" fillId="0" borderId="0" xfId="0" applyNumberFormat="1" applyFont="1"/>
    <xf numFmtId="175" fontId="0" fillId="0" borderId="0" xfId="0" applyNumberFormat="1"/>
    <xf numFmtId="43" fontId="0" fillId="0" borderId="0" xfId="0" applyNumberFormat="1"/>
    <xf numFmtId="37" fontId="0" fillId="0" borderId="0" xfId="0" applyNumberFormat="1"/>
    <xf numFmtId="0" fontId="13" fillId="3" borderId="0" xfId="0" applyFont="1" applyFill="1"/>
    <xf numFmtId="0" fontId="14" fillId="3" borderId="0" xfId="0" applyFont="1" applyFill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164" fontId="1" fillId="3" borderId="0" xfId="0" applyNumberFormat="1" applyFont="1" applyFill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7" fontId="0" fillId="0" borderId="2" xfId="0" applyNumberFormat="1" applyBorder="1"/>
    <xf numFmtId="37" fontId="0" fillId="0" borderId="3" xfId="0" applyNumberFormat="1" applyBorder="1"/>
    <xf numFmtId="0" fontId="10" fillId="0" borderId="0" xfId="0" applyFont="1" applyAlignment="1">
      <alignment horizontal="centerContinuous"/>
    </xf>
    <xf numFmtId="176" fontId="1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.financialmodelingprep.com/discounted-cash-flow-model/HA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msec.com/filing/4608024000034/1?table=20&amp;utm_source=table-download&amp;utm_medium=excel&amp;utm_campaign=tabl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msec.com/filing/4608024000034/1?table=23&amp;utm_source=table-download&amp;utm_medium=excel&amp;utm_campaign=tabl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msec.com/filing/4608024000034/1?table=21&amp;utm_source=table-download&amp;utm_medium=excel&amp;utm_campaign=t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588C-567A-2E48-9CC9-B2569FB78F9D}">
  <dimension ref="A2:T84"/>
  <sheetViews>
    <sheetView tabSelected="1" topLeftCell="B2" zoomScale="84" workbookViewId="0">
      <selection activeCell="G36" sqref="G36"/>
    </sheetView>
  </sheetViews>
  <sheetFormatPr baseColWidth="10" defaultRowHeight="16" x14ac:dyDescent="0.2"/>
  <cols>
    <col min="1" max="1" width="1" hidden="1" customWidth="1"/>
    <col min="4" max="5" width="21.1640625" bestFit="1" customWidth="1"/>
    <col min="11" max="11" width="11.1640625" bestFit="1" customWidth="1"/>
    <col min="12" max="14" width="11" bestFit="1" customWidth="1"/>
    <col min="15" max="15" width="12.1640625" bestFit="1" customWidth="1"/>
  </cols>
  <sheetData>
    <row r="2" spans="2:15" x14ac:dyDescent="0.2">
      <c r="B2" t="s">
        <v>1</v>
      </c>
      <c r="C2" s="38" t="s">
        <v>4</v>
      </c>
      <c r="D2" s="38"/>
    </row>
    <row r="3" spans="2:15" x14ac:dyDescent="0.2">
      <c r="B3" t="s">
        <v>2</v>
      </c>
      <c r="C3" s="38" t="s">
        <v>5</v>
      </c>
      <c r="D3" s="38"/>
    </row>
    <row r="4" spans="2:15" x14ac:dyDescent="0.2">
      <c r="B4" t="s">
        <v>3</v>
      </c>
      <c r="C4" s="39">
        <v>45559</v>
      </c>
      <c r="D4" s="39"/>
    </row>
    <row r="8" spans="2:15" x14ac:dyDescent="0.2">
      <c r="B8" s="34" t="s">
        <v>19</v>
      </c>
      <c r="C8" s="35"/>
      <c r="D8" s="35"/>
      <c r="E8" s="35"/>
      <c r="F8" s="35"/>
      <c r="G8" s="36" t="s">
        <v>7</v>
      </c>
      <c r="H8" s="36" t="s">
        <v>8</v>
      </c>
      <c r="I8" s="36" t="s">
        <v>9</v>
      </c>
      <c r="J8" s="36" t="s">
        <v>10</v>
      </c>
      <c r="K8" s="36" t="s">
        <v>11</v>
      </c>
      <c r="L8" s="37" t="s">
        <v>15</v>
      </c>
      <c r="M8" s="36" t="s">
        <v>12</v>
      </c>
      <c r="N8" s="36" t="s">
        <v>13</v>
      </c>
      <c r="O8" s="36" t="s">
        <v>14</v>
      </c>
    </row>
    <row r="9" spans="2:15" x14ac:dyDescent="0.2">
      <c r="B9" t="s">
        <v>6</v>
      </c>
      <c r="G9" s="13">
        <v>5465443</v>
      </c>
      <c r="H9" s="13">
        <v>6420400</v>
      </c>
      <c r="I9" s="13">
        <v>5856700</v>
      </c>
      <c r="J9" s="13">
        <v>5003100</v>
      </c>
      <c r="K9" s="13">
        <v>5126999</v>
      </c>
      <c r="L9" s="13">
        <v>5253966</v>
      </c>
      <c r="M9" s="13">
        <v>5384077</v>
      </c>
      <c r="N9" s="13">
        <v>5517411</v>
      </c>
      <c r="O9" s="13">
        <v>5654046</v>
      </c>
    </row>
    <row r="10" spans="2:15" x14ac:dyDescent="0.2">
      <c r="B10" t="s">
        <v>117</v>
      </c>
      <c r="G10" s="2">
        <v>0.15790000000000001</v>
      </c>
      <c r="H10" s="2">
        <v>0.17469999999999999</v>
      </c>
      <c r="I10" s="2">
        <v>-8.7800000000000003E-2</v>
      </c>
      <c r="J10" s="2">
        <v>-0.1457</v>
      </c>
      <c r="K10" s="2">
        <v>2.4799999999999999E-2</v>
      </c>
      <c r="L10" s="2">
        <v>2.4799999999999999E-2</v>
      </c>
      <c r="M10" s="2">
        <v>2.4799999999999999E-2</v>
      </c>
      <c r="N10" s="2">
        <v>2.4799999999999999E-2</v>
      </c>
      <c r="O10" s="2">
        <v>2.4799999999999999E-2</v>
      </c>
    </row>
    <row r="11" spans="2:15" x14ac:dyDescent="0.2">
      <c r="K11" s="2"/>
    </row>
    <row r="12" spans="2:15" x14ac:dyDescent="0.2">
      <c r="B12" t="s">
        <v>16</v>
      </c>
      <c r="G12" s="13">
        <v>234473</v>
      </c>
      <c r="H12" s="13">
        <v>78500</v>
      </c>
      <c r="I12" s="31">
        <v>-228200</v>
      </c>
      <c r="J12" s="13">
        <v>192300</v>
      </c>
      <c r="K12" s="13">
        <v>159603</v>
      </c>
      <c r="L12" s="13">
        <v>163555</v>
      </c>
      <c r="M12" s="13">
        <v>167605</v>
      </c>
      <c r="N12" s="13">
        <v>171756</v>
      </c>
      <c r="O12" s="13">
        <v>176009</v>
      </c>
    </row>
    <row r="13" spans="2:15" x14ac:dyDescent="0.2">
      <c r="B13" t="s">
        <v>26</v>
      </c>
      <c r="G13" s="2">
        <f t="shared" ref="G13:O13" si="0">G12/G9</f>
        <v>4.2901005462869159E-2</v>
      </c>
      <c r="H13" s="2">
        <f t="shared" si="0"/>
        <v>1.2226652545012772E-2</v>
      </c>
      <c r="I13" s="2">
        <f t="shared" si="0"/>
        <v>-3.8963921662369595E-2</v>
      </c>
      <c r="J13" s="2">
        <f t="shared" si="0"/>
        <v>3.8436169574863586E-2</v>
      </c>
      <c r="K13" s="2">
        <f t="shared" si="0"/>
        <v>3.1129906598382405E-2</v>
      </c>
      <c r="L13" s="2">
        <f t="shared" si="0"/>
        <v>3.1129816980163177E-2</v>
      </c>
      <c r="M13" s="2">
        <f t="shared" si="0"/>
        <v>3.1129755387970862E-2</v>
      </c>
      <c r="N13" s="2">
        <f t="shared" si="0"/>
        <v>3.1129817952659317E-2</v>
      </c>
      <c r="O13" s="2">
        <f t="shared" si="0"/>
        <v>3.1129743196288109E-2</v>
      </c>
    </row>
    <row r="14" spans="2:15" x14ac:dyDescent="0.2">
      <c r="K14" s="2"/>
    </row>
    <row r="15" spans="2:15" x14ac:dyDescent="0.2">
      <c r="B15" t="s">
        <v>17</v>
      </c>
      <c r="G15" s="13">
        <v>96621</v>
      </c>
      <c r="H15" s="13">
        <v>146600</v>
      </c>
      <c r="I15" s="13">
        <v>58500</v>
      </c>
      <c r="J15" s="13">
        <v>221300</v>
      </c>
      <c r="K15" s="13">
        <f>K9*K17</f>
        <v>121424.17158028633</v>
      </c>
      <c r="L15" s="13">
        <f>L9*L17</f>
        <v>124431.16705522874</v>
      </c>
      <c r="M15" s="13">
        <f>M9*M17</f>
        <v>127512.62277396063</v>
      </c>
      <c r="N15" s="13">
        <f>N9*N17</f>
        <v>130670.40971589019</v>
      </c>
      <c r="O15" s="13">
        <f>O9*O17</f>
        <v>133906.37517714195</v>
      </c>
    </row>
    <row r="16" spans="2:15" x14ac:dyDescent="0.2">
      <c r="B16" t="s">
        <v>18</v>
      </c>
      <c r="G16" s="2">
        <f>G15/322062</f>
        <v>0.30000745198129553</v>
      </c>
      <c r="H16" s="2">
        <f>H15/581900</f>
        <v>0.2519333218766111</v>
      </c>
      <c r="I16" s="2">
        <f>I15/261500</f>
        <v>0.22370936902485661</v>
      </c>
      <c r="J16" s="2">
        <f>J15/1709100</f>
        <v>0.12948335381194781</v>
      </c>
      <c r="K16" s="2">
        <f>AVERAGE(G16:J16)</f>
        <v>0.22628337417367778</v>
      </c>
      <c r="L16" s="2">
        <f>AVERAGE(G16:J16)</f>
        <v>0.22628337417367778</v>
      </c>
      <c r="M16" s="2">
        <f>AVERAGE(G16:J16)</f>
        <v>0.22628337417367778</v>
      </c>
      <c r="N16" s="2">
        <f xml:space="preserve"> AVERAGE(G16:J16)</f>
        <v>0.22628337417367778</v>
      </c>
      <c r="O16" s="2">
        <f xml:space="preserve"> AVERAGE(G16:J16)</f>
        <v>0.22628337417367778</v>
      </c>
    </row>
    <row r="17" spans="1:20" x14ac:dyDescent="0.2">
      <c r="B17" t="s">
        <v>26</v>
      </c>
      <c r="G17" s="2">
        <f>G15/G9</f>
        <v>1.7678530358838249E-2</v>
      </c>
      <c r="H17" s="2">
        <f>H15/H9</f>
        <v>2.2833468319730859E-2</v>
      </c>
      <c r="I17" s="2">
        <f>I15/I9</f>
        <v>9.9885601106425113E-3</v>
      </c>
      <c r="J17" s="2">
        <f>J15/J9</f>
        <v>4.423257580300214E-2</v>
      </c>
      <c r="K17" s="2">
        <f>AVERAGE(G17:J17)</f>
        <v>2.368328364805344E-2</v>
      </c>
      <c r="L17" s="2">
        <f>AVERAGE(G17:J17)</f>
        <v>2.368328364805344E-2</v>
      </c>
      <c r="M17" s="2">
        <f>AVERAGE(G17:J17)</f>
        <v>2.368328364805344E-2</v>
      </c>
      <c r="N17" s="2">
        <f xml:space="preserve"> AVERAGE(G17:J17)</f>
        <v>2.368328364805344E-2</v>
      </c>
      <c r="O17" s="2">
        <f xml:space="preserve"> AVERAGE(G17:J17)</f>
        <v>2.368328364805344E-2</v>
      </c>
      <c r="T17" s="9"/>
    </row>
    <row r="19" spans="1:20" x14ac:dyDescent="0.2">
      <c r="B19" t="s">
        <v>116</v>
      </c>
      <c r="G19" s="13">
        <v>652031</v>
      </c>
      <c r="H19" s="13">
        <v>908700</v>
      </c>
      <c r="I19" s="13">
        <v>788100</v>
      </c>
      <c r="J19" s="13">
        <v>659600</v>
      </c>
      <c r="K19" s="13">
        <v>598493</v>
      </c>
      <c r="L19" s="13">
        <v>613314</v>
      </c>
      <c r="M19" s="13">
        <v>628503</v>
      </c>
      <c r="N19" s="13">
        <v>644067</v>
      </c>
      <c r="O19" s="13">
        <v>660017</v>
      </c>
    </row>
    <row r="20" spans="1:20" x14ac:dyDescent="0.2">
      <c r="B20" t="s">
        <v>26</v>
      </c>
      <c r="G20" s="2">
        <f t="shared" ref="G20:O20" si="1">G19/G9</f>
        <v>0.11930066785071219</v>
      </c>
      <c r="H20" s="2">
        <f t="shared" si="1"/>
        <v>0.14153323780449817</v>
      </c>
      <c r="I20" s="2">
        <f t="shared" si="1"/>
        <v>0.1345638328751686</v>
      </c>
      <c r="J20" s="2">
        <f t="shared" si="1"/>
        <v>0.13183826027862725</v>
      </c>
      <c r="K20" s="2">
        <f t="shared" si="1"/>
        <v>0.11673359015673691</v>
      </c>
      <c r="L20" s="2">
        <f t="shared" si="1"/>
        <v>0.11673353044157499</v>
      </c>
      <c r="M20" s="2">
        <f t="shared" si="1"/>
        <v>0.11673365741240328</v>
      </c>
      <c r="N20" s="2">
        <f t="shared" si="1"/>
        <v>0.11673355492277085</v>
      </c>
      <c r="O20" s="2">
        <f t="shared" si="1"/>
        <v>0.11673357450576101</v>
      </c>
    </row>
    <row r="22" spans="1:20" x14ac:dyDescent="0.2">
      <c r="B22" t="s">
        <v>27</v>
      </c>
      <c r="G22" s="31">
        <v>-176785</v>
      </c>
      <c r="H22" s="31">
        <v>-202500</v>
      </c>
      <c r="I22" s="31">
        <v>1381900</v>
      </c>
      <c r="J22" s="31">
        <v>1020700</v>
      </c>
      <c r="K22" s="31">
        <v>714260</v>
      </c>
      <c r="L22" s="31">
        <v>731948</v>
      </c>
      <c r="M22" s="31">
        <v>750075</v>
      </c>
      <c r="N22" s="31">
        <v>768649</v>
      </c>
      <c r="O22" s="31">
        <v>787680</v>
      </c>
    </row>
    <row r="23" spans="1:20" x14ac:dyDescent="0.2">
      <c r="B23" t="s">
        <v>28</v>
      </c>
      <c r="G23" s="31">
        <v>-1689540</v>
      </c>
      <c r="H23" s="31">
        <f>H22-G22</f>
        <v>-25715</v>
      </c>
      <c r="I23" s="31">
        <f t="shared" ref="I23:O23" si="2">I22-H22</f>
        <v>1584400</v>
      </c>
      <c r="J23" s="31">
        <f t="shared" si="2"/>
        <v>-361200</v>
      </c>
      <c r="K23" s="31">
        <f t="shared" si="2"/>
        <v>-306440</v>
      </c>
      <c r="L23" s="31">
        <f t="shared" si="2"/>
        <v>17688</v>
      </c>
      <c r="M23" s="31">
        <f t="shared" si="2"/>
        <v>18127</v>
      </c>
      <c r="N23" s="31">
        <f t="shared" si="2"/>
        <v>18574</v>
      </c>
      <c r="O23" s="31">
        <f t="shared" si="2"/>
        <v>19031</v>
      </c>
    </row>
    <row r="24" spans="1:20" x14ac:dyDescent="0.2">
      <c r="J24" s="2"/>
    </row>
    <row r="25" spans="1:20" x14ac:dyDescent="0.2">
      <c r="B25" t="s">
        <v>52</v>
      </c>
      <c r="G25" s="31">
        <v>-125754</v>
      </c>
      <c r="H25" s="31">
        <v>-132700</v>
      </c>
      <c r="I25" s="31">
        <v>-174200</v>
      </c>
      <c r="J25" s="31">
        <v>-209300</v>
      </c>
      <c r="K25" s="31">
        <v>-147213</v>
      </c>
      <c r="L25" s="31">
        <v>-150859</v>
      </c>
      <c r="M25" s="31">
        <v>-154595</v>
      </c>
      <c r="N25" s="31">
        <v>-158423</v>
      </c>
      <c r="O25" s="31">
        <v>-162346</v>
      </c>
    </row>
    <row r="26" spans="1:20" x14ac:dyDescent="0.2">
      <c r="B26" t="s">
        <v>26</v>
      </c>
      <c r="G26" s="2">
        <f t="shared" ref="G26:O26" si="3">G25/G9</f>
        <v>-2.3008930840555834E-2</v>
      </c>
      <c r="H26" s="2">
        <f t="shared" si="3"/>
        <v>-2.0668494174817767E-2</v>
      </c>
      <c r="I26" s="2">
        <f t="shared" si="3"/>
        <v>-2.9743712329468812E-2</v>
      </c>
      <c r="J26" s="2">
        <f t="shared" si="3"/>
        <v>-4.1834062881013774E-2</v>
      </c>
      <c r="K26" s="2">
        <f t="shared" si="3"/>
        <v>-2.8713288221823331E-2</v>
      </c>
      <c r="L26" s="2">
        <f t="shared" si="3"/>
        <v>-2.8713356728992917E-2</v>
      </c>
      <c r="M26" s="2">
        <f t="shared" si="3"/>
        <v>-2.8713370926901675E-2</v>
      </c>
      <c r="N26" s="2">
        <f t="shared" si="3"/>
        <v>-2.8713285995913662E-2</v>
      </c>
      <c r="O26" s="2">
        <f t="shared" si="3"/>
        <v>-2.8713243578138557E-2</v>
      </c>
    </row>
    <row r="27" spans="1:20" ht="17" thickBot="1" x14ac:dyDescent="0.25">
      <c r="S27" s="31"/>
    </row>
    <row r="28" spans="1:20" ht="17" thickBot="1" x14ac:dyDescent="0.25">
      <c r="B28" s="3" t="s">
        <v>20</v>
      </c>
      <c r="C28" s="3"/>
      <c r="D28" s="3"/>
      <c r="E28" s="3"/>
      <c r="F28" s="3"/>
      <c r="G28" s="40">
        <f>G12*(1-G16)+G19+G25-G23</f>
        <v>2379946.3527115895</v>
      </c>
      <c r="H28" s="40">
        <f t="shared" ref="H28:O28" si="4">H12*(1-H16)+H19+H25-H23</f>
        <v>860438.23423268599</v>
      </c>
      <c r="I28" s="40">
        <f t="shared" si="4"/>
        <v>-1147649.5219885278</v>
      </c>
      <c r="J28" s="40">
        <f t="shared" si="4"/>
        <v>978900.35106196243</v>
      </c>
      <c r="K28" s="40">
        <f t="shared" si="4"/>
        <v>881207.49463175854</v>
      </c>
      <c r="L28" s="40">
        <f t="shared" si="4"/>
        <v>571312.22273702407</v>
      </c>
      <c r="M28" s="40">
        <f t="shared" si="4"/>
        <v>585459.77507162071</v>
      </c>
      <c r="N28" s="40">
        <f t="shared" si="4"/>
        <v>599960.47278542584</v>
      </c>
      <c r="O28" s="41">
        <f t="shared" si="4"/>
        <v>614821.0895950651</v>
      </c>
      <c r="S28" s="31"/>
    </row>
    <row r="29" spans="1:20" x14ac:dyDescent="0.2">
      <c r="S29" s="31"/>
    </row>
    <row r="30" spans="1:20" x14ac:dyDescent="0.2">
      <c r="S30" s="31"/>
    </row>
    <row r="31" spans="1:20" x14ac:dyDescent="0.2">
      <c r="A31" s="35"/>
      <c r="B31" s="34" t="s">
        <v>21</v>
      </c>
      <c r="C31" s="35"/>
      <c r="D31" s="35"/>
      <c r="E31" s="35"/>
      <c r="F31" s="35"/>
      <c r="G31" s="36"/>
      <c r="H31" s="36"/>
      <c r="I31" s="36"/>
      <c r="J31" s="36"/>
      <c r="K31" s="36"/>
      <c r="L31" s="37"/>
      <c r="M31" s="36"/>
      <c r="N31" s="36"/>
      <c r="O31" s="36"/>
      <c r="S31" s="31"/>
    </row>
    <row r="32" spans="1:20" x14ac:dyDescent="0.2">
      <c r="B32" t="s">
        <v>29</v>
      </c>
      <c r="D32" s="13">
        <f>9960000</f>
        <v>9960000</v>
      </c>
      <c r="S32" s="31"/>
    </row>
    <row r="33" spans="2:5" x14ac:dyDescent="0.2">
      <c r="B33" t="s">
        <v>24</v>
      </c>
      <c r="D33" s="9">
        <f>D32/(D35+D32)</f>
        <v>0.76752358054373959</v>
      </c>
    </row>
    <row r="35" spans="2:5" x14ac:dyDescent="0.2">
      <c r="B35" t="s">
        <v>30</v>
      </c>
      <c r="D35" s="13">
        <f>3016800</f>
        <v>3016800</v>
      </c>
    </row>
    <row r="36" spans="2:5" x14ac:dyDescent="0.2">
      <c r="B36" t="s">
        <v>25</v>
      </c>
      <c r="D36" s="9">
        <f>D35/(D32+D35)</f>
        <v>0.23247641945626041</v>
      </c>
    </row>
    <row r="38" spans="2:5" x14ac:dyDescent="0.2">
      <c r="B38" t="s">
        <v>31</v>
      </c>
      <c r="D38" s="11">
        <v>3.705E-2</v>
      </c>
    </row>
    <row r="39" spans="2:5" x14ac:dyDescent="0.2">
      <c r="B39" t="s">
        <v>32</v>
      </c>
      <c r="D39" s="12">
        <v>0.6</v>
      </c>
    </row>
    <row r="40" spans="2:5" x14ac:dyDescent="0.2">
      <c r="B40" t="s">
        <v>35</v>
      </c>
      <c r="D40" s="11">
        <v>3.8745297161188498E-2</v>
      </c>
    </row>
    <row r="41" spans="2:5" x14ac:dyDescent="0.2">
      <c r="B41" t="s">
        <v>22</v>
      </c>
      <c r="D41" s="11">
        <f>D38+D39*D40</f>
        <v>6.0297178296713098E-2</v>
      </c>
      <c r="E41" s="10"/>
    </row>
    <row r="42" spans="2:5" x14ac:dyDescent="0.2">
      <c r="D42" s="11"/>
    </row>
    <row r="43" spans="2:5" x14ac:dyDescent="0.2">
      <c r="B43" t="s">
        <v>23</v>
      </c>
      <c r="D43" s="11">
        <v>5.8200000000000002E-2</v>
      </c>
    </row>
    <row r="45" spans="2:5" x14ac:dyDescent="0.2">
      <c r="B45" t="s">
        <v>18</v>
      </c>
      <c r="D45" s="2">
        <f>J16</f>
        <v>0.12948335381194781</v>
      </c>
    </row>
    <row r="46" spans="2:5" ht="17" thickBot="1" x14ac:dyDescent="0.25"/>
    <row r="47" spans="2:5" ht="17" thickBot="1" x14ac:dyDescent="0.25">
      <c r="B47" s="3" t="s">
        <v>33</v>
      </c>
      <c r="C47" s="3"/>
      <c r="D47" s="14">
        <f>D33*D41+D36*D43*(1-D45)</f>
        <v>5.8057707494580571E-2</v>
      </c>
    </row>
    <row r="50" spans="2:15" x14ac:dyDescent="0.2">
      <c r="B50" s="34" t="s">
        <v>34</v>
      </c>
      <c r="C50" s="35"/>
      <c r="D50" s="35"/>
      <c r="E50" s="35"/>
      <c r="F50" s="35"/>
      <c r="G50" s="36"/>
      <c r="H50" s="36"/>
      <c r="I50" s="36"/>
      <c r="J50" s="36"/>
      <c r="K50" s="36"/>
      <c r="L50" s="37"/>
      <c r="M50" s="36"/>
      <c r="N50" s="36"/>
      <c r="O50" s="36"/>
    </row>
    <row r="51" spans="2:15" x14ac:dyDescent="0.2">
      <c r="B51" t="s">
        <v>36</v>
      </c>
      <c r="E51" s="13">
        <f>O28</f>
        <v>614821.0895950651</v>
      </c>
    </row>
    <row r="53" spans="2:15" x14ac:dyDescent="0.2">
      <c r="B53" t="s">
        <v>33</v>
      </c>
      <c r="E53" s="9">
        <f>D47</f>
        <v>5.8057707494580571E-2</v>
      </c>
    </row>
    <row r="55" spans="2:15" x14ac:dyDescent="0.2">
      <c r="B55" t="s">
        <v>37</v>
      </c>
      <c r="E55" s="9">
        <v>0.03</v>
      </c>
    </row>
    <row r="57" spans="2:15" ht="17" thickBot="1" x14ac:dyDescent="0.25"/>
    <row r="58" spans="2:15" ht="17" thickBot="1" x14ac:dyDescent="0.25">
      <c r="B58" s="3" t="s">
        <v>34</v>
      </c>
      <c r="C58" s="3"/>
      <c r="D58" s="15"/>
      <c r="E58" s="8">
        <f>(E51*(1+E55))/(E53-E55)</f>
        <v>22570116.33631273</v>
      </c>
    </row>
    <row r="61" spans="2:15" x14ac:dyDescent="0.2">
      <c r="B61" s="34" t="s">
        <v>38</v>
      </c>
      <c r="C61" s="35"/>
      <c r="D61" s="35"/>
      <c r="E61" s="35"/>
      <c r="F61" s="35"/>
      <c r="G61" s="36"/>
      <c r="H61" s="36"/>
      <c r="I61" s="36"/>
      <c r="J61" s="36"/>
      <c r="K61" s="36">
        <v>1</v>
      </c>
      <c r="L61" s="36">
        <f>K61+1</f>
        <v>2</v>
      </c>
      <c r="M61" s="36">
        <f t="shared" ref="M61:O61" si="5">L61+1</f>
        <v>3</v>
      </c>
      <c r="N61" s="36">
        <f t="shared" si="5"/>
        <v>4</v>
      </c>
      <c r="O61" s="36">
        <f t="shared" si="5"/>
        <v>5</v>
      </c>
    </row>
    <row r="62" spans="2:15" x14ac:dyDescent="0.2">
      <c r="B62" t="s">
        <v>39</v>
      </c>
      <c r="K62" s="13">
        <f>K28</f>
        <v>881207.49463175854</v>
      </c>
      <c r="L62" s="13">
        <f>L28</f>
        <v>571312.22273702407</v>
      </c>
      <c r="M62" s="13">
        <f>M28</f>
        <v>585459.77507162071</v>
      </c>
      <c r="N62" s="13">
        <f>N28</f>
        <v>599960.47278542584</v>
      </c>
      <c r="O62" s="13">
        <f>O28</f>
        <v>614821.0895950651</v>
      </c>
    </row>
    <row r="63" spans="2:15" x14ac:dyDescent="0.2">
      <c r="O63" s="13"/>
    </row>
    <row r="64" spans="2:15" x14ac:dyDescent="0.2">
      <c r="B64" t="s">
        <v>34</v>
      </c>
      <c r="O64" s="13">
        <f>E58</f>
        <v>22570116.33631273</v>
      </c>
    </row>
    <row r="66" spans="1:15" x14ac:dyDescent="0.2">
      <c r="B66" t="s">
        <v>40</v>
      </c>
      <c r="K66" s="12">
        <f>1/((1+$E$53)^K61)</f>
        <v>0.94512803310883886</v>
      </c>
      <c r="L66" s="12">
        <f>1/((1+$E$53)^L61)</f>
        <v>0.8932669989681824</v>
      </c>
      <c r="M66" s="12">
        <f>1/((1+$E$53)^M61)</f>
        <v>0.84425168177583343</v>
      </c>
      <c r="N66" s="12">
        <f>1/((1+$E$53)^N61)</f>
        <v>0.79792593144562274</v>
      </c>
      <c r="O66" s="12">
        <f>1/((1+$E$53)^O61)</f>
        <v>0.75414216615373963</v>
      </c>
    </row>
    <row r="68" spans="1:15" x14ac:dyDescent="0.2">
      <c r="B68" t="s">
        <v>41</v>
      </c>
      <c r="K68" s="13">
        <f>K62*K66</f>
        <v>832853.90616208164</v>
      </c>
      <c r="L68" s="13">
        <f t="shared" ref="L68:O68" si="6">L62*L66</f>
        <v>510334.35467814328</v>
      </c>
      <c r="M68" s="13">
        <f t="shared" si="6"/>
        <v>494275.39971631696</v>
      </c>
      <c r="N68" s="13">
        <f t="shared" si="6"/>
        <v>478724.01907786709</v>
      </c>
      <c r="O68" s="13">
        <f t="shared" si="6"/>
        <v>463662.50830422482</v>
      </c>
    </row>
    <row r="69" spans="1:15" x14ac:dyDescent="0.2">
      <c r="K69" s="13"/>
      <c r="L69" s="13"/>
      <c r="M69" s="13"/>
      <c r="N69" s="13"/>
      <c r="O69" s="13"/>
    </row>
    <row r="70" spans="1:15" x14ac:dyDescent="0.2">
      <c r="B70" t="s">
        <v>42</v>
      </c>
      <c r="K70" s="13"/>
      <c r="L70" s="13"/>
      <c r="M70" s="13"/>
      <c r="N70" s="13"/>
      <c r="O70" s="13">
        <f>O64*O66</f>
        <v>17021076.424208786</v>
      </c>
    </row>
    <row r="71" spans="1:15" ht="17" thickBot="1" x14ac:dyDescent="0.25"/>
    <row r="72" spans="1:15" ht="17" thickBot="1" x14ac:dyDescent="0.25">
      <c r="B72" s="3" t="s">
        <v>43</v>
      </c>
      <c r="C72" s="3"/>
      <c r="D72" s="15"/>
      <c r="E72" s="8">
        <f>SUM(K68:O70)</f>
        <v>19800926.612147421</v>
      </c>
    </row>
    <row r="75" spans="1:15" x14ac:dyDescent="0.2">
      <c r="A75" s="32"/>
      <c r="B75" s="33" t="s">
        <v>44</v>
      </c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</row>
    <row r="76" spans="1:15" x14ac:dyDescent="0.2">
      <c r="B76" t="s">
        <v>43</v>
      </c>
      <c r="E76" s="13">
        <f>E72</f>
        <v>19800926.612147421</v>
      </c>
    </row>
    <row r="77" spans="1:15" x14ac:dyDescent="0.2">
      <c r="B77" t="s">
        <v>45</v>
      </c>
      <c r="E77" s="13">
        <v>626800</v>
      </c>
    </row>
    <row r="78" spans="1:15" x14ac:dyDescent="0.2">
      <c r="B78" t="s">
        <v>30</v>
      </c>
      <c r="E78" s="13">
        <f>D35</f>
        <v>3016800</v>
      </c>
    </row>
    <row r="79" spans="1:15" ht="17" thickBot="1" x14ac:dyDescent="0.25"/>
    <row r="80" spans="1:15" ht="17" thickBot="1" x14ac:dyDescent="0.25">
      <c r="B80" s="3" t="s">
        <v>46</v>
      </c>
      <c r="C80" s="3"/>
      <c r="D80" s="15"/>
      <c r="E80" s="8">
        <f>E76+E77-E78</f>
        <v>17410926.612147421</v>
      </c>
    </row>
    <row r="82" spans="2:5" x14ac:dyDescent="0.2">
      <c r="B82" t="s">
        <v>47</v>
      </c>
      <c r="E82" s="13">
        <v>138786</v>
      </c>
    </row>
    <row r="83" spans="2:5" ht="17" thickBot="1" x14ac:dyDescent="0.25"/>
    <row r="84" spans="2:5" ht="17" thickBot="1" x14ac:dyDescent="0.25">
      <c r="B84" s="16" t="s">
        <v>48</v>
      </c>
      <c r="C84" s="16"/>
      <c r="D84" s="17"/>
      <c r="E84" s="18">
        <f>E80/E82</f>
        <v>125.45160615730276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C82B-5AC4-0D41-B7C3-4D5CCC9BF1C1}">
  <dimension ref="A1:AU28"/>
  <sheetViews>
    <sheetView workbookViewId="0">
      <selection activeCell="O15" sqref="O15"/>
    </sheetView>
  </sheetViews>
  <sheetFormatPr baseColWidth="10" defaultRowHeight="16" x14ac:dyDescent="0.2"/>
  <cols>
    <col min="31" max="31" width="12.1640625" bestFit="1" customWidth="1"/>
  </cols>
  <sheetData>
    <row r="1" spans="1:47" x14ac:dyDescent="0.2"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5"/>
    </row>
    <row r="2" spans="1:47" x14ac:dyDescent="0.2">
      <c r="A2" s="1"/>
      <c r="B2" s="19"/>
      <c r="C2" s="19"/>
      <c r="D2" s="19"/>
      <c r="E2" s="19">
        <v>2020</v>
      </c>
      <c r="F2" s="19">
        <v>2021</v>
      </c>
      <c r="G2" s="19">
        <v>2022</v>
      </c>
      <c r="H2" s="19">
        <v>2023</v>
      </c>
      <c r="I2" s="19">
        <v>2024</v>
      </c>
      <c r="J2" s="19">
        <v>2025</v>
      </c>
      <c r="K2" s="19">
        <v>2026</v>
      </c>
      <c r="L2" s="19">
        <v>2027</v>
      </c>
      <c r="M2" s="19">
        <v>2028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5"/>
    </row>
    <row r="3" spans="1:47" x14ac:dyDescent="0.2">
      <c r="A3" t="s">
        <v>6</v>
      </c>
      <c r="E3" s="6">
        <v>5465443</v>
      </c>
      <c r="F3" s="6">
        <v>6420400</v>
      </c>
      <c r="G3" s="6">
        <v>5856700</v>
      </c>
      <c r="H3" s="6">
        <v>5003100</v>
      </c>
      <c r="I3" s="6">
        <v>5126999</v>
      </c>
      <c r="J3" s="6">
        <v>5253966</v>
      </c>
      <c r="K3" s="6">
        <v>5384077</v>
      </c>
      <c r="L3" s="6">
        <v>5517411</v>
      </c>
      <c r="M3" s="6">
        <v>5654046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5"/>
    </row>
    <row r="4" spans="1:47" x14ac:dyDescent="0.2"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5"/>
    </row>
    <row r="5" spans="1:47" x14ac:dyDescent="0.2">
      <c r="A5" t="s">
        <v>49</v>
      </c>
      <c r="E5" s="6">
        <v>652031</v>
      </c>
      <c r="F5" s="6">
        <v>908700</v>
      </c>
      <c r="G5" s="6">
        <v>788100</v>
      </c>
      <c r="H5" s="6">
        <v>659600</v>
      </c>
      <c r="I5" s="6">
        <v>598493</v>
      </c>
      <c r="J5" s="6">
        <v>613314</v>
      </c>
      <c r="K5" s="6">
        <v>628503</v>
      </c>
      <c r="L5" s="6">
        <v>644067</v>
      </c>
      <c r="M5" s="6">
        <v>660017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5"/>
    </row>
    <row r="6" spans="1:47" x14ac:dyDescent="0.2"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5"/>
    </row>
    <row r="7" spans="1:47" x14ac:dyDescent="0.2">
      <c r="A7" t="s">
        <v>50</v>
      </c>
      <c r="E7" s="6">
        <v>1391726</v>
      </c>
      <c r="F7" s="6">
        <v>1500400</v>
      </c>
      <c r="G7" s="6">
        <v>1132400</v>
      </c>
      <c r="H7" s="6">
        <v>1029300</v>
      </c>
      <c r="I7" s="6">
        <v>1216389</v>
      </c>
      <c r="J7" s="6">
        <v>1246512</v>
      </c>
      <c r="K7" s="6">
        <v>1277381</v>
      </c>
      <c r="L7" s="6">
        <v>1309015</v>
      </c>
      <c r="M7" s="6">
        <v>1341432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5"/>
    </row>
    <row r="8" spans="1:47" x14ac:dyDescent="0.2"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5"/>
    </row>
    <row r="9" spans="1:47" x14ac:dyDescent="0.2">
      <c r="A9" t="s">
        <v>51</v>
      </c>
      <c r="E9" s="6">
        <v>1964144</v>
      </c>
      <c r="F9" s="6">
        <v>2255000</v>
      </c>
      <c r="G9" s="6">
        <v>427300</v>
      </c>
      <c r="H9" s="6">
        <v>340600</v>
      </c>
      <c r="I9" s="6">
        <v>947981</v>
      </c>
      <c r="J9" s="6">
        <v>971457</v>
      </c>
      <c r="K9" s="6">
        <v>995514</v>
      </c>
      <c r="L9" s="6">
        <v>1020168</v>
      </c>
      <c r="M9" s="6">
        <v>1045437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5"/>
    </row>
    <row r="10" spans="1:47" x14ac:dyDescent="0.2">
      <c r="E10" s="6"/>
      <c r="F10" s="6"/>
      <c r="G10" s="6"/>
      <c r="H10" s="6"/>
      <c r="I10" s="6"/>
      <c r="J10" s="6"/>
      <c r="K10" s="6"/>
      <c r="L10" s="6"/>
      <c r="M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5"/>
    </row>
    <row r="11" spans="1:47" x14ac:dyDescent="0.2">
      <c r="A11" t="s">
        <v>55</v>
      </c>
      <c r="E11" s="6">
        <v>395633</v>
      </c>
      <c r="F11" s="6">
        <v>552100</v>
      </c>
      <c r="G11" s="6">
        <v>676800</v>
      </c>
      <c r="H11" s="6">
        <v>332000</v>
      </c>
      <c r="I11" s="6">
        <v>445852</v>
      </c>
      <c r="J11" s="6">
        <v>456893</v>
      </c>
      <c r="K11" s="6">
        <v>468208</v>
      </c>
      <c r="L11" s="6">
        <v>479802</v>
      </c>
      <c r="M11" s="6">
        <v>419685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5"/>
    </row>
    <row r="12" spans="1:47" x14ac:dyDescent="0.2"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5"/>
    </row>
    <row r="13" spans="1:47" x14ac:dyDescent="0.2">
      <c r="A13" t="s">
        <v>53</v>
      </c>
      <c r="E13" s="13">
        <v>96621</v>
      </c>
      <c r="F13">
        <v>146600</v>
      </c>
      <c r="G13">
        <v>58500</v>
      </c>
      <c r="H13">
        <v>-221300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5"/>
    </row>
    <row r="14" spans="1:47" x14ac:dyDescent="0.2">
      <c r="A14" t="s">
        <v>54</v>
      </c>
      <c r="E14" s="13">
        <v>322062</v>
      </c>
      <c r="F14">
        <v>581900</v>
      </c>
      <c r="G14">
        <v>261500</v>
      </c>
      <c r="H14">
        <v>-1709100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5"/>
    </row>
    <row r="16" spans="1:47" x14ac:dyDescent="0.2">
      <c r="A16" t="s">
        <v>52</v>
      </c>
      <c r="E16" s="6">
        <v>-125754</v>
      </c>
      <c r="F16" s="6">
        <v>-132700</v>
      </c>
      <c r="G16" s="6">
        <v>-174200</v>
      </c>
      <c r="H16" s="6">
        <v>-209300</v>
      </c>
      <c r="I16" s="6">
        <v>-147213</v>
      </c>
      <c r="J16" s="6">
        <v>-150859</v>
      </c>
      <c r="K16" s="6">
        <v>-154595</v>
      </c>
      <c r="L16" s="6">
        <v>-158423</v>
      </c>
      <c r="M16" s="6">
        <v>-162346</v>
      </c>
    </row>
    <row r="21" spans="1:14" x14ac:dyDescent="0.2">
      <c r="A21" s="7" t="s">
        <v>0</v>
      </c>
    </row>
    <row r="28" spans="1:14" x14ac:dyDescent="0.2">
      <c r="F28" s="6"/>
      <c r="G28" s="6"/>
      <c r="H28" s="6"/>
      <c r="I28" s="6"/>
      <c r="J28" s="6"/>
      <c r="K28" s="6"/>
      <c r="L28" s="6"/>
      <c r="M28" s="6"/>
      <c r="N28" s="6"/>
    </row>
  </sheetData>
  <hyperlinks>
    <hyperlink ref="A21" r:id="rId1" xr:uid="{6E6545BB-2D95-9C44-9411-9555D5ADBF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94EA-E32D-714B-9308-3B71E7609F4B}">
  <dimension ref="A1:H61"/>
  <sheetViews>
    <sheetView workbookViewId="0">
      <selection activeCell="A41" sqref="A41:E70"/>
    </sheetView>
  </sheetViews>
  <sheetFormatPr baseColWidth="10" defaultRowHeight="16" x14ac:dyDescent="0.2"/>
  <cols>
    <col min="1" max="1" width="93.5" bestFit="1" customWidth="1"/>
    <col min="2" max="2" width="9.1640625" bestFit="1" customWidth="1"/>
    <col min="3" max="3" width="8.6640625" bestFit="1" customWidth="1"/>
    <col min="4" max="4" width="17.1640625" bestFit="1" customWidth="1"/>
  </cols>
  <sheetData>
    <row r="1" spans="1:8" x14ac:dyDescent="0.2">
      <c r="A1" s="20"/>
      <c r="B1" s="21">
        <v>2023</v>
      </c>
      <c r="C1" s="21">
        <v>2022</v>
      </c>
      <c r="D1" s="24"/>
    </row>
    <row r="2" spans="1:8" x14ac:dyDescent="0.2">
      <c r="A2" s="42" t="s">
        <v>56</v>
      </c>
      <c r="B2" s="42"/>
      <c r="C2" s="42"/>
      <c r="D2" s="23"/>
    </row>
    <row r="3" spans="1:8" x14ac:dyDescent="0.2">
      <c r="A3" s="20" t="s">
        <v>57</v>
      </c>
      <c r="B3" s="22"/>
      <c r="C3" s="22"/>
      <c r="D3" s="22"/>
    </row>
    <row r="4" spans="1:8" x14ac:dyDescent="0.2">
      <c r="A4" s="20" t="s">
        <v>118</v>
      </c>
      <c r="B4" s="23">
        <v>545.4</v>
      </c>
      <c r="C4" s="24">
        <v>513.1</v>
      </c>
      <c r="D4" s="22"/>
    </row>
    <row r="5" spans="1:8" x14ac:dyDescent="0.2">
      <c r="A5" s="20" t="s">
        <v>119</v>
      </c>
      <c r="B5" s="24">
        <v>1029.3</v>
      </c>
      <c r="C5" s="24">
        <v>1132.4000000000001</v>
      </c>
      <c r="D5" s="25"/>
    </row>
    <row r="6" spans="1:8" x14ac:dyDescent="0.2">
      <c r="A6" s="20" t="s">
        <v>55</v>
      </c>
      <c r="B6" s="24">
        <v>332</v>
      </c>
      <c r="C6" s="24">
        <v>676.8</v>
      </c>
      <c r="D6" s="24"/>
    </row>
    <row r="7" spans="1:8" x14ac:dyDescent="0.2">
      <c r="A7" s="20" t="s">
        <v>58</v>
      </c>
      <c r="B7" s="24">
        <v>416.9</v>
      </c>
      <c r="C7" s="24">
        <v>676.8</v>
      </c>
      <c r="D7" s="24"/>
    </row>
    <row r="8" spans="1:8" x14ac:dyDescent="0.2">
      <c r="A8" s="20" t="s">
        <v>59</v>
      </c>
      <c r="B8" s="24">
        <v>2323.6</v>
      </c>
      <c r="C8" s="24">
        <v>2999.1</v>
      </c>
      <c r="D8" s="24"/>
    </row>
    <row r="9" spans="1:8" x14ac:dyDescent="0.2">
      <c r="A9" s="20" t="s">
        <v>120</v>
      </c>
      <c r="B9" s="24">
        <v>488.6</v>
      </c>
      <c r="C9" s="24">
        <v>422.8</v>
      </c>
      <c r="D9" s="24"/>
    </row>
    <row r="10" spans="1:8" x14ac:dyDescent="0.2">
      <c r="A10" s="20" t="s">
        <v>121</v>
      </c>
      <c r="B10" s="22"/>
      <c r="C10" s="22"/>
      <c r="D10" s="24"/>
    </row>
    <row r="11" spans="1:8" x14ac:dyDescent="0.2">
      <c r="A11" s="20" t="s">
        <v>60</v>
      </c>
      <c r="B11" s="24">
        <v>2279.1999999999998</v>
      </c>
      <c r="C11" s="24">
        <v>3470.1</v>
      </c>
      <c r="D11" s="24"/>
    </row>
    <row r="12" spans="1:8" x14ac:dyDescent="0.2">
      <c r="A12" s="20" t="s">
        <v>122</v>
      </c>
      <c r="B12" s="24">
        <v>587.5</v>
      </c>
      <c r="C12" s="24">
        <v>814.6</v>
      </c>
      <c r="D12" s="24"/>
    </row>
    <row r="13" spans="1:8" x14ac:dyDescent="0.2">
      <c r="A13" s="20" t="s">
        <v>61</v>
      </c>
      <c r="B13" s="24">
        <v>862</v>
      </c>
      <c r="C13" s="24">
        <v>1589.3</v>
      </c>
      <c r="D13" s="23"/>
      <c r="G13" s="29"/>
    </row>
    <row r="14" spans="1:8" x14ac:dyDescent="0.2">
      <c r="A14" s="20" t="s">
        <v>62</v>
      </c>
      <c r="B14" s="24">
        <v>3728.7</v>
      </c>
      <c r="C14" s="24">
        <v>5874</v>
      </c>
    </row>
    <row r="15" spans="1:8" x14ac:dyDescent="0.2">
      <c r="A15" s="20" t="s">
        <v>63</v>
      </c>
      <c r="B15" s="23">
        <v>6540.9</v>
      </c>
      <c r="C15" s="24">
        <v>9295.9</v>
      </c>
      <c r="H15" s="30"/>
    </row>
    <row r="16" spans="1:8" x14ac:dyDescent="0.2">
      <c r="A16" s="42" t="s">
        <v>64</v>
      </c>
      <c r="B16" s="42"/>
      <c r="C16" s="42"/>
    </row>
    <row r="17" spans="1:3" x14ac:dyDescent="0.2">
      <c r="A17" s="20" t="s">
        <v>65</v>
      </c>
      <c r="B17" s="22"/>
      <c r="C17" s="22"/>
    </row>
    <row r="18" spans="1:3" x14ac:dyDescent="0.2">
      <c r="A18" s="20" t="s">
        <v>66</v>
      </c>
      <c r="B18" s="26">
        <v>0</v>
      </c>
      <c r="C18" s="24">
        <v>142.4</v>
      </c>
    </row>
    <row r="19" spans="1:3" x14ac:dyDescent="0.2">
      <c r="A19" s="20" t="s">
        <v>67</v>
      </c>
      <c r="B19" s="24">
        <v>500</v>
      </c>
      <c r="C19" s="24">
        <v>113.2</v>
      </c>
    </row>
    <row r="20" spans="1:3" x14ac:dyDescent="0.2">
      <c r="A20" s="20" t="s">
        <v>68</v>
      </c>
      <c r="B20" s="24">
        <v>340.6</v>
      </c>
      <c r="C20" s="24">
        <v>427.3</v>
      </c>
    </row>
    <row r="21" spans="1:3" x14ac:dyDescent="0.2">
      <c r="A21" s="20" t="s">
        <v>69</v>
      </c>
      <c r="B21" s="24">
        <v>1215.8</v>
      </c>
      <c r="C21" s="24">
        <v>1506.8</v>
      </c>
    </row>
    <row r="22" spans="1:3" x14ac:dyDescent="0.2">
      <c r="A22" s="20" t="s">
        <v>70</v>
      </c>
      <c r="B22" s="24">
        <v>2056.4</v>
      </c>
      <c r="C22" s="24">
        <v>2189.6999999999998</v>
      </c>
    </row>
    <row r="23" spans="1:3" x14ac:dyDescent="0.2">
      <c r="A23" s="20" t="s">
        <v>71</v>
      </c>
      <c r="B23" s="24">
        <v>2965.8</v>
      </c>
      <c r="C23" s="24">
        <v>3711.2</v>
      </c>
    </row>
    <row r="24" spans="1:3" x14ac:dyDescent="0.2">
      <c r="A24" s="20" t="s">
        <v>72</v>
      </c>
      <c r="B24" s="24">
        <v>431.7</v>
      </c>
      <c r="C24" s="24">
        <v>533.1</v>
      </c>
    </row>
    <row r="25" spans="1:3" x14ac:dyDescent="0.2">
      <c r="A25" s="20" t="s">
        <v>73</v>
      </c>
      <c r="B25" s="24">
        <v>5453.9</v>
      </c>
      <c r="C25" s="24">
        <v>6434</v>
      </c>
    </row>
    <row r="26" spans="1:3" x14ac:dyDescent="0.2">
      <c r="A26" s="20" t="s">
        <v>74</v>
      </c>
      <c r="B26" s="22"/>
      <c r="C26" s="22"/>
    </row>
    <row r="27" spans="1:3" x14ac:dyDescent="0.2">
      <c r="A27" s="20" t="s">
        <v>75</v>
      </c>
      <c r="B27" s="25">
        <v>0</v>
      </c>
      <c r="C27" s="25">
        <v>0</v>
      </c>
    </row>
    <row r="28" spans="1:3" x14ac:dyDescent="0.2">
      <c r="A28" s="20" t="s">
        <v>123</v>
      </c>
      <c r="B28" s="24">
        <v>110.1</v>
      </c>
      <c r="C28" s="24">
        <v>110.1</v>
      </c>
    </row>
    <row r="29" spans="1:3" x14ac:dyDescent="0.2">
      <c r="A29" s="20" t="s">
        <v>76</v>
      </c>
      <c r="B29" s="24">
        <v>2590.6</v>
      </c>
      <c r="C29" s="24">
        <v>2540.6</v>
      </c>
    </row>
    <row r="30" spans="1:3" x14ac:dyDescent="0.2">
      <c r="A30" s="20" t="s">
        <v>77</v>
      </c>
      <c r="B30" s="24">
        <v>2188.4</v>
      </c>
      <c r="C30" s="24">
        <v>4071.4</v>
      </c>
    </row>
    <row r="31" spans="1:3" x14ac:dyDescent="0.2">
      <c r="A31" s="20" t="s">
        <v>78</v>
      </c>
      <c r="B31" s="24">
        <v>-201.5</v>
      </c>
      <c r="C31" s="24">
        <v>-254.9</v>
      </c>
    </row>
    <row r="32" spans="1:3" x14ac:dyDescent="0.2">
      <c r="A32" s="20" t="s">
        <v>124</v>
      </c>
      <c r="B32" s="24">
        <v>-3625.7</v>
      </c>
      <c r="C32" s="24">
        <v>-3634.4</v>
      </c>
    </row>
    <row r="33" spans="1:3" x14ac:dyDescent="0.2">
      <c r="A33" s="20" t="s">
        <v>79</v>
      </c>
      <c r="B33" s="24">
        <v>25.1</v>
      </c>
      <c r="C33" s="24">
        <v>29.1</v>
      </c>
    </row>
    <row r="34" spans="1:3" x14ac:dyDescent="0.2">
      <c r="A34" s="20" t="s">
        <v>80</v>
      </c>
      <c r="B34" s="24">
        <v>1087</v>
      </c>
      <c r="C34" s="24">
        <v>2861.9</v>
      </c>
    </row>
    <row r="35" spans="1:3" x14ac:dyDescent="0.2">
      <c r="A35" s="20" t="s">
        <v>81</v>
      </c>
      <c r="B35" s="23">
        <v>6540.9</v>
      </c>
      <c r="C35" s="24">
        <v>9295.9</v>
      </c>
    </row>
    <row r="37" spans="1:3" x14ac:dyDescent="0.2">
      <c r="A37" s="27" t="s">
        <v>0</v>
      </c>
    </row>
    <row r="42" spans="1:3" x14ac:dyDescent="0.2">
      <c r="A42" s="20"/>
      <c r="B42" s="26"/>
      <c r="C42" s="24"/>
    </row>
    <row r="43" spans="1:3" x14ac:dyDescent="0.2">
      <c r="A43" s="20"/>
      <c r="B43" s="24"/>
      <c r="C43" s="24"/>
    </row>
    <row r="44" spans="1:3" x14ac:dyDescent="0.2">
      <c r="A44" s="20"/>
      <c r="B44" s="24"/>
      <c r="C44" s="24"/>
    </row>
    <row r="45" spans="1:3" x14ac:dyDescent="0.2">
      <c r="A45" s="20"/>
      <c r="B45" s="24"/>
      <c r="C45" s="24"/>
    </row>
    <row r="46" spans="1:3" x14ac:dyDescent="0.2">
      <c r="A46" s="20"/>
      <c r="B46" s="24"/>
      <c r="C46" s="24"/>
    </row>
    <row r="47" spans="1:3" x14ac:dyDescent="0.2">
      <c r="A47" s="20"/>
      <c r="B47" s="24"/>
      <c r="C47" s="24"/>
    </row>
    <row r="48" spans="1:3" x14ac:dyDescent="0.2">
      <c r="A48" s="20"/>
      <c r="B48" s="24"/>
      <c r="C48" s="24"/>
    </row>
    <row r="49" spans="1:3" x14ac:dyDescent="0.2">
      <c r="A49" s="20"/>
      <c r="B49" s="24"/>
      <c r="C49" s="24"/>
    </row>
    <row r="50" spans="1:3" x14ac:dyDescent="0.2">
      <c r="A50" s="20"/>
      <c r="B50" s="22"/>
      <c r="C50" s="22"/>
    </row>
    <row r="51" spans="1:3" x14ac:dyDescent="0.2">
      <c r="A51" s="20"/>
      <c r="B51" s="25"/>
      <c r="C51" s="25"/>
    </row>
    <row r="52" spans="1:3" x14ac:dyDescent="0.2">
      <c r="A52" s="20"/>
      <c r="B52" s="24"/>
      <c r="C52" s="24"/>
    </row>
    <row r="53" spans="1:3" x14ac:dyDescent="0.2">
      <c r="A53" s="20"/>
      <c r="B53" s="24"/>
      <c r="C53" s="24"/>
    </row>
    <row r="54" spans="1:3" x14ac:dyDescent="0.2">
      <c r="A54" s="20"/>
      <c r="B54" s="24"/>
      <c r="C54" s="24"/>
    </row>
    <row r="55" spans="1:3" x14ac:dyDescent="0.2">
      <c r="A55" s="20"/>
      <c r="B55" s="24"/>
      <c r="C55" s="24"/>
    </row>
    <row r="56" spans="1:3" x14ac:dyDescent="0.2">
      <c r="A56" s="20"/>
      <c r="B56" s="24"/>
      <c r="C56" s="24"/>
    </row>
    <row r="57" spans="1:3" x14ac:dyDescent="0.2">
      <c r="A57" s="20"/>
      <c r="B57" s="24"/>
      <c r="C57" s="24"/>
    </row>
    <row r="58" spans="1:3" x14ac:dyDescent="0.2">
      <c r="A58" s="20"/>
      <c r="B58" s="24"/>
      <c r="C58" s="24"/>
    </row>
    <row r="59" spans="1:3" x14ac:dyDescent="0.2">
      <c r="A59" s="20"/>
      <c r="B59" s="23"/>
      <c r="C59" s="24"/>
    </row>
    <row r="61" spans="1:3" x14ac:dyDescent="0.2">
      <c r="A61" s="27"/>
    </row>
  </sheetData>
  <hyperlinks>
    <hyperlink ref="A37" r:id="rId1" xr:uid="{9272C194-7C51-664A-80F3-281BEDD098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C4B6-62B4-374F-841B-15124AEBDA01}">
  <dimension ref="A1:H77"/>
  <sheetViews>
    <sheetView topLeftCell="A8" workbookViewId="0">
      <selection activeCell="K33" sqref="K33"/>
    </sheetView>
  </sheetViews>
  <sheetFormatPr baseColWidth="10" defaultRowHeight="16" x14ac:dyDescent="0.2"/>
  <cols>
    <col min="1" max="1" width="68.33203125" bestFit="1" customWidth="1"/>
    <col min="2" max="2" width="9.6640625" bestFit="1" customWidth="1"/>
    <col min="3" max="3" width="8.1640625" bestFit="1" customWidth="1"/>
    <col min="4" max="4" width="8.6640625" bestFit="1" customWidth="1"/>
  </cols>
  <sheetData>
    <row r="1" spans="1:8" x14ac:dyDescent="0.2">
      <c r="A1" s="20"/>
      <c r="B1" s="21">
        <v>2023</v>
      </c>
      <c r="C1" s="21">
        <v>2022</v>
      </c>
      <c r="D1" s="21">
        <v>2021</v>
      </c>
      <c r="H1" s="29"/>
    </row>
    <row r="2" spans="1:8" x14ac:dyDescent="0.2">
      <c r="A2" s="20" t="s">
        <v>131</v>
      </c>
      <c r="B2" s="22"/>
      <c r="C2" s="22"/>
      <c r="D2" s="22"/>
    </row>
    <row r="3" spans="1:8" x14ac:dyDescent="0.2">
      <c r="A3" s="20" t="s">
        <v>82</v>
      </c>
      <c r="B3" s="23">
        <v>-1487.8</v>
      </c>
      <c r="C3" s="24">
        <v>203</v>
      </c>
      <c r="D3" s="24">
        <v>435.3</v>
      </c>
    </row>
    <row r="4" spans="1:8" x14ac:dyDescent="0.2">
      <c r="A4" s="20" t="s">
        <v>132</v>
      </c>
      <c r="B4" s="22"/>
      <c r="C4" s="22"/>
      <c r="D4" s="22"/>
    </row>
    <row r="5" spans="1:8" x14ac:dyDescent="0.2">
      <c r="A5" s="20" t="s">
        <v>133</v>
      </c>
      <c r="B5" s="24">
        <v>127.7</v>
      </c>
      <c r="C5" s="24">
        <v>127.3</v>
      </c>
      <c r="D5" s="24">
        <v>163.30000000000001</v>
      </c>
    </row>
    <row r="6" spans="1:8" x14ac:dyDescent="0.2">
      <c r="A6" s="20" t="s">
        <v>83</v>
      </c>
      <c r="B6" s="24">
        <v>539</v>
      </c>
      <c r="C6" s="24">
        <v>22.1</v>
      </c>
      <c r="D6" s="24">
        <v>108.8</v>
      </c>
    </row>
    <row r="7" spans="1:8" x14ac:dyDescent="0.2">
      <c r="A7" s="20" t="s">
        <v>84</v>
      </c>
      <c r="B7" s="24">
        <v>1191.2</v>
      </c>
      <c r="C7" s="25">
        <v>0</v>
      </c>
      <c r="D7" s="25">
        <v>0</v>
      </c>
    </row>
    <row r="8" spans="1:8" x14ac:dyDescent="0.2">
      <c r="A8" s="20" t="s">
        <v>134</v>
      </c>
      <c r="B8" s="24">
        <v>116</v>
      </c>
      <c r="C8" s="24">
        <v>281</v>
      </c>
      <c r="D8" s="25">
        <v>0</v>
      </c>
    </row>
    <row r="9" spans="1:8" x14ac:dyDescent="0.2">
      <c r="A9" s="20" t="s">
        <v>135</v>
      </c>
      <c r="B9" s="25">
        <v>0</v>
      </c>
      <c r="C9" s="25">
        <v>0</v>
      </c>
      <c r="D9" s="24">
        <v>74.099999999999994</v>
      </c>
    </row>
    <row r="10" spans="1:8" x14ac:dyDescent="0.2">
      <c r="A10" s="20" t="s">
        <v>136</v>
      </c>
      <c r="B10" s="25">
        <v>0</v>
      </c>
      <c r="C10" s="25">
        <v>0</v>
      </c>
      <c r="D10" s="24">
        <v>-20.100000000000001</v>
      </c>
    </row>
    <row r="11" spans="1:8" x14ac:dyDescent="0.2">
      <c r="A11" s="20" t="s">
        <v>137</v>
      </c>
      <c r="B11" s="24">
        <v>91.2</v>
      </c>
      <c r="C11" s="24">
        <v>45.2</v>
      </c>
      <c r="D11" s="24">
        <v>8.4</v>
      </c>
    </row>
    <row r="12" spans="1:8" x14ac:dyDescent="0.2">
      <c r="A12" s="20" t="s">
        <v>125</v>
      </c>
      <c r="B12" s="24">
        <v>83</v>
      </c>
      <c r="C12" s="24">
        <v>105.3</v>
      </c>
      <c r="D12" s="24">
        <v>116.8</v>
      </c>
    </row>
    <row r="13" spans="1:8" x14ac:dyDescent="0.2">
      <c r="A13" s="20" t="s">
        <v>85</v>
      </c>
      <c r="B13" s="24">
        <v>448.9</v>
      </c>
      <c r="C13" s="24">
        <v>555.5</v>
      </c>
      <c r="D13" s="24">
        <v>628.6</v>
      </c>
      <c r="H13" s="29"/>
    </row>
    <row r="14" spans="1:8" x14ac:dyDescent="0.2">
      <c r="A14" s="20" t="s">
        <v>86</v>
      </c>
      <c r="B14" s="24">
        <v>-243.5</v>
      </c>
      <c r="C14" s="24">
        <v>-130.1</v>
      </c>
      <c r="D14" s="24">
        <v>36</v>
      </c>
    </row>
    <row r="15" spans="1:8" x14ac:dyDescent="0.2">
      <c r="A15" s="20" t="s">
        <v>87</v>
      </c>
      <c r="B15" s="24">
        <v>72.400000000000006</v>
      </c>
      <c r="C15" s="24">
        <v>83.4</v>
      </c>
      <c r="D15" s="24">
        <v>97.8</v>
      </c>
    </row>
    <row r="16" spans="1:8" x14ac:dyDescent="0.2">
      <c r="A16" s="20" t="s">
        <v>88</v>
      </c>
      <c r="B16" s="24">
        <v>-6.1</v>
      </c>
      <c r="C16" s="24">
        <v>3.2</v>
      </c>
      <c r="D16" s="24">
        <v>-1.5</v>
      </c>
    </row>
    <row r="17" spans="1:4" x14ac:dyDescent="0.2">
      <c r="A17" s="20" t="s">
        <v>138</v>
      </c>
      <c r="B17" s="22"/>
      <c r="C17" s="22"/>
      <c r="D17" s="22"/>
    </row>
    <row r="18" spans="1:4" x14ac:dyDescent="0.2">
      <c r="A18" s="20" t="s">
        <v>139</v>
      </c>
      <c r="B18" s="24">
        <v>15.5</v>
      </c>
      <c r="C18" s="24">
        <v>339.6</v>
      </c>
      <c r="D18" s="24">
        <v>-159.5</v>
      </c>
    </row>
    <row r="19" spans="1:4" x14ac:dyDescent="0.2">
      <c r="A19" s="20" t="s">
        <v>140</v>
      </c>
      <c r="B19" s="24">
        <v>257.10000000000002</v>
      </c>
      <c r="C19" s="24">
        <v>-184.7</v>
      </c>
      <c r="D19" s="24">
        <v>-182.3</v>
      </c>
    </row>
    <row r="20" spans="1:4" x14ac:dyDescent="0.2">
      <c r="A20" s="20" t="s">
        <v>141</v>
      </c>
      <c r="B20" s="24">
        <v>34.700000000000003</v>
      </c>
      <c r="C20" s="24">
        <v>17</v>
      </c>
      <c r="D20" s="24">
        <v>-30.6</v>
      </c>
    </row>
    <row r="21" spans="1:4" x14ac:dyDescent="0.2">
      <c r="A21" s="20" t="s">
        <v>89</v>
      </c>
      <c r="B21" s="24">
        <v>-408</v>
      </c>
      <c r="C21" s="24">
        <v>-767.7</v>
      </c>
      <c r="D21" s="24">
        <v>-697.3</v>
      </c>
    </row>
    <row r="22" spans="1:4" x14ac:dyDescent="0.2">
      <c r="A22" s="20" t="s">
        <v>142</v>
      </c>
      <c r="B22" s="24">
        <v>-109.7</v>
      </c>
      <c r="C22" s="24">
        <v>-278.7</v>
      </c>
      <c r="D22" s="24">
        <v>313.2</v>
      </c>
    </row>
    <row r="23" spans="1:4" x14ac:dyDescent="0.2">
      <c r="A23" s="20" t="s">
        <v>90</v>
      </c>
      <c r="B23" s="24">
        <v>-34.4</v>
      </c>
      <c r="C23" s="24">
        <v>-18.399999999999999</v>
      </c>
      <c r="D23" s="24">
        <v>-18.399999999999999</v>
      </c>
    </row>
    <row r="24" spans="1:4" x14ac:dyDescent="0.2">
      <c r="A24" s="20" t="s">
        <v>61</v>
      </c>
      <c r="B24" s="24">
        <v>38.4</v>
      </c>
      <c r="C24" s="24">
        <v>-30.1</v>
      </c>
      <c r="D24" s="24">
        <v>-54.7</v>
      </c>
    </row>
    <row r="25" spans="1:4" x14ac:dyDescent="0.2">
      <c r="A25" s="20" t="s">
        <v>91</v>
      </c>
      <c r="B25" s="24">
        <v>725.6</v>
      </c>
      <c r="C25" s="24">
        <v>372.9</v>
      </c>
      <c r="D25" s="24">
        <v>817.9</v>
      </c>
    </row>
    <row r="26" spans="1:4" x14ac:dyDescent="0.2">
      <c r="A26" s="20" t="s">
        <v>143</v>
      </c>
      <c r="B26" s="22"/>
      <c r="C26" s="22"/>
      <c r="D26" s="22"/>
    </row>
    <row r="27" spans="1:4" x14ac:dyDescent="0.2">
      <c r="A27" s="20" t="s">
        <v>92</v>
      </c>
      <c r="B27" s="24">
        <v>-209.3</v>
      </c>
      <c r="C27" s="24">
        <v>-174.2</v>
      </c>
      <c r="D27" s="24">
        <v>-132.69999999999999</v>
      </c>
    </row>
    <row r="28" spans="1:4" x14ac:dyDescent="0.2">
      <c r="A28" s="20" t="s">
        <v>144</v>
      </c>
      <c r="B28" s="25">
        <v>0</v>
      </c>
      <c r="C28" s="24">
        <v>-146.30000000000001</v>
      </c>
      <c r="D28" s="25">
        <v>0</v>
      </c>
    </row>
    <row r="29" spans="1:4" x14ac:dyDescent="0.2">
      <c r="A29" s="20" t="s">
        <v>145</v>
      </c>
      <c r="B29" s="24">
        <v>329.6</v>
      </c>
      <c r="C29" s="25">
        <v>0</v>
      </c>
      <c r="D29" s="24">
        <v>378.5</v>
      </c>
    </row>
    <row r="30" spans="1:4" x14ac:dyDescent="0.2">
      <c r="A30" s="20" t="s">
        <v>61</v>
      </c>
      <c r="B30" s="24">
        <v>-2.7</v>
      </c>
      <c r="C30" s="24">
        <v>7.5</v>
      </c>
      <c r="D30" s="24">
        <v>-3.8</v>
      </c>
    </row>
    <row r="31" spans="1:4" x14ac:dyDescent="0.2">
      <c r="A31" s="20" t="s">
        <v>146</v>
      </c>
      <c r="B31" s="24">
        <v>117.6</v>
      </c>
      <c r="C31" s="24">
        <v>-313</v>
      </c>
      <c r="D31" s="24">
        <v>242</v>
      </c>
    </row>
    <row r="32" spans="1:4" x14ac:dyDescent="0.2">
      <c r="A32" s="20" t="s">
        <v>147</v>
      </c>
      <c r="B32" s="22"/>
      <c r="C32" s="22"/>
      <c r="D32" s="22"/>
    </row>
    <row r="33" spans="1:4" x14ac:dyDescent="0.2">
      <c r="A33" s="20" t="s">
        <v>148</v>
      </c>
      <c r="B33" s="24">
        <v>2.6</v>
      </c>
      <c r="C33" s="24">
        <v>3.8</v>
      </c>
      <c r="D33" s="24">
        <v>144</v>
      </c>
    </row>
    <row r="34" spans="1:4" x14ac:dyDescent="0.2">
      <c r="A34" s="20" t="s">
        <v>149</v>
      </c>
      <c r="B34" s="24">
        <v>-359.6</v>
      </c>
      <c r="C34" s="24">
        <v>-206</v>
      </c>
      <c r="D34" s="24">
        <v>-1220.0999999999999</v>
      </c>
    </row>
    <row r="35" spans="1:4" x14ac:dyDescent="0.2">
      <c r="A35" s="20" t="s">
        <v>150</v>
      </c>
      <c r="B35" s="24">
        <v>-41.6</v>
      </c>
      <c r="C35" s="24">
        <v>141.69999999999999</v>
      </c>
      <c r="D35" s="24">
        <v>-5.6</v>
      </c>
    </row>
    <row r="36" spans="1:4" x14ac:dyDescent="0.2">
      <c r="A36" s="20" t="s">
        <v>151</v>
      </c>
      <c r="B36" s="25">
        <v>0</v>
      </c>
      <c r="C36" s="24">
        <v>-125</v>
      </c>
      <c r="D36" s="25">
        <v>0</v>
      </c>
    </row>
    <row r="37" spans="1:4" x14ac:dyDescent="0.2">
      <c r="A37" s="20" t="s">
        <v>95</v>
      </c>
      <c r="B37" s="25">
        <v>0</v>
      </c>
      <c r="C37" s="24">
        <v>74.2</v>
      </c>
      <c r="D37" s="24">
        <v>30.6</v>
      </c>
    </row>
    <row r="38" spans="1:4" x14ac:dyDescent="0.2">
      <c r="A38" s="20" t="s">
        <v>93</v>
      </c>
      <c r="B38" s="24">
        <v>-388</v>
      </c>
      <c r="C38" s="24">
        <v>-385.3</v>
      </c>
      <c r="D38" s="24">
        <v>-374.5</v>
      </c>
    </row>
    <row r="39" spans="1:4" x14ac:dyDescent="0.2">
      <c r="A39" s="20" t="s">
        <v>94</v>
      </c>
      <c r="B39" s="24">
        <v>-16.8</v>
      </c>
      <c r="C39" s="24">
        <v>-24</v>
      </c>
      <c r="D39" s="24">
        <v>-13.7</v>
      </c>
    </row>
    <row r="40" spans="1:4" x14ac:dyDescent="0.2">
      <c r="A40" s="20" t="s">
        <v>152</v>
      </c>
      <c r="B40" s="25">
        <v>0</v>
      </c>
      <c r="C40" s="25">
        <v>0</v>
      </c>
      <c r="D40" s="24">
        <v>-9.1</v>
      </c>
    </row>
    <row r="41" spans="1:4" x14ac:dyDescent="0.2">
      <c r="A41" s="20" t="s">
        <v>61</v>
      </c>
      <c r="B41" s="24">
        <v>-14.7</v>
      </c>
      <c r="C41" s="24">
        <v>-32.700000000000003</v>
      </c>
      <c r="D41" s="24">
        <v>-11.4</v>
      </c>
    </row>
    <row r="42" spans="1:4" x14ac:dyDescent="0.2">
      <c r="A42" s="20" t="s">
        <v>153</v>
      </c>
      <c r="B42" s="24">
        <v>-818.1</v>
      </c>
      <c r="C42" s="24">
        <v>-553.29999999999995</v>
      </c>
      <c r="D42" s="24">
        <v>-1459.8</v>
      </c>
    </row>
    <row r="43" spans="1:4" x14ac:dyDescent="0.2">
      <c r="A43" s="20" t="s">
        <v>96</v>
      </c>
      <c r="B43" s="24">
        <v>7.2</v>
      </c>
      <c r="C43" s="24">
        <v>-12.7</v>
      </c>
      <c r="D43" s="24">
        <v>-30.6</v>
      </c>
    </row>
    <row r="44" spans="1:4" x14ac:dyDescent="0.2">
      <c r="A44" s="20" t="s">
        <v>154</v>
      </c>
      <c r="B44" s="24">
        <v>32.299999999999997</v>
      </c>
      <c r="C44" s="24">
        <v>-506.1</v>
      </c>
      <c r="D44" s="24">
        <v>-430.5</v>
      </c>
    </row>
    <row r="45" spans="1:4" x14ac:dyDescent="0.2">
      <c r="A45" s="20" t="s">
        <v>97</v>
      </c>
      <c r="B45" s="24">
        <v>513.1</v>
      </c>
      <c r="C45" s="24">
        <v>1019.2</v>
      </c>
      <c r="D45" s="24">
        <v>1449.7</v>
      </c>
    </row>
    <row r="46" spans="1:4" x14ac:dyDescent="0.2">
      <c r="A46" s="20" t="s">
        <v>155</v>
      </c>
      <c r="B46" s="23">
        <v>545.4</v>
      </c>
      <c r="C46" s="24">
        <v>513.1</v>
      </c>
      <c r="D46" s="24">
        <v>1019.2</v>
      </c>
    </row>
    <row r="47" spans="1:4" x14ac:dyDescent="0.2">
      <c r="A47" s="20" t="s">
        <v>98</v>
      </c>
      <c r="B47" s="22"/>
      <c r="C47" s="22"/>
      <c r="D47" s="22"/>
    </row>
    <row r="48" spans="1:4" x14ac:dyDescent="0.2">
      <c r="A48" s="20" t="s">
        <v>156</v>
      </c>
      <c r="B48" s="23">
        <v>179</v>
      </c>
      <c r="C48" s="24">
        <v>161.69999999999999</v>
      </c>
      <c r="D48" s="24">
        <v>171.9</v>
      </c>
    </row>
    <row r="49" spans="1:4" x14ac:dyDescent="0.2">
      <c r="A49" s="20" t="s">
        <v>157</v>
      </c>
      <c r="B49" s="23">
        <v>119.8</v>
      </c>
      <c r="C49" s="24">
        <v>177.2</v>
      </c>
      <c r="D49" s="24">
        <v>160.5</v>
      </c>
    </row>
    <row r="51" spans="1:4" x14ac:dyDescent="0.2">
      <c r="A51" s="27" t="s">
        <v>0</v>
      </c>
    </row>
    <row r="63" spans="1:4" x14ac:dyDescent="0.2">
      <c r="A63" s="20"/>
      <c r="B63" s="25"/>
      <c r="C63" s="24"/>
      <c r="D63" s="24"/>
    </row>
    <row r="64" spans="1:4" x14ac:dyDescent="0.2">
      <c r="A64" s="20"/>
      <c r="B64" s="24"/>
      <c r="C64" s="24"/>
      <c r="D64" s="24"/>
    </row>
    <row r="65" spans="1:4" x14ac:dyDescent="0.2">
      <c r="A65" s="20"/>
      <c r="B65" s="24"/>
      <c r="C65" s="24"/>
      <c r="D65" s="24"/>
    </row>
    <row r="66" spans="1:4" x14ac:dyDescent="0.2">
      <c r="A66" s="20"/>
      <c r="B66" s="25"/>
      <c r="C66" s="25"/>
      <c r="D66" s="24"/>
    </row>
    <row r="67" spans="1:4" x14ac:dyDescent="0.2">
      <c r="A67" s="20"/>
      <c r="B67" s="24"/>
      <c r="C67" s="24"/>
      <c r="D67" s="24"/>
    </row>
    <row r="68" spans="1:4" x14ac:dyDescent="0.2">
      <c r="A68" s="20"/>
      <c r="B68" s="24"/>
      <c r="C68" s="24"/>
      <c r="D68" s="24"/>
    </row>
    <row r="69" spans="1:4" x14ac:dyDescent="0.2">
      <c r="A69" s="20"/>
      <c r="B69" s="24"/>
      <c r="C69" s="24"/>
      <c r="D69" s="24"/>
    </row>
    <row r="70" spans="1:4" x14ac:dyDescent="0.2">
      <c r="A70" s="20"/>
      <c r="B70" s="24"/>
      <c r="C70" s="24"/>
      <c r="D70" s="24"/>
    </row>
    <row r="71" spans="1:4" x14ac:dyDescent="0.2">
      <c r="A71" s="20"/>
      <c r="B71" s="24"/>
      <c r="C71" s="24"/>
      <c r="D71" s="24"/>
    </row>
    <row r="72" spans="1:4" x14ac:dyDescent="0.2">
      <c r="A72" s="20"/>
      <c r="B72" s="23"/>
      <c r="C72" s="24"/>
      <c r="D72" s="24"/>
    </row>
    <row r="73" spans="1:4" x14ac:dyDescent="0.2">
      <c r="A73" s="20"/>
      <c r="B73" s="22"/>
      <c r="C73" s="22"/>
      <c r="D73" s="22"/>
    </row>
    <row r="74" spans="1:4" x14ac:dyDescent="0.2">
      <c r="A74" s="20"/>
      <c r="B74" s="23"/>
      <c r="C74" s="24"/>
      <c r="D74" s="24"/>
    </row>
    <row r="75" spans="1:4" x14ac:dyDescent="0.2">
      <c r="A75" s="20"/>
      <c r="B75" s="23"/>
      <c r="C75" s="24"/>
      <c r="D75" s="24"/>
    </row>
    <row r="77" spans="1:4" x14ac:dyDescent="0.2">
      <c r="A77" s="27"/>
    </row>
  </sheetData>
  <hyperlinks>
    <hyperlink ref="A51" r:id="rId1" xr:uid="{211D8B5B-EB0B-3546-B47A-134A5B0E19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4C0C-5E66-7E40-8A64-4D4155BBF4B2}">
  <dimension ref="A1:G31"/>
  <sheetViews>
    <sheetView workbookViewId="0">
      <selection activeCell="G18" sqref="G18"/>
    </sheetView>
  </sheetViews>
  <sheetFormatPr baseColWidth="10" defaultRowHeight="16" x14ac:dyDescent="0.2"/>
  <cols>
    <col min="1" max="1" width="48.83203125" bestFit="1" customWidth="1"/>
    <col min="2" max="2" width="9.6640625" bestFit="1" customWidth="1"/>
    <col min="3" max="4" width="8.1640625" bestFit="1" customWidth="1"/>
  </cols>
  <sheetData>
    <row r="1" spans="1:7" x14ac:dyDescent="0.2">
      <c r="A1" s="20"/>
      <c r="B1" s="21">
        <v>2023</v>
      </c>
      <c r="C1" s="21">
        <v>2022</v>
      </c>
      <c r="D1" s="21">
        <v>2021</v>
      </c>
    </row>
    <row r="2" spans="1:7" x14ac:dyDescent="0.2">
      <c r="A2" s="20" t="s">
        <v>99</v>
      </c>
      <c r="B2" s="23">
        <v>5003.3</v>
      </c>
      <c r="C2" s="24">
        <v>5856.7</v>
      </c>
      <c r="D2" s="24">
        <v>6420.4</v>
      </c>
    </row>
    <row r="3" spans="1:7" x14ac:dyDescent="0.2">
      <c r="A3" s="20" t="s">
        <v>100</v>
      </c>
      <c r="B3" s="22"/>
      <c r="C3" s="22"/>
      <c r="D3" s="22"/>
    </row>
    <row r="4" spans="1:7" x14ac:dyDescent="0.2">
      <c r="A4" s="20" t="s">
        <v>101</v>
      </c>
      <c r="B4" s="24">
        <v>1706</v>
      </c>
      <c r="C4" s="24">
        <v>1911.8</v>
      </c>
      <c r="D4" s="24">
        <v>1927.5</v>
      </c>
      <c r="G4" s="30"/>
    </row>
    <row r="5" spans="1:7" x14ac:dyDescent="0.2">
      <c r="A5" s="20" t="s">
        <v>85</v>
      </c>
      <c r="B5" s="24">
        <v>448.9</v>
      </c>
      <c r="C5" s="24">
        <v>555.5</v>
      </c>
      <c r="D5" s="24">
        <v>628.6</v>
      </c>
    </row>
    <row r="6" spans="1:7" x14ac:dyDescent="0.2">
      <c r="A6" s="20" t="s">
        <v>102</v>
      </c>
      <c r="B6" s="24">
        <v>428.3</v>
      </c>
      <c r="C6" s="24">
        <v>493</v>
      </c>
      <c r="D6" s="24">
        <v>620.4</v>
      </c>
    </row>
    <row r="7" spans="1:7" x14ac:dyDescent="0.2">
      <c r="A7" s="20" t="s">
        <v>103</v>
      </c>
      <c r="B7" s="24">
        <v>306.89999999999998</v>
      </c>
      <c r="C7" s="24">
        <v>307.89999999999998</v>
      </c>
      <c r="D7" s="24">
        <v>315.7</v>
      </c>
    </row>
    <row r="8" spans="1:7" x14ac:dyDescent="0.2">
      <c r="A8" s="20" t="s">
        <v>104</v>
      </c>
      <c r="B8" s="24">
        <v>358.4</v>
      </c>
      <c r="C8" s="24">
        <v>387.3</v>
      </c>
      <c r="D8" s="24">
        <v>506.6</v>
      </c>
    </row>
    <row r="9" spans="1:7" x14ac:dyDescent="0.2">
      <c r="A9" s="20" t="s">
        <v>125</v>
      </c>
      <c r="B9" s="24">
        <v>83</v>
      </c>
      <c r="C9" s="24">
        <v>105.3</v>
      </c>
      <c r="D9" s="24">
        <v>116.8</v>
      </c>
    </row>
    <row r="10" spans="1:7" x14ac:dyDescent="0.2">
      <c r="A10" s="20" t="s">
        <v>105</v>
      </c>
      <c r="B10" s="24">
        <v>1480.4</v>
      </c>
      <c r="C10" s="24">
        <v>1666.1</v>
      </c>
      <c r="D10" s="24">
        <v>1432.7</v>
      </c>
    </row>
    <row r="11" spans="1:7" x14ac:dyDescent="0.2">
      <c r="A11" s="20" t="s">
        <v>84</v>
      </c>
      <c r="B11" s="24">
        <v>1191.2</v>
      </c>
      <c r="C11" s="25">
        <v>0</v>
      </c>
      <c r="D11" s="25">
        <v>0</v>
      </c>
    </row>
    <row r="12" spans="1:7" x14ac:dyDescent="0.2">
      <c r="A12" s="20" t="s">
        <v>83</v>
      </c>
      <c r="B12" s="24">
        <v>539</v>
      </c>
      <c r="C12" s="24">
        <v>22.1</v>
      </c>
      <c r="D12" s="24">
        <v>108.8</v>
      </c>
    </row>
    <row r="13" spans="1:7" x14ac:dyDescent="0.2">
      <c r="A13" s="20" t="s">
        <v>106</v>
      </c>
      <c r="B13" s="24">
        <v>6542.1</v>
      </c>
      <c r="C13" s="24">
        <v>5449</v>
      </c>
      <c r="D13" s="24">
        <v>5657.1</v>
      </c>
    </row>
    <row r="14" spans="1:7" x14ac:dyDescent="0.2">
      <c r="A14" s="20" t="s">
        <v>107</v>
      </c>
      <c r="B14" s="24">
        <v>-1538.8</v>
      </c>
      <c r="C14" s="24">
        <v>407.7</v>
      </c>
      <c r="D14" s="24">
        <v>763.3</v>
      </c>
    </row>
    <row r="15" spans="1:7" x14ac:dyDescent="0.2">
      <c r="A15" s="20" t="s">
        <v>108</v>
      </c>
      <c r="B15" s="22"/>
      <c r="C15" s="22"/>
      <c r="D15" s="22"/>
    </row>
    <row r="16" spans="1:7" x14ac:dyDescent="0.2">
      <c r="A16" s="20" t="s">
        <v>109</v>
      </c>
      <c r="B16" s="24">
        <v>186.3</v>
      </c>
      <c r="C16" s="24">
        <v>171</v>
      </c>
      <c r="D16" s="24">
        <v>179.7</v>
      </c>
    </row>
    <row r="17" spans="1:4" x14ac:dyDescent="0.2">
      <c r="A17" s="20" t="s">
        <v>110</v>
      </c>
      <c r="B17" s="24">
        <v>-23</v>
      </c>
      <c r="C17" s="24">
        <v>-11.8</v>
      </c>
      <c r="D17" s="24">
        <v>-5.4</v>
      </c>
    </row>
    <row r="18" spans="1:4" x14ac:dyDescent="0.2">
      <c r="A18" s="20" t="s">
        <v>126</v>
      </c>
      <c r="B18" s="24">
        <v>7</v>
      </c>
      <c r="C18" s="24">
        <v>-13</v>
      </c>
      <c r="D18" s="24">
        <v>7.1</v>
      </c>
    </row>
    <row r="19" spans="1:4" x14ac:dyDescent="0.2">
      <c r="A19" s="20" t="s">
        <v>111</v>
      </c>
      <c r="B19" s="24">
        <v>170.3</v>
      </c>
      <c r="C19" s="24">
        <v>146.19999999999999</v>
      </c>
      <c r="D19" s="24">
        <v>181.4</v>
      </c>
    </row>
    <row r="20" spans="1:4" x14ac:dyDescent="0.2">
      <c r="A20" s="20" t="s">
        <v>112</v>
      </c>
      <c r="B20" s="24">
        <v>-1709.1</v>
      </c>
      <c r="C20" s="24">
        <v>261.5</v>
      </c>
      <c r="D20" s="24">
        <v>581.9</v>
      </c>
    </row>
    <row r="21" spans="1:4" x14ac:dyDescent="0.2">
      <c r="A21" s="20" t="s">
        <v>127</v>
      </c>
      <c r="B21" s="24">
        <v>-221.3</v>
      </c>
      <c r="C21" s="24">
        <v>58.5</v>
      </c>
      <c r="D21" s="24">
        <v>146.6</v>
      </c>
    </row>
    <row r="22" spans="1:4" x14ac:dyDescent="0.2">
      <c r="A22" s="20" t="s">
        <v>82</v>
      </c>
      <c r="B22" s="24">
        <v>-1487.8</v>
      </c>
      <c r="C22" s="24">
        <v>203</v>
      </c>
      <c r="D22" s="24">
        <v>435.3</v>
      </c>
    </row>
    <row r="23" spans="1:4" x14ac:dyDescent="0.2">
      <c r="A23" s="20" t="s">
        <v>128</v>
      </c>
      <c r="B23" s="24">
        <v>1.5</v>
      </c>
      <c r="C23" s="24">
        <v>-0.5</v>
      </c>
      <c r="D23" s="24">
        <v>6.6</v>
      </c>
    </row>
    <row r="24" spans="1:4" x14ac:dyDescent="0.2">
      <c r="A24" s="20" t="s">
        <v>113</v>
      </c>
      <c r="B24" s="23">
        <v>-1489.3</v>
      </c>
      <c r="C24" s="24">
        <v>203.5</v>
      </c>
      <c r="D24" s="24">
        <v>428.7</v>
      </c>
    </row>
    <row r="25" spans="1:4" x14ac:dyDescent="0.2">
      <c r="A25" s="20" t="s">
        <v>129</v>
      </c>
      <c r="B25" s="22"/>
      <c r="C25" s="22"/>
      <c r="D25" s="22"/>
    </row>
    <row r="26" spans="1:4" x14ac:dyDescent="0.2">
      <c r="A26" s="20" t="s">
        <v>113</v>
      </c>
      <c r="B26" s="22"/>
      <c r="C26" s="22"/>
      <c r="D26" s="22"/>
    </row>
    <row r="27" spans="1:4" x14ac:dyDescent="0.2">
      <c r="A27" s="20" t="s">
        <v>114</v>
      </c>
      <c r="B27" s="28">
        <v>-10.73</v>
      </c>
      <c r="C27" s="43">
        <v>1.47</v>
      </c>
      <c r="D27" s="43">
        <v>3.11</v>
      </c>
    </row>
    <row r="28" spans="1:4" x14ac:dyDescent="0.2">
      <c r="A28" s="20" t="s">
        <v>115</v>
      </c>
      <c r="B28" s="28">
        <v>-10.73</v>
      </c>
      <c r="C28" s="43">
        <v>1.46</v>
      </c>
      <c r="D28" s="43">
        <v>3.1</v>
      </c>
    </row>
    <row r="29" spans="1:4" x14ac:dyDescent="0.2">
      <c r="A29" s="20" t="s">
        <v>130</v>
      </c>
      <c r="B29" s="28">
        <v>2.8</v>
      </c>
      <c r="C29" s="43">
        <v>2.8</v>
      </c>
      <c r="D29" s="43">
        <v>2.72</v>
      </c>
    </row>
    <row r="31" spans="1:4" x14ac:dyDescent="0.2">
      <c r="A31" s="27" t="s">
        <v>0</v>
      </c>
    </row>
  </sheetData>
  <hyperlinks>
    <hyperlink ref="A31" r:id="rId1" xr:uid="{FC85929E-AB71-BF4D-ADA5-7AFDD6FF6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Discounted Cash Flow</vt:lpstr>
      <vt:lpstr>FCF Historicals and Estimates</vt:lpstr>
      <vt:lpstr>Balance Sheets (10K 2023)</vt:lpstr>
      <vt:lpstr>Cash Flow (10K 2023)</vt:lpstr>
      <vt:lpstr>Income Statement (10K 2023)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Gududuru, Ashmith</dc:creator>
  <cp:lastModifiedBy>Gududuru, Ashmith</cp:lastModifiedBy>
  <dcterms:created xsi:type="dcterms:W3CDTF">2024-09-10T20:11:35Z</dcterms:created>
  <dcterms:modified xsi:type="dcterms:W3CDTF">2024-10-15T15:43:30Z</dcterms:modified>
</cp:coreProperties>
</file>