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aidenguenther/Desktop/CS_Project/"/>
    </mc:Choice>
  </mc:AlternateContent>
  <xr:revisionPtr revIDLastSave="0" documentId="13_ncr:1_{58620739-00B1-5C4B-B340-B55954ED2102}" xr6:coauthVersionLast="47" xr6:coauthVersionMax="47" xr10:uidLastSave="{00000000-0000-0000-0000-000000000000}"/>
  <bookViews>
    <workbookView xWindow="0" yWindow="740" windowWidth="29400" windowHeight="17000" xr2:uid="{00000000-000D-0000-FFFF-FFFF00000000}"/>
  </bookViews>
  <sheets>
    <sheet name="Sheet2" sheetId="1" r:id="rId1"/>
    <sheet name="Sheet1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0" i="3" l="1"/>
  <c r="O50" i="3"/>
  <c r="P49" i="3"/>
  <c r="O49" i="3"/>
  <c r="P48" i="3"/>
  <c r="O48" i="3"/>
  <c r="F48" i="3"/>
  <c r="D48" i="3"/>
  <c r="P47" i="3"/>
  <c r="O47" i="3"/>
  <c r="F47" i="3"/>
  <c r="D47" i="3"/>
  <c r="P46" i="3"/>
  <c r="O46" i="3"/>
  <c r="F46" i="3"/>
  <c r="F54" i="3" s="1"/>
  <c r="D46" i="3"/>
  <c r="P45" i="3"/>
  <c r="O45" i="3"/>
  <c r="F42" i="3"/>
  <c r="D42" i="3"/>
  <c r="P41" i="3"/>
  <c r="O41" i="3"/>
  <c r="F41" i="3"/>
  <c r="D41" i="3"/>
  <c r="P40" i="3"/>
  <c r="O40" i="3"/>
  <c r="F40" i="3"/>
  <c r="D40" i="3"/>
  <c r="F39" i="3"/>
  <c r="D39" i="3"/>
  <c r="O38" i="3"/>
  <c r="F38" i="3"/>
  <c r="D38" i="3"/>
  <c r="T37" i="3"/>
  <c r="S37" i="3"/>
  <c r="P37" i="3"/>
  <c r="O37" i="3"/>
  <c r="F37" i="3"/>
  <c r="D37" i="3"/>
  <c r="T36" i="3"/>
  <c r="S36" i="3"/>
  <c r="P36" i="3"/>
  <c r="O36" i="3"/>
  <c r="F36" i="3"/>
  <c r="D36" i="3"/>
  <c r="T35" i="3"/>
  <c r="S35" i="3"/>
  <c r="P35" i="3"/>
  <c r="O35" i="3"/>
  <c r="F35" i="3"/>
  <c r="D35" i="3"/>
  <c r="T34" i="3"/>
  <c r="S34" i="3"/>
  <c r="P34" i="3"/>
  <c r="O34" i="3"/>
  <c r="F34" i="3"/>
  <c r="D34" i="3"/>
  <c r="T33" i="3"/>
  <c r="S33" i="3"/>
  <c r="F33" i="3"/>
  <c r="D33" i="3"/>
  <c r="T32" i="3"/>
  <c r="S32" i="3"/>
  <c r="O32" i="3"/>
  <c r="F32" i="3"/>
  <c r="D32" i="3"/>
  <c r="T31" i="3"/>
  <c r="S31" i="3"/>
  <c r="F31" i="3"/>
  <c r="D31" i="3"/>
  <c r="T30" i="3"/>
  <c r="S30" i="3"/>
  <c r="F30" i="3"/>
  <c r="D30" i="3"/>
  <c r="T29" i="3"/>
  <c r="S29" i="3"/>
  <c r="P29" i="3"/>
  <c r="O29" i="3"/>
  <c r="F29" i="3"/>
  <c r="D29" i="3"/>
  <c r="T28" i="3"/>
  <c r="S28" i="3"/>
  <c r="P28" i="3"/>
  <c r="O28" i="3"/>
  <c r="F28" i="3"/>
  <c r="D28" i="3"/>
  <c r="T27" i="3"/>
  <c r="S27" i="3"/>
  <c r="P27" i="3"/>
  <c r="O27" i="3"/>
  <c r="F27" i="3"/>
  <c r="D27" i="3"/>
  <c r="T26" i="3"/>
  <c r="S26" i="3"/>
  <c r="P26" i="3"/>
  <c r="O26" i="3"/>
  <c r="F26" i="3"/>
  <c r="D26" i="3"/>
  <c r="T25" i="3"/>
  <c r="S25" i="3"/>
  <c r="P25" i="3"/>
  <c r="O25" i="3"/>
  <c r="T24" i="3"/>
  <c r="S24" i="3"/>
  <c r="P24" i="3"/>
  <c r="O24" i="3"/>
  <c r="T23" i="3"/>
  <c r="S23" i="3"/>
  <c r="P23" i="3"/>
  <c r="O23" i="3"/>
  <c r="T22" i="3"/>
  <c r="S22" i="3"/>
  <c r="P22" i="3"/>
  <c r="O22" i="3"/>
  <c r="F22" i="3"/>
  <c r="D22" i="3"/>
  <c r="T21" i="3"/>
  <c r="S21" i="3"/>
  <c r="P21" i="3"/>
  <c r="O21" i="3"/>
  <c r="F21" i="3"/>
  <c r="D21" i="3"/>
  <c r="T20" i="3"/>
  <c r="S20" i="3"/>
  <c r="P20" i="3"/>
  <c r="O20" i="3"/>
  <c r="F20" i="3"/>
  <c r="D20" i="3"/>
  <c r="T19" i="3"/>
  <c r="S19" i="3"/>
  <c r="P19" i="3"/>
  <c r="O19" i="3"/>
  <c r="F19" i="3"/>
  <c r="D19" i="3"/>
  <c r="T18" i="3"/>
  <c r="S18" i="3"/>
  <c r="P18" i="3"/>
  <c r="O18" i="3"/>
  <c r="F18" i="3"/>
  <c r="D18" i="3"/>
  <c r="T17" i="3"/>
  <c r="S17" i="3"/>
  <c r="P17" i="3"/>
  <c r="O17" i="3"/>
  <c r="F17" i="3"/>
  <c r="D17" i="3"/>
  <c r="T16" i="3"/>
  <c r="S16" i="3"/>
  <c r="P16" i="3"/>
  <c r="O16" i="3"/>
  <c r="F16" i="3"/>
  <c r="D16" i="3"/>
  <c r="T15" i="3"/>
  <c r="S15" i="3"/>
  <c r="P15" i="3"/>
  <c r="O15" i="3"/>
  <c r="F15" i="3"/>
  <c r="D15" i="3"/>
  <c r="T14" i="3"/>
  <c r="S14" i="3"/>
  <c r="P14" i="3"/>
  <c r="O14" i="3"/>
  <c r="F14" i="3"/>
  <c r="D14" i="3"/>
  <c r="T13" i="3"/>
  <c r="S13" i="3"/>
  <c r="P13" i="3"/>
  <c r="O13" i="3"/>
  <c r="F13" i="3"/>
  <c r="D13" i="3"/>
  <c r="T12" i="3"/>
  <c r="S12" i="3"/>
  <c r="P12" i="3"/>
  <c r="O12" i="3"/>
  <c r="F12" i="3"/>
  <c r="D12" i="3"/>
  <c r="T11" i="3"/>
  <c r="S11" i="3"/>
  <c r="P11" i="3"/>
  <c r="O11" i="3"/>
  <c r="F11" i="3"/>
  <c r="D11" i="3"/>
  <c r="T10" i="3"/>
  <c r="S10" i="3"/>
  <c r="P10" i="3"/>
  <c r="O10" i="3"/>
  <c r="F10" i="3"/>
  <c r="D10" i="3"/>
  <c r="T9" i="3"/>
  <c r="S9" i="3"/>
  <c r="P9" i="3"/>
  <c r="C8" i="3" s="1"/>
  <c r="D8" i="3" s="1"/>
  <c r="D54" i="3" s="1"/>
  <c r="O9" i="3"/>
  <c r="F9" i="3"/>
  <c r="D9" i="3"/>
  <c r="T8" i="3"/>
  <c r="S8" i="3"/>
  <c r="P8" i="3"/>
  <c r="O8" i="3"/>
  <c r="F8" i="3"/>
  <c r="G4" i="3"/>
  <c r="E4" i="3"/>
  <c r="C4" i="3"/>
  <c r="G42" i="2"/>
  <c r="H41" i="2"/>
  <c r="G40" i="2"/>
  <c r="F40" i="2"/>
  <c r="H40" i="2" s="1"/>
  <c r="G39" i="2"/>
  <c r="F39" i="2"/>
  <c r="H39" i="2" s="1"/>
  <c r="G38" i="2"/>
  <c r="F38" i="2"/>
  <c r="H38" i="2" s="1"/>
  <c r="G37" i="2"/>
  <c r="F37" i="2"/>
  <c r="G36" i="2"/>
  <c r="F36" i="2"/>
  <c r="H36" i="2" s="1"/>
  <c r="G35" i="2"/>
  <c r="F35" i="2"/>
  <c r="H35" i="2" s="1"/>
  <c r="G34" i="2"/>
  <c r="F34" i="2"/>
  <c r="H34" i="2" s="1"/>
  <c r="G33" i="2"/>
  <c r="F33" i="2"/>
  <c r="H33" i="2" s="1"/>
  <c r="G32" i="2"/>
  <c r="F32" i="2"/>
  <c r="H32" i="2" s="1"/>
  <c r="G31" i="2"/>
  <c r="F31" i="2"/>
  <c r="G30" i="2"/>
  <c r="F30" i="2"/>
  <c r="G29" i="2"/>
  <c r="F29" i="2"/>
  <c r="H29" i="2" s="1"/>
  <c r="G28" i="2"/>
  <c r="F28" i="2"/>
  <c r="H28" i="2" s="1"/>
  <c r="G27" i="2"/>
  <c r="F27" i="2"/>
  <c r="H27" i="2" s="1"/>
  <c r="G24" i="2"/>
  <c r="F24" i="2"/>
  <c r="H24" i="2" s="1"/>
  <c r="G23" i="2"/>
  <c r="F23" i="2"/>
  <c r="H23" i="2" s="1"/>
  <c r="G22" i="2"/>
  <c r="F22" i="2"/>
  <c r="H22" i="2" s="1"/>
  <c r="G21" i="2"/>
  <c r="F21" i="2"/>
  <c r="G20" i="2"/>
  <c r="F20" i="2"/>
  <c r="G19" i="2"/>
  <c r="F19" i="2"/>
  <c r="H19" i="2" s="1"/>
  <c r="G18" i="2"/>
  <c r="F18" i="2"/>
  <c r="H18" i="2" s="1"/>
  <c r="G17" i="2"/>
  <c r="F17" i="2"/>
  <c r="H17" i="2" s="1"/>
  <c r="F16" i="2"/>
  <c r="D16" i="2"/>
  <c r="G16" i="2" s="1"/>
  <c r="G15" i="2"/>
  <c r="F15" i="2"/>
  <c r="G14" i="2"/>
  <c r="F14" i="2"/>
  <c r="H14" i="2" s="1"/>
  <c r="G13" i="2"/>
  <c r="F13" i="2"/>
  <c r="H13" i="2" s="1"/>
  <c r="G12" i="2"/>
  <c r="F12" i="2"/>
  <c r="H12" i="2" s="1"/>
  <c r="G11" i="2"/>
  <c r="F11" i="2"/>
  <c r="H11" i="2" s="1"/>
  <c r="G10" i="2"/>
  <c r="F10" i="2"/>
  <c r="H10" i="2" s="1"/>
  <c r="G9" i="2"/>
  <c r="F9" i="2"/>
  <c r="H9" i="2" s="1"/>
  <c r="G8" i="2"/>
  <c r="F8" i="2"/>
  <c r="G7" i="2"/>
  <c r="F7" i="2"/>
  <c r="G6" i="2"/>
  <c r="F6" i="2"/>
  <c r="H6" i="2" s="1"/>
  <c r="G5" i="2"/>
  <c r="F5" i="2"/>
  <c r="H5" i="2" s="1"/>
  <c r="L66" i="1"/>
  <c r="O61" i="1"/>
  <c r="J61" i="1"/>
  <c r="K61" i="1" s="1"/>
  <c r="C61" i="1"/>
  <c r="E61" i="1" s="1"/>
  <c r="M59" i="1"/>
  <c r="F59" i="1"/>
  <c r="S57" i="1"/>
  <c r="O57" i="1"/>
  <c r="J57" i="1"/>
  <c r="K57" i="1" s="1"/>
  <c r="C57" i="1"/>
  <c r="E57" i="1" s="1"/>
  <c r="S56" i="1"/>
  <c r="O56" i="1"/>
  <c r="J56" i="1"/>
  <c r="K56" i="1" s="1"/>
  <c r="C56" i="1"/>
  <c r="E56" i="1" s="1"/>
  <c r="S55" i="1"/>
  <c r="O55" i="1"/>
  <c r="J55" i="1"/>
  <c r="K55" i="1" s="1"/>
  <c r="C55" i="1"/>
  <c r="E55" i="1" s="1"/>
  <c r="O54" i="1"/>
  <c r="J54" i="1"/>
  <c r="K54" i="1" s="1"/>
  <c r="E54" i="1"/>
  <c r="E59" i="1" s="1"/>
  <c r="O53" i="1"/>
  <c r="J53" i="1"/>
  <c r="K53" i="1" s="1"/>
  <c r="L53" i="1" s="1"/>
  <c r="H53" i="1"/>
  <c r="G53" i="1"/>
  <c r="O52" i="1"/>
  <c r="J52" i="1"/>
  <c r="K52" i="1" s="1"/>
  <c r="H52" i="1"/>
  <c r="G52" i="1"/>
  <c r="M48" i="1"/>
  <c r="C47" i="1"/>
  <c r="O45" i="1"/>
  <c r="H45" i="1"/>
  <c r="G45" i="1"/>
  <c r="F44" i="1"/>
  <c r="E44" i="1"/>
  <c r="S41" i="1"/>
  <c r="N41" i="1"/>
  <c r="J41" i="1"/>
  <c r="K41" i="1" s="1"/>
  <c r="F41" i="1"/>
  <c r="D41" i="1"/>
  <c r="S40" i="1"/>
  <c r="O40" i="1"/>
  <c r="J40" i="1"/>
  <c r="K40" i="1" s="1"/>
  <c r="C40" i="1"/>
  <c r="E40" i="1" s="1"/>
  <c r="S39" i="1"/>
  <c r="O39" i="1"/>
  <c r="J39" i="1"/>
  <c r="K39" i="1" s="1"/>
  <c r="C39" i="1"/>
  <c r="E39" i="1" s="1"/>
  <c r="S38" i="1"/>
  <c r="O38" i="1"/>
  <c r="J38" i="1"/>
  <c r="K38" i="1" s="1"/>
  <c r="C38" i="1"/>
  <c r="E38" i="1" s="1"/>
  <c r="H38" i="1" s="1"/>
  <c r="N35" i="1"/>
  <c r="J35" i="1"/>
  <c r="K35" i="1" s="1"/>
  <c r="O34" i="1"/>
  <c r="J34" i="1"/>
  <c r="K34" i="1" s="1"/>
  <c r="F34" i="1"/>
  <c r="C34" i="1"/>
  <c r="E34" i="1" s="1"/>
  <c r="S33" i="1"/>
  <c r="O33" i="1"/>
  <c r="J33" i="1"/>
  <c r="K33" i="1" s="1"/>
  <c r="C33" i="1"/>
  <c r="E33" i="1" s="1"/>
  <c r="S32" i="1"/>
  <c r="O32" i="1"/>
  <c r="J32" i="1"/>
  <c r="K32" i="1" s="1"/>
  <c r="F32" i="1"/>
  <c r="C32" i="1"/>
  <c r="E32" i="1" s="1"/>
  <c r="S31" i="1"/>
  <c r="O31" i="1"/>
  <c r="J31" i="1"/>
  <c r="K31" i="1" s="1"/>
  <c r="C31" i="1"/>
  <c r="E31" i="1" s="1"/>
  <c r="S30" i="1"/>
  <c r="O30" i="1"/>
  <c r="J30" i="1"/>
  <c r="K30" i="1" s="1"/>
  <c r="C30" i="1"/>
  <c r="E30" i="1" s="1"/>
  <c r="J29" i="1"/>
  <c r="K29" i="1" s="1"/>
  <c r="C29" i="1"/>
  <c r="E29" i="1" s="1"/>
  <c r="S28" i="1"/>
  <c r="O28" i="1"/>
  <c r="J28" i="1"/>
  <c r="K28" i="1" s="1"/>
  <c r="C28" i="1"/>
  <c r="E28" i="1" s="1"/>
  <c r="S27" i="1"/>
  <c r="O27" i="1"/>
  <c r="J27" i="1"/>
  <c r="K27" i="1" s="1"/>
  <c r="C27" i="1"/>
  <c r="E27" i="1" s="1"/>
  <c r="S26" i="1"/>
  <c r="O26" i="1"/>
  <c r="J26" i="1"/>
  <c r="K26" i="1" s="1"/>
  <c r="C26" i="1"/>
  <c r="E26" i="1" s="1"/>
  <c r="S25" i="1"/>
  <c r="O25" i="1"/>
  <c r="J25" i="1"/>
  <c r="K25" i="1" s="1"/>
  <c r="C25" i="1"/>
  <c r="E25" i="1" s="1"/>
  <c r="S24" i="1"/>
  <c r="O24" i="1"/>
  <c r="J24" i="1"/>
  <c r="K24" i="1" s="1"/>
  <c r="C24" i="1"/>
  <c r="E24" i="1" s="1"/>
  <c r="H24" i="1" s="1"/>
  <c r="S23" i="1"/>
  <c r="O23" i="1"/>
  <c r="J23" i="1"/>
  <c r="K23" i="1" s="1"/>
  <c r="C23" i="1"/>
  <c r="E23" i="1" s="1"/>
  <c r="S22" i="1"/>
  <c r="O22" i="1"/>
  <c r="J22" i="1"/>
  <c r="K22" i="1" s="1"/>
  <c r="C22" i="1"/>
  <c r="E22" i="1" s="1"/>
  <c r="S21" i="1"/>
  <c r="O21" i="1"/>
  <c r="J21" i="1"/>
  <c r="K21" i="1" s="1"/>
  <c r="C21" i="1"/>
  <c r="E21" i="1" s="1"/>
  <c r="S20" i="1"/>
  <c r="O20" i="1"/>
  <c r="J20" i="1"/>
  <c r="K20" i="1" s="1"/>
  <c r="C20" i="1"/>
  <c r="E20" i="1" s="1"/>
  <c r="S19" i="1"/>
  <c r="O19" i="1"/>
  <c r="J19" i="1"/>
  <c r="K19" i="1" s="1"/>
  <c r="C19" i="1"/>
  <c r="E19" i="1" s="1"/>
  <c r="N16" i="1"/>
  <c r="J16" i="1"/>
  <c r="K16" i="1" s="1"/>
  <c r="F16" i="1"/>
  <c r="S15" i="1"/>
  <c r="O15" i="1"/>
  <c r="J15" i="1"/>
  <c r="K15" i="1" s="1"/>
  <c r="C15" i="1"/>
  <c r="E15" i="1" s="1"/>
  <c r="S14" i="1"/>
  <c r="O14" i="1"/>
  <c r="J14" i="1"/>
  <c r="K14" i="1" s="1"/>
  <c r="C14" i="1"/>
  <c r="E14" i="1" s="1"/>
  <c r="S13" i="1"/>
  <c r="O13" i="1"/>
  <c r="J13" i="1"/>
  <c r="K13" i="1" s="1"/>
  <c r="C13" i="1"/>
  <c r="E13" i="1" s="1"/>
  <c r="S12" i="1"/>
  <c r="O12" i="1"/>
  <c r="J12" i="1"/>
  <c r="K12" i="1" s="1"/>
  <c r="C12" i="1"/>
  <c r="E12" i="1" s="1"/>
  <c r="S11" i="1"/>
  <c r="O11" i="1"/>
  <c r="J11" i="1"/>
  <c r="K11" i="1" s="1"/>
  <c r="C11" i="1"/>
  <c r="E11" i="1" s="1"/>
  <c r="S10" i="1"/>
  <c r="O10" i="1"/>
  <c r="J10" i="1"/>
  <c r="K10" i="1" s="1"/>
  <c r="C10" i="1"/>
  <c r="E10" i="1" s="1"/>
  <c r="S9" i="1"/>
  <c r="O9" i="1"/>
  <c r="J9" i="1"/>
  <c r="K9" i="1" s="1"/>
  <c r="C9" i="1"/>
  <c r="E9" i="1" s="1"/>
  <c r="S8" i="1"/>
  <c r="O8" i="1"/>
  <c r="J8" i="1"/>
  <c r="K8" i="1" s="1"/>
  <c r="C8" i="1"/>
  <c r="E8" i="1" s="1"/>
  <c r="S7" i="1"/>
  <c r="O7" i="1"/>
  <c r="J7" i="1"/>
  <c r="K7" i="1" s="1"/>
  <c r="C7" i="1"/>
  <c r="E7" i="1" s="1"/>
  <c r="S6" i="1"/>
  <c r="O6" i="1"/>
  <c r="J6" i="1"/>
  <c r="K6" i="1" s="1"/>
  <c r="C6" i="1"/>
  <c r="E6" i="1" s="1"/>
  <c r="S5" i="1"/>
  <c r="O5" i="1"/>
  <c r="J5" i="1"/>
  <c r="K5" i="1" s="1"/>
  <c r="C5" i="1"/>
  <c r="E5" i="1" s="1"/>
  <c r="S4" i="1"/>
  <c r="O4" i="1"/>
  <c r="J4" i="1"/>
  <c r="K4" i="1" s="1"/>
  <c r="C4" i="1"/>
  <c r="E4" i="1" s="1"/>
  <c r="S3" i="1"/>
  <c r="O3" i="1"/>
  <c r="J3" i="1"/>
  <c r="K3" i="1" s="1"/>
  <c r="C3" i="1"/>
  <c r="E3" i="1" s="1"/>
  <c r="H3" i="1" s="1"/>
  <c r="S2" i="1"/>
  <c r="O2" i="1"/>
  <c r="J2" i="1"/>
  <c r="K2" i="1" s="1"/>
  <c r="H2" i="1"/>
  <c r="G2" i="1"/>
  <c r="C2" i="1"/>
  <c r="H21" i="2" l="1"/>
  <c r="H44" i="1"/>
  <c r="L2" i="1"/>
  <c r="H15" i="2"/>
  <c r="H8" i="2"/>
  <c r="G59" i="1"/>
  <c r="H59" i="1"/>
  <c r="S35" i="1"/>
  <c r="S42" i="1" s="1"/>
  <c r="S16" i="1"/>
  <c r="L38" i="1"/>
  <c r="N44" i="1"/>
  <c r="O44" i="1" s="1"/>
  <c r="F35" i="1"/>
  <c r="F48" i="1" s="1"/>
  <c r="H34" i="1"/>
  <c r="L34" i="1" s="1"/>
  <c r="G44" i="1"/>
  <c r="G54" i="1"/>
  <c r="H54" i="1"/>
  <c r="L54" i="1" s="1"/>
  <c r="H37" i="2"/>
  <c r="H30" i="2"/>
  <c r="U11" i="1"/>
  <c r="G11" i="1"/>
  <c r="H31" i="2"/>
  <c r="H16" i="2"/>
  <c r="H42" i="2" s="1"/>
  <c r="L24" i="1"/>
  <c r="L52" i="1"/>
  <c r="L3" i="1"/>
  <c r="H20" i="2"/>
  <c r="H7" i="2"/>
  <c r="H61" i="1"/>
  <c r="L61" i="1" s="1"/>
  <c r="G61" i="1"/>
  <c r="U39" i="1"/>
  <c r="G39" i="1"/>
  <c r="H39" i="1"/>
  <c r="L39" i="1" s="1"/>
  <c r="H4" i="1"/>
  <c r="L4" i="1" s="1"/>
  <c r="U4" i="1"/>
  <c r="G4" i="1"/>
  <c r="U6" i="1"/>
  <c r="G6" i="1"/>
  <c r="H6" i="1"/>
  <c r="L6" i="1" s="1"/>
  <c r="U25" i="1"/>
  <c r="G25" i="1"/>
  <c r="H25" i="1"/>
  <c r="L25" i="1" s="1"/>
  <c r="U27" i="1"/>
  <c r="G27" i="1"/>
  <c r="H27" i="1"/>
  <c r="L27" i="1" s="1"/>
  <c r="H31" i="1"/>
  <c r="L31" i="1" s="1"/>
  <c r="U31" i="1"/>
  <c r="G31" i="1"/>
  <c r="H55" i="1"/>
  <c r="L55" i="1" s="1"/>
  <c r="U55" i="1"/>
  <c r="G55" i="1"/>
  <c r="H29" i="1"/>
  <c r="L29" i="1" s="1"/>
  <c r="G29" i="1"/>
  <c r="H33" i="1"/>
  <c r="L33" i="1" s="1"/>
  <c r="U33" i="1"/>
  <c r="G33" i="1"/>
  <c r="U8" i="1"/>
  <c r="G8" i="1"/>
  <c r="H8" i="1"/>
  <c r="L8" i="1" s="1"/>
  <c r="H22" i="1"/>
  <c r="L22" i="1" s="1"/>
  <c r="U22" i="1"/>
  <c r="G22" i="1"/>
  <c r="H30" i="1"/>
  <c r="L30" i="1" s="1"/>
  <c r="U30" i="1"/>
  <c r="G30" i="1"/>
  <c r="E41" i="1"/>
  <c r="H56" i="1"/>
  <c r="L56" i="1" s="1"/>
  <c r="U56" i="1"/>
  <c r="G56" i="1"/>
  <c r="H5" i="1"/>
  <c r="L5" i="1" s="1"/>
  <c r="U5" i="1"/>
  <c r="G5" i="1"/>
  <c r="H15" i="1"/>
  <c r="L15" i="1" s="1"/>
  <c r="U15" i="1"/>
  <c r="G15" i="1"/>
  <c r="H19" i="1"/>
  <c r="L19" i="1" s="1"/>
  <c r="E35" i="1"/>
  <c r="U19" i="1"/>
  <c r="G19" i="1"/>
  <c r="H26" i="1"/>
  <c r="L26" i="1" s="1"/>
  <c r="U26" i="1"/>
  <c r="G26" i="1"/>
  <c r="H32" i="1"/>
  <c r="L32" i="1" s="1"/>
  <c r="U32" i="1"/>
  <c r="G32" i="1"/>
  <c r="H9" i="1"/>
  <c r="L9" i="1" s="1"/>
  <c r="U9" i="1"/>
  <c r="G9" i="1"/>
  <c r="U12" i="1"/>
  <c r="G12" i="1"/>
  <c r="H12" i="1"/>
  <c r="L12" i="1" s="1"/>
  <c r="H21" i="1"/>
  <c r="L21" i="1" s="1"/>
  <c r="U21" i="1"/>
  <c r="G21" i="1"/>
  <c r="H23" i="1"/>
  <c r="L23" i="1" s="1"/>
  <c r="U23" i="1"/>
  <c r="G23" i="1"/>
  <c r="H13" i="1"/>
  <c r="L13" i="1" s="1"/>
  <c r="U13" i="1"/>
  <c r="G13" i="1"/>
  <c r="U7" i="1"/>
  <c r="G7" i="1"/>
  <c r="H7" i="1"/>
  <c r="L7" i="1" s="1"/>
  <c r="H40" i="1"/>
  <c r="L40" i="1" s="1"/>
  <c r="U40" i="1"/>
  <c r="G40" i="1"/>
  <c r="H11" i="1"/>
  <c r="L11" i="1" s="1"/>
  <c r="G14" i="1"/>
  <c r="U14" i="1"/>
  <c r="H14" i="1"/>
  <c r="L14" i="1" s="1"/>
  <c r="G10" i="1"/>
  <c r="U10" i="1"/>
  <c r="E16" i="1"/>
  <c r="G20" i="1"/>
  <c r="U20" i="1"/>
  <c r="G28" i="1"/>
  <c r="U28" i="1"/>
  <c r="F57" i="1"/>
  <c r="H57" i="1" s="1"/>
  <c r="L57" i="1" s="1"/>
  <c r="U2" i="1"/>
  <c r="H10" i="1"/>
  <c r="L10" i="1" s="1"/>
  <c r="H20" i="1"/>
  <c r="L20" i="1" s="1"/>
  <c r="H28" i="1"/>
  <c r="L28" i="1" s="1"/>
  <c r="G34" i="1"/>
  <c r="U57" i="1"/>
  <c r="N48" i="1"/>
  <c r="G24" i="1"/>
  <c r="U24" i="1"/>
  <c r="G38" i="1"/>
  <c r="U38" i="1"/>
  <c r="G3" i="1"/>
  <c r="U3" i="1"/>
  <c r="H35" i="1" l="1"/>
  <c r="L35" i="1" s="1"/>
  <c r="U35" i="1"/>
  <c r="H16" i="1"/>
  <c r="L16" i="1" s="1"/>
  <c r="U16" i="1"/>
  <c r="G16" i="1"/>
  <c r="E48" i="1"/>
  <c r="U41" i="1"/>
  <c r="G41" i="1"/>
  <c r="H41" i="1"/>
  <c r="L41" i="1" s="1"/>
  <c r="G35" i="1"/>
  <c r="G57" i="1"/>
  <c r="G48" i="1" l="1"/>
  <c r="Q2" i="1"/>
  <c r="D47" i="1"/>
  <c r="L44" i="1"/>
  <c r="H48" i="1"/>
  <c r="Q44" i="1"/>
  <c r="Q48" i="1" s="1"/>
  <c r="U42" i="1"/>
  <c r="Q20" i="1"/>
  <c r="Q11" i="1"/>
  <c r="Q27" i="1"/>
  <c r="Q55" i="1"/>
  <c r="Q33" i="1"/>
  <c r="Q22" i="1"/>
  <c r="Q7" i="1"/>
  <c r="Q5" i="1"/>
  <c r="Q14" i="1"/>
  <c r="Q25" i="1"/>
  <c r="Q39" i="1"/>
  <c r="Q31" i="1"/>
  <c r="Q29" i="1"/>
  <c r="Q8" i="1"/>
  <c r="Q56" i="1"/>
  <c r="Q15" i="1"/>
  <c r="Q9" i="1"/>
  <c r="Q26" i="1"/>
  <c r="Q4" i="1"/>
  <c r="Q30" i="1"/>
  <c r="Q57" i="1"/>
  <c r="Q3" i="1"/>
  <c r="Q38" i="1"/>
  <c r="Q6" i="1"/>
  <c r="Q28" i="1"/>
  <c r="Q23" i="1"/>
  <c r="Q19" i="1"/>
  <c r="Q21" i="1"/>
  <c r="Q13" i="1"/>
  <c r="Q24" i="1"/>
  <c r="Q32" i="1"/>
  <c r="Q12" i="1"/>
  <c r="Q40" i="1"/>
  <c r="Q10" i="1"/>
  <c r="Q16" i="1"/>
  <c r="Q41" i="1"/>
  <c r="Q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57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Don't have the exact data, used the latest market value when Justin first shared it with me.
	-Saadat Momin Zada</t>
        </r>
      </text>
    </comment>
    <comment ref="G57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Don't have the exact data.
	-Saadat Momin Zada</t>
        </r>
      </text>
    </comment>
    <comment ref="H57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Don't have the exact data.
	-Saadat Momin Zada</t>
        </r>
      </text>
    </comment>
    <comment ref="I57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>Don't have the exact data.
	-Saadat Momin Zada</t>
        </r>
      </text>
    </comment>
  </commentList>
</comments>
</file>

<file path=xl/sharedStrings.xml><?xml version="1.0" encoding="utf-8"?>
<sst xmlns="http://schemas.openxmlformats.org/spreadsheetml/2006/main" count="440" uniqueCount="180">
  <si>
    <t>WIC Portfolio</t>
  </si>
  <si>
    <t>Core Portfolio</t>
  </si>
  <si>
    <t>Ticker</t>
  </si>
  <si>
    <t>Price</t>
  </si>
  <si>
    <t>Quantity of Shares</t>
  </si>
  <si>
    <t>Market value</t>
  </si>
  <si>
    <t>Cost Basis</t>
  </si>
  <si>
    <t>Gross Returns ($)</t>
  </si>
  <si>
    <t>Gross Return (%)</t>
  </si>
  <si>
    <t>Date purchased</t>
  </si>
  <si>
    <t>Days Since Purchase</t>
  </si>
  <si>
    <t>Years Since Purchase</t>
  </si>
  <si>
    <t>Annualized return</t>
  </si>
  <si>
    <t>% of Account</t>
  </si>
  <si>
    <t>Target Allocation</t>
  </si>
  <si>
    <t>Under- or Over-allocated?</t>
  </si>
  <si>
    <t>Asset Class</t>
  </si>
  <si>
    <t>Close on 01/03/2023</t>
  </si>
  <si>
    <t>Value on 01/03/2023</t>
  </si>
  <si>
    <t>Return Year to Date</t>
  </si>
  <si>
    <t>Apple</t>
  </si>
  <si>
    <t>AAPL</t>
  </si>
  <si>
    <t>Equity</t>
  </si>
  <si>
    <t>Boeing</t>
  </si>
  <si>
    <t>BA</t>
  </si>
  <si>
    <t>Costco</t>
  </si>
  <si>
    <t>COST</t>
  </si>
  <si>
    <t>Walmart</t>
  </si>
  <si>
    <t>WMT</t>
  </si>
  <si>
    <t>Walt Disney Co.</t>
  </si>
  <si>
    <t>DIS</t>
  </si>
  <si>
    <t>Alphabet</t>
  </si>
  <si>
    <t>GOOGL</t>
  </si>
  <si>
    <t>Johnson &amp; Johnson</t>
  </si>
  <si>
    <t>JNJ</t>
  </si>
  <si>
    <t>Microsoft</t>
  </si>
  <si>
    <t>MSFT</t>
  </si>
  <si>
    <t>NextEra Energy</t>
  </si>
  <si>
    <t>NEE</t>
  </si>
  <si>
    <t>PACCAR Inc.</t>
  </si>
  <si>
    <t>PCAR</t>
  </si>
  <si>
    <t>Proctor &amp; Gamble</t>
  </si>
  <si>
    <t>PG</t>
  </si>
  <si>
    <t>Union Pacific</t>
  </si>
  <si>
    <t>UNP</t>
  </si>
  <si>
    <t>Verizon</t>
  </si>
  <si>
    <t>VZ</t>
  </si>
  <si>
    <t>Wells Fargo</t>
  </si>
  <si>
    <t>WFC</t>
  </si>
  <si>
    <t>Total Core Portfolio Value</t>
  </si>
  <si>
    <t>Active Portfolio</t>
  </si>
  <si>
    <t xml:space="preserve">Anheuser- Busch </t>
  </si>
  <si>
    <t>BUD</t>
  </si>
  <si>
    <t>AT&amp;T</t>
  </si>
  <si>
    <t>T</t>
  </si>
  <si>
    <t>Cardinal Health</t>
  </si>
  <si>
    <t>CAH</t>
  </si>
  <si>
    <t>Check Pt Software</t>
  </si>
  <si>
    <t>CHKP</t>
  </si>
  <si>
    <t>Cisco</t>
  </si>
  <si>
    <t>CSCO</t>
  </si>
  <si>
    <t>Enterprise Product Partners</t>
  </si>
  <si>
    <t>EPD</t>
  </si>
  <si>
    <t>iShares U.S. Medical Devices ETF</t>
  </si>
  <si>
    <t>IHI</t>
  </si>
  <si>
    <t>Kraft-Heinz Company</t>
  </si>
  <si>
    <t>KHC</t>
  </si>
  <si>
    <t>Paypal</t>
  </si>
  <si>
    <t>PYPL</t>
  </si>
  <si>
    <t>Qualcomm</t>
  </si>
  <si>
    <t>QCOM</t>
  </si>
  <si>
    <t>Veralto</t>
  </si>
  <si>
    <t>VLTO</t>
  </si>
  <si>
    <t>Equity Residential</t>
  </si>
  <si>
    <t>EQR</t>
  </si>
  <si>
    <t>Target</t>
  </si>
  <si>
    <t>TGT</t>
  </si>
  <si>
    <t>United HealthCare</t>
  </si>
  <si>
    <t>UNH</t>
  </si>
  <si>
    <t>Danaher Corporation</t>
  </si>
  <si>
    <t>DHR</t>
  </si>
  <si>
    <t>Weyerhaeuser Co</t>
  </si>
  <si>
    <t>WY</t>
  </si>
  <si>
    <t>Total Active Portfolio Value</t>
  </si>
  <si>
    <t>Fixed Income</t>
  </si>
  <si>
    <t>iShares 7-10 Year Treasury Bond ETF</t>
  </si>
  <si>
    <t>IEF</t>
  </si>
  <si>
    <t>iShares Global Green Bond ETF</t>
  </si>
  <si>
    <t>BGRN</t>
  </si>
  <si>
    <t>iShares ESG USD Corp. Bond ETF</t>
  </si>
  <si>
    <t>SUSC</t>
  </si>
  <si>
    <t>Total Fixed Income</t>
  </si>
  <si>
    <t>Cash &amp; Cash Equivalents</t>
  </si>
  <si>
    <t>Cash &amp; Money Market</t>
  </si>
  <si>
    <t>CASHX</t>
  </si>
  <si>
    <t>Cash</t>
  </si>
  <si>
    <t>Total Cash Value</t>
  </si>
  <si>
    <t>Total Market Value</t>
  </si>
  <si>
    <t>Unloaded</t>
  </si>
  <si>
    <t>Allocation</t>
  </si>
  <si>
    <t>Kraneshares MSCI China ESG Leaders ETF</t>
  </si>
  <si>
    <t>KESG</t>
  </si>
  <si>
    <t>SOLD</t>
  </si>
  <si>
    <t>Global X MSCI China Healthcare ETF</t>
  </si>
  <si>
    <t>CHIH</t>
  </si>
  <si>
    <t>Carnival Corp.</t>
  </si>
  <si>
    <t>CCL</t>
  </si>
  <si>
    <t>Dominion Energy</t>
  </si>
  <si>
    <t>D</t>
  </si>
  <si>
    <t>Medical Properties Trust</t>
  </si>
  <si>
    <t>MPW</t>
  </si>
  <si>
    <t>Warner Bros Discovery Inc</t>
  </si>
  <si>
    <t>WBD</t>
  </si>
  <si>
    <t>Total</t>
  </si>
  <si>
    <t>STORE Capital</t>
  </si>
  <si>
    <t>STOR</t>
  </si>
  <si>
    <t>Went Private</t>
  </si>
  <si>
    <t>**NOTES: SHEET 2 IS ACTUAL PORTFOLIO!!</t>
  </si>
  <si>
    <t>Positions</t>
  </si>
  <si>
    <t>Symbol</t>
  </si>
  <si>
    <t>Description</t>
  </si>
  <si>
    <t>Quantity</t>
  </si>
  <si>
    <t>Value (Feb)</t>
  </si>
  <si>
    <t>Current price</t>
  </si>
  <si>
    <t>Quantity (Apr. 30th)</t>
  </si>
  <si>
    <t>Value (Apr. 30th)</t>
  </si>
  <si>
    <t>A T &amp; T INC</t>
  </si>
  <si>
    <t>ALPHABET INC. CLASS A</t>
  </si>
  <si>
    <t>ANHEUSER BUSCH INBEV S F SPONSORED ADR 1 ADR REPS 1 ORD SHS</t>
  </si>
  <si>
    <t>APPLE INC</t>
  </si>
  <si>
    <t>BOEING CO</t>
  </si>
  <si>
    <t>CARDINAL HEALTH INC</t>
  </si>
  <si>
    <t>CARNIVAL CORP          F</t>
  </si>
  <si>
    <t>CHECK PT SOFTWARE      F</t>
  </si>
  <si>
    <t>CISCO SYSTEMS INC</t>
  </si>
  <si>
    <t>COSTCO WHOLESALE CO</t>
  </si>
  <si>
    <t>DOMINION ENERGY INC</t>
  </si>
  <si>
    <t>TARGET</t>
  </si>
  <si>
    <t>ENTERPRISE PRODS PART LP</t>
  </si>
  <si>
    <t>EQUITY RESIDENTIAL REIT</t>
  </si>
  <si>
    <t>JOHNSON &amp; JOHNSON</t>
  </si>
  <si>
    <t>KRAFT HEINZ CO</t>
  </si>
  <si>
    <t>MEDICAL PROPERTIES REIT</t>
  </si>
  <si>
    <t>MICROSOFT CORP</t>
  </si>
  <si>
    <t>NEXTERA ENERGY INC</t>
  </si>
  <si>
    <t>PACCAR INC</t>
  </si>
  <si>
    <t>PROCTER &amp; GAMBLE</t>
  </si>
  <si>
    <t>QUALCOMM INC</t>
  </si>
  <si>
    <t>STORE CAPITAL CORP REIT</t>
  </si>
  <si>
    <t>UNION PACIFIC CORP</t>
  </si>
  <si>
    <t>VERIZON COMMUNICATN</t>
  </si>
  <si>
    <t>WALMART INC</t>
  </si>
  <si>
    <t>WALT DISNEY CO</t>
  </si>
  <si>
    <t>WELLS FARGO &amp; CO</t>
  </si>
  <si>
    <t>GLOBAL X MSCI CHINA HEALTH CR ETF</t>
  </si>
  <si>
    <t>ISHAR TRU ESG AWR USD CORP BD ETF IV</t>
  </si>
  <si>
    <t>ISHARES 7-10 YEAR TRSURY BOND ETF</t>
  </si>
  <si>
    <t>ISHARES GLOBAL GREEN BOND ETF</t>
  </si>
  <si>
    <t>ISHARES US MEDICAL DEVICES ETF IV</t>
  </si>
  <si>
    <t>KRANESHS MSCI CHINA ESG INDX ETF IV</t>
  </si>
  <si>
    <t>Cash &amp; Cash Investments</t>
  </si>
  <si>
    <t>--</t>
  </si>
  <si>
    <t>Account Total</t>
  </si>
  <si>
    <t>Date</t>
  </si>
  <si>
    <t>S&amp;P 500</t>
  </si>
  <si>
    <t>NASDAQ</t>
  </si>
  <si>
    <t>percent change</t>
  </si>
  <si>
    <t>ACTIVE PORTFOLIO</t>
  </si>
  <si>
    <t>CORE</t>
  </si>
  <si>
    <t>PRICE 1/3/2022</t>
  </si>
  <si>
    <t>VALUE 1/3/2022</t>
  </si>
  <si>
    <t>PRICE 1/4/2021</t>
  </si>
  <si>
    <t>VALUE 1/4/2021</t>
  </si>
  <si>
    <t>PRICE 1/2/2020</t>
  </si>
  <si>
    <t>PRICE 3/14/2022</t>
  </si>
  <si>
    <t>PRICE 4/1/2022</t>
  </si>
  <si>
    <t>PRICE 4/14/2022</t>
  </si>
  <si>
    <t>PRICE 4/29/2022</t>
  </si>
  <si>
    <t>N/A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</si>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</sst>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m/d/yyyy"/>
    <numFmt numFmtId="166" formatCode="#,##0.0000"/>
    <numFmt numFmtId="167" formatCode="m/d/yyyy\ h:mm:ss"/>
  </numFmts>
  <fonts count="2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0"/>
      <color rgb="FF000000"/>
      <name val="Arial"/>
      <family val="2"/>
    </font>
    <font>
      <sz val="10"/>
      <color rgb="FF111827"/>
      <name val="Monaco"/>
      <family val="2"/>
    </font>
    <font>
      <sz val="10"/>
      <color rgb="FF111827"/>
      <name val="Arial"/>
      <family val="2"/>
    </font>
    <font>
      <sz val="10"/>
      <color theme="1"/>
      <name val="Arial"/>
      <family val="2"/>
      <scheme val="minor"/>
    </font>
    <font>
      <sz val="11"/>
      <color rgb="FF111827"/>
      <name val="Arial"/>
      <family val="2"/>
    </font>
    <font>
      <sz val="10"/>
      <color rgb="FFFF0000"/>
      <name val="Arial"/>
      <family val="2"/>
      <scheme val="minor"/>
    </font>
    <font>
      <sz val="10"/>
      <color rgb="FFFF0000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sz val="10"/>
      <color rgb="FF222222"/>
      <name val="Arial"/>
      <family val="2"/>
    </font>
    <font>
      <sz val="10"/>
      <color rgb="FF000000"/>
      <name val="Arial"/>
      <family val="2"/>
      <scheme val="minor"/>
    </font>
    <font>
      <sz val="10"/>
      <color theme="5"/>
      <name val="Arial"/>
      <family val="2"/>
      <scheme val="minor"/>
    </font>
    <font>
      <sz val="10"/>
      <color rgb="FFEA4335"/>
      <name val="Arial"/>
      <family val="2"/>
      <scheme val="minor"/>
    </font>
    <font>
      <sz val="10"/>
      <color rgb="FFEA4335"/>
      <name val="Arial"/>
      <family val="2"/>
      <scheme val="minor"/>
    </font>
    <font>
      <sz val="11"/>
      <color rgb="FFFF0000"/>
      <name val="Arial"/>
      <family val="2"/>
      <scheme val="minor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36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/>
    <xf numFmtId="0" fontId="2" fillId="4" borderId="0" xfId="0" applyFont="1" applyFill="1"/>
    <xf numFmtId="0" fontId="1" fillId="4" borderId="0" xfId="0" applyFont="1" applyFill="1"/>
    <xf numFmtId="0" fontId="2" fillId="5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0" borderId="0" xfId="0" applyFont="1"/>
    <xf numFmtId="0" fontId="3" fillId="2" borderId="0" xfId="0" applyFont="1" applyFill="1" applyAlignment="1">
      <alignment horizontal="center"/>
    </xf>
    <xf numFmtId="164" fontId="1" fillId="0" borderId="0" xfId="0" applyNumberFormat="1" applyFont="1"/>
    <xf numFmtId="164" fontId="0" fillId="2" borderId="0" xfId="0" applyNumberFormat="1" applyFill="1" applyAlignment="1">
      <alignment horizontal="center"/>
    </xf>
    <xf numFmtId="10" fontId="1" fillId="0" borderId="0" xfId="0" applyNumberFormat="1" applyFont="1"/>
    <xf numFmtId="165" fontId="0" fillId="2" borderId="0" xfId="0" applyNumberFormat="1" applyFill="1" applyAlignment="1">
      <alignment horizontal="center"/>
    </xf>
    <xf numFmtId="164" fontId="1" fillId="3" borderId="0" xfId="0" applyNumberFormat="1" applyFont="1" applyFill="1"/>
    <xf numFmtId="164" fontId="2" fillId="3" borderId="0" xfId="0" applyNumberFormat="1" applyFont="1" applyFill="1"/>
    <xf numFmtId="164" fontId="4" fillId="2" borderId="0" xfId="0" applyNumberFormat="1" applyFont="1" applyFill="1" applyAlignment="1">
      <alignment horizontal="center"/>
    </xf>
    <xf numFmtId="0" fontId="1" fillId="6" borderId="0" xfId="0" applyFont="1" applyFill="1"/>
    <xf numFmtId="166" fontId="5" fillId="0" borderId="0" xfId="0" applyNumberFormat="1" applyFont="1" applyAlignment="1">
      <alignment horizontal="right"/>
    </xf>
    <xf numFmtId="164" fontId="1" fillId="2" borderId="0" xfId="0" applyNumberFormat="1" applyFont="1" applyFill="1" applyAlignment="1">
      <alignment horizontal="center"/>
    </xf>
    <xf numFmtId="166" fontId="6" fillId="0" borderId="0" xfId="0" applyNumberFormat="1" applyFont="1" applyAlignment="1">
      <alignment horizontal="right"/>
    </xf>
    <xf numFmtId="164" fontId="7" fillId="2" borderId="0" xfId="0" applyNumberFormat="1" applyFont="1" applyFill="1" applyAlignment="1">
      <alignment horizontal="center"/>
    </xf>
    <xf numFmtId="0" fontId="1" fillId="7" borderId="0" xfId="0" applyFont="1" applyFill="1"/>
    <xf numFmtId="166" fontId="8" fillId="0" borderId="0" xfId="0" applyNumberFormat="1" applyFont="1" applyAlignment="1">
      <alignment horizontal="right"/>
    </xf>
    <xf numFmtId="0" fontId="9" fillId="2" borderId="0" xfId="0" applyFont="1" applyFill="1"/>
    <xf numFmtId="4" fontId="9" fillId="2" borderId="0" xfId="0" applyNumberFormat="1" applyFont="1" applyFill="1"/>
    <xf numFmtId="166" fontId="9" fillId="2" borderId="0" xfId="0" applyNumberFormat="1" applyFont="1" applyFill="1"/>
    <xf numFmtId="164" fontId="9" fillId="2" borderId="0" xfId="0" applyNumberFormat="1" applyFont="1" applyFill="1"/>
    <xf numFmtId="164" fontId="10" fillId="2" borderId="0" xfId="0" applyNumberFormat="1" applyFont="1" applyFill="1"/>
    <xf numFmtId="10" fontId="9" fillId="2" borderId="0" xfId="0" applyNumberFormat="1" applyFont="1" applyFill="1"/>
    <xf numFmtId="165" fontId="10" fillId="2" borderId="0" xfId="0" applyNumberFormat="1" applyFont="1" applyFill="1" applyAlignment="1">
      <alignment horizontal="center"/>
    </xf>
    <xf numFmtId="10" fontId="9" fillId="0" borderId="0" xfId="0" applyNumberFormat="1" applyFont="1"/>
    <xf numFmtId="0" fontId="9" fillId="2" borderId="0" xfId="0" applyFont="1" applyFill="1" applyAlignment="1">
      <alignment horizontal="center"/>
    </xf>
    <xf numFmtId="166" fontId="1" fillId="0" borderId="0" xfId="0" applyNumberFormat="1" applyFont="1"/>
    <xf numFmtId="4" fontId="1" fillId="0" borderId="0" xfId="0" applyNumberFormat="1" applyFont="1"/>
    <xf numFmtId="0" fontId="7" fillId="2" borderId="0" xfId="0" applyFont="1" applyFill="1"/>
    <xf numFmtId="0" fontId="2" fillId="3" borderId="0" xfId="0" applyFont="1" applyFill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/>
    <xf numFmtId="0" fontId="11" fillId="2" borderId="0" xfId="0" applyFont="1" applyFill="1" applyAlignment="1">
      <alignment horizontal="center"/>
    </xf>
    <xf numFmtId="164" fontId="2" fillId="2" borderId="0" xfId="0" applyNumberFormat="1" applyFont="1" applyFill="1"/>
    <xf numFmtId="165" fontId="12" fillId="2" borderId="0" xfId="0" applyNumberFormat="1" applyFont="1" applyFill="1" applyAlignment="1">
      <alignment horizontal="center"/>
    </xf>
    <xf numFmtId="10" fontId="2" fillId="0" borderId="0" xfId="0" applyNumberFormat="1" applyFont="1"/>
    <xf numFmtId="165" fontId="7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4" fontId="13" fillId="8" borderId="0" xfId="0" applyNumberFormat="1" applyFont="1" applyFill="1"/>
    <xf numFmtId="164" fontId="14" fillId="3" borderId="0" xfId="0" applyNumberFormat="1" applyFont="1" applyFill="1"/>
    <xf numFmtId="0" fontId="15" fillId="0" borderId="0" xfId="0" applyFont="1"/>
    <xf numFmtId="0" fontId="15" fillId="2" borderId="0" xfId="0" applyFont="1" applyFill="1"/>
    <xf numFmtId="164" fontId="15" fillId="0" borderId="0" xfId="0" applyNumberFormat="1" applyFont="1"/>
    <xf numFmtId="166" fontId="15" fillId="0" borderId="0" xfId="0" applyNumberFormat="1" applyFont="1"/>
    <xf numFmtId="10" fontId="15" fillId="0" borderId="0" xfId="0" applyNumberFormat="1" applyFont="1"/>
    <xf numFmtId="165" fontId="16" fillId="2" borderId="0" xfId="0" applyNumberFormat="1" applyFont="1" applyFill="1" applyAlignment="1">
      <alignment horizontal="center"/>
    </xf>
    <xf numFmtId="10" fontId="17" fillId="0" borderId="0" xfId="0" applyNumberFormat="1" applyFont="1"/>
    <xf numFmtId="0" fontId="15" fillId="2" borderId="0" xfId="0" applyFont="1" applyFill="1" applyAlignment="1">
      <alignment horizontal="center"/>
    </xf>
    <xf numFmtId="0" fontId="18" fillId="0" borderId="0" xfId="0" applyFont="1"/>
    <xf numFmtId="0" fontId="9" fillId="0" borderId="0" xfId="0" applyFont="1"/>
    <xf numFmtId="166" fontId="9" fillId="0" borderId="0" xfId="0" applyNumberFormat="1" applyFont="1"/>
    <xf numFmtId="164" fontId="9" fillId="0" borderId="0" xfId="0" applyNumberFormat="1" applyFont="1"/>
    <xf numFmtId="164" fontId="9" fillId="3" borderId="0" xfId="0" applyNumberFormat="1" applyFont="1" applyFill="1"/>
    <xf numFmtId="0" fontId="9" fillId="0" borderId="0" xfId="0" applyFont="1" applyAlignment="1">
      <alignment horizontal="center"/>
    </xf>
    <xf numFmtId="0" fontId="1" fillId="5" borderId="0" xfId="0" applyFont="1" applyFill="1"/>
    <xf numFmtId="0" fontId="11" fillId="0" borderId="0" xfId="0" applyFont="1" applyAlignment="1">
      <alignment horizontal="center"/>
    </xf>
    <xf numFmtId="164" fontId="19" fillId="8" borderId="0" xfId="0" applyNumberFormat="1" applyFont="1" applyFill="1"/>
    <xf numFmtId="10" fontId="18" fillId="0" borderId="0" xfId="0" applyNumberFormat="1" applyFont="1"/>
    <xf numFmtId="10" fontId="9" fillId="3" borderId="0" xfId="0" applyNumberFormat="1" applyFont="1" applyFill="1"/>
    <xf numFmtId="0" fontId="9" fillId="3" borderId="0" xfId="0" applyFont="1" applyFill="1"/>
    <xf numFmtId="4" fontId="13" fillId="8" borderId="0" xfId="0" applyNumberFormat="1" applyFont="1" applyFill="1"/>
    <xf numFmtId="10" fontId="1" fillId="3" borderId="0" xfId="0" applyNumberFormat="1" applyFont="1" applyFill="1"/>
    <xf numFmtId="164" fontId="1" fillId="4" borderId="0" xfId="0" applyNumberFormat="1" applyFont="1" applyFill="1"/>
    <xf numFmtId="10" fontId="1" fillId="4" borderId="0" xfId="0" applyNumberFormat="1" applyFont="1" applyFill="1"/>
    <xf numFmtId="10" fontId="1" fillId="5" borderId="0" xfId="0" applyNumberFormat="1" applyFont="1" applyFill="1"/>
    <xf numFmtId="0" fontId="3" fillId="3" borderId="0" xfId="0" applyFont="1" applyFill="1" applyAlignment="1">
      <alignment horizontal="center"/>
    </xf>
    <xf numFmtId="166" fontId="13" fillId="3" borderId="0" xfId="0" applyNumberFormat="1" applyFont="1" applyFill="1" applyAlignment="1">
      <alignment horizontal="right"/>
    </xf>
    <xf numFmtId="165" fontId="0" fillId="3" borderId="0" xfId="0" applyNumberFormat="1" applyFill="1" applyAlignment="1">
      <alignment horizontal="center"/>
    </xf>
    <xf numFmtId="164" fontId="13" fillId="3" borderId="0" xfId="0" applyNumberFormat="1" applyFont="1" applyFill="1"/>
    <xf numFmtId="166" fontId="20" fillId="3" borderId="0" xfId="0" applyNumberFormat="1" applyFont="1" applyFill="1" applyAlignment="1">
      <alignment horizontal="right"/>
    </xf>
    <xf numFmtId="0" fontId="2" fillId="7" borderId="0" xfId="0" applyFont="1" applyFill="1"/>
    <xf numFmtId="164" fontId="1" fillId="9" borderId="0" xfId="0" applyNumberFormat="1" applyFont="1" applyFill="1"/>
    <xf numFmtId="0" fontId="18" fillId="2" borderId="0" xfId="0" applyFont="1" applyFill="1"/>
    <xf numFmtId="0" fontId="1" fillId="10" borderId="0" xfId="0" applyFont="1" applyFill="1"/>
    <xf numFmtId="0" fontId="3" fillId="10" borderId="0" xfId="0" applyFont="1" applyFill="1" applyAlignment="1">
      <alignment horizontal="center"/>
    </xf>
    <xf numFmtId="164" fontId="1" fillId="10" borderId="0" xfId="0" applyNumberFormat="1" applyFont="1" applyFill="1"/>
    <xf numFmtId="166" fontId="20" fillId="10" borderId="0" xfId="0" applyNumberFormat="1" applyFont="1" applyFill="1" applyAlignment="1">
      <alignment horizontal="right"/>
    </xf>
    <xf numFmtId="10" fontId="1" fillId="10" borderId="0" xfId="0" applyNumberFormat="1" applyFont="1" applyFill="1"/>
    <xf numFmtId="165" fontId="0" fillId="10" borderId="0" xfId="0" applyNumberFormat="1" applyFill="1" applyAlignment="1">
      <alignment horizontal="center"/>
    </xf>
    <xf numFmtId="0" fontId="2" fillId="10" borderId="0" xfId="0" applyFont="1" applyFill="1"/>
    <xf numFmtId="0" fontId="21" fillId="9" borderId="0" xfId="0" applyFont="1" applyFill="1"/>
    <xf numFmtId="0" fontId="1" fillId="9" borderId="0" xfId="0" applyFont="1" applyFill="1"/>
    <xf numFmtId="3" fontId="1" fillId="0" borderId="0" xfId="0" applyNumberFormat="1" applyFont="1"/>
    <xf numFmtId="165" fontId="1" fillId="0" borderId="0" xfId="0" applyNumberFormat="1" applyFont="1"/>
    <xf numFmtId="0" fontId="22" fillId="4" borderId="0" xfId="0" applyFont="1" applyFill="1"/>
    <xf numFmtId="0" fontId="3" fillId="2" borderId="1" xfId="0" applyFont="1" applyFill="1" applyBorder="1" applyAlignment="1">
      <alignment horizontal="center"/>
    </xf>
    <xf numFmtId="10" fontId="22" fillId="0" borderId="0" xfId="0" applyNumberFormat="1" applyFont="1" applyAlignment="1">
      <alignment horizontal="right"/>
    </xf>
    <xf numFmtId="167" fontId="2" fillId="0" borderId="0" xfId="0" applyNumberFormat="1" applyFont="1"/>
    <xf numFmtId="167" fontId="1" fillId="0" borderId="0" xfId="0" applyNumberFormat="1" applyFont="1"/>
    <xf numFmtId="0" fontId="23" fillId="8" borderId="0" xfId="0" applyFont="1" applyFill="1"/>
    <xf numFmtId="2" fontId="1" fillId="0" borderId="0" xfId="0" applyNumberFormat="1" applyFont="1"/>
    <xf numFmtId="10" fontId="22" fillId="0" borderId="0" xfId="0" applyNumberFormat="1" applyFont="1"/>
    <xf numFmtId="0" fontId="1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1002"/>
  <sheetViews>
    <sheetView tabSelected="1" workbookViewId="0">
      <selection sqref="A1:AA1"/>
    </sheetView>
  </sheetViews>
  <sheetFormatPr baseColWidth="10" defaultColWidth="12.6640625" defaultRowHeight="15.75" customHeight="1" x14ac:dyDescent="0.15"/>
  <cols>
    <col min="1" max="1" width="39.1640625" customWidth="1"/>
    <col min="4" max="4" width="17.6640625" customWidth="1"/>
    <col min="7" max="7" width="16.83203125" customWidth="1"/>
    <col min="8" max="8" width="17.83203125" customWidth="1"/>
    <col min="9" max="9" width="18.1640625" customWidth="1"/>
    <col min="10" max="10" width="21.6640625" customWidth="1"/>
    <col min="11" max="11" width="19.1640625" customWidth="1"/>
    <col min="12" max="12" width="16.6640625" customWidth="1"/>
    <col min="14" max="14" width="14.33203125" customWidth="1"/>
    <col min="15" max="15" width="24.1640625" customWidth="1"/>
    <col min="18" max="18" width="26.6640625" customWidth="1"/>
    <col min="19" max="19" width="21.6640625" customWidth="1"/>
    <col min="21" max="21" width="16.6640625" customWidth="1"/>
  </cols>
  <sheetData>
    <row r="1" spans="1:21" ht="15.75" customHeight="1" x14ac:dyDescent="0.15">
      <c r="A1" s="6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5" t="s">
        <v>13</v>
      </c>
      <c r="N1" s="6" t="s">
        <v>14</v>
      </c>
      <c r="O1" s="5" t="s">
        <v>15</v>
      </c>
      <c r="P1" s="6" t="s">
        <v>16</v>
      </c>
      <c r="Q1" s="5" t="s">
        <v>13</v>
      </c>
      <c r="R1" s="7" t="s">
        <v>17</v>
      </c>
      <c r="S1" s="7" t="s">
        <v>18</v>
      </c>
      <c r="T1" s="8" t="s">
        <v>2</v>
      </c>
      <c r="U1" s="9" t="s">
        <v>19</v>
      </c>
    </row>
    <row r="2" spans="1:21" ht="15.75" customHeight="1" x14ac:dyDescent="0.2">
      <c r="A2" s="10" t="s">
        <v>20</v>
      </c>
      <c r="B2" s="11" t="s">
        <v>21</v>
      </c>
      <c r="C2" s="12">
        <f ca="1">IFERROR(__xludf.DUMMYFUNCTION("GOOGLEFINANCE(B6)"),183.05)</f>
        <v>183.05</v>
      </c>
      <c r="D2" s="10">
        <v>525.86509999999998</v>
      </c>
      <c r="E2" s="12">
        <v>89203.34</v>
      </c>
      <c r="F2" s="13">
        <v>16472</v>
      </c>
      <c r="G2" s="12">
        <f t="shared" ref="G2:G16" si="0">E2-F2</f>
        <v>72731.34</v>
      </c>
      <c r="H2" s="14">
        <f t="shared" ref="H2:H16" si="1">((E2/F2)-1)</f>
        <v>4.4154528897523067</v>
      </c>
      <c r="I2" s="15">
        <v>42423</v>
      </c>
      <c r="J2" s="10" t="e">
        <f t="shared" ref="J2:J16" ca="1" si="2">_xludf.DAYS(TODAY(),I2)</f>
        <v>#NAME?</v>
      </c>
      <c r="K2" s="10" t="e">
        <f t="shared" ref="K2:K16" ca="1" si="3">J2/365</f>
        <v>#NAME?</v>
      </c>
      <c r="L2" s="14" t="e">
        <f t="shared" ref="L2:L16" ca="1" si="4">H2/K2</f>
        <v>#NAME?</v>
      </c>
      <c r="M2" s="14">
        <v>4.9099999999999998E-2</v>
      </c>
      <c r="N2" s="14">
        <v>0.05</v>
      </c>
      <c r="O2" s="10" t="str">
        <f t="shared" ref="O2:O15" si="5">IF(N2&gt;M2,"Under-allocated","Over-allocated")</f>
        <v>Under-allocated</v>
      </c>
      <c r="P2" s="10" t="s">
        <v>22</v>
      </c>
      <c r="Q2" s="14">
        <f t="shared" ref="Q2:Q16" ca="1" si="6">E2/$E$48</f>
        <v>4.7702197028389758E-2</v>
      </c>
      <c r="R2" s="16">
        <v>125.07</v>
      </c>
      <c r="S2" s="17">
        <f t="shared" ref="S2:S15" si="7">R2*D2</f>
        <v>65769.948057000001</v>
      </c>
      <c r="T2" s="11" t="s">
        <v>21</v>
      </c>
      <c r="U2" s="14">
        <f t="shared" ref="U2:U16" si="8">((E2/S2)-1)</f>
        <v>0.35629330165642337</v>
      </c>
    </row>
    <row r="3" spans="1:21" ht="15.75" customHeight="1" x14ac:dyDescent="0.2">
      <c r="A3" s="10" t="s">
        <v>23</v>
      </c>
      <c r="B3" s="11" t="s">
        <v>24</v>
      </c>
      <c r="C3" s="12">
        <f ca="1">IFERROR(__xludf.DUMMYFUNCTION("GOOGLEFINANCE(B7)"),178.51)</f>
        <v>178.51</v>
      </c>
      <c r="D3" s="10">
        <v>198.8339</v>
      </c>
      <c r="E3" s="12">
        <f t="shared" ref="E3:E15" ca="1" si="9">C3*D3</f>
        <v>35493.839488999998</v>
      </c>
      <c r="F3" s="18">
        <v>52300</v>
      </c>
      <c r="G3" s="12">
        <f t="shared" ca="1" si="0"/>
        <v>-16806.160511000002</v>
      </c>
      <c r="H3" s="14">
        <f t="shared" ca="1" si="1"/>
        <v>-0.32134150116634808</v>
      </c>
      <c r="I3" s="15">
        <v>41792</v>
      </c>
      <c r="J3" s="10" t="e">
        <f t="shared" ca="1" si="2"/>
        <v>#NAME?</v>
      </c>
      <c r="K3" s="10" t="e">
        <f t="shared" ca="1" si="3"/>
        <v>#NAME?</v>
      </c>
      <c r="L3" s="14" t="e">
        <f t="shared" ca="1" si="4"/>
        <v>#NAME?</v>
      </c>
      <c r="M3" s="14">
        <v>1.8599999999999998E-2</v>
      </c>
      <c r="N3" s="14">
        <v>0.03</v>
      </c>
      <c r="O3" s="10" t="str">
        <f t="shared" si="5"/>
        <v>Under-allocated</v>
      </c>
      <c r="P3" s="10" t="s">
        <v>22</v>
      </c>
      <c r="Q3" s="14">
        <f t="shared" ca="1" si="6"/>
        <v>1.898061355772462E-2</v>
      </c>
      <c r="R3" s="16">
        <v>195.39</v>
      </c>
      <c r="S3" s="17">
        <f t="shared" si="7"/>
        <v>38850.155720999996</v>
      </c>
      <c r="T3" s="11" t="s">
        <v>24</v>
      </c>
      <c r="U3" s="14">
        <f t="shared" ca="1" si="8"/>
        <v>-8.6391319924253973E-2</v>
      </c>
    </row>
    <row r="4" spans="1:21" ht="15.75" customHeight="1" x14ac:dyDescent="0.2">
      <c r="A4" s="19" t="s">
        <v>25</v>
      </c>
      <c r="B4" s="11" t="s">
        <v>26</v>
      </c>
      <c r="C4" s="12">
        <f ca="1">IFERROR(__xludf.DUMMYFUNCTION("GOOGLEFINANCE(B8)"),787.19)</f>
        <v>787.19</v>
      </c>
      <c r="D4" s="20">
        <v>44.767400000000002</v>
      </c>
      <c r="E4" s="12">
        <f t="shared" ca="1" si="9"/>
        <v>35240.449606000002</v>
      </c>
      <c r="F4" s="13">
        <v>5507</v>
      </c>
      <c r="G4" s="12">
        <f t="shared" ca="1" si="0"/>
        <v>29733.449606000002</v>
      </c>
      <c r="H4" s="14">
        <f t="shared" ca="1" si="1"/>
        <v>5.3992100246958419</v>
      </c>
      <c r="I4" s="15">
        <v>41792</v>
      </c>
      <c r="J4" s="10" t="e">
        <f t="shared" ca="1" si="2"/>
        <v>#NAME?</v>
      </c>
      <c r="K4" s="10" t="e">
        <f t="shared" ca="1" si="3"/>
        <v>#NAME?</v>
      </c>
      <c r="L4" s="14" t="e">
        <f t="shared" ca="1" si="4"/>
        <v>#NAME?</v>
      </c>
      <c r="M4" s="14">
        <v>1.77E-2</v>
      </c>
      <c r="N4" s="14">
        <v>0.01</v>
      </c>
      <c r="O4" s="10" t="str">
        <f t="shared" si="5"/>
        <v>Over-allocated</v>
      </c>
      <c r="P4" s="10" t="s">
        <v>22</v>
      </c>
      <c r="Q4" s="14">
        <f t="shared" ca="1" si="6"/>
        <v>1.8845111298236728E-2</v>
      </c>
      <c r="R4" s="16">
        <v>453.28</v>
      </c>
      <c r="S4" s="17">
        <f t="shared" si="7"/>
        <v>20292.167072</v>
      </c>
      <c r="T4" s="11" t="s">
        <v>26</v>
      </c>
      <c r="U4" s="14">
        <f t="shared" ca="1" si="8"/>
        <v>0.73665284151076604</v>
      </c>
    </row>
    <row r="5" spans="1:21" ht="15.75" customHeight="1" x14ac:dyDescent="0.2">
      <c r="A5" s="10" t="s">
        <v>27</v>
      </c>
      <c r="B5" s="11" t="s">
        <v>28</v>
      </c>
      <c r="C5" s="12">
        <f ca="1">IFERROR(__xludf.DUMMYFUNCTION("GOOGLEFINANCE(B9)"),60.48)</f>
        <v>60.48</v>
      </c>
      <c r="D5" s="20">
        <v>349.69069999999999</v>
      </c>
      <c r="E5" s="12">
        <f t="shared" ca="1" si="9"/>
        <v>21149.293535999997</v>
      </c>
      <c r="F5" s="21">
        <v>48009</v>
      </c>
      <c r="G5" s="12">
        <f t="shared" ca="1" si="0"/>
        <v>-26859.706464000003</v>
      </c>
      <c r="H5" s="14">
        <f t="shared" ca="1" si="1"/>
        <v>-0.55947231694057376</v>
      </c>
      <c r="I5" s="15">
        <v>44113</v>
      </c>
      <c r="J5" s="10" t="e">
        <f t="shared" ca="1" si="2"/>
        <v>#NAME?</v>
      </c>
      <c r="K5" s="10" t="e">
        <f t="shared" ca="1" si="3"/>
        <v>#NAME?</v>
      </c>
      <c r="L5" s="14" t="e">
        <f t="shared" ca="1" si="4"/>
        <v>#NAME?</v>
      </c>
      <c r="M5" s="14">
        <v>2.9834475738290289E-2</v>
      </c>
      <c r="N5" s="14">
        <v>0.03</v>
      </c>
      <c r="O5" s="10" t="str">
        <f t="shared" si="5"/>
        <v>Under-allocated</v>
      </c>
      <c r="P5" s="10" t="s">
        <v>22</v>
      </c>
      <c r="Q5" s="14">
        <f t="shared" ca="1" si="6"/>
        <v>1.130975328127312E-2</v>
      </c>
      <c r="R5" s="16"/>
      <c r="S5" s="17">
        <f t="shared" si="7"/>
        <v>0</v>
      </c>
      <c r="T5" s="11" t="s">
        <v>28</v>
      </c>
      <c r="U5" s="14" t="e">
        <f t="shared" ca="1" si="8"/>
        <v>#DIV/0!</v>
      </c>
    </row>
    <row r="6" spans="1:21" ht="16" x14ac:dyDescent="0.2">
      <c r="A6" s="10" t="s">
        <v>29</v>
      </c>
      <c r="B6" s="11" t="s">
        <v>30</v>
      </c>
      <c r="C6" s="12">
        <f ca="1">IFERROR(__xludf.DUMMYFUNCTION("GOOGLEFINANCE(B10)"),105.79)</f>
        <v>105.79</v>
      </c>
      <c r="D6" s="22">
        <v>395.39389999999997</v>
      </c>
      <c r="E6" s="12">
        <f t="shared" ca="1" si="9"/>
        <v>41828.720680999999</v>
      </c>
      <c r="F6" s="13">
        <v>40149</v>
      </c>
      <c r="G6" s="12">
        <f t="shared" ca="1" si="0"/>
        <v>1679.7206809999989</v>
      </c>
      <c r="H6" s="14">
        <f t="shared" ca="1" si="1"/>
        <v>4.1837173553513241E-2</v>
      </c>
      <c r="I6" s="15">
        <v>43213</v>
      </c>
      <c r="J6" s="10" t="e">
        <f t="shared" ca="1" si="2"/>
        <v>#NAME?</v>
      </c>
      <c r="K6" s="10" t="e">
        <f t="shared" ca="1" si="3"/>
        <v>#NAME?</v>
      </c>
      <c r="L6" s="14" t="e">
        <f t="shared" ca="1" si="4"/>
        <v>#NAME?</v>
      </c>
      <c r="M6" s="14">
        <v>2.4899999999999999E-2</v>
      </c>
      <c r="N6" s="14">
        <v>0.03</v>
      </c>
      <c r="O6" s="10" t="str">
        <f t="shared" si="5"/>
        <v>Under-allocated</v>
      </c>
      <c r="P6" s="10" t="s">
        <v>22</v>
      </c>
      <c r="Q6" s="14">
        <f t="shared" ca="1" si="6"/>
        <v>2.2368241765056595E-2</v>
      </c>
      <c r="R6" s="16">
        <v>88.97</v>
      </c>
      <c r="S6" s="17">
        <f t="shared" si="7"/>
        <v>35178.195282999994</v>
      </c>
      <c r="T6" s="11" t="s">
        <v>30</v>
      </c>
      <c r="U6" s="14">
        <f t="shared" ca="1" si="8"/>
        <v>0.18905248960323728</v>
      </c>
    </row>
    <row r="7" spans="1:21" ht="16" x14ac:dyDescent="0.2">
      <c r="A7" s="10" t="s">
        <v>31</v>
      </c>
      <c r="B7" s="11" t="s">
        <v>32</v>
      </c>
      <c r="C7" s="12">
        <f ca="1">IFERROR(__xludf.DUMMYFUNCTION("GOOGLEFINANCE(B11)"),168.65)</f>
        <v>168.65</v>
      </c>
      <c r="D7" s="20">
        <v>820</v>
      </c>
      <c r="E7" s="12">
        <f t="shared" ca="1" si="9"/>
        <v>138293</v>
      </c>
      <c r="F7" s="13">
        <v>14870</v>
      </c>
      <c r="G7" s="12">
        <f t="shared" ca="1" si="0"/>
        <v>123423</v>
      </c>
      <c r="H7" s="14">
        <f t="shared" ca="1" si="1"/>
        <v>8.3001344989912571</v>
      </c>
      <c r="I7" s="15">
        <v>42423</v>
      </c>
      <c r="J7" s="10" t="e">
        <f t="shared" ca="1" si="2"/>
        <v>#NAME?</v>
      </c>
      <c r="K7" s="10" t="e">
        <f t="shared" ca="1" si="3"/>
        <v>#NAME?</v>
      </c>
      <c r="L7" s="14" t="e">
        <f t="shared" ca="1" si="4"/>
        <v>#NAME?</v>
      </c>
      <c r="M7" s="14">
        <v>6.9900000000000004E-2</v>
      </c>
      <c r="N7" s="14">
        <v>0.04</v>
      </c>
      <c r="O7" s="10" t="str">
        <f t="shared" si="5"/>
        <v>Over-allocated</v>
      </c>
      <c r="P7" s="10" t="s">
        <v>22</v>
      </c>
      <c r="Q7" s="14">
        <f t="shared" ca="1" si="6"/>
        <v>7.3953283965007416E-2</v>
      </c>
      <c r="R7" s="16">
        <v>89.12</v>
      </c>
      <c r="S7" s="17">
        <f t="shared" si="7"/>
        <v>73078.400000000009</v>
      </c>
      <c r="T7" s="11" t="s">
        <v>32</v>
      </c>
      <c r="U7" s="14">
        <f t="shared" ca="1" si="8"/>
        <v>0.89239228007181315</v>
      </c>
    </row>
    <row r="8" spans="1:21" ht="16" x14ac:dyDescent="0.2">
      <c r="A8" s="10" t="s">
        <v>33</v>
      </c>
      <c r="B8" s="11" t="s">
        <v>34</v>
      </c>
      <c r="C8" s="12">
        <f ca="1">IFERROR(__xludf.DUMMYFUNCTION("GOOGLEFINANCE(B12)"),149.91)</f>
        <v>149.91</v>
      </c>
      <c r="D8" s="20">
        <v>210.261</v>
      </c>
      <c r="E8" s="12">
        <f t="shared" ca="1" si="9"/>
        <v>31520.22651</v>
      </c>
      <c r="F8" s="13">
        <v>36469</v>
      </c>
      <c r="G8" s="12">
        <f t="shared" ca="1" si="0"/>
        <v>-4948.7734899999996</v>
      </c>
      <c r="H8" s="14">
        <f t="shared" ca="1" si="1"/>
        <v>-0.13569808577147713</v>
      </c>
      <c r="I8" s="15">
        <v>41792</v>
      </c>
      <c r="J8" s="10" t="e">
        <f t="shared" ca="1" si="2"/>
        <v>#NAME?</v>
      </c>
      <c r="K8" s="10" t="e">
        <f t="shared" ca="1" si="3"/>
        <v>#NAME?</v>
      </c>
      <c r="L8" s="14" t="e">
        <f t="shared" ca="1" si="4"/>
        <v>#NAME?</v>
      </c>
      <c r="M8" s="14">
        <v>1.72E-2</v>
      </c>
      <c r="N8" s="14">
        <v>4.4999999999999998E-2</v>
      </c>
      <c r="O8" s="10" t="str">
        <f t="shared" si="5"/>
        <v>Under-allocated</v>
      </c>
      <c r="P8" s="10" t="s">
        <v>22</v>
      </c>
      <c r="Q8" s="14">
        <f t="shared" ca="1" si="6"/>
        <v>1.6855692346940083E-2</v>
      </c>
      <c r="R8" s="16">
        <v>178.19</v>
      </c>
      <c r="S8" s="17">
        <f t="shared" si="7"/>
        <v>37466.407589999995</v>
      </c>
      <c r="T8" s="11" t="s">
        <v>34</v>
      </c>
      <c r="U8" s="14">
        <f t="shared" ca="1" si="8"/>
        <v>-0.15870699814804412</v>
      </c>
    </row>
    <row r="9" spans="1:21" ht="16" x14ac:dyDescent="0.2">
      <c r="A9" s="10" t="s">
        <v>35</v>
      </c>
      <c r="B9" s="11" t="s">
        <v>36</v>
      </c>
      <c r="C9" s="12">
        <f ca="1">IFERROR(__xludf.DUMMYFUNCTION("GOOGLEFINANCE(B13)"),414.74)</f>
        <v>414.74</v>
      </c>
      <c r="D9" s="20">
        <v>269.88709999999998</v>
      </c>
      <c r="E9" s="12">
        <f t="shared" ca="1" si="9"/>
        <v>111932.97585399999</v>
      </c>
      <c r="F9" s="23">
        <v>37021</v>
      </c>
      <c r="G9" s="12">
        <f t="shared" ca="1" si="0"/>
        <v>74911.975853999989</v>
      </c>
      <c r="H9" s="14">
        <f t="shared" ca="1" si="1"/>
        <v>2.0234995233516111</v>
      </c>
      <c r="I9" s="15">
        <v>43763</v>
      </c>
      <c r="J9" s="10" t="e">
        <f t="shared" ca="1" si="2"/>
        <v>#NAME?</v>
      </c>
      <c r="K9" s="10" t="e">
        <f t="shared" ca="1" si="3"/>
        <v>#NAME?</v>
      </c>
      <c r="L9" s="14" t="e">
        <f t="shared" ca="1" si="4"/>
        <v>#NAME?</v>
      </c>
      <c r="M9" s="14">
        <v>4.1911176466739759E-2</v>
      </c>
      <c r="N9" s="14">
        <v>0.02</v>
      </c>
      <c r="O9" s="10" t="str">
        <f t="shared" si="5"/>
        <v>Over-allocated</v>
      </c>
      <c r="P9" s="10" t="s">
        <v>22</v>
      </c>
      <c r="Q9" s="14">
        <f t="shared" ca="1" si="6"/>
        <v>5.9857050959767885E-2</v>
      </c>
      <c r="R9" s="16">
        <v>239.58</v>
      </c>
      <c r="S9" s="17">
        <f t="shared" si="7"/>
        <v>64659.551417999995</v>
      </c>
      <c r="T9" s="11" t="s">
        <v>36</v>
      </c>
      <c r="U9" s="14">
        <f t="shared" ca="1" si="8"/>
        <v>0.73111278069955743</v>
      </c>
    </row>
    <row r="10" spans="1:21" ht="16" x14ac:dyDescent="0.2">
      <c r="A10" s="10" t="s">
        <v>37</v>
      </c>
      <c r="B10" s="11" t="s">
        <v>38</v>
      </c>
      <c r="C10" s="12">
        <f ca="1">IFERROR(__xludf.DUMMYFUNCTION("GOOGLEFINANCE(B14)"),73.79)</f>
        <v>73.790000000000006</v>
      </c>
      <c r="D10" s="22">
        <v>1185.95</v>
      </c>
      <c r="E10" s="12">
        <f t="shared" ca="1" si="9"/>
        <v>87511.250500000009</v>
      </c>
      <c r="F10" s="13">
        <v>31015</v>
      </c>
      <c r="G10" s="12">
        <f t="shared" ca="1" si="0"/>
        <v>56496.250500000009</v>
      </c>
      <c r="H10" s="14">
        <f t="shared" ca="1" si="1"/>
        <v>1.8215782847009514</v>
      </c>
      <c r="I10" s="15">
        <v>41792</v>
      </c>
      <c r="J10" s="10" t="e">
        <f t="shared" ca="1" si="2"/>
        <v>#NAME?</v>
      </c>
      <c r="K10" s="10" t="e">
        <f t="shared" ca="1" si="3"/>
        <v>#NAME?</v>
      </c>
      <c r="L10" s="14" t="e">
        <f t="shared" ca="1" si="4"/>
        <v>#NAME?</v>
      </c>
      <c r="M10" s="14">
        <v>5.2860137684357801E-2</v>
      </c>
      <c r="N10" s="14">
        <v>0.05</v>
      </c>
      <c r="O10" s="10" t="str">
        <f t="shared" si="5"/>
        <v>Over-allocated</v>
      </c>
      <c r="P10" s="10" t="s">
        <v>22</v>
      </c>
      <c r="Q10" s="14">
        <f t="shared" ca="1" si="6"/>
        <v>4.6797338682069214E-2</v>
      </c>
      <c r="R10" s="16">
        <v>83.83</v>
      </c>
      <c r="S10" s="17">
        <f t="shared" si="7"/>
        <v>99418.188500000004</v>
      </c>
      <c r="T10" s="11" t="s">
        <v>38</v>
      </c>
      <c r="U10" s="14">
        <f t="shared" ca="1" si="8"/>
        <v>-0.1197661934868185</v>
      </c>
    </row>
    <row r="11" spans="1:21" ht="16" x14ac:dyDescent="0.2">
      <c r="A11" s="10" t="s">
        <v>39</v>
      </c>
      <c r="B11" s="11" t="s">
        <v>40</v>
      </c>
      <c r="C11" s="12">
        <f ca="1">IFERROR(__xludf.DUMMYFUNCTION("GOOGLEFINANCE(B15)"),109.18)</f>
        <v>109.18</v>
      </c>
      <c r="D11" s="20">
        <v>136.55850000000001</v>
      </c>
      <c r="E11" s="12">
        <f t="shared" ca="1" si="9"/>
        <v>14909.457030000001</v>
      </c>
      <c r="F11" s="13">
        <v>4660</v>
      </c>
      <c r="G11" s="12">
        <f t="shared" ca="1" si="0"/>
        <v>10249.457030000001</v>
      </c>
      <c r="H11" s="14">
        <f t="shared" ca="1" si="1"/>
        <v>2.1994542982832619</v>
      </c>
      <c r="I11" s="15">
        <v>40513</v>
      </c>
      <c r="J11" s="10" t="e">
        <f t="shared" ca="1" si="2"/>
        <v>#NAME?</v>
      </c>
      <c r="K11" s="10" t="e">
        <f t="shared" ca="1" si="3"/>
        <v>#NAME?</v>
      </c>
      <c r="L11" s="14" t="e">
        <f t="shared" ca="1" si="4"/>
        <v>#NAME?</v>
      </c>
      <c r="M11" s="14">
        <v>6.3175910955037499E-3</v>
      </c>
      <c r="N11" s="14">
        <v>5.0000000000000001E-3</v>
      </c>
      <c r="O11" s="10" t="str">
        <f t="shared" si="5"/>
        <v>Over-allocated</v>
      </c>
      <c r="P11" s="10" t="s">
        <v>22</v>
      </c>
      <c r="Q11" s="14">
        <f t="shared" ca="1" si="6"/>
        <v>7.9729509772994023E-3</v>
      </c>
      <c r="R11" s="16">
        <v>65.62</v>
      </c>
      <c r="S11" s="17">
        <f t="shared" si="7"/>
        <v>8960.9687700000013</v>
      </c>
      <c r="T11" s="11" t="s">
        <v>40</v>
      </c>
      <c r="U11" s="14">
        <f t="shared" ca="1" si="8"/>
        <v>0.66382200548613213</v>
      </c>
    </row>
    <row r="12" spans="1:21" ht="16" x14ac:dyDescent="0.2">
      <c r="A12" s="10" t="s">
        <v>41</v>
      </c>
      <c r="B12" s="11" t="s">
        <v>42</v>
      </c>
      <c r="C12" s="12">
        <f ca="1">IFERROR(__xludf.DUMMYFUNCTION("GOOGLEFINANCE(B16)"),166.85)</f>
        <v>166.85</v>
      </c>
      <c r="D12" s="20">
        <v>364.21769999999998</v>
      </c>
      <c r="E12" s="12">
        <f t="shared" ca="1" si="9"/>
        <v>60769.723244999994</v>
      </c>
      <c r="F12" s="13">
        <v>26397</v>
      </c>
      <c r="G12" s="12">
        <f t="shared" ca="1" si="0"/>
        <v>34372.723244999994</v>
      </c>
      <c r="H12" s="14">
        <f t="shared" ca="1" si="1"/>
        <v>1.3021450636435956</v>
      </c>
      <c r="I12" s="15">
        <v>41792</v>
      </c>
      <c r="J12" s="10" t="e">
        <f t="shared" ca="1" si="2"/>
        <v>#NAME?</v>
      </c>
      <c r="K12" s="10" t="e">
        <f t="shared" ca="1" si="3"/>
        <v>#NAME?</v>
      </c>
      <c r="L12" s="14" t="e">
        <f t="shared" ca="1" si="4"/>
        <v>#NAME?</v>
      </c>
      <c r="M12" s="14">
        <v>3.1001387662095366E-2</v>
      </c>
      <c r="N12" s="14">
        <v>0.03</v>
      </c>
      <c r="O12" s="10" t="str">
        <f t="shared" si="5"/>
        <v>Over-allocated</v>
      </c>
      <c r="P12" s="10" t="s">
        <v>22</v>
      </c>
      <c r="Q12" s="14">
        <f t="shared" ca="1" si="6"/>
        <v>3.2497093848657538E-2</v>
      </c>
      <c r="R12" s="16">
        <v>151.57</v>
      </c>
      <c r="S12" s="17">
        <f t="shared" si="7"/>
        <v>55204.476788999993</v>
      </c>
      <c r="T12" s="11" t="s">
        <v>42</v>
      </c>
      <c r="U12" s="14">
        <f t="shared" ca="1" si="8"/>
        <v>0.100811506234743</v>
      </c>
    </row>
    <row r="13" spans="1:21" ht="16" x14ac:dyDescent="0.2">
      <c r="A13" s="10" t="s">
        <v>43</v>
      </c>
      <c r="B13" s="11" t="s">
        <v>44</v>
      </c>
      <c r="C13" s="12">
        <f ca="1">IFERROR(__xludf.DUMMYFUNCTION("GOOGLEFINANCE(B17)"),247.4)</f>
        <v>247.4</v>
      </c>
      <c r="D13" s="20">
        <v>321.12389999999999</v>
      </c>
      <c r="E13" s="12">
        <f t="shared" ca="1" si="9"/>
        <v>79446.052859999996</v>
      </c>
      <c r="F13" s="13">
        <v>31507</v>
      </c>
      <c r="G13" s="12">
        <f t="shared" ca="1" si="0"/>
        <v>47939.052859999996</v>
      </c>
      <c r="H13" s="14">
        <f t="shared" ca="1" si="1"/>
        <v>1.5215365747294252</v>
      </c>
      <c r="I13" s="15">
        <v>41792</v>
      </c>
      <c r="J13" s="10" t="e">
        <f t="shared" ca="1" si="2"/>
        <v>#NAME?</v>
      </c>
      <c r="K13" s="10" t="e">
        <f t="shared" ca="1" si="3"/>
        <v>#NAME?</v>
      </c>
      <c r="L13" s="14" t="e">
        <f t="shared" ca="1" si="4"/>
        <v>#NAME?</v>
      </c>
      <c r="M13" s="14">
        <v>4.0570507112792052E-2</v>
      </c>
      <c r="N13" s="14">
        <v>3.5000000000000003E-2</v>
      </c>
      <c r="O13" s="10" t="str">
        <f t="shared" si="5"/>
        <v>Over-allocated</v>
      </c>
      <c r="P13" s="10" t="s">
        <v>22</v>
      </c>
      <c r="Q13" s="14">
        <f t="shared" ca="1" si="6"/>
        <v>4.2484409963299441E-2</v>
      </c>
      <c r="R13" s="16">
        <v>207.58</v>
      </c>
      <c r="S13" s="17">
        <f t="shared" si="7"/>
        <v>66658.899162000002</v>
      </c>
      <c r="T13" s="11" t="s">
        <v>44</v>
      </c>
      <c r="U13" s="14">
        <f t="shared" ca="1" si="8"/>
        <v>0.19182965603622693</v>
      </c>
    </row>
    <row r="14" spans="1:21" ht="16" x14ac:dyDescent="0.2">
      <c r="A14" s="10" t="s">
        <v>45</v>
      </c>
      <c r="B14" s="11" t="s">
        <v>46</v>
      </c>
      <c r="C14" s="12">
        <f ca="1">IFERROR(__xludf.DUMMYFUNCTION("GOOGLEFINANCE(B18)"),40.4)</f>
        <v>40.4</v>
      </c>
      <c r="D14" s="20">
        <v>1102.8599999999999</v>
      </c>
      <c r="E14" s="12">
        <f t="shared" ca="1" si="9"/>
        <v>44555.543999999994</v>
      </c>
      <c r="F14" s="13">
        <v>43103</v>
      </c>
      <c r="G14" s="12">
        <f t="shared" ca="1" si="0"/>
        <v>1452.5439999999944</v>
      </c>
      <c r="H14" s="14">
        <f t="shared" ca="1" si="1"/>
        <v>3.369937127346101E-2</v>
      </c>
      <c r="I14" s="15">
        <v>43200</v>
      </c>
      <c r="J14" s="10" t="e">
        <f t="shared" ca="1" si="2"/>
        <v>#NAME?</v>
      </c>
      <c r="K14" s="10" t="e">
        <f t="shared" ca="1" si="3"/>
        <v>#NAME?</v>
      </c>
      <c r="L14" s="14" t="e">
        <f t="shared" ca="1" si="4"/>
        <v>#NAME?</v>
      </c>
      <c r="M14" s="14">
        <v>2.4869119588707383E-2</v>
      </c>
      <c r="N14" s="14">
        <v>0.04</v>
      </c>
      <c r="O14" s="10" t="str">
        <f t="shared" si="5"/>
        <v>Under-allocated</v>
      </c>
      <c r="P14" s="10" t="s">
        <v>22</v>
      </c>
      <c r="Q14" s="14">
        <f t="shared" ca="1" si="6"/>
        <v>2.3826432268064055E-2</v>
      </c>
      <c r="R14" s="16">
        <v>40.119999999999997</v>
      </c>
      <c r="S14" s="17">
        <f t="shared" si="7"/>
        <v>44246.74319999999</v>
      </c>
      <c r="T14" s="11" t="s">
        <v>46</v>
      </c>
      <c r="U14" s="14">
        <f t="shared" ca="1" si="8"/>
        <v>6.9790628115653508E-3</v>
      </c>
    </row>
    <row r="15" spans="1:21" ht="16" x14ac:dyDescent="0.2">
      <c r="A15" s="24" t="s">
        <v>47</v>
      </c>
      <c r="B15" s="11" t="s">
        <v>48</v>
      </c>
      <c r="C15" s="12">
        <f ca="1">IFERROR(__xludf.DUMMYFUNCTION("GOOGLEFINANCE(B19)"),61.89)</f>
        <v>61.89</v>
      </c>
      <c r="D15" s="25">
        <v>259.59390000000002</v>
      </c>
      <c r="E15" s="12">
        <f t="shared" ca="1" si="9"/>
        <v>16066.266471000001</v>
      </c>
      <c r="F15" s="13">
        <v>20245</v>
      </c>
      <c r="G15" s="12">
        <f t="shared" ca="1" si="0"/>
        <v>-4178.7335289999992</v>
      </c>
      <c r="H15" s="14">
        <f t="shared" ca="1" si="1"/>
        <v>-0.20640817629044206</v>
      </c>
      <c r="I15" s="15">
        <v>41792</v>
      </c>
      <c r="J15" s="10" t="e">
        <f t="shared" ca="1" si="2"/>
        <v>#NAME?</v>
      </c>
      <c r="K15" s="10" t="e">
        <f t="shared" ca="1" si="3"/>
        <v>#NAME?</v>
      </c>
      <c r="L15" s="14" t="e">
        <f t="shared" ca="1" si="4"/>
        <v>#NAME?</v>
      </c>
      <c r="M15" s="14">
        <v>1.7072701932962696E-2</v>
      </c>
      <c r="N15" s="14">
        <v>0.02</v>
      </c>
      <c r="O15" s="10" t="str">
        <f t="shared" si="5"/>
        <v>Under-allocated</v>
      </c>
      <c r="P15" s="10" t="s">
        <v>22</v>
      </c>
      <c r="Q15" s="14">
        <f t="shared" ca="1" si="6"/>
        <v>8.5915640458110003E-3</v>
      </c>
      <c r="R15" s="16">
        <v>41.79</v>
      </c>
      <c r="S15" s="17">
        <f t="shared" si="7"/>
        <v>10848.429081</v>
      </c>
      <c r="T15" s="11" t="s">
        <v>48</v>
      </c>
      <c r="U15" s="14">
        <f t="shared" ca="1" si="8"/>
        <v>0.48097631012203879</v>
      </c>
    </row>
    <row r="16" spans="1:21" ht="14" x14ac:dyDescent="0.15">
      <c r="A16" s="26" t="s">
        <v>49</v>
      </c>
      <c r="B16" s="26"/>
      <c r="C16" s="27"/>
      <c r="D16" s="28"/>
      <c r="E16" s="29">
        <f t="shared" ref="E16:F16" ca="1" si="10">SUM(E2:E15)</f>
        <v>807920.13978199998</v>
      </c>
      <c r="F16" s="30">
        <f t="shared" si="10"/>
        <v>407724</v>
      </c>
      <c r="G16" s="29">
        <f t="shared" ca="1" si="0"/>
        <v>400196.13978199998</v>
      </c>
      <c r="H16" s="31">
        <f t="shared" ca="1" si="1"/>
        <v>0.98153687244802845</v>
      </c>
      <c r="I16" s="32">
        <v>42954</v>
      </c>
      <c r="J16" s="26" t="e">
        <f t="shared" ca="1" si="2"/>
        <v>#NAME?</v>
      </c>
      <c r="K16" s="26" t="e">
        <f t="shared" ca="1" si="3"/>
        <v>#NAME?</v>
      </c>
      <c r="L16" s="31" t="e">
        <f t="shared" ca="1" si="4"/>
        <v>#NAME?</v>
      </c>
      <c r="M16" s="33">
        <v>0.44871027240290035</v>
      </c>
      <c r="N16" s="31">
        <f>SUM(N2:N15)</f>
        <v>0.435</v>
      </c>
      <c r="O16" s="26"/>
      <c r="P16" s="26"/>
      <c r="Q16" s="14">
        <f t="shared" ca="1" si="6"/>
        <v>0.43204173398759688</v>
      </c>
      <c r="R16" s="2"/>
      <c r="S16" s="17">
        <f>SUM(S2:S15)</f>
        <v>620632.53064300003</v>
      </c>
      <c r="T16" s="34"/>
      <c r="U16" s="14">
        <f t="shared" ca="1" si="8"/>
        <v>0.30176892104731046</v>
      </c>
    </row>
    <row r="17" spans="1:21" ht="14" x14ac:dyDescent="0.15">
      <c r="B17" s="1"/>
      <c r="D17" s="35"/>
      <c r="E17" s="36"/>
      <c r="F17" s="1"/>
      <c r="H17" s="14"/>
      <c r="I17" s="37"/>
      <c r="M17" s="14"/>
      <c r="R17" s="2"/>
      <c r="S17" s="38"/>
      <c r="T17" s="39"/>
      <c r="U17" s="14"/>
    </row>
    <row r="18" spans="1:21" ht="14" x14ac:dyDescent="0.15">
      <c r="A18" s="6" t="s">
        <v>50</v>
      </c>
      <c r="B18" s="6" t="s">
        <v>2</v>
      </c>
      <c r="C18" s="6" t="s">
        <v>3</v>
      </c>
      <c r="D18" s="6" t="s">
        <v>4</v>
      </c>
      <c r="E18" s="6" t="s">
        <v>5</v>
      </c>
      <c r="F18" s="6" t="s">
        <v>6</v>
      </c>
      <c r="G18" s="6" t="s">
        <v>7</v>
      </c>
      <c r="H18" s="6" t="s">
        <v>8</v>
      </c>
      <c r="I18" s="6" t="s">
        <v>9</v>
      </c>
      <c r="J18" s="6" t="s">
        <v>10</v>
      </c>
      <c r="K18" s="6" t="s">
        <v>11</v>
      </c>
      <c r="L18" s="6" t="s">
        <v>12</v>
      </c>
      <c r="M18" s="5" t="s">
        <v>13</v>
      </c>
      <c r="N18" s="6" t="s">
        <v>14</v>
      </c>
      <c r="O18" s="6" t="s">
        <v>15</v>
      </c>
      <c r="P18" s="6" t="s">
        <v>16</v>
      </c>
      <c r="Q18" s="6"/>
      <c r="R18" s="7" t="s">
        <v>17</v>
      </c>
      <c r="S18" s="7" t="s">
        <v>18</v>
      </c>
      <c r="T18" s="8" t="s">
        <v>2</v>
      </c>
      <c r="U18" s="14"/>
    </row>
    <row r="19" spans="1:21" ht="16" x14ac:dyDescent="0.2">
      <c r="A19" s="10" t="s">
        <v>51</v>
      </c>
      <c r="B19" s="11" t="s">
        <v>52</v>
      </c>
      <c r="C19" s="12">
        <f ca="1">IFERROR(__xludf.DUMMYFUNCTION("GOOGLEFINANCE(B23)"),64.21)</f>
        <v>64.209999999999994</v>
      </c>
      <c r="D19" s="22">
        <v>390</v>
      </c>
      <c r="E19" s="12">
        <f t="shared" ref="E19:E34" ca="1" si="11">C19*D19</f>
        <v>25041.899999999998</v>
      </c>
      <c r="F19" s="40">
        <v>42856</v>
      </c>
      <c r="G19" s="12">
        <f t="shared" ref="G19:G34" ca="1" si="12">E19-F19</f>
        <v>-17814.100000000002</v>
      </c>
      <c r="H19" s="14">
        <f t="shared" ref="H19:H35" ca="1" si="13">((E19/F19)-1)</f>
        <v>-0.41567341795781221</v>
      </c>
      <c r="I19" s="15">
        <v>41792</v>
      </c>
      <c r="J19" s="10" t="e">
        <f t="shared" ref="J19:J35" ca="1" si="14">_xludf.DAYS(TODAY(),I19)</f>
        <v>#NAME?</v>
      </c>
      <c r="K19" s="10" t="e">
        <f t="shared" ref="K19:K35" ca="1" si="15">J19/365</f>
        <v>#NAME?</v>
      </c>
      <c r="L19" s="14" t="e">
        <f t="shared" ref="L19:L35" ca="1" si="16">H19/K19</f>
        <v>#NAME?</v>
      </c>
      <c r="M19" s="14">
        <v>1.23E-2</v>
      </c>
      <c r="N19" s="14">
        <v>0.02</v>
      </c>
      <c r="O19" s="10" t="str">
        <f t="shared" ref="O19:O28" si="17">IF(N19&gt;M19,"Under-allocated","Over-allocated")</f>
        <v>Under-allocated</v>
      </c>
      <c r="P19" s="10" t="s">
        <v>22</v>
      </c>
      <c r="Q19" s="14">
        <f t="shared" ref="Q19:Q33" ca="1" si="18">E19/$E$48</f>
        <v>1.3391355612527887E-2</v>
      </c>
      <c r="R19" s="16">
        <v>59.6</v>
      </c>
      <c r="S19" s="17">
        <f t="shared" ref="S19:S28" si="19">R19*D19</f>
        <v>23244</v>
      </c>
      <c r="T19" s="11" t="s">
        <v>52</v>
      </c>
      <c r="U19" s="14">
        <f t="shared" ref="U19:U28" ca="1" si="20">((E19/S19)-1)</f>
        <v>7.7348993288590462E-2</v>
      </c>
    </row>
    <row r="20" spans="1:21" ht="15.75" customHeight="1" x14ac:dyDescent="0.2">
      <c r="A20" s="10" t="s">
        <v>53</v>
      </c>
      <c r="B20" s="41" t="s">
        <v>54</v>
      </c>
      <c r="C20" s="12">
        <f ca="1">IFERROR(__xludf.DUMMYFUNCTION("GOOGLEFINANCE(B24)"),17.17)</f>
        <v>17.170000000000002</v>
      </c>
      <c r="D20" s="22">
        <v>1156.04</v>
      </c>
      <c r="E20" s="12">
        <f t="shared" ca="1" si="11"/>
        <v>19849.2068</v>
      </c>
      <c r="F20" s="40">
        <v>35104</v>
      </c>
      <c r="G20" s="12">
        <f t="shared" ca="1" si="12"/>
        <v>-15254.7932</v>
      </c>
      <c r="H20" s="14">
        <f t="shared" ca="1" si="13"/>
        <v>-0.43455997037374661</v>
      </c>
      <c r="I20" s="15">
        <v>43734</v>
      </c>
      <c r="J20" s="10" t="e">
        <f t="shared" ca="1" si="14"/>
        <v>#NAME?</v>
      </c>
      <c r="K20" s="10" t="e">
        <f t="shared" ca="1" si="15"/>
        <v>#NAME?</v>
      </c>
      <c r="L20" s="14" t="e">
        <f t="shared" ca="1" si="16"/>
        <v>#NAME?</v>
      </c>
      <c r="M20" s="14">
        <v>1.2832672910777911E-2</v>
      </c>
      <c r="N20" s="14">
        <v>0.02</v>
      </c>
      <c r="O20" s="10" t="str">
        <f t="shared" si="17"/>
        <v>Under-allocated</v>
      </c>
      <c r="P20" s="10" t="s">
        <v>22</v>
      </c>
      <c r="Q20" s="14">
        <f t="shared" ca="1" si="18"/>
        <v>1.0614521537319722E-2</v>
      </c>
      <c r="R20" s="16">
        <v>18.739999999999998</v>
      </c>
      <c r="S20" s="17">
        <f t="shared" si="19"/>
        <v>21664.189599999998</v>
      </c>
      <c r="T20" s="41" t="s">
        <v>54</v>
      </c>
      <c r="U20" s="14">
        <f t="shared" ca="1" si="20"/>
        <v>-8.3778014941301993E-2</v>
      </c>
    </row>
    <row r="21" spans="1:21" ht="15.75" customHeight="1" x14ac:dyDescent="0.2">
      <c r="A21" s="10" t="s">
        <v>55</v>
      </c>
      <c r="B21" s="41" t="s">
        <v>56</v>
      </c>
      <c r="C21" s="12">
        <f ca="1">IFERROR(__xludf.DUMMYFUNCTION("GOOGLEFINANCE(B25)"),99.53)</f>
        <v>99.53</v>
      </c>
      <c r="D21" s="20">
        <v>664.58450000000005</v>
      </c>
      <c r="E21" s="12">
        <f t="shared" ca="1" si="11"/>
        <v>66146.095285000003</v>
      </c>
      <c r="F21" s="40">
        <v>31421</v>
      </c>
      <c r="G21" s="12">
        <f t="shared" ca="1" si="12"/>
        <v>34725.095285000003</v>
      </c>
      <c r="H21" s="14">
        <f t="shared" ca="1" si="13"/>
        <v>1.1051556374717548</v>
      </c>
      <c r="I21" s="15">
        <v>43395</v>
      </c>
      <c r="J21" s="10" t="e">
        <f t="shared" ca="1" si="14"/>
        <v>#NAME?</v>
      </c>
      <c r="K21" s="10" t="e">
        <f t="shared" ca="1" si="15"/>
        <v>#NAME?</v>
      </c>
      <c r="L21" s="14" t="e">
        <f t="shared" ca="1" si="16"/>
        <v>#NAME?</v>
      </c>
      <c r="M21" s="14">
        <v>3.9899999999999998E-2</v>
      </c>
      <c r="N21" s="14">
        <v>0.02</v>
      </c>
      <c r="O21" s="10" t="str">
        <f t="shared" si="17"/>
        <v>Over-allocated</v>
      </c>
      <c r="P21" s="10" t="s">
        <v>22</v>
      </c>
      <c r="Q21" s="14">
        <f t="shared" ca="1" si="18"/>
        <v>3.5372151647502362E-2</v>
      </c>
      <c r="R21" s="16">
        <v>76.73</v>
      </c>
      <c r="S21" s="17">
        <f t="shared" si="19"/>
        <v>50993.568685000006</v>
      </c>
      <c r="T21" s="41" t="s">
        <v>56</v>
      </c>
      <c r="U21" s="14">
        <f t="shared" ca="1" si="20"/>
        <v>0.29714583604848155</v>
      </c>
    </row>
    <row r="22" spans="1:21" ht="15.75" customHeight="1" x14ac:dyDescent="0.2">
      <c r="A22" s="10" t="s">
        <v>57</v>
      </c>
      <c r="B22" s="11" t="s">
        <v>58</v>
      </c>
      <c r="C22" s="12">
        <f ca="1">IFERROR(__xludf.DUMMYFUNCTION("GOOGLEFINANCE(B26)"),151.57)</f>
        <v>151.57</v>
      </c>
      <c r="D22" s="20">
        <v>117</v>
      </c>
      <c r="E22" s="12">
        <f t="shared" ca="1" si="11"/>
        <v>17733.689999999999</v>
      </c>
      <c r="F22" s="40">
        <v>12037</v>
      </c>
      <c r="G22" s="12">
        <f t="shared" ca="1" si="12"/>
        <v>5696.6899999999987</v>
      </c>
      <c r="H22" s="14">
        <f t="shared" ca="1" si="13"/>
        <v>0.4732649331228711</v>
      </c>
      <c r="I22" s="15">
        <v>43048</v>
      </c>
      <c r="J22" s="10" t="e">
        <f t="shared" ca="1" si="14"/>
        <v>#NAME?</v>
      </c>
      <c r="K22" s="10" t="e">
        <f t="shared" ca="1" si="15"/>
        <v>#NAME?</v>
      </c>
      <c r="L22" s="14" t="e">
        <f t="shared" ca="1" si="16"/>
        <v>#NAME?</v>
      </c>
      <c r="M22" s="14">
        <v>1.0200000000000001E-2</v>
      </c>
      <c r="N22" s="14">
        <v>0.02</v>
      </c>
      <c r="O22" s="10" t="str">
        <f t="shared" si="17"/>
        <v>Under-allocated</v>
      </c>
      <c r="P22" s="10" t="s">
        <v>22</v>
      </c>
      <c r="Q22" s="14">
        <f t="shared" ca="1" si="18"/>
        <v>9.4832320675479771E-3</v>
      </c>
      <c r="R22" s="16">
        <v>126.83</v>
      </c>
      <c r="S22" s="17">
        <f t="shared" si="19"/>
        <v>14839.11</v>
      </c>
      <c r="T22" s="11" t="s">
        <v>58</v>
      </c>
      <c r="U22" s="14">
        <f t="shared" ca="1" si="20"/>
        <v>0.19506425924465809</v>
      </c>
    </row>
    <row r="23" spans="1:21" ht="16" x14ac:dyDescent="0.2">
      <c r="A23" s="10" t="s">
        <v>59</v>
      </c>
      <c r="B23" s="11" t="s">
        <v>60</v>
      </c>
      <c r="C23" s="12">
        <f ca="1">IFERROR(__xludf.DUMMYFUNCTION("GOOGLEFINANCE(B27)"),48.06)</f>
        <v>48.06</v>
      </c>
      <c r="D23" s="20">
        <v>1090.6199999999999</v>
      </c>
      <c r="E23" s="12">
        <f t="shared" ca="1" si="11"/>
        <v>52415.197199999995</v>
      </c>
      <c r="F23" s="40">
        <v>33436</v>
      </c>
      <c r="G23" s="12">
        <f t="shared" ca="1" si="12"/>
        <v>18979.197199999995</v>
      </c>
      <c r="H23" s="14">
        <f t="shared" ca="1" si="13"/>
        <v>0.5676276229214019</v>
      </c>
      <c r="I23" s="15">
        <v>42842</v>
      </c>
      <c r="J23" s="10" t="e">
        <f t="shared" ca="1" si="14"/>
        <v>#NAME?</v>
      </c>
      <c r="K23" s="10" t="e">
        <f t="shared" ca="1" si="15"/>
        <v>#NAME?</v>
      </c>
      <c r="L23" s="14" t="e">
        <f t="shared" ca="1" si="16"/>
        <v>#NAME?</v>
      </c>
      <c r="M23" s="14">
        <v>2.93E-2</v>
      </c>
      <c r="N23" s="14">
        <v>0.02</v>
      </c>
      <c r="O23" s="10" t="str">
        <f t="shared" si="17"/>
        <v>Over-allocated</v>
      </c>
      <c r="P23" s="10" t="s">
        <v>22</v>
      </c>
      <c r="Q23" s="14">
        <f t="shared" ca="1" si="18"/>
        <v>2.802944445932521E-2</v>
      </c>
      <c r="R23" s="16">
        <v>47.94</v>
      </c>
      <c r="S23" s="17">
        <f t="shared" si="19"/>
        <v>52284.322799999994</v>
      </c>
      <c r="T23" s="11" t="s">
        <v>60</v>
      </c>
      <c r="U23" s="14">
        <f t="shared" ca="1" si="20"/>
        <v>2.5031289111390187E-3</v>
      </c>
    </row>
    <row r="24" spans="1:21" ht="16" x14ac:dyDescent="0.2">
      <c r="A24" s="10" t="s">
        <v>61</v>
      </c>
      <c r="B24" s="11" t="s">
        <v>62</v>
      </c>
      <c r="C24" s="12">
        <f ca="1">IFERROR(__xludf.DUMMYFUNCTION("GOOGLEFINANCE(B28)"),28.8)</f>
        <v>28.8</v>
      </c>
      <c r="D24" s="20">
        <v>1690.46</v>
      </c>
      <c r="E24" s="12">
        <f t="shared" ca="1" si="11"/>
        <v>48685.248</v>
      </c>
      <c r="F24" s="40">
        <v>38351</v>
      </c>
      <c r="G24" s="12">
        <f t="shared" ca="1" si="12"/>
        <v>10334.248</v>
      </c>
      <c r="H24" s="14">
        <f t="shared" ca="1" si="13"/>
        <v>0.26946489009413055</v>
      </c>
      <c r="I24" s="15">
        <v>43580</v>
      </c>
      <c r="J24" s="10" t="e">
        <f t="shared" ca="1" si="14"/>
        <v>#NAME?</v>
      </c>
      <c r="K24" s="10" t="e">
        <f t="shared" ca="1" si="15"/>
        <v>#NAME?</v>
      </c>
      <c r="L24" s="14" t="e">
        <f t="shared" ca="1" si="16"/>
        <v>#NAME?</v>
      </c>
      <c r="M24" s="14">
        <v>2.7400000000000001E-2</v>
      </c>
      <c r="N24" s="14">
        <v>0.02</v>
      </c>
      <c r="O24" s="10" t="str">
        <f t="shared" si="17"/>
        <v>Over-allocated</v>
      </c>
      <c r="P24" s="10" t="s">
        <v>22</v>
      </c>
      <c r="Q24" s="14">
        <f t="shared" ca="1" si="18"/>
        <v>2.6034824396396126E-2</v>
      </c>
      <c r="R24" s="16">
        <v>24.23</v>
      </c>
      <c r="S24" s="17">
        <f t="shared" si="19"/>
        <v>40959.845800000003</v>
      </c>
      <c r="T24" s="11" t="s">
        <v>62</v>
      </c>
      <c r="U24" s="14">
        <f t="shared" ca="1" si="20"/>
        <v>0.18860916219562518</v>
      </c>
    </row>
    <row r="25" spans="1:21" ht="16" x14ac:dyDescent="0.2">
      <c r="A25" s="10" t="s">
        <v>63</v>
      </c>
      <c r="B25" s="11" t="s">
        <v>64</v>
      </c>
      <c r="C25" s="12">
        <f ca="1">IFERROR(__xludf.DUMMYFUNCTION("GOOGLEFINANCE(B29)"),55.83)</f>
        <v>55.83</v>
      </c>
      <c r="D25" s="22">
        <v>1488.89</v>
      </c>
      <c r="E25" s="12">
        <f t="shared" ca="1" si="11"/>
        <v>83124.728700000007</v>
      </c>
      <c r="F25" s="40">
        <v>60409</v>
      </c>
      <c r="G25" s="12">
        <f t="shared" ca="1" si="12"/>
        <v>22715.728700000007</v>
      </c>
      <c r="H25" s="14">
        <f t="shared" ca="1" si="13"/>
        <v>0.37603219222301321</v>
      </c>
      <c r="I25" s="15">
        <v>43756</v>
      </c>
      <c r="J25" s="10" t="e">
        <f t="shared" ca="1" si="14"/>
        <v>#NAME?</v>
      </c>
      <c r="K25" s="10" t="e">
        <f t="shared" ca="1" si="15"/>
        <v>#NAME?</v>
      </c>
      <c r="L25" s="14" t="e">
        <f t="shared" ca="1" si="16"/>
        <v>#NAME?</v>
      </c>
      <c r="M25" s="14">
        <v>4.8592963399195166E-2</v>
      </c>
      <c r="N25" s="14">
        <v>0.02</v>
      </c>
      <c r="O25" s="10" t="str">
        <f t="shared" si="17"/>
        <v>Over-allocated</v>
      </c>
      <c r="P25" s="10" t="s">
        <v>22</v>
      </c>
      <c r="Q25" s="14">
        <f t="shared" ca="1" si="18"/>
        <v>4.4451611188312513E-2</v>
      </c>
      <c r="R25" s="16">
        <v>52.62</v>
      </c>
      <c r="S25" s="17">
        <f t="shared" si="19"/>
        <v>78345.391799999998</v>
      </c>
      <c r="T25" s="11" t="s">
        <v>64</v>
      </c>
      <c r="U25" s="14">
        <f t="shared" ca="1" si="20"/>
        <v>6.1003420752565596E-2</v>
      </c>
    </row>
    <row r="26" spans="1:21" ht="16" x14ac:dyDescent="0.2">
      <c r="A26" s="10" t="s">
        <v>65</v>
      </c>
      <c r="B26" s="11" t="s">
        <v>66</v>
      </c>
      <c r="C26" s="12">
        <f ca="1">IFERROR(__xludf.DUMMYFUNCTION("GOOGLEFINANCE(B30)"),36.24)</f>
        <v>36.24</v>
      </c>
      <c r="D26" s="20">
        <v>1327.85</v>
      </c>
      <c r="E26" s="12">
        <f t="shared" ca="1" si="11"/>
        <v>48121.284</v>
      </c>
      <c r="F26" s="40">
        <v>37352</v>
      </c>
      <c r="G26" s="12">
        <f t="shared" ca="1" si="12"/>
        <v>10769.284</v>
      </c>
      <c r="H26" s="14">
        <f t="shared" ca="1" si="13"/>
        <v>0.28831880488327255</v>
      </c>
      <c r="I26" s="15">
        <v>43531</v>
      </c>
      <c r="J26" s="10" t="e">
        <f t="shared" ca="1" si="14"/>
        <v>#NAME?</v>
      </c>
      <c r="K26" s="10" t="e">
        <f t="shared" ca="1" si="15"/>
        <v>#NAME?</v>
      </c>
      <c r="L26" s="14" t="e">
        <f t="shared" ca="1" si="16"/>
        <v>#NAME?</v>
      </c>
      <c r="M26" s="14">
        <v>3.1016771491137903E-2</v>
      </c>
      <c r="N26" s="14">
        <v>0.02</v>
      </c>
      <c r="O26" s="10" t="str">
        <f t="shared" si="17"/>
        <v>Over-allocated</v>
      </c>
      <c r="P26" s="10" t="s">
        <v>22</v>
      </c>
      <c r="Q26" s="14">
        <f t="shared" ca="1" si="18"/>
        <v>2.5733240152522312E-2</v>
      </c>
      <c r="R26" s="16">
        <v>40.78</v>
      </c>
      <c r="S26" s="17">
        <f t="shared" si="19"/>
        <v>54149.722999999998</v>
      </c>
      <c r="T26" s="11" t="s">
        <v>66</v>
      </c>
      <c r="U26" s="14">
        <f t="shared" ca="1" si="20"/>
        <v>-0.11132908288376653</v>
      </c>
    </row>
    <row r="27" spans="1:21" ht="16" x14ac:dyDescent="0.2">
      <c r="A27" s="10" t="s">
        <v>67</v>
      </c>
      <c r="B27" s="11" t="s">
        <v>68</v>
      </c>
      <c r="C27" s="12">
        <f ca="1">IFERROR(__xludf.DUMMYFUNCTION("GOOGLEFINANCE(B31)"),62.93)</f>
        <v>62.93</v>
      </c>
      <c r="D27" s="20">
        <v>193</v>
      </c>
      <c r="E27" s="12">
        <f t="shared" ca="1" si="11"/>
        <v>12145.49</v>
      </c>
      <c r="F27" s="40">
        <v>7970</v>
      </c>
      <c r="G27" s="12">
        <f t="shared" ca="1" si="12"/>
        <v>4175.49</v>
      </c>
      <c r="H27" s="14">
        <f t="shared" ca="1" si="13"/>
        <v>0.52390087829360099</v>
      </c>
      <c r="I27" s="15">
        <v>42753</v>
      </c>
      <c r="J27" s="10" t="e">
        <f t="shared" ca="1" si="14"/>
        <v>#NAME?</v>
      </c>
      <c r="K27" s="10" t="e">
        <f t="shared" ca="1" si="15"/>
        <v>#NAME?</v>
      </c>
      <c r="L27" s="14" t="e">
        <f t="shared" ca="1" si="16"/>
        <v>#NAME?</v>
      </c>
      <c r="M27" s="14">
        <v>8.9994325392271472E-3</v>
      </c>
      <c r="N27" s="14">
        <v>0.02</v>
      </c>
      <c r="O27" s="10" t="str">
        <f t="shared" si="17"/>
        <v>Under-allocated</v>
      </c>
      <c r="P27" s="10" t="s">
        <v>22</v>
      </c>
      <c r="Q27" s="14">
        <f t="shared" ca="1" si="18"/>
        <v>6.4948975787939948E-3</v>
      </c>
      <c r="R27" s="16">
        <v>74.58</v>
      </c>
      <c r="S27" s="17">
        <f t="shared" si="19"/>
        <v>14393.94</v>
      </c>
      <c r="T27" s="11" t="s">
        <v>68</v>
      </c>
      <c r="U27" s="14">
        <f t="shared" ca="1" si="20"/>
        <v>-0.15620809868597485</v>
      </c>
    </row>
    <row r="28" spans="1:21" ht="16" x14ac:dyDescent="0.2">
      <c r="A28" s="10" t="s">
        <v>69</v>
      </c>
      <c r="B28" s="11" t="s">
        <v>70</v>
      </c>
      <c r="C28" s="12">
        <f ca="1">IFERROR(__xludf.DUMMYFUNCTION("GOOGLEFINANCE(B32)"),182.08)</f>
        <v>182.08</v>
      </c>
      <c r="D28" s="20">
        <v>377.37259999999998</v>
      </c>
      <c r="E28" s="12">
        <f t="shared" ca="1" si="11"/>
        <v>68712.003008</v>
      </c>
      <c r="F28" s="40">
        <v>26545</v>
      </c>
      <c r="G28" s="12">
        <f t="shared" ca="1" si="12"/>
        <v>42167.003008</v>
      </c>
      <c r="H28" s="14">
        <f t="shared" ca="1" si="13"/>
        <v>1.5885101905443588</v>
      </c>
      <c r="I28" s="15">
        <v>41792</v>
      </c>
      <c r="J28" s="10" t="e">
        <f t="shared" ca="1" si="14"/>
        <v>#NAME?</v>
      </c>
      <c r="K28" s="10" t="e">
        <f t="shared" ca="1" si="15"/>
        <v>#NAME?</v>
      </c>
      <c r="L28" s="14" t="e">
        <f t="shared" ca="1" si="16"/>
        <v>#NAME?</v>
      </c>
      <c r="M28" s="14">
        <v>2.8141549570734642E-2</v>
      </c>
      <c r="N28" s="14">
        <v>0.03</v>
      </c>
      <c r="O28" s="10" t="str">
        <f t="shared" si="17"/>
        <v>Under-allocated</v>
      </c>
      <c r="P28" s="10" t="s">
        <v>22</v>
      </c>
      <c r="Q28" s="14">
        <f t="shared" ca="1" si="18"/>
        <v>3.6744291253028485E-2</v>
      </c>
      <c r="R28" s="16">
        <v>107.2</v>
      </c>
      <c r="S28" s="17">
        <f t="shared" si="19"/>
        <v>40454.342720000001</v>
      </c>
      <c r="T28" s="11" t="s">
        <v>70</v>
      </c>
      <c r="U28" s="14">
        <f t="shared" ca="1" si="20"/>
        <v>0.69850746268656705</v>
      </c>
    </row>
    <row r="29" spans="1:21" ht="16" x14ac:dyDescent="0.2">
      <c r="A29" s="4" t="s">
        <v>71</v>
      </c>
      <c r="B29" s="11" t="s">
        <v>72</v>
      </c>
      <c r="C29" s="12">
        <f ca="1">IFERROR(__xludf.DUMMYFUNCTION("GOOGLEFINANCE(B33)"),96.5)</f>
        <v>96.5</v>
      </c>
      <c r="D29" s="25">
        <v>84</v>
      </c>
      <c r="E29" s="12">
        <f t="shared" ca="1" si="11"/>
        <v>8106</v>
      </c>
      <c r="F29" s="42">
        <v>6130</v>
      </c>
      <c r="G29" s="12">
        <f t="shared" ca="1" si="12"/>
        <v>1976</v>
      </c>
      <c r="H29" s="14">
        <f t="shared" ca="1" si="13"/>
        <v>0.32234910277324635</v>
      </c>
      <c r="I29" s="43">
        <v>45231</v>
      </c>
      <c r="J29" s="10" t="e">
        <f t="shared" ca="1" si="14"/>
        <v>#NAME?</v>
      </c>
      <c r="K29" s="10" t="e">
        <f t="shared" ca="1" si="15"/>
        <v>#NAME?</v>
      </c>
      <c r="L29" s="14" t="e">
        <f t="shared" ca="1" si="16"/>
        <v>#NAME?</v>
      </c>
      <c r="M29" s="4">
        <v>0.39</v>
      </c>
      <c r="N29" s="44">
        <v>3.8999999999999998E-3</v>
      </c>
      <c r="Q29" s="14">
        <f t="shared" ca="1" si="18"/>
        <v>4.3347481059804191E-3</v>
      </c>
      <c r="R29" s="16"/>
      <c r="S29" s="17"/>
      <c r="T29" s="11"/>
      <c r="U29" s="14"/>
    </row>
    <row r="30" spans="1:21" ht="16" x14ac:dyDescent="0.2">
      <c r="A30" s="10" t="s">
        <v>73</v>
      </c>
      <c r="B30" s="11" t="s">
        <v>74</v>
      </c>
      <c r="C30" s="12">
        <f ca="1">IFERROR(__xludf.DUMMYFUNCTION("GOOGLEFINANCE(B34)"),66.8)</f>
        <v>66.8</v>
      </c>
      <c r="D30" s="20">
        <v>594.12609999999995</v>
      </c>
      <c r="E30" s="12">
        <f t="shared" ca="1" si="11"/>
        <v>39687.623479999995</v>
      </c>
      <c r="F30" s="40">
        <v>29967</v>
      </c>
      <c r="G30" s="12">
        <f t="shared" ca="1" si="12"/>
        <v>9720.6234799999947</v>
      </c>
      <c r="H30" s="14">
        <f t="shared" ca="1" si="13"/>
        <v>0.3243775980244934</v>
      </c>
      <c r="I30" s="15">
        <v>44100</v>
      </c>
      <c r="J30" s="10" t="e">
        <f t="shared" ca="1" si="14"/>
        <v>#NAME?</v>
      </c>
      <c r="K30" s="10" t="e">
        <f t="shared" ca="1" si="15"/>
        <v>#NAME?</v>
      </c>
      <c r="L30" s="14" t="e">
        <f t="shared" ca="1" si="16"/>
        <v>#NAME?</v>
      </c>
      <c r="M30" s="14">
        <v>2.0199999999999999E-2</v>
      </c>
      <c r="N30" s="14">
        <v>0.02</v>
      </c>
      <c r="O30" s="10" t="str">
        <f t="shared" ref="O30:O34" si="21">IF(N30&gt;M30,"Under-allocated","Over-allocated")</f>
        <v>Over-allocated</v>
      </c>
      <c r="P30" s="10" t="s">
        <v>22</v>
      </c>
      <c r="Q30" s="14">
        <f t="shared" ca="1" si="18"/>
        <v>2.1223272971970641E-2</v>
      </c>
      <c r="R30" s="16">
        <v>58.84</v>
      </c>
      <c r="S30" s="17">
        <f t="shared" ref="S30:S33" si="22">R30*D30</f>
        <v>34958.379723999999</v>
      </c>
      <c r="T30" s="11" t="s">
        <v>74</v>
      </c>
      <c r="U30" s="14">
        <f t="shared" ref="U30:U33" ca="1" si="23">((E30/S30)-1)</f>
        <v>0.13528212100611814</v>
      </c>
    </row>
    <row r="31" spans="1:21" ht="16" x14ac:dyDescent="0.2">
      <c r="A31" s="10" t="s">
        <v>75</v>
      </c>
      <c r="B31" s="41" t="s">
        <v>76</v>
      </c>
      <c r="C31" s="12">
        <f ca="1">IFERROR(__xludf.DUMMYFUNCTION("GOOGLEFINANCE(B35)"),163.13)</f>
        <v>163.13</v>
      </c>
      <c r="D31" s="20">
        <v>103.5364</v>
      </c>
      <c r="E31" s="12">
        <f t="shared" ca="1" si="11"/>
        <v>16889.892931999999</v>
      </c>
      <c r="F31" s="42">
        <v>25136</v>
      </c>
      <c r="G31" s="12">
        <f t="shared" ca="1" si="12"/>
        <v>-8246.1070680000012</v>
      </c>
      <c r="H31" s="14">
        <f t="shared" ca="1" si="13"/>
        <v>-0.32805963828771489</v>
      </c>
      <c r="I31" s="45">
        <v>44671</v>
      </c>
      <c r="J31" s="10" t="e">
        <f t="shared" ca="1" si="14"/>
        <v>#NAME?</v>
      </c>
      <c r="K31" s="10" t="e">
        <f t="shared" ca="1" si="15"/>
        <v>#NAME?</v>
      </c>
      <c r="L31" s="14" t="e">
        <f t="shared" ca="1" si="16"/>
        <v>#NAME?</v>
      </c>
      <c r="M31" s="14">
        <v>1.0345998541322029E-2</v>
      </c>
      <c r="N31" s="44">
        <v>1.4999999999999999E-2</v>
      </c>
      <c r="O31" s="10" t="str">
        <f t="shared" si="21"/>
        <v>Under-allocated</v>
      </c>
      <c r="P31" s="10" t="s">
        <v>22</v>
      </c>
      <c r="Q31" s="14">
        <f t="shared" ca="1" si="18"/>
        <v>9.0320048602515503E-3</v>
      </c>
      <c r="R31" s="16">
        <v>151.72999999999999</v>
      </c>
      <c r="S31" s="17">
        <f t="shared" si="22"/>
        <v>15709.577971999999</v>
      </c>
      <c r="T31" s="41" t="s">
        <v>76</v>
      </c>
      <c r="U31" s="14">
        <f t="shared" ca="1" si="23"/>
        <v>7.5133460752652814E-2</v>
      </c>
    </row>
    <row r="32" spans="1:21" ht="16" x14ac:dyDescent="0.2">
      <c r="A32" s="10" t="s">
        <v>77</v>
      </c>
      <c r="B32" s="41" t="s">
        <v>78</v>
      </c>
      <c r="C32" s="12">
        <f ca="1">IFERROR(__xludf.DUMMYFUNCTION("GOOGLEFINANCE(B36)"),512.81)</f>
        <v>512.80999999999995</v>
      </c>
      <c r="D32" s="20">
        <v>125.4919</v>
      </c>
      <c r="E32" s="12">
        <f t="shared" ca="1" si="11"/>
        <v>64353.50123899999</v>
      </c>
      <c r="F32" s="42">
        <f>D32*512.8</f>
        <v>64352.246319999998</v>
      </c>
      <c r="G32" s="12">
        <f t="shared" ca="1" si="12"/>
        <v>1.2549189999917871</v>
      </c>
      <c r="H32" s="14">
        <f t="shared" ca="1" si="13"/>
        <v>1.9500780030989873E-5</v>
      </c>
      <c r="I32" s="46">
        <v>45026</v>
      </c>
      <c r="J32" s="10" t="e">
        <f t="shared" ca="1" si="14"/>
        <v>#NAME?</v>
      </c>
      <c r="K32" s="10" t="e">
        <f t="shared" ca="1" si="15"/>
        <v>#NAME?</v>
      </c>
      <c r="L32" s="14" t="e">
        <f t="shared" ca="1" si="16"/>
        <v>#NAME?</v>
      </c>
      <c r="M32" s="44">
        <v>3.7499999999999999E-2</v>
      </c>
      <c r="N32" s="44">
        <v>0.04</v>
      </c>
      <c r="O32" s="10" t="str">
        <f t="shared" si="21"/>
        <v>Under-allocated</v>
      </c>
      <c r="P32" s="10" t="s">
        <v>22</v>
      </c>
      <c r="Q32" s="14">
        <f t="shared" ca="1" si="18"/>
        <v>3.4413547694172687E-2</v>
      </c>
      <c r="R32" s="16">
        <v>518.64</v>
      </c>
      <c r="S32" s="17">
        <f t="shared" si="22"/>
        <v>65085.119015999997</v>
      </c>
      <c r="T32" s="41" t="s">
        <v>78</v>
      </c>
      <c r="U32" s="14">
        <f t="shared" ca="1" si="23"/>
        <v>-1.1240937837421083E-2</v>
      </c>
    </row>
    <row r="33" spans="1:22" ht="16" x14ac:dyDescent="0.2">
      <c r="A33" s="10" t="s">
        <v>79</v>
      </c>
      <c r="B33" s="41" t="s">
        <v>80</v>
      </c>
      <c r="C33" s="12">
        <f ca="1">IFERROR(__xludf.DUMMYFUNCTION("GOOGLEFINANCE(B37)"),253.38)</f>
        <v>253.38</v>
      </c>
      <c r="D33" s="22">
        <v>254.2663</v>
      </c>
      <c r="E33" s="12">
        <f t="shared" ca="1" si="11"/>
        <v>64425.995093999998</v>
      </c>
      <c r="F33" s="47">
        <v>63037.72</v>
      </c>
      <c r="G33" s="12">
        <f t="shared" ca="1" si="12"/>
        <v>1388.2750939999969</v>
      </c>
      <c r="H33" s="14">
        <f t="shared" ca="1" si="13"/>
        <v>2.2022926812708343E-2</v>
      </c>
      <c r="I33" s="46">
        <v>45036</v>
      </c>
      <c r="J33" s="10" t="e">
        <f t="shared" ca="1" si="14"/>
        <v>#NAME?</v>
      </c>
      <c r="K33" s="10" t="e">
        <f t="shared" ca="1" si="15"/>
        <v>#NAME?</v>
      </c>
      <c r="L33" s="14" t="e">
        <f t="shared" ca="1" si="16"/>
        <v>#NAME?</v>
      </c>
      <c r="M33" s="14">
        <v>3.3799999999999997E-2</v>
      </c>
      <c r="N33" s="44">
        <v>3.7600000000000001E-2</v>
      </c>
      <c r="O33" s="10" t="str">
        <f t="shared" si="21"/>
        <v>Under-allocated</v>
      </c>
      <c r="P33" s="10" t="s">
        <v>22</v>
      </c>
      <c r="Q33" s="14">
        <f t="shared" ca="1" si="18"/>
        <v>3.445231436092034E-2</v>
      </c>
      <c r="R33" s="48">
        <v>262.27</v>
      </c>
      <c r="S33" s="17">
        <f t="shared" si="22"/>
        <v>66686.422500999994</v>
      </c>
      <c r="T33" s="41" t="s">
        <v>80</v>
      </c>
      <c r="U33" s="14">
        <f t="shared" ca="1" si="23"/>
        <v>-3.3896366340031236E-2</v>
      </c>
    </row>
    <row r="34" spans="1:22" ht="16" x14ac:dyDescent="0.2">
      <c r="A34" s="10" t="s">
        <v>81</v>
      </c>
      <c r="B34" s="41" t="s">
        <v>82</v>
      </c>
      <c r="C34" s="12">
        <f ca="1">IFERROR(__xludf.DUMMYFUNCTION("GOOGLEFINANCE(B38)"),30.97)</f>
        <v>30.97</v>
      </c>
      <c r="D34" s="22">
        <v>1937</v>
      </c>
      <c r="E34" s="12">
        <f t="shared" ca="1" si="11"/>
        <v>59988.89</v>
      </c>
      <c r="F34" s="12">
        <f>30.965*D34</f>
        <v>59979.205000000002</v>
      </c>
      <c r="G34" s="12">
        <f t="shared" ca="1" si="12"/>
        <v>9.6849999999976717</v>
      </c>
      <c r="H34" s="14">
        <f t="shared" ca="1" si="13"/>
        <v>1.6147263038912563E-4</v>
      </c>
      <c r="I34" s="46">
        <v>45422</v>
      </c>
      <c r="J34" s="10" t="e">
        <f t="shared" ca="1" si="14"/>
        <v>#NAME?</v>
      </c>
      <c r="K34" s="10" t="e">
        <f t="shared" ca="1" si="15"/>
        <v>#NAME?</v>
      </c>
      <c r="L34" s="14" t="e">
        <f t="shared" ca="1" si="16"/>
        <v>#NAME?</v>
      </c>
      <c r="M34" s="14">
        <v>3.3799999999999997E-2</v>
      </c>
      <c r="N34" s="44">
        <v>3.39E-2</v>
      </c>
      <c r="O34" s="10" t="str">
        <f t="shared" si="21"/>
        <v>Under-allocated</v>
      </c>
      <c r="P34" s="10" t="s">
        <v>22</v>
      </c>
      <c r="Q34" s="14"/>
      <c r="R34" s="48"/>
      <c r="S34" s="17"/>
      <c r="T34" s="41"/>
      <c r="U34" s="14"/>
    </row>
    <row r="35" spans="1:22" ht="14" x14ac:dyDescent="0.15">
      <c r="A35" s="49" t="s">
        <v>83</v>
      </c>
      <c r="B35" s="50"/>
      <c r="C35" s="51"/>
      <c r="D35" s="52"/>
      <c r="E35" s="51">
        <f t="shared" ref="E35:G35" ca="1" si="24">SUM(E19:E34)</f>
        <v>695426.74573799991</v>
      </c>
      <c r="F35" s="51">
        <f t="shared" si="24"/>
        <v>574083.17131999996</v>
      </c>
      <c r="G35" s="51">
        <f t="shared" ca="1" si="24"/>
        <v>121343.57441799999</v>
      </c>
      <c r="H35" s="53">
        <f t="shared" ca="1" si="13"/>
        <v>0.21136932848770407</v>
      </c>
      <c r="I35" s="54">
        <v>45422</v>
      </c>
      <c r="J35" s="49" t="e">
        <f t="shared" ca="1" si="14"/>
        <v>#NAME?</v>
      </c>
      <c r="K35" s="49" t="e">
        <f t="shared" ca="1" si="15"/>
        <v>#NAME?</v>
      </c>
      <c r="L35" s="53" t="e">
        <f t="shared" ca="1" si="16"/>
        <v>#NAME?</v>
      </c>
      <c r="M35" s="55">
        <v>0.28297661228434901</v>
      </c>
      <c r="N35" s="53">
        <f>SUM(N19:N34)</f>
        <v>0.36039999999999994</v>
      </c>
      <c r="O35" s="49"/>
      <c r="P35" s="49"/>
      <c r="Q35" s="14">
        <f ca="1">E35/$E$48</f>
        <v>0.37188499493411326</v>
      </c>
      <c r="R35" s="2"/>
      <c r="S35" s="17">
        <f>SUM(S19:S33)</f>
        <v>573767.93361800001</v>
      </c>
      <c r="T35" s="56"/>
      <c r="U35" s="14">
        <f ca="1">((E35/S35)-1)</f>
        <v>0.21203487506326413</v>
      </c>
    </row>
    <row r="36" spans="1:22" ht="14" x14ac:dyDescent="0.15">
      <c r="B36" s="1"/>
      <c r="D36" s="35"/>
      <c r="E36" s="36"/>
      <c r="F36" s="1"/>
      <c r="H36" s="14"/>
      <c r="I36" s="37"/>
      <c r="L36" s="14"/>
      <c r="M36" s="14"/>
      <c r="R36" s="2"/>
      <c r="S36" s="17"/>
      <c r="T36" s="39"/>
      <c r="U36" s="14"/>
    </row>
    <row r="37" spans="1:22" ht="14" x14ac:dyDescent="0.15">
      <c r="A37" s="6" t="s">
        <v>84</v>
      </c>
      <c r="B37" s="6" t="s">
        <v>2</v>
      </c>
      <c r="C37" s="6" t="s">
        <v>3</v>
      </c>
      <c r="D37" s="6" t="s">
        <v>4</v>
      </c>
      <c r="E37" s="6" t="s">
        <v>5</v>
      </c>
      <c r="F37" s="6" t="s">
        <v>6</v>
      </c>
      <c r="G37" s="6" t="s">
        <v>7</v>
      </c>
      <c r="H37" s="6" t="s">
        <v>8</v>
      </c>
      <c r="I37" s="6" t="s">
        <v>9</v>
      </c>
      <c r="J37" s="6" t="s">
        <v>10</v>
      </c>
      <c r="K37" s="6" t="s">
        <v>11</v>
      </c>
      <c r="L37" s="6" t="s">
        <v>12</v>
      </c>
      <c r="M37" s="5" t="s">
        <v>13</v>
      </c>
      <c r="N37" s="6" t="s">
        <v>14</v>
      </c>
      <c r="O37" s="6" t="s">
        <v>15</v>
      </c>
      <c r="P37" s="6" t="s">
        <v>16</v>
      </c>
      <c r="Q37" s="6"/>
      <c r="R37" s="7" t="s">
        <v>17</v>
      </c>
      <c r="S37" s="7" t="s">
        <v>18</v>
      </c>
      <c r="T37" s="8" t="s">
        <v>2</v>
      </c>
      <c r="U37" s="14"/>
    </row>
    <row r="38" spans="1:22" ht="16" x14ac:dyDescent="0.2">
      <c r="A38" s="10" t="s">
        <v>85</v>
      </c>
      <c r="B38" s="41" t="s">
        <v>86</v>
      </c>
      <c r="C38" s="12">
        <f ca="1">IFERROR(__xludf.DUMMYFUNCTION("GOOGLEFINANCE(B42)"),92.5)</f>
        <v>92.5</v>
      </c>
      <c r="D38" s="20">
        <v>919.22019999999998</v>
      </c>
      <c r="E38" s="12">
        <f t="shared" ref="E38:E40" ca="1" si="25">C38*D38</f>
        <v>85027.868499999997</v>
      </c>
      <c r="F38" s="40">
        <v>94563.61</v>
      </c>
      <c r="G38" s="12">
        <f t="shared" ref="G38:G41" ca="1" si="26">E38-F38</f>
        <v>-9535.7415000000037</v>
      </c>
      <c r="H38" s="14">
        <f t="shared" ref="H38:H41" ca="1" si="27">((E38/F38)-1)</f>
        <v>-0.10083944024556601</v>
      </c>
      <c r="I38" s="15">
        <v>43587</v>
      </c>
      <c r="J38" s="10" t="e">
        <f t="shared" ref="J38:J41" ca="1" si="28">_xludf.DAYS(TODAY(),I38)</f>
        <v>#NAME?</v>
      </c>
      <c r="K38" s="10" t="e">
        <f t="shared" ref="K38:K41" ca="1" si="29">J38/365</f>
        <v>#NAME?</v>
      </c>
      <c r="L38" s="14" t="e">
        <f t="shared" ref="L38:L41" ca="1" si="30">H38/K38</f>
        <v>#NAME?</v>
      </c>
      <c r="M38" s="14">
        <v>5.2738640600868934E-2</v>
      </c>
      <c r="N38" s="14">
        <v>0.06</v>
      </c>
      <c r="O38" s="10" t="str">
        <f t="shared" ref="O38:O40" si="31">IF(N38&gt;M38,"Under-allocated","Over-allocated")</f>
        <v>Under-allocated</v>
      </c>
      <c r="P38" s="10" t="s">
        <v>84</v>
      </c>
      <c r="Q38" s="14">
        <f t="shared" ref="Q38:Q41" ca="1" si="32">E38/$E$48</f>
        <v>4.5469330364659159E-2</v>
      </c>
      <c r="R38" s="2">
        <v>96.53</v>
      </c>
      <c r="S38" s="17">
        <f t="shared" ref="S38:S40" si="33">R38*D38</f>
        <v>88732.325905999998</v>
      </c>
      <c r="T38" s="41" t="s">
        <v>86</v>
      </c>
      <c r="U38" s="14">
        <f t="shared" ref="U38:U41" ca="1" si="34">((E38/S38)-1)</f>
        <v>-4.1748679167098346E-2</v>
      </c>
    </row>
    <row r="39" spans="1:22" ht="15.75" customHeight="1" x14ac:dyDescent="0.2">
      <c r="A39" s="10" t="s">
        <v>87</v>
      </c>
      <c r="B39" s="41" t="s">
        <v>88</v>
      </c>
      <c r="C39" s="12">
        <f ca="1">IFERROR(__xludf.DUMMYFUNCTION("GOOGLEFINANCE(B43)"),46.24)</f>
        <v>46.24</v>
      </c>
      <c r="D39" s="20">
        <v>393.38060000000002</v>
      </c>
      <c r="E39" s="12">
        <f t="shared" ca="1" si="25"/>
        <v>18189.918944000001</v>
      </c>
      <c r="F39" s="40">
        <v>20025.38</v>
      </c>
      <c r="G39" s="12">
        <f t="shared" ca="1" si="26"/>
        <v>-1835.4610560000001</v>
      </c>
      <c r="H39" s="14">
        <f t="shared" ca="1" si="27"/>
        <v>-9.1656740396436898E-2</v>
      </c>
      <c r="I39" s="45">
        <v>43958</v>
      </c>
      <c r="J39" s="10" t="e">
        <f t="shared" ca="1" si="28"/>
        <v>#NAME?</v>
      </c>
      <c r="K39" s="10" t="e">
        <f t="shared" ca="1" si="29"/>
        <v>#NAME?</v>
      </c>
      <c r="L39" s="14" t="e">
        <f t="shared" ca="1" si="30"/>
        <v>#NAME?</v>
      </c>
      <c r="M39" s="14">
        <v>1.0919609732901483E-2</v>
      </c>
      <c r="N39" s="14">
        <v>1.4999999999999999E-2</v>
      </c>
      <c r="O39" s="10" t="str">
        <f t="shared" si="31"/>
        <v>Under-allocated</v>
      </c>
      <c r="P39" s="10" t="s">
        <v>84</v>
      </c>
      <c r="Q39" s="14">
        <f t="shared" ca="1" si="32"/>
        <v>9.7272041315619728E-3</v>
      </c>
      <c r="R39" s="2">
        <v>46.13</v>
      </c>
      <c r="S39" s="17">
        <f t="shared" si="33"/>
        <v>18146.647078000002</v>
      </c>
      <c r="T39" s="41" t="s">
        <v>88</v>
      </c>
      <c r="U39" s="14">
        <f t="shared" ca="1" si="34"/>
        <v>2.3845653587686311E-3</v>
      </c>
    </row>
    <row r="40" spans="1:22" ht="15.75" customHeight="1" x14ac:dyDescent="0.2">
      <c r="A40" s="10" t="s">
        <v>89</v>
      </c>
      <c r="B40" s="41" t="s">
        <v>90</v>
      </c>
      <c r="C40" s="12">
        <f ca="1">IFERROR(__xludf.DUMMYFUNCTION("GOOGLEFINANCE(B44)"),22.55)</f>
        <v>22.55</v>
      </c>
      <c r="D40" s="20">
        <v>784.38009999999997</v>
      </c>
      <c r="E40" s="12">
        <f t="shared" ca="1" si="25"/>
        <v>17687.771255</v>
      </c>
      <c r="F40" s="40">
        <v>19140</v>
      </c>
      <c r="G40" s="12">
        <f t="shared" ca="1" si="26"/>
        <v>-1452.2287450000003</v>
      </c>
      <c r="H40" s="14">
        <f t="shared" ca="1" si="27"/>
        <v>-7.5874020114942597E-2</v>
      </c>
      <c r="I40" s="45">
        <v>43958</v>
      </c>
      <c r="J40" s="10" t="e">
        <f t="shared" ca="1" si="28"/>
        <v>#NAME?</v>
      </c>
      <c r="K40" s="10" t="e">
        <f t="shared" ca="1" si="29"/>
        <v>#NAME?</v>
      </c>
      <c r="L40" s="14" t="e">
        <f t="shared" ca="1" si="30"/>
        <v>#NAME?</v>
      </c>
      <c r="M40" s="14">
        <v>1.055395181829181E-2</v>
      </c>
      <c r="N40" s="14">
        <v>1.4999999999999999E-2</v>
      </c>
      <c r="O40" s="10" t="str">
        <f t="shared" si="31"/>
        <v>Under-allocated</v>
      </c>
      <c r="P40" s="10" t="s">
        <v>84</v>
      </c>
      <c r="Q40" s="14">
        <f t="shared" ca="1" si="32"/>
        <v>9.4586766526802563E-3</v>
      </c>
      <c r="R40" s="38">
        <v>22.44</v>
      </c>
      <c r="S40" s="17">
        <f t="shared" si="33"/>
        <v>17601.489443999999</v>
      </c>
      <c r="T40" s="41" t="s">
        <v>90</v>
      </c>
      <c r="U40" s="14">
        <f t="shared" ca="1" si="34"/>
        <v>4.9019607843137081E-3</v>
      </c>
    </row>
    <row r="41" spans="1:22" ht="15.75" customHeight="1" x14ac:dyDescent="0.15">
      <c r="A41" s="57" t="s">
        <v>91</v>
      </c>
      <c r="B41" s="58"/>
      <c r="C41" s="58"/>
      <c r="D41" s="59">
        <f t="shared" ref="D41:F41" si="35">SUM(D38:D40)</f>
        <v>2096.9809</v>
      </c>
      <c r="E41" s="60">
        <f t="shared" ca="1" si="35"/>
        <v>120905.558699</v>
      </c>
      <c r="F41" s="29">
        <f t="shared" si="35"/>
        <v>133728.99</v>
      </c>
      <c r="G41" s="60">
        <f t="shared" ca="1" si="26"/>
        <v>-12823.43130099999</v>
      </c>
      <c r="H41" s="33">
        <f t="shared" ca="1" si="27"/>
        <v>-9.5891184858271861E-2</v>
      </c>
      <c r="I41" s="32">
        <v>43690</v>
      </c>
      <c r="J41" s="58" t="e">
        <f t="shared" ca="1" si="28"/>
        <v>#NAME?</v>
      </c>
      <c r="K41" s="58" t="e">
        <f t="shared" ca="1" si="29"/>
        <v>#NAME?</v>
      </c>
      <c r="L41" s="33" t="e">
        <f t="shared" ca="1" si="30"/>
        <v>#NAME?</v>
      </c>
      <c r="M41" s="33">
        <v>7.4212202152062229E-2</v>
      </c>
      <c r="N41" s="33">
        <f>SUM(N38:N40)</f>
        <v>0.09</v>
      </c>
      <c r="O41" s="58"/>
      <c r="P41" s="58"/>
      <c r="Q41" s="14">
        <f t="shared" ca="1" si="32"/>
        <v>6.4655211148901395E-2</v>
      </c>
      <c r="R41" s="2"/>
      <c r="S41" s="61">
        <f>SUM(S38:S40)</f>
        <v>124480.462428</v>
      </c>
      <c r="T41" s="62"/>
      <c r="U41" s="14">
        <f t="shared" ca="1" si="34"/>
        <v>-2.8718592936363252E-2</v>
      </c>
    </row>
    <row r="42" spans="1:22" ht="13" x14ac:dyDescent="0.15">
      <c r="F42" s="1"/>
      <c r="H42" s="14"/>
      <c r="M42" s="14"/>
      <c r="Q42" s="14"/>
      <c r="R42" s="2"/>
      <c r="S42" s="16">
        <f>SUM(S41,S35,S16)</f>
        <v>1318880.9266890001</v>
      </c>
      <c r="T42" s="3"/>
      <c r="U42" s="14">
        <f ca="1">(((E48-E44)/S42)-1)</f>
        <v>0.23153835297066827</v>
      </c>
    </row>
    <row r="43" spans="1:22" ht="14" x14ac:dyDescent="0.15">
      <c r="A43" s="6" t="s">
        <v>92</v>
      </c>
      <c r="B43" s="6" t="s">
        <v>2</v>
      </c>
      <c r="C43" s="6" t="s">
        <v>3</v>
      </c>
      <c r="D43" s="6" t="s">
        <v>4</v>
      </c>
      <c r="E43" s="6" t="s">
        <v>5</v>
      </c>
      <c r="F43" s="6" t="s">
        <v>6</v>
      </c>
      <c r="G43" s="6" t="s">
        <v>7</v>
      </c>
      <c r="H43" s="6" t="s">
        <v>8</v>
      </c>
      <c r="I43" s="6" t="s">
        <v>9</v>
      </c>
      <c r="J43" s="6" t="s">
        <v>10</v>
      </c>
      <c r="K43" s="6" t="s">
        <v>11</v>
      </c>
      <c r="L43" s="6" t="s">
        <v>12</v>
      </c>
      <c r="M43" s="5" t="s">
        <v>13</v>
      </c>
      <c r="N43" s="6" t="s">
        <v>14</v>
      </c>
      <c r="O43" s="6" t="s">
        <v>15</v>
      </c>
      <c r="P43" s="6" t="s">
        <v>16</v>
      </c>
      <c r="Q43" s="6"/>
      <c r="R43" s="63"/>
      <c r="S43" s="63"/>
      <c r="T43" s="8" t="s">
        <v>2</v>
      </c>
      <c r="U43" s="1"/>
      <c r="V43" s="1"/>
    </row>
    <row r="44" spans="1:22" ht="16" x14ac:dyDescent="0.2">
      <c r="A44" s="10" t="s">
        <v>93</v>
      </c>
      <c r="B44" s="64" t="s">
        <v>94</v>
      </c>
      <c r="C44" s="12">
        <v>1</v>
      </c>
      <c r="D44" s="12">
        <v>245752.41</v>
      </c>
      <c r="E44" s="65">
        <f>D44*C44</f>
        <v>245752.41</v>
      </c>
      <c r="F44" s="65">
        <f>D44*C44</f>
        <v>245752.41</v>
      </c>
      <c r="G44" s="12">
        <f t="shared" ref="G44:G45" si="36">E44-F44</f>
        <v>0</v>
      </c>
      <c r="H44" s="14">
        <f t="shared" ref="H44:H45" si="37">((E44/F44)-1)</f>
        <v>0</v>
      </c>
      <c r="L44" s="10">
        <f ca="1">(E44/E48)*100</f>
        <v>13.141805992938854</v>
      </c>
      <c r="M44" s="66">
        <v>0.13539999999999999</v>
      </c>
      <c r="N44" s="14">
        <f>100%-N41-N35-N16</f>
        <v>0.11460000000000009</v>
      </c>
      <c r="O44" s="10" t="str">
        <f t="shared" ref="O44:O45" si="38">IF(N44&gt;M44,"Under-allocated","Over-allocated")</f>
        <v>Over-allocated</v>
      </c>
      <c r="P44" s="10" t="s">
        <v>95</v>
      </c>
      <c r="Q44" s="14">
        <f ca="1">E44/$E$48</f>
        <v>0.13141805992938854</v>
      </c>
      <c r="R44" s="2"/>
      <c r="S44" s="2"/>
      <c r="T44" s="64" t="s">
        <v>94</v>
      </c>
    </row>
    <row r="45" spans="1:22" ht="15.75" customHeight="1" x14ac:dyDescent="0.15">
      <c r="A45" s="58" t="s">
        <v>96</v>
      </c>
      <c r="B45" s="58"/>
      <c r="C45" s="58"/>
      <c r="D45" s="58"/>
      <c r="E45" s="12">
        <v>245752.41</v>
      </c>
      <c r="F45" s="12">
        <v>245752.41</v>
      </c>
      <c r="G45" s="60">
        <f t="shared" si="36"/>
        <v>0</v>
      </c>
      <c r="H45" s="33">
        <f t="shared" si="37"/>
        <v>0</v>
      </c>
      <c r="I45" s="58"/>
      <c r="J45" s="58"/>
      <c r="K45" s="58"/>
      <c r="L45" s="58"/>
      <c r="M45" s="66">
        <v>0.13539999999999999</v>
      </c>
      <c r="N45" s="66">
        <v>0.08</v>
      </c>
      <c r="O45" s="10" t="str">
        <f t="shared" si="38"/>
        <v>Over-allocated</v>
      </c>
      <c r="P45" s="58"/>
      <c r="Q45" s="58"/>
      <c r="R45" s="67"/>
      <c r="S45" s="68"/>
      <c r="T45" s="62"/>
    </row>
    <row r="46" spans="1:22" ht="15.75" customHeight="1" x14ac:dyDescent="0.15">
      <c r="C46" s="12"/>
      <c r="D46" s="69"/>
      <c r="R46" s="70"/>
      <c r="S46" s="2"/>
      <c r="T46" s="3"/>
    </row>
    <row r="47" spans="1:22" ht="15.75" customHeight="1" x14ac:dyDescent="0.15">
      <c r="C47" s="10">
        <f>144215*100/1544527</f>
        <v>9.3371627689253724</v>
      </c>
      <c r="D47" s="12">
        <f ca="1">E48*0.03</f>
        <v>56100.145626569996</v>
      </c>
      <c r="R47" s="70"/>
      <c r="S47" s="2"/>
      <c r="T47" s="3"/>
    </row>
    <row r="48" spans="1:22" ht="13" x14ac:dyDescent="0.15">
      <c r="A48" s="6" t="s">
        <v>97</v>
      </c>
      <c r="B48" s="6"/>
      <c r="C48" s="6"/>
      <c r="D48" s="6"/>
      <c r="E48" s="71">
        <f t="shared" ref="E48:F48" ca="1" si="39">SUM(E45,E41,E35,E16)</f>
        <v>1870004.8542189999</v>
      </c>
      <c r="F48" s="71">
        <f t="shared" si="39"/>
        <v>1361288.5713200001</v>
      </c>
      <c r="G48" s="71">
        <f ca="1">SUM(G45,G35,G41,G16)</f>
        <v>508716.28289899998</v>
      </c>
      <c r="H48" s="72">
        <f ca="1">((E48/F48)-1)</f>
        <v>0.37370201558785809</v>
      </c>
      <c r="I48" s="6"/>
      <c r="J48" s="6"/>
      <c r="K48" s="6"/>
      <c r="L48" s="6"/>
      <c r="M48" s="72">
        <f t="shared" ref="M48:N48" si="40">SUM(M45,M41,M35,M16)</f>
        <v>0.94129908683931163</v>
      </c>
      <c r="N48" s="72">
        <f t="shared" si="40"/>
        <v>0.96540000000000004</v>
      </c>
      <c r="O48" s="6"/>
      <c r="P48" s="6"/>
      <c r="Q48" s="72">
        <f ca="1">SUM(Q44,Q41,Q35,Q16)</f>
        <v>1</v>
      </c>
      <c r="R48" s="73"/>
      <c r="S48" s="63"/>
      <c r="T48" s="8"/>
    </row>
    <row r="49" spans="1:27" ht="13" x14ac:dyDescent="0.15">
      <c r="R49" s="2"/>
      <c r="S49" s="2"/>
      <c r="T49" s="3"/>
    </row>
    <row r="50" spans="1:27" ht="14" x14ac:dyDescent="0.15">
      <c r="E50" s="4"/>
      <c r="F50" s="4"/>
      <c r="R50" s="2"/>
      <c r="S50" s="2"/>
      <c r="T50" s="3"/>
    </row>
    <row r="51" spans="1:27" ht="14" x14ac:dyDescent="0.15">
      <c r="A51" s="5" t="s">
        <v>98</v>
      </c>
      <c r="B51" s="6" t="s">
        <v>2</v>
      </c>
      <c r="C51" s="6" t="s">
        <v>3</v>
      </c>
      <c r="D51" s="6" t="s">
        <v>4</v>
      </c>
      <c r="E51" s="6" t="s">
        <v>5</v>
      </c>
      <c r="F51" s="6" t="s">
        <v>6</v>
      </c>
      <c r="G51" s="6" t="s">
        <v>7</v>
      </c>
      <c r="H51" s="6" t="s">
        <v>8</v>
      </c>
      <c r="I51" s="6" t="s">
        <v>9</v>
      </c>
      <c r="J51" s="6" t="s">
        <v>10</v>
      </c>
      <c r="K51" s="6" t="s">
        <v>11</v>
      </c>
      <c r="L51" s="6" t="s">
        <v>12</v>
      </c>
      <c r="M51" s="6" t="s">
        <v>99</v>
      </c>
      <c r="N51" s="6" t="s">
        <v>14</v>
      </c>
      <c r="O51" s="6" t="s">
        <v>15</v>
      </c>
      <c r="P51" s="6" t="s">
        <v>16</v>
      </c>
      <c r="Q51" s="6"/>
      <c r="R51" s="63"/>
      <c r="S51" s="63"/>
      <c r="T51" s="3"/>
    </row>
    <row r="52" spans="1:27" ht="16" x14ac:dyDescent="0.2">
      <c r="A52" s="2" t="s">
        <v>100</v>
      </c>
      <c r="B52" s="74" t="s">
        <v>101</v>
      </c>
      <c r="C52" s="16">
        <v>19.82</v>
      </c>
      <c r="D52" s="75">
        <v>2435.0763000000002</v>
      </c>
      <c r="E52" s="17">
        <v>48266.59</v>
      </c>
      <c r="F52" s="16">
        <v>57943</v>
      </c>
      <c r="G52" s="16">
        <f t="shared" ref="G52:G57" si="41">E52-F52</f>
        <v>-9676.4100000000035</v>
      </c>
      <c r="H52" s="70">
        <f t="shared" ref="H52:H57" si="42">((E52/F52)-1)</f>
        <v>-0.16699877465785351</v>
      </c>
      <c r="I52" s="76">
        <v>44099</v>
      </c>
      <c r="J52" s="2" t="e">
        <f t="shared" ref="J52:J57" ca="1" si="43">_xludf.DAYS(TODAY(),I52)</f>
        <v>#NAME?</v>
      </c>
      <c r="K52" s="2" t="e">
        <f t="shared" ref="K52:K57" ca="1" si="44">J52/365</f>
        <v>#NAME?</v>
      </c>
      <c r="L52" s="70" t="e">
        <f t="shared" ref="L52:L57" ca="1" si="45">H52/K52</f>
        <v>#NAME?</v>
      </c>
      <c r="M52" s="70">
        <v>3.1506999882738695E-2</v>
      </c>
      <c r="N52" s="70">
        <v>0.04</v>
      </c>
      <c r="O52" s="2" t="str">
        <f t="shared" ref="O52:O57" si="46">IF(N52&gt;M52,"Under-allocated","Over-allocated")</f>
        <v>Under-allocated</v>
      </c>
      <c r="P52" s="2" t="s">
        <v>22</v>
      </c>
      <c r="Q52" s="38" t="s">
        <v>102</v>
      </c>
      <c r="R52" s="2"/>
      <c r="S52" s="2"/>
      <c r="T52" s="39"/>
      <c r="U52" s="1"/>
      <c r="V52" s="1"/>
      <c r="W52" s="1"/>
      <c r="X52" s="1"/>
      <c r="Y52" s="1"/>
      <c r="Z52" s="1"/>
      <c r="AA52" s="1"/>
    </row>
    <row r="53" spans="1:27" ht="16" x14ac:dyDescent="0.2">
      <c r="A53" s="2" t="s">
        <v>103</v>
      </c>
      <c r="B53" s="74" t="s">
        <v>104</v>
      </c>
      <c r="C53" s="77">
        <v>17.039000000000001</v>
      </c>
      <c r="D53" s="75">
        <v>1305.8404</v>
      </c>
      <c r="E53" s="17">
        <v>22250.49</v>
      </c>
      <c r="F53" s="16">
        <v>30012</v>
      </c>
      <c r="G53" s="16">
        <f t="shared" si="41"/>
        <v>-7761.5099999999984</v>
      </c>
      <c r="H53" s="70">
        <f t="shared" si="42"/>
        <v>-0.2586135545781687</v>
      </c>
      <c r="I53" s="76">
        <v>44099</v>
      </c>
      <c r="J53" s="2" t="e">
        <f t="shared" ca="1" si="43"/>
        <v>#NAME?</v>
      </c>
      <c r="K53" s="2" t="e">
        <f t="shared" ca="1" si="44"/>
        <v>#NAME?</v>
      </c>
      <c r="L53" s="70" t="e">
        <f t="shared" ca="1" si="45"/>
        <v>#NAME?</v>
      </c>
      <c r="M53" s="70">
        <v>1.2327131053984655E-2</v>
      </c>
      <c r="N53" s="70">
        <v>0.02</v>
      </c>
      <c r="O53" s="2" t="str">
        <f t="shared" si="46"/>
        <v>Under-allocated</v>
      </c>
      <c r="P53" s="2" t="s">
        <v>22</v>
      </c>
      <c r="Q53" s="38" t="s">
        <v>102</v>
      </c>
      <c r="R53" s="2"/>
      <c r="S53" s="2"/>
      <c r="T53" s="39"/>
      <c r="U53" s="1"/>
      <c r="V53" s="1"/>
      <c r="W53" s="1"/>
      <c r="X53" s="1"/>
      <c r="Y53" s="1"/>
      <c r="Z53" s="1"/>
      <c r="AA53" s="1"/>
    </row>
    <row r="54" spans="1:27" ht="16" x14ac:dyDescent="0.2">
      <c r="A54" s="2" t="s">
        <v>105</v>
      </c>
      <c r="B54" s="74" t="s">
        <v>106</v>
      </c>
      <c r="C54" s="17">
        <v>10.76</v>
      </c>
      <c r="D54" s="78">
        <v>1764</v>
      </c>
      <c r="E54" s="16">
        <f t="shared" ref="E54:E57" si="47">C54*D54</f>
        <v>18980.64</v>
      </c>
      <c r="F54" s="16">
        <v>42795</v>
      </c>
      <c r="G54" s="16">
        <f t="shared" si="41"/>
        <v>-23814.36</v>
      </c>
      <c r="H54" s="70">
        <f t="shared" si="42"/>
        <v>-0.55647528916929545</v>
      </c>
      <c r="I54" s="76">
        <v>43897</v>
      </c>
      <c r="J54" s="2" t="e">
        <f t="shared" ca="1" si="43"/>
        <v>#NAME?</v>
      </c>
      <c r="K54" s="2" t="e">
        <f t="shared" ca="1" si="44"/>
        <v>#NAME?</v>
      </c>
      <c r="L54" s="70" t="e">
        <f t="shared" ca="1" si="45"/>
        <v>#NAME?</v>
      </c>
      <c r="M54" s="70">
        <v>1.9096832804673666E-2</v>
      </c>
      <c r="N54" s="70">
        <v>0.02</v>
      </c>
      <c r="O54" s="2" t="str">
        <f t="shared" si="46"/>
        <v>Under-allocated</v>
      </c>
      <c r="P54" s="2" t="s">
        <v>22</v>
      </c>
      <c r="Q54" s="38" t="s">
        <v>102</v>
      </c>
      <c r="R54" s="2"/>
      <c r="S54" s="2"/>
      <c r="T54" s="3"/>
    </row>
    <row r="55" spans="1:27" ht="16" x14ac:dyDescent="0.2">
      <c r="A55" s="2" t="s">
        <v>107</v>
      </c>
      <c r="B55" s="11" t="s">
        <v>108</v>
      </c>
      <c r="C55" s="12">
        <f ca="1">IFERROR(__xludf.DUMMYFUNCTION("GOOGLEFINANCE(B59)"),53.07)</f>
        <v>53.07</v>
      </c>
      <c r="D55" s="20">
        <v>779.8116</v>
      </c>
      <c r="E55" s="12">
        <f t="shared" ca="1" si="47"/>
        <v>41384.601611999999</v>
      </c>
      <c r="F55" s="13">
        <v>53801</v>
      </c>
      <c r="G55" s="12">
        <f t="shared" ca="1" si="41"/>
        <v>-12416.398388000001</v>
      </c>
      <c r="H55" s="14">
        <f t="shared" ca="1" si="42"/>
        <v>-0.23078378446497283</v>
      </c>
      <c r="I55" s="15">
        <v>43567</v>
      </c>
      <c r="J55" s="10" t="e">
        <f t="shared" ca="1" si="43"/>
        <v>#NAME?</v>
      </c>
      <c r="K55" s="10" t="e">
        <f t="shared" ca="1" si="44"/>
        <v>#NAME?</v>
      </c>
      <c r="L55" s="14" t="e">
        <f t="shared" ca="1" si="45"/>
        <v>#NAME?</v>
      </c>
      <c r="M55" s="14">
        <v>2.6010776173335897E-2</v>
      </c>
      <c r="N55" s="14">
        <v>0.05</v>
      </c>
      <c r="O55" s="10" t="str">
        <f t="shared" si="46"/>
        <v>Under-allocated</v>
      </c>
      <c r="P55" s="10" t="s">
        <v>22</v>
      </c>
      <c r="Q55" s="14">
        <f t="shared" ref="Q55:Q57" ca="1" si="48">E55/$E$48</f>
        <v>2.2130745553216286E-2</v>
      </c>
      <c r="R55" s="16">
        <v>62.97</v>
      </c>
      <c r="S55" s="17">
        <f t="shared" ref="S55:S57" si="49">R55*D55</f>
        <v>49104.736451999997</v>
      </c>
      <c r="T55" s="11" t="s">
        <v>108</v>
      </c>
      <c r="U55" s="14">
        <f t="shared" ref="U55:U57" ca="1" si="50">((E55/S55)-1)</f>
        <v>-0.15721772272510715</v>
      </c>
    </row>
    <row r="56" spans="1:27" ht="16" x14ac:dyDescent="0.2">
      <c r="A56" s="10" t="s">
        <v>109</v>
      </c>
      <c r="B56" s="11" t="s">
        <v>110</v>
      </c>
      <c r="C56" s="12">
        <f ca="1">IFERROR(__xludf.DUMMYFUNCTION("GOOGLEFINANCE(B60)"),4.78)</f>
        <v>4.78</v>
      </c>
      <c r="D56" s="20">
        <v>996.70259999999996</v>
      </c>
      <c r="E56" s="12">
        <f t="shared" ca="1" si="47"/>
        <v>4764.2384279999997</v>
      </c>
      <c r="F56" s="40">
        <v>15017</v>
      </c>
      <c r="G56" s="12">
        <f t="shared" ca="1" si="41"/>
        <v>-10252.761571999999</v>
      </c>
      <c r="H56" s="14">
        <f t="shared" ca="1" si="42"/>
        <v>-0.68274366198308578</v>
      </c>
      <c r="I56" s="15">
        <v>44101</v>
      </c>
      <c r="J56" s="10" t="e">
        <f t="shared" ca="1" si="43"/>
        <v>#NAME?</v>
      </c>
      <c r="K56" s="10" t="e">
        <f t="shared" ca="1" si="44"/>
        <v>#NAME?</v>
      </c>
      <c r="L56" s="14" t="e">
        <f t="shared" ca="1" si="45"/>
        <v>#NAME?</v>
      </c>
      <c r="M56" s="14">
        <v>6.0258933868495932E-3</v>
      </c>
      <c r="N56" s="14">
        <v>0.02</v>
      </c>
      <c r="O56" s="10" t="str">
        <f t="shared" si="46"/>
        <v>Under-allocated</v>
      </c>
      <c r="P56" s="10" t="s">
        <v>22</v>
      </c>
      <c r="Q56" s="14">
        <f t="shared" ca="1" si="48"/>
        <v>2.5477144710352984E-3</v>
      </c>
      <c r="R56" s="16">
        <v>11.53</v>
      </c>
      <c r="S56" s="17">
        <f t="shared" si="49"/>
        <v>11491.980978</v>
      </c>
      <c r="T56" s="11" t="s">
        <v>110</v>
      </c>
      <c r="U56" s="14">
        <f t="shared" ca="1" si="50"/>
        <v>-0.58542931483087601</v>
      </c>
    </row>
    <row r="57" spans="1:27" ht="16" x14ac:dyDescent="0.2">
      <c r="A57" s="79" t="s">
        <v>111</v>
      </c>
      <c r="B57" s="41" t="s">
        <v>112</v>
      </c>
      <c r="C57" s="12">
        <f ca="1">IFERROR(__xludf.DUMMYFUNCTION("GOOGLEFINANCE(B61)"),8.15)</f>
        <v>8.15</v>
      </c>
      <c r="D57" s="20">
        <v>254</v>
      </c>
      <c r="E57" s="12">
        <f t="shared" ca="1" si="47"/>
        <v>2070.1</v>
      </c>
      <c r="F57" s="42">
        <f ca="1">E57</f>
        <v>2070.1</v>
      </c>
      <c r="G57" s="80">
        <f t="shared" ca="1" si="41"/>
        <v>0</v>
      </c>
      <c r="H57" s="14">
        <f t="shared" ca="1" si="42"/>
        <v>0</v>
      </c>
      <c r="I57" s="46">
        <v>44978</v>
      </c>
      <c r="J57" s="10" t="e">
        <f t="shared" ca="1" si="43"/>
        <v>#NAME?</v>
      </c>
      <c r="K57" s="10" t="e">
        <f t="shared" ca="1" si="44"/>
        <v>#NAME?</v>
      </c>
      <c r="L57" s="14" t="e">
        <f t="shared" ca="1" si="45"/>
        <v>#NAME?</v>
      </c>
      <c r="M57" s="14">
        <v>2.4016749715591902E-3</v>
      </c>
      <c r="N57" s="44">
        <v>2.4016749715591902E-3</v>
      </c>
      <c r="O57" s="10" t="str">
        <f t="shared" si="46"/>
        <v>Over-allocated</v>
      </c>
      <c r="P57" s="10" t="s">
        <v>22</v>
      </c>
      <c r="Q57" s="14">
        <f t="shared" ca="1" si="48"/>
        <v>1.1070024739933465E-3</v>
      </c>
      <c r="R57" s="16">
        <v>9.5399999999999991</v>
      </c>
      <c r="S57" s="17">
        <f t="shared" si="49"/>
        <v>2423.16</v>
      </c>
      <c r="T57" s="41" t="s">
        <v>112</v>
      </c>
      <c r="U57" s="14">
        <f t="shared" ca="1" si="50"/>
        <v>-0.14570230607966461</v>
      </c>
    </row>
    <row r="58" spans="1:27" ht="16" x14ac:dyDescent="0.2">
      <c r="A58" s="2"/>
      <c r="B58" s="11"/>
      <c r="C58" s="12"/>
      <c r="D58" s="20"/>
      <c r="E58" s="12"/>
      <c r="F58" s="13"/>
      <c r="G58" s="12"/>
      <c r="H58" s="14"/>
      <c r="I58" s="15"/>
      <c r="L58" s="14"/>
      <c r="M58" s="14"/>
      <c r="N58" s="14"/>
      <c r="P58" s="10"/>
      <c r="Q58" s="14"/>
      <c r="R58" s="16"/>
      <c r="S58" s="17"/>
      <c r="T58" s="11"/>
      <c r="U58" s="14"/>
    </row>
    <row r="59" spans="1:27" ht="14" x14ac:dyDescent="0.15">
      <c r="D59" s="81" t="s">
        <v>113</v>
      </c>
      <c r="E59" s="29">
        <f t="shared" ref="E59:F59" si="51">SUM(E52:E54)</f>
        <v>89497.72</v>
      </c>
      <c r="F59" s="29">
        <f t="shared" si="51"/>
        <v>130750</v>
      </c>
      <c r="G59" s="29">
        <f>E59-F59</f>
        <v>-41252.28</v>
      </c>
      <c r="H59" s="31">
        <f>((E59/F59)-1)</f>
        <v>-0.31550500956022942</v>
      </c>
      <c r="I59" s="26"/>
      <c r="J59" s="26"/>
      <c r="K59" s="26"/>
      <c r="L59" s="26"/>
      <c r="M59" s="31">
        <f>SUM(M52:M54)</f>
        <v>6.293096374139702E-2</v>
      </c>
      <c r="N59" s="26"/>
      <c r="R59" s="2"/>
      <c r="S59" s="2"/>
      <c r="T59" s="3"/>
    </row>
    <row r="60" spans="1:27" ht="13" x14ac:dyDescent="0.15">
      <c r="R60" s="2"/>
      <c r="S60" s="2"/>
      <c r="T60" s="3"/>
    </row>
    <row r="61" spans="1:27" ht="16" x14ac:dyDescent="0.2">
      <c r="A61" s="82" t="s">
        <v>114</v>
      </c>
      <c r="B61" s="83" t="s">
        <v>115</v>
      </c>
      <c r="C61" s="84" t="str">
        <f ca="1">IFERROR(__xludf.DUMMYFUNCTION("GOOGLEFINANCE(B65)"),"#N/A")</f>
        <v>#N/A</v>
      </c>
      <c r="D61" s="85">
        <v>1082.51</v>
      </c>
      <c r="E61" s="84" t="e">
        <f ca="1">C61*D61</f>
        <v>#VALUE!</v>
      </c>
      <c r="F61" s="84">
        <v>29926</v>
      </c>
      <c r="G61" s="82" t="e">
        <f ca="1">E61-F61</f>
        <v>#VALUE!</v>
      </c>
      <c r="H61" s="86" t="e">
        <f ca="1">((E61/F61)-1)</f>
        <v>#VALUE!</v>
      </c>
      <c r="I61" s="87">
        <v>44102</v>
      </c>
      <c r="J61" s="82" t="e">
        <f ca="1">_xludf.DAYS(TODAY(),I61)</f>
        <v>#NAME?</v>
      </c>
      <c r="K61" s="82" t="e">
        <f ca="1">J61/365</f>
        <v>#NAME?</v>
      </c>
      <c r="L61" s="86" t="e">
        <f ca="1">H61/K61</f>
        <v>#VALUE!</v>
      </c>
      <c r="M61" s="86">
        <v>1.8700994779644063E-2</v>
      </c>
      <c r="N61" s="86">
        <v>0.02</v>
      </c>
      <c r="O61" s="82" t="str">
        <f>IF(N61&gt;M61,"Under-allocated","Over-allocated")</f>
        <v>Under-allocated</v>
      </c>
      <c r="P61" s="82" t="s">
        <v>22</v>
      </c>
      <c r="Q61" s="88" t="s">
        <v>116</v>
      </c>
      <c r="R61" s="2"/>
      <c r="S61" s="2"/>
      <c r="T61" s="3"/>
    </row>
    <row r="62" spans="1:27" ht="13" x14ac:dyDescent="0.15">
      <c r="R62" s="2"/>
      <c r="S62" s="2"/>
      <c r="T62" s="3"/>
    </row>
    <row r="63" spans="1:27" ht="13" x14ac:dyDescent="0.15">
      <c r="R63" s="2"/>
      <c r="S63" s="2"/>
      <c r="T63" s="3"/>
    </row>
    <row r="64" spans="1:27" ht="13" x14ac:dyDescent="0.15">
      <c r="R64" s="2"/>
      <c r="S64" s="2"/>
      <c r="T64" s="3"/>
    </row>
    <row r="65" spans="10:20" ht="13" x14ac:dyDescent="0.15">
      <c r="J65" s="14"/>
      <c r="R65" s="2"/>
      <c r="S65" s="2"/>
      <c r="T65" s="3"/>
    </row>
    <row r="66" spans="10:20" ht="13" x14ac:dyDescent="0.15">
      <c r="L66" s="12">
        <f>(4/10.17)*154361.15</f>
        <v>60712.350049164212</v>
      </c>
      <c r="T66" s="3"/>
    </row>
    <row r="67" spans="10:20" ht="13" x14ac:dyDescent="0.15">
      <c r="T67" s="3"/>
    </row>
    <row r="68" spans="10:20" ht="13" x14ac:dyDescent="0.15">
      <c r="T68" s="3"/>
    </row>
    <row r="69" spans="10:20" ht="13" x14ac:dyDescent="0.15">
      <c r="T69" s="3"/>
    </row>
    <row r="70" spans="10:20" ht="13" x14ac:dyDescent="0.15">
      <c r="T70" s="3"/>
    </row>
    <row r="71" spans="10:20" ht="13" x14ac:dyDescent="0.15">
      <c r="T71" s="3"/>
    </row>
    <row r="72" spans="10:20" ht="13" x14ac:dyDescent="0.15">
      <c r="T72" s="3"/>
    </row>
    <row r="73" spans="10:20" ht="13" x14ac:dyDescent="0.15">
      <c r="T73" s="3"/>
    </row>
    <row r="74" spans="10:20" ht="13" x14ac:dyDescent="0.15">
      <c r="T74" s="3"/>
    </row>
    <row r="75" spans="10:20" ht="13" x14ac:dyDescent="0.15">
      <c r="T75" s="3"/>
    </row>
    <row r="76" spans="10:20" ht="13" x14ac:dyDescent="0.15">
      <c r="T76" s="3"/>
    </row>
    <row r="77" spans="10:20" ht="13" x14ac:dyDescent="0.15">
      <c r="T77" s="3"/>
    </row>
    <row r="78" spans="10:20" ht="13" x14ac:dyDescent="0.15">
      <c r="T78" s="3"/>
    </row>
    <row r="79" spans="10:20" ht="13" x14ac:dyDescent="0.15">
      <c r="T79" s="3"/>
    </row>
    <row r="80" spans="10:20" ht="13" x14ac:dyDescent="0.15">
      <c r="T80" s="3"/>
    </row>
    <row r="81" spans="20:20" ht="13" x14ac:dyDescent="0.15">
      <c r="T81" s="3"/>
    </row>
    <row r="82" spans="20:20" ht="13" x14ac:dyDescent="0.15">
      <c r="T82" s="3"/>
    </row>
    <row r="83" spans="20:20" ht="13" x14ac:dyDescent="0.15">
      <c r="T83" s="3"/>
    </row>
    <row r="84" spans="20:20" ht="13" x14ac:dyDescent="0.15">
      <c r="T84" s="3"/>
    </row>
    <row r="85" spans="20:20" ht="13" x14ac:dyDescent="0.15">
      <c r="T85" s="3"/>
    </row>
    <row r="86" spans="20:20" ht="13" x14ac:dyDescent="0.15">
      <c r="T86" s="3"/>
    </row>
    <row r="87" spans="20:20" ht="13" x14ac:dyDescent="0.15">
      <c r="T87" s="3"/>
    </row>
    <row r="88" spans="20:20" ht="13" x14ac:dyDescent="0.15">
      <c r="T88" s="3"/>
    </row>
    <row r="89" spans="20:20" ht="13" x14ac:dyDescent="0.15">
      <c r="T89" s="3"/>
    </row>
    <row r="90" spans="20:20" ht="13" x14ac:dyDescent="0.15">
      <c r="T90" s="3"/>
    </row>
    <row r="91" spans="20:20" ht="13" x14ac:dyDescent="0.15">
      <c r="T91" s="3"/>
    </row>
    <row r="92" spans="20:20" ht="13" x14ac:dyDescent="0.15">
      <c r="T92" s="3"/>
    </row>
    <row r="93" spans="20:20" ht="13" x14ac:dyDescent="0.15">
      <c r="T93" s="3"/>
    </row>
    <row r="94" spans="20:20" ht="13" x14ac:dyDescent="0.15">
      <c r="T94" s="3"/>
    </row>
    <row r="95" spans="20:20" ht="13" x14ac:dyDescent="0.15">
      <c r="T95" s="3"/>
    </row>
    <row r="96" spans="20:20" ht="13" x14ac:dyDescent="0.15">
      <c r="T96" s="3"/>
    </row>
    <row r="97" spans="20:20" ht="13" x14ac:dyDescent="0.15">
      <c r="T97" s="3"/>
    </row>
    <row r="98" spans="20:20" ht="13" x14ac:dyDescent="0.15">
      <c r="T98" s="3"/>
    </row>
    <row r="99" spans="20:20" ht="13" x14ac:dyDescent="0.15">
      <c r="T99" s="3"/>
    </row>
    <row r="100" spans="20:20" ht="13" x14ac:dyDescent="0.15">
      <c r="T100" s="3"/>
    </row>
    <row r="101" spans="20:20" ht="13" x14ac:dyDescent="0.15">
      <c r="T101" s="3"/>
    </row>
    <row r="102" spans="20:20" ht="13" x14ac:dyDescent="0.15">
      <c r="T102" s="3"/>
    </row>
    <row r="103" spans="20:20" ht="13" x14ac:dyDescent="0.15">
      <c r="T103" s="3"/>
    </row>
    <row r="104" spans="20:20" ht="13" x14ac:dyDescent="0.15">
      <c r="T104" s="3"/>
    </row>
    <row r="105" spans="20:20" ht="13" x14ac:dyDescent="0.15">
      <c r="T105" s="3"/>
    </row>
    <row r="106" spans="20:20" ht="13" x14ac:dyDescent="0.15">
      <c r="T106" s="3"/>
    </row>
    <row r="107" spans="20:20" ht="13" x14ac:dyDescent="0.15">
      <c r="T107" s="3"/>
    </row>
    <row r="108" spans="20:20" ht="13" x14ac:dyDescent="0.15">
      <c r="T108" s="3"/>
    </row>
    <row r="109" spans="20:20" ht="13" x14ac:dyDescent="0.15">
      <c r="T109" s="3"/>
    </row>
    <row r="110" spans="20:20" ht="13" x14ac:dyDescent="0.15">
      <c r="T110" s="3"/>
    </row>
    <row r="111" spans="20:20" ht="13" x14ac:dyDescent="0.15">
      <c r="T111" s="3"/>
    </row>
    <row r="112" spans="20:20" ht="13" x14ac:dyDescent="0.15">
      <c r="T112" s="3"/>
    </row>
    <row r="113" spans="20:20" ht="13" x14ac:dyDescent="0.15">
      <c r="T113" s="3"/>
    </row>
    <row r="114" spans="20:20" ht="13" x14ac:dyDescent="0.15">
      <c r="T114" s="3"/>
    </row>
    <row r="115" spans="20:20" ht="13" x14ac:dyDescent="0.15">
      <c r="T115" s="3"/>
    </row>
    <row r="116" spans="20:20" ht="13" x14ac:dyDescent="0.15">
      <c r="T116" s="3"/>
    </row>
    <row r="117" spans="20:20" ht="13" x14ac:dyDescent="0.15">
      <c r="T117" s="3"/>
    </row>
    <row r="118" spans="20:20" ht="13" x14ac:dyDescent="0.15">
      <c r="T118" s="3"/>
    </row>
    <row r="119" spans="20:20" ht="13" x14ac:dyDescent="0.15">
      <c r="T119" s="3"/>
    </row>
    <row r="120" spans="20:20" ht="13" x14ac:dyDescent="0.15">
      <c r="T120" s="3"/>
    </row>
    <row r="121" spans="20:20" ht="13" x14ac:dyDescent="0.15">
      <c r="T121" s="3"/>
    </row>
    <row r="122" spans="20:20" ht="13" x14ac:dyDescent="0.15">
      <c r="T122" s="3"/>
    </row>
    <row r="123" spans="20:20" ht="13" x14ac:dyDescent="0.15">
      <c r="T123" s="3"/>
    </row>
    <row r="124" spans="20:20" ht="13" x14ac:dyDescent="0.15">
      <c r="T124" s="3"/>
    </row>
    <row r="125" spans="20:20" ht="13" x14ac:dyDescent="0.15">
      <c r="T125" s="3"/>
    </row>
    <row r="126" spans="20:20" ht="13" x14ac:dyDescent="0.15">
      <c r="T126" s="3"/>
    </row>
    <row r="127" spans="20:20" ht="13" x14ac:dyDescent="0.15">
      <c r="T127" s="3"/>
    </row>
    <row r="128" spans="20:20" ht="13" x14ac:dyDescent="0.15">
      <c r="T128" s="3"/>
    </row>
    <row r="129" spans="20:20" ht="13" x14ac:dyDescent="0.15">
      <c r="T129" s="3"/>
    </row>
    <row r="130" spans="20:20" ht="13" x14ac:dyDescent="0.15">
      <c r="T130" s="3"/>
    </row>
    <row r="131" spans="20:20" ht="13" x14ac:dyDescent="0.15">
      <c r="T131" s="3"/>
    </row>
    <row r="132" spans="20:20" ht="13" x14ac:dyDescent="0.15">
      <c r="T132" s="3"/>
    </row>
    <row r="133" spans="20:20" ht="13" x14ac:dyDescent="0.15">
      <c r="T133" s="3"/>
    </row>
    <row r="134" spans="20:20" ht="13" x14ac:dyDescent="0.15">
      <c r="T134" s="3"/>
    </row>
    <row r="135" spans="20:20" ht="13" x14ac:dyDescent="0.15">
      <c r="T135" s="3"/>
    </row>
    <row r="136" spans="20:20" ht="13" x14ac:dyDescent="0.15">
      <c r="T136" s="3"/>
    </row>
    <row r="137" spans="20:20" ht="13" x14ac:dyDescent="0.15">
      <c r="T137" s="3"/>
    </row>
    <row r="138" spans="20:20" ht="13" x14ac:dyDescent="0.15">
      <c r="T138" s="3"/>
    </row>
    <row r="139" spans="20:20" ht="13" x14ac:dyDescent="0.15">
      <c r="T139" s="3"/>
    </row>
    <row r="140" spans="20:20" ht="13" x14ac:dyDescent="0.15">
      <c r="T140" s="3"/>
    </row>
    <row r="141" spans="20:20" ht="13" x14ac:dyDescent="0.15">
      <c r="T141" s="3"/>
    </row>
    <row r="142" spans="20:20" ht="13" x14ac:dyDescent="0.15">
      <c r="T142" s="3"/>
    </row>
    <row r="143" spans="20:20" ht="13" x14ac:dyDescent="0.15">
      <c r="T143" s="3"/>
    </row>
    <row r="144" spans="20:20" ht="13" x14ac:dyDescent="0.15">
      <c r="T144" s="3"/>
    </row>
    <row r="145" spans="20:20" ht="13" x14ac:dyDescent="0.15">
      <c r="T145" s="3"/>
    </row>
    <row r="146" spans="20:20" ht="13" x14ac:dyDescent="0.15">
      <c r="T146" s="3"/>
    </row>
    <row r="147" spans="20:20" ht="13" x14ac:dyDescent="0.15">
      <c r="T147" s="3"/>
    </row>
    <row r="148" spans="20:20" ht="13" x14ac:dyDescent="0.15">
      <c r="T148" s="3"/>
    </row>
    <row r="149" spans="20:20" ht="13" x14ac:dyDescent="0.15">
      <c r="T149" s="3"/>
    </row>
    <row r="150" spans="20:20" ht="13" x14ac:dyDescent="0.15">
      <c r="T150" s="3"/>
    </row>
    <row r="151" spans="20:20" ht="13" x14ac:dyDescent="0.15">
      <c r="T151" s="3"/>
    </row>
    <row r="152" spans="20:20" ht="13" x14ac:dyDescent="0.15">
      <c r="T152" s="3"/>
    </row>
    <row r="153" spans="20:20" ht="13" x14ac:dyDescent="0.15">
      <c r="T153" s="3"/>
    </row>
    <row r="154" spans="20:20" ht="13" x14ac:dyDescent="0.15">
      <c r="T154" s="3"/>
    </row>
    <row r="155" spans="20:20" ht="13" x14ac:dyDescent="0.15">
      <c r="T155" s="3"/>
    </row>
    <row r="156" spans="20:20" ht="13" x14ac:dyDescent="0.15">
      <c r="T156" s="3"/>
    </row>
    <row r="157" spans="20:20" ht="13" x14ac:dyDescent="0.15">
      <c r="T157" s="3"/>
    </row>
    <row r="158" spans="20:20" ht="13" x14ac:dyDescent="0.15">
      <c r="T158" s="3"/>
    </row>
    <row r="159" spans="20:20" ht="13" x14ac:dyDescent="0.15">
      <c r="T159" s="3"/>
    </row>
    <row r="160" spans="20:20" ht="13" x14ac:dyDescent="0.15">
      <c r="T160" s="3"/>
    </row>
    <row r="161" spans="20:20" ht="13" x14ac:dyDescent="0.15">
      <c r="T161" s="3"/>
    </row>
    <row r="162" spans="20:20" ht="13" x14ac:dyDescent="0.15">
      <c r="T162" s="3"/>
    </row>
    <row r="163" spans="20:20" ht="13" x14ac:dyDescent="0.15">
      <c r="T163" s="3"/>
    </row>
    <row r="164" spans="20:20" ht="13" x14ac:dyDescent="0.15">
      <c r="T164" s="3"/>
    </row>
    <row r="165" spans="20:20" ht="13" x14ac:dyDescent="0.15">
      <c r="T165" s="3"/>
    </row>
    <row r="166" spans="20:20" ht="13" x14ac:dyDescent="0.15">
      <c r="T166" s="3"/>
    </row>
    <row r="167" spans="20:20" ht="13" x14ac:dyDescent="0.15">
      <c r="T167" s="3"/>
    </row>
    <row r="168" spans="20:20" ht="13" x14ac:dyDescent="0.15">
      <c r="T168" s="3"/>
    </row>
    <row r="169" spans="20:20" ht="13" x14ac:dyDescent="0.15">
      <c r="T169" s="3"/>
    </row>
    <row r="170" spans="20:20" ht="13" x14ac:dyDescent="0.15">
      <c r="T170" s="3"/>
    </row>
    <row r="171" spans="20:20" ht="13" x14ac:dyDescent="0.15">
      <c r="T171" s="3"/>
    </row>
    <row r="172" spans="20:20" ht="13" x14ac:dyDescent="0.15">
      <c r="T172" s="3"/>
    </row>
    <row r="173" spans="20:20" ht="13" x14ac:dyDescent="0.15">
      <c r="T173" s="3"/>
    </row>
    <row r="174" spans="20:20" ht="13" x14ac:dyDescent="0.15">
      <c r="T174" s="3"/>
    </row>
    <row r="175" spans="20:20" ht="13" x14ac:dyDescent="0.15">
      <c r="T175" s="3"/>
    </row>
    <row r="176" spans="20:20" ht="13" x14ac:dyDescent="0.15">
      <c r="T176" s="3"/>
    </row>
    <row r="177" spans="20:20" ht="13" x14ac:dyDescent="0.15">
      <c r="T177" s="3"/>
    </row>
    <row r="178" spans="20:20" ht="13" x14ac:dyDescent="0.15">
      <c r="T178" s="3"/>
    </row>
    <row r="179" spans="20:20" ht="13" x14ac:dyDescent="0.15">
      <c r="T179" s="3"/>
    </row>
    <row r="180" spans="20:20" ht="13" x14ac:dyDescent="0.15">
      <c r="T180" s="3"/>
    </row>
    <row r="181" spans="20:20" ht="13" x14ac:dyDescent="0.15">
      <c r="T181" s="3"/>
    </row>
    <row r="182" spans="20:20" ht="13" x14ac:dyDescent="0.15">
      <c r="T182" s="3"/>
    </row>
    <row r="183" spans="20:20" ht="13" x14ac:dyDescent="0.15">
      <c r="T183" s="3"/>
    </row>
    <row r="184" spans="20:20" ht="13" x14ac:dyDescent="0.15">
      <c r="T184" s="3"/>
    </row>
    <row r="185" spans="20:20" ht="13" x14ac:dyDescent="0.15">
      <c r="T185" s="3"/>
    </row>
    <row r="186" spans="20:20" ht="13" x14ac:dyDescent="0.15">
      <c r="T186" s="3"/>
    </row>
    <row r="187" spans="20:20" ht="13" x14ac:dyDescent="0.15">
      <c r="T187" s="3"/>
    </row>
    <row r="188" spans="20:20" ht="13" x14ac:dyDescent="0.15">
      <c r="T188" s="3"/>
    </row>
    <row r="189" spans="20:20" ht="13" x14ac:dyDescent="0.15">
      <c r="T189" s="3"/>
    </row>
    <row r="190" spans="20:20" ht="13" x14ac:dyDescent="0.15">
      <c r="T190" s="3"/>
    </row>
    <row r="191" spans="20:20" ht="13" x14ac:dyDescent="0.15">
      <c r="T191" s="3"/>
    </row>
    <row r="192" spans="20:20" ht="13" x14ac:dyDescent="0.15">
      <c r="T192" s="3"/>
    </row>
    <row r="193" spans="20:20" ht="13" x14ac:dyDescent="0.15">
      <c r="T193" s="3"/>
    </row>
    <row r="194" spans="20:20" ht="13" x14ac:dyDescent="0.15">
      <c r="T194" s="3"/>
    </row>
    <row r="195" spans="20:20" ht="13" x14ac:dyDescent="0.15">
      <c r="T195" s="3"/>
    </row>
    <row r="196" spans="20:20" ht="13" x14ac:dyDescent="0.15">
      <c r="T196" s="3"/>
    </row>
    <row r="197" spans="20:20" ht="13" x14ac:dyDescent="0.15">
      <c r="T197" s="3"/>
    </row>
    <row r="198" spans="20:20" ht="13" x14ac:dyDescent="0.15">
      <c r="T198" s="3"/>
    </row>
    <row r="199" spans="20:20" ht="13" x14ac:dyDescent="0.15">
      <c r="T199" s="3"/>
    </row>
    <row r="200" spans="20:20" ht="13" x14ac:dyDescent="0.15">
      <c r="T200" s="3"/>
    </row>
    <row r="201" spans="20:20" ht="13" x14ac:dyDescent="0.15">
      <c r="T201" s="3"/>
    </row>
    <row r="202" spans="20:20" ht="13" x14ac:dyDescent="0.15">
      <c r="T202" s="3"/>
    </row>
    <row r="203" spans="20:20" ht="13" x14ac:dyDescent="0.15">
      <c r="T203" s="3"/>
    </row>
    <row r="204" spans="20:20" ht="13" x14ac:dyDescent="0.15">
      <c r="T204" s="3"/>
    </row>
    <row r="205" spans="20:20" ht="13" x14ac:dyDescent="0.15">
      <c r="T205" s="3"/>
    </row>
    <row r="206" spans="20:20" ht="13" x14ac:dyDescent="0.15">
      <c r="T206" s="3"/>
    </row>
    <row r="207" spans="20:20" ht="13" x14ac:dyDescent="0.15">
      <c r="T207" s="3"/>
    </row>
    <row r="208" spans="20:20" ht="13" x14ac:dyDescent="0.15">
      <c r="T208" s="3"/>
    </row>
    <row r="209" spans="20:20" ht="13" x14ac:dyDescent="0.15">
      <c r="T209" s="3"/>
    </row>
    <row r="210" spans="20:20" ht="13" x14ac:dyDescent="0.15">
      <c r="T210" s="3"/>
    </row>
    <row r="211" spans="20:20" ht="13" x14ac:dyDescent="0.15">
      <c r="T211" s="3"/>
    </row>
    <row r="212" spans="20:20" ht="13" x14ac:dyDescent="0.15">
      <c r="T212" s="3"/>
    </row>
    <row r="213" spans="20:20" ht="13" x14ac:dyDescent="0.15">
      <c r="T213" s="3"/>
    </row>
    <row r="214" spans="20:20" ht="13" x14ac:dyDescent="0.15">
      <c r="T214" s="3"/>
    </row>
    <row r="215" spans="20:20" ht="13" x14ac:dyDescent="0.15">
      <c r="T215" s="3"/>
    </row>
    <row r="216" spans="20:20" ht="13" x14ac:dyDescent="0.15">
      <c r="T216" s="3"/>
    </row>
    <row r="217" spans="20:20" ht="13" x14ac:dyDescent="0.15">
      <c r="T217" s="3"/>
    </row>
    <row r="218" spans="20:20" ht="13" x14ac:dyDescent="0.15">
      <c r="T218" s="3"/>
    </row>
    <row r="219" spans="20:20" ht="13" x14ac:dyDescent="0.15">
      <c r="T219" s="3"/>
    </row>
    <row r="220" spans="20:20" ht="13" x14ac:dyDescent="0.15">
      <c r="T220" s="3"/>
    </row>
    <row r="221" spans="20:20" ht="13" x14ac:dyDescent="0.15">
      <c r="T221" s="3"/>
    </row>
    <row r="222" spans="20:20" ht="13" x14ac:dyDescent="0.15">
      <c r="T222" s="3"/>
    </row>
    <row r="223" spans="20:20" ht="13" x14ac:dyDescent="0.15">
      <c r="T223" s="3"/>
    </row>
    <row r="224" spans="20:20" ht="13" x14ac:dyDescent="0.15">
      <c r="T224" s="3"/>
    </row>
    <row r="225" spans="20:20" ht="13" x14ac:dyDescent="0.15">
      <c r="T225" s="3"/>
    </row>
    <row r="226" spans="20:20" ht="13" x14ac:dyDescent="0.15">
      <c r="T226" s="3"/>
    </row>
    <row r="227" spans="20:20" ht="13" x14ac:dyDescent="0.15">
      <c r="T227" s="3"/>
    </row>
    <row r="228" spans="20:20" ht="13" x14ac:dyDescent="0.15">
      <c r="T228" s="3"/>
    </row>
    <row r="229" spans="20:20" ht="13" x14ac:dyDescent="0.15">
      <c r="T229" s="3"/>
    </row>
    <row r="230" spans="20:20" ht="13" x14ac:dyDescent="0.15">
      <c r="T230" s="3"/>
    </row>
    <row r="231" spans="20:20" ht="13" x14ac:dyDescent="0.15">
      <c r="T231" s="3"/>
    </row>
    <row r="232" spans="20:20" ht="13" x14ac:dyDescent="0.15">
      <c r="T232" s="3"/>
    </row>
    <row r="233" spans="20:20" ht="13" x14ac:dyDescent="0.15">
      <c r="T233" s="3"/>
    </row>
    <row r="234" spans="20:20" ht="13" x14ac:dyDescent="0.15">
      <c r="T234" s="3"/>
    </row>
    <row r="235" spans="20:20" ht="13" x14ac:dyDescent="0.15">
      <c r="T235" s="3"/>
    </row>
    <row r="236" spans="20:20" ht="13" x14ac:dyDescent="0.15">
      <c r="T236" s="3"/>
    </row>
    <row r="237" spans="20:20" ht="13" x14ac:dyDescent="0.15">
      <c r="T237" s="3"/>
    </row>
    <row r="238" spans="20:20" ht="13" x14ac:dyDescent="0.15">
      <c r="T238" s="3"/>
    </row>
    <row r="239" spans="20:20" ht="13" x14ac:dyDescent="0.15">
      <c r="T239" s="3"/>
    </row>
    <row r="240" spans="20:20" ht="13" x14ac:dyDescent="0.15">
      <c r="T240" s="3"/>
    </row>
    <row r="241" spans="20:20" ht="13" x14ac:dyDescent="0.15">
      <c r="T241" s="3"/>
    </row>
    <row r="242" spans="20:20" ht="13" x14ac:dyDescent="0.15">
      <c r="T242" s="3"/>
    </row>
    <row r="243" spans="20:20" ht="13" x14ac:dyDescent="0.15">
      <c r="T243" s="3"/>
    </row>
    <row r="244" spans="20:20" ht="13" x14ac:dyDescent="0.15">
      <c r="T244" s="3"/>
    </row>
    <row r="245" spans="20:20" ht="13" x14ac:dyDescent="0.15">
      <c r="T245" s="3"/>
    </row>
    <row r="246" spans="20:20" ht="13" x14ac:dyDescent="0.15">
      <c r="T246" s="3"/>
    </row>
    <row r="247" spans="20:20" ht="13" x14ac:dyDescent="0.15">
      <c r="T247" s="3"/>
    </row>
    <row r="248" spans="20:20" ht="13" x14ac:dyDescent="0.15">
      <c r="T248" s="3"/>
    </row>
    <row r="249" spans="20:20" ht="13" x14ac:dyDescent="0.15">
      <c r="T249" s="3"/>
    </row>
    <row r="250" spans="20:20" ht="13" x14ac:dyDescent="0.15">
      <c r="T250" s="3"/>
    </row>
    <row r="251" spans="20:20" ht="13" x14ac:dyDescent="0.15">
      <c r="T251" s="3"/>
    </row>
    <row r="252" spans="20:20" ht="13" x14ac:dyDescent="0.15">
      <c r="T252" s="3"/>
    </row>
    <row r="253" spans="20:20" ht="13" x14ac:dyDescent="0.15">
      <c r="T253" s="3"/>
    </row>
    <row r="254" spans="20:20" ht="13" x14ac:dyDescent="0.15">
      <c r="T254" s="3"/>
    </row>
    <row r="255" spans="20:20" ht="13" x14ac:dyDescent="0.15">
      <c r="T255" s="3"/>
    </row>
    <row r="256" spans="20:20" ht="13" x14ac:dyDescent="0.15">
      <c r="T256" s="3"/>
    </row>
    <row r="257" spans="20:20" ht="13" x14ac:dyDescent="0.15">
      <c r="T257" s="3"/>
    </row>
    <row r="258" spans="20:20" ht="13" x14ac:dyDescent="0.15">
      <c r="T258" s="3"/>
    </row>
    <row r="259" spans="20:20" ht="13" x14ac:dyDescent="0.15">
      <c r="T259" s="3"/>
    </row>
    <row r="260" spans="20:20" ht="13" x14ac:dyDescent="0.15">
      <c r="T260" s="3"/>
    </row>
    <row r="261" spans="20:20" ht="13" x14ac:dyDescent="0.15">
      <c r="T261" s="3"/>
    </row>
    <row r="262" spans="20:20" ht="13" x14ac:dyDescent="0.15">
      <c r="T262" s="3"/>
    </row>
    <row r="263" spans="20:20" ht="13" x14ac:dyDescent="0.15">
      <c r="T263" s="3"/>
    </row>
    <row r="264" spans="20:20" ht="13" x14ac:dyDescent="0.15">
      <c r="T264" s="3"/>
    </row>
    <row r="265" spans="20:20" ht="13" x14ac:dyDescent="0.15">
      <c r="T265" s="3"/>
    </row>
    <row r="266" spans="20:20" ht="13" x14ac:dyDescent="0.15">
      <c r="T266" s="3"/>
    </row>
    <row r="267" spans="20:20" ht="13" x14ac:dyDescent="0.15">
      <c r="T267" s="3"/>
    </row>
    <row r="268" spans="20:20" ht="13" x14ac:dyDescent="0.15">
      <c r="T268" s="3"/>
    </row>
    <row r="269" spans="20:20" ht="13" x14ac:dyDescent="0.15">
      <c r="T269" s="3"/>
    </row>
    <row r="270" spans="20:20" ht="13" x14ac:dyDescent="0.15">
      <c r="T270" s="3"/>
    </row>
    <row r="271" spans="20:20" ht="13" x14ac:dyDescent="0.15">
      <c r="T271" s="3"/>
    </row>
    <row r="272" spans="20:20" ht="13" x14ac:dyDescent="0.15">
      <c r="T272" s="3"/>
    </row>
    <row r="273" spans="20:20" ht="13" x14ac:dyDescent="0.15">
      <c r="T273" s="3"/>
    </row>
    <row r="274" spans="20:20" ht="13" x14ac:dyDescent="0.15">
      <c r="T274" s="3"/>
    </row>
    <row r="275" spans="20:20" ht="13" x14ac:dyDescent="0.15">
      <c r="T275" s="3"/>
    </row>
    <row r="276" spans="20:20" ht="13" x14ac:dyDescent="0.15">
      <c r="T276" s="3"/>
    </row>
    <row r="277" spans="20:20" ht="13" x14ac:dyDescent="0.15">
      <c r="T277" s="3"/>
    </row>
    <row r="278" spans="20:20" ht="13" x14ac:dyDescent="0.15">
      <c r="T278" s="3"/>
    </row>
    <row r="279" spans="20:20" ht="13" x14ac:dyDescent="0.15">
      <c r="T279" s="3"/>
    </row>
    <row r="280" spans="20:20" ht="13" x14ac:dyDescent="0.15">
      <c r="T280" s="3"/>
    </row>
    <row r="281" spans="20:20" ht="13" x14ac:dyDescent="0.15">
      <c r="T281" s="3"/>
    </row>
    <row r="282" spans="20:20" ht="13" x14ac:dyDescent="0.15">
      <c r="T282" s="3"/>
    </row>
    <row r="283" spans="20:20" ht="13" x14ac:dyDescent="0.15">
      <c r="T283" s="3"/>
    </row>
    <row r="284" spans="20:20" ht="13" x14ac:dyDescent="0.15">
      <c r="T284" s="3"/>
    </row>
    <row r="285" spans="20:20" ht="13" x14ac:dyDescent="0.15">
      <c r="T285" s="3"/>
    </row>
    <row r="286" spans="20:20" ht="13" x14ac:dyDescent="0.15">
      <c r="T286" s="3"/>
    </row>
    <row r="287" spans="20:20" ht="13" x14ac:dyDescent="0.15">
      <c r="T287" s="3"/>
    </row>
    <row r="288" spans="20:20" ht="13" x14ac:dyDescent="0.15">
      <c r="T288" s="3"/>
    </row>
    <row r="289" spans="20:20" ht="13" x14ac:dyDescent="0.15">
      <c r="T289" s="3"/>
    </row>
    <row r="290" spans="20:20" ht="13" x14ac:dyDescent="0.15">
      <c r="T290" s="3"/>
    </row>
    <row r="291" spans="20:20" ht="13" x14ac:dyDescent="0.15">
      <c r="T291" s="3"/>
    </row>
    <row r="292" spans="20:20" ht="13" x14ac:dyDescent="0.15">
      <c r="T292" s="3"/>
    </row>
    <row r="293" spans="20:20" ht="13" x14ac:dyDescent="0.15">
      <c r="T293" s="3"/>
    </row>
    <row r="294" spans="20:20" ht="13" x14ac:dyDescent="0.15">
      <c r="T294" s="3"/>
    </row>
    <row r="295" spans="20:20" ht="13" x14ac:dyDescent="0.15">
      <c r="T295" s="3"/>
    </row>
    <row r="296" spans="20:20" ht="13" x14ac:dyDescent="0.15">
      <c r="T296" s="3"/>
    </row>
    <row r="297" spans="20:20" ht="13" x14ac:dyDescent="0.15">
      <c r="T297" s="3"/>
    </row>
    <row r="298" spans="20:20" ht="13" x14ac:dyDescent="0.15">
      <c r="T298" s="3"/>
    </row>
    <row r="299" spans="20:20" ht="13" x14ac:dyDescent="0.15">
      <c r="T299" s="3"/>
    </row>
    <row r="300" spans="20:20" ht="13" x14ac:dyDescent="0.15">
      <c r="T300" s="3"/>
    </row>
    <row r="301" spans="20:20" ht="13" x14ac:dyDescent="0.15">
      <c r="T301" s="3"/>
    </row>
    <row r="302" spans="20:20" ht="13" x14ac:dyDescent="0.15">
      <c r="T302" s="3"/>
    </row>
    <row r="303" spans="20:20" ht="13" x14ac:dyDescent="0.15">
      <c r="T303" s="3"/>
    </row>
    <row r="304" spans="20:20" ht="13" x14ac:dyDescent="0.15">
      <c r="T304" s="3"/>
    </row>
    <row r="305" spans="20:20" ht="13" x14ac:dyDescent="0.15">
      <c r="T305" s="3"/>
    </row>
    <row r="306" spans="20:20" ht="13" x14ac:dyDescent="0.15">
      <c r="T306" s="3"/>
    </row>
    <row r="307" spans="20:20" ht="13" x14ac:dyDescent="0.15">
      <c r="T307" s="3"/>
    </row>
    <row r="308" spans="20:20" ht="13" x14ac:dyDescent="0.15">
      <c r="T308" s="3"/>
    </row>
    <row r="309" spans="20:20" ht="13" x14ac:dyDescent="0.15">
      <c r="T309" s="3"/>
    </row>
    <row r="310" spans="20:20" ht="13" x14ac:dyDescent="0.15">
      <c r="T310" s="3"/>
    </row>
    <row r="311" spans="20:20" ht="13" x14ac:dyDescent="0.15">
      <c r="T311" s="3"/>
    </row>
    <row r="312" spans="20:20" ht="13" x14ac:dyDescent="0.15">
      <c r="T312" s="3"/>
    </row>
    <row r="313" spans="20:20" ht="13" x14ac:dyDescent="0.15">
      <c r="T313" s="3"/>
    </row>
    <row r="314" spans="20:20" ht="13" x14ac:dyDescent="0.15">
      <c r="T314" s="3"/>
    </row>
    <row r="315" spans="20:20" ht="13" x14ac:dyDescent="0.15">
      <c r="T315" s="3"/>
    </row>
    <row r="316" spans="20:20" ht="13" x14ac:dyDescent="0.15">
      <c r="T316" s="3"/>
    </row>
    <row r="317" spans="20:20" ht="13" x14ac:dyDescent="0.15">
      <c r="T317" s="3"/>
    </row>
    <row r="318" spans="20:20" ht="13" x14ac:dyDescent="0.15">
      <c r="T318" s="3"/>
    </row>
    <row r="319" spans="20:20" ht="13" x14ac:dyDescent="0.15">
      <c r="T319" s="3"/>
    </row>
    <row r="320" spans="20:20" ht="13" x14ac:dyDescent="0.15">
      <c r="T320" s="3"/>
    </row>
    <row r="321" spans="20:20" ht="13" x14ac:dyDescent="0.15">
      <c r="T321" s="3"/>
    </row>
    <row r="322" spans="20:20" ht="13" x14ac:dyDescent="0.15">
      <c r="T322" s="3"/>
    </row>
    <row r="323" spans="20:20" ht="13" x14ac:dyDescent="0.15">
      <c r="T323" s="3"/>
    </row>
    <row r="324" spans="20:20" ht="13" x14ac:dyDescent="0.15">
      <c r="T324" s="3"/>
    </row>
    <row r="325" spans="20:20" ht="13" x14ac:dyDescent="0.15">
      <c r="T325" s="3"/>
    </row>
    <row r="326" spans="20:20" ht="13" x14ac:dyDescent="0.15">
      <c r="T326" s="3"/>
    </row>
    <row r="327" spans="20:20" ht="13" x14ac:dyDescent="0.15">
      <c r="T327" s="3"/>
    </row>
    <row r="328" spans="20:20" ht="13" x14ac:dyDescent="0.15">
      <c r="T328" s="3"/>
    </row>
    <row r="329" spans="20:20" ht="13" x14ac:dyDescent="0.15">
      <c r="T329" s="3"/>
    </row>
    <row r="330" spans="20:20" ht="13" x14ac:dyDescent="0.15">
      <c r="T330" s="3"/>
    </row>
    <row r="331" spans="20:20" ht="13" x14ac:dyDescent="0.15">
      <c r="T331" s="3"/>
    </row>
    <row r="332" spans="20:20" ht="13" x14ac:dyDescent="0.15">
      <c r="T332" s="3"/>
    </row>
    <row r="333" spans="20:20" ht="13" x14ac:dyDescent="0.15">
      <c r="T333" s="3"/>
    </row>
    <row r="334" spans="20:20" ht="13" x14ac:dyDescent="0.15">
      <c r="T334" s="3"/>
    </row>
    <row r="335" spans="20:20" ht="13" x14ac:dyDescent="0.15">
      <c r="T335" s="3"/>
    </row>
    <row r="336" spans="20:20" ht="13" x14ac:dyDescent="0.15">
      <c r="T336" s="3"/>
    </row>
    <row r="337" spans="20:20" ht="13" x14ac:dyDescent="0.15">
      <c r="T337" s="3"/>
    </row>
    <row r="338" spans="20:20" ht="13" x14ac:dyDescent="0.15">
      <c r="T338" s="3"/>
    </row>
    <row r="339" spans="20:20" ht="13" x14ac:dyDescent="0.15">
      <c r="T339" s="3"/>
    </row>
    <row r="340" spans="20:20" ht="13" x14ac:dyDescent="0.15">
      <c r="T340" s="3"/>
    </row>
    <row r="341" spans="20:20" ht="13" x14ac:dyDescent="0.15">
      <c r="T341" s="3"/>
    </row>
    <row r="342" spans="20:20" ht="13" x14ac:dyDescent="0.15">
      <c r="T342" s="3"/>
    </row>
    <row r="343" spans="20:20" ht="13" x14ac:dyDescent="0.15">
      <c r="T343" s="3"/>
    </row>
    <row r="344" spans="20:20" ht="13" x14ac:dyDescent="0.15">
      <c r="T344" s="3"/>
    </row>
    <row r="345" spans="20:20" ht="13" x14ac:dyDescent="0.15">
      <c r="T345" s="3"/>
    </row>
    <row r="346" spans="20:20" ht="13" x14ac:dyDescent="0.15">
      <c r="T346" s="3"/>
    </row>
    <row r="347" spans="20:20" ht="13" x14ac:dyDescent="0.15">
      <c r="T347" s="3"/>
    </row>
    <row r="348" spans="20:20" ht="13" x14ac:dyDescent="0.15">
      <c r="T348" s="3"/>
    </row>
    <row r="349" spans="20:20" ht="13" x14ac:dyDescent="0.15">
      <c r="T349" s="3"/>
    </row>
    <row r="350" spans="20:20" ht="13" x14ac:dyDescent="0.15">
      <c r="T350" s="3"/>
    </row>
    <row r="351" spans="20:20" ht="13" x14ac:dyDescent="0.15">
      <c r="T351" s="3"/>
    </row>
    <row r="352" spans="20:20" ht="13" x14ac:dyDescent="0.15">
      <c r="T352" s="3"/>
    </row>
    <row r="353" spans="20:20" ht="13" x14ac:dyDescent="0.15">
      <c r="T353" s="3"/>
    </row>
    <row r="354" spans="20:20" ht="13" x14ac:dyDescent="0.15">
      <c r="T354" s="3"/>
    </row>
    <row r="355" spans="20:20" ht="13" x14ac:dyDescent="0.15">
      <c r="T355" s="3"/>
    </row>
    <row r="356" spans="20:20" ht="13" x14ac:dyDescent="0.15">
      <c r="T356" s="3"/>
    </row>
    <row r="357" spans="20:20" ht="13" x14ac:dyDescent="0.15">
      <c r="T357" s="3"/>
    </row>
    <row r="358" spans="20:20" ht="13" x14ac:dyDescent="0.15">
      <c r="T358" s="3"/>
    </row>
    <row r="359" spans="20:20" ht="13" x14ac:dyDescent="0.15">
      <c r="T359" s="3"/>
    </row>
    <row r="360" spans="20:20" ht="13" x14ac:dyDescent="0.15">
      <c r="T360" s="3"/>
    </row>
    <row r="361" spans="20:20" ht="13" x14ac:dyDescent="0.15">
      <c r="T361" s="3"/>
    </row>
    <row r="362" spans="20:20" ht="13" x14ac:dyDescent="0.15">
      <c r="T362" s="3"/>
    </row>
    <row r="363" spans="20:20" ht="13" x14ac:dyDescent="0.15">
      <c r="T363" s="3"/>
    </row>
    <row r="364" spans="20:20" ht="13" x14ac:dyDescent="0.15">
      <c r="T364" s="3"/>
    </row>
    <row r="365" spans="20:20" ht="13" x14ac:dyDescent="0.15">
      <c r="T365" s="3"/>
    </row>
    <row r="366" spans="20:20" ht="13" x14ac:dyDescent="0.15">
      <c r="T366" s="3"/>
    </row>
    <row r="367" spans="20:20" ht="13" x14ac:dyDescent="0.15">
      <c r="T367" s="3"/>
    </row>
    <row r="368" spans="20:20" ht="13" x14ac:dyDescent="0.15">
      <c r="T368" s="3"/>
    </row>
    <row r="369" spans="20:20" ht="13" x14ac:dyDescent="0.15">
      <c r="T369" s="3"/>
    </row>
    <row r="370" spans="20:20" ht="13" x14ac:dyDescent="0.15">
      <c r="T370" s="3"/>
    </row>
    <row r="371" spans="20:20" ht="13" x14ac:dyDescent="0.15">
      <c r="T371" s="3"/>
    </row>
    <row r="372" spans="20:20" ht="13" x14ac:dyDescent="0.15">
      <c r="T372" s="3"/>
    </row>
    <row r="373" spans="20:20" ht="13" x14ac:dyDescent="0.15">
      <c r="T373" s="3"/>
    </row>
    <row r="374" spans="20:20" ht="13" x14ac:dyDescent="0.15">
      <c r="T374" s="3"/>
    </row>
    <row r="375" spans="20:20" ht="13" x14ac:dyDescent="0.15">
      <c r="T375" s="3"/>
    </row>
    <row r="376" spans="20:20" ht="13" x14ac:dyDescent="0.15">
      <c r="T376" s="3"/>
    </row>
    <row r="377" spans="20:20" ht="13" x14ac:dyDescent="0.15">
      <c r="T377" s="3"/>
    </row>
    <row r="378" spans="20:20" ht="13" x14ac:dyDescent="0.15">
      <c r="T378" s="3"/>
    </row>
    <row r="379" spans="20:20" ht="13" x14ac:dyDescent="0.15">
      <c r="T379" s="3"/>
    </row>
    <row r="380" spans="20:20" ht="13" x14ac:dyDescent="0.15">
      <c r="T380" s="3"/>
    </row>
    <row r="381" spans="20:20" ht="13" x14ac:dyDescent="0.15">
      <c r="T381" s="3"/>
    </row>
    <row r="382" spans="20:20" ht="13" x14ac:dyDescent="0.15">
      <c r="T382" s="3"/>
    </row>
    <row r="383" spans="20:20" ht="13" x14ac:dyDescent="0.15">
      <c r="T383" s="3"/>
    </row>
    <row r="384" spans="20:20" ht="13" x14ac:dyDescent="0.15">
      <c r="T384" s="3"/>
    </row>
    <row r="385" spans="20:20" ht="13" x14ac:dyDescent="0.15">
      <c r="T385" s="3"/>
    </row>
    <row r="386" spans="20:20" ht="13" x14ac:dyDescent="0.15">
      <c r="T386" s="3"/>
    </row>
    <row r="387" spans="20:20" ht="13" x14ac:dyDescent="0.15">
      <c r="T387" s="3"/>
    </row>
    <row r="388" spans="20:20" ht="13" x14ac:dyDescent="0.15">
      <c r="T388" s="3"/>
    </row>
    <row r="389" spans="20:20" ht="13" x14ac:dyDescent="0.15">
      <c r="T389" s="3"/>
    </row>
    <row r="390" spans="20:20" ht="13" x14ac:dyDescent="0.15">
      <c r="T390" s="3"/>
    </row>
    <row r="391" spans="20:20" ht="13" x14ac:dyDescent="0.15">
      <c r="T391" s="3"/>
    </row>
    <row r="392" spans="20:20" ht="13" x14ac:dyDescent="0.15">
      <c r="T392" s="3"/>
    </row>
    <row r="393" spans="20:20" ht="13" x14ac:dyDescent="0.15">
      <c r="T393" s="3"/>
    </row>
    <row r="394" spans="20:20" ht="13" x14ac:dyDescent="0.15">
      <c r="T394" s="3"/>
    </row>
    <row r="395" spans="20:20" ht="13" x14ac:dyDescent="0.15">
      <c r="T395" s="3"/>
    </row>
    <row r="396" spans="20:20" ht="13" x14ac:dyDescent="0.15">
      <c r="T396" s="3"/>
    </row>
    <row r="397" spans="20:20" ht="13" x14ac:dyDescent="0.15">
      <c r="T397" s="3"/>
    </row>
    <row r="398" spans="20:20" ht="13" x14ac:dyDescent="0.15">
      <c r="T398" s="3"/>
    </row>
    <row r="399" spans="20:20" ht="13" x14ac:dyDescent="0.15">
      <c r="T399" s="3"/>
    </row>
    <row r="400" spans="20:20" ht="13" x14ac:dyDescent="0.15">
      <c r="T400" s="3"/>
    </row>
    <row r="401" spans="20:20" ht="13" x14ac:dyDescent="0.15">
      <c r="T401" s="3"/>
    </row>
    <row r="402" spans="20:20" ht="13" x14ac:dyDescent="0.15">
      <c r="T402" s="3"/>
    </row>
    <row r="403" spans="20:20" ht="13" x14ac:dyDescent="0.15">
      <c r="T403" s="3"/>
    </row>
    <row r="404" spans="20:20" ht="13" x14ac:dyDescent="0.15">
      <c r="T404" s="3"/>
    </row>
    <row r="405" spans="20:20" ht="13" x14ac:dyDescent="0.15">
      <c r="T405" s="3"/>
    </row>
    <row r="406" spans="20:20" ht="13" x14ac:dyDescent="0.15">
      <c r="T406" s="3"/>
    </row>
    <row r="407" spans="20:20" ht="13" x14ac:dyDescent="0.15">
      <c r="T407" s="3"/>
    </row>
    <row r="408" spans="20:20" ht="13" x14ac:dyDescent="0.15">
      <c r="T408" s="3"/>
    </row>
    <row r="409" spans="20:20" ht="13" x14ac:dyDescent="0.15">
      <c r="T409" s="3"/>
    </row>
    <row r="410" spans="20:20" ht="13" x14ac:dyDescent="0.15">
      <c r="T410" s="3"/>
    </row>
    <row r="411" spans="20:20" ht="13" x14ac:dyDescent="0.15">
      <c r="T411" s="3"/>
    </row>
    <row r="412" spans="20:20" ht="13" x14ac:dyDescent="0.15">
      <c r="T412" s="3"/>
    </row>
    <row r="413" spans="20:20" ht="13" x14ac:dyDescent="0.15">
      <c r="T413" s="3"/>
    </row>
    <row r="414" spans="20:20" ht="13" x14ac:dyDescent="0.15">
      <c r="T414" s="3"/>
    </row>
    <row r="415" spans="20:20" ht="13" x14ac:dyDescent="0.15">
      <c r="T415" s="3"/>
    </row>
    <row r="416" spans="20:20" ht="13" x14ac:dyDescent="0.15">
      <c r="T416" s="3"/>
    </row>
    <row r="417" spans="20:20" ht="13" x14ac:dyDescent="0.15">
      <c r="T417" s="3"/>
    </row>
    <row r="418" spans="20:20" ht="13" x14ac:dyDescent="0.15">
      <c r="T418" s="3"/>
    </row>
    <row r="419" spans="20:20" ht="13" x14ac:dyDescent="0.15">
      <c r="T419" s="3"/>
    </row>
    <row r="420" spans="20:20" ht="13" x14ac:dyDescent="0.15">
      <c r="T420" s="3"/>
    </row>
    <row r="421" spans="20:20" ht="13" x14ac:dyDescent="0.15">
      <c r="T421" s="3"/>
    </row>
    <row r="422" spans="20:20" ht="13" x14ac:dyDescent="0.15">
      <c r="T422" s="3"/>
    </row>
    <row r="423" spans="20:20" ht="13" x14ac:dyDescent="0.15">
      <c r="T423" s="3"/>
    </row>
    <row r="424" spans="20:20" ht="13" x14ac:dyDescent="0.15">
      <c r="T424" s="3"/>
    </row>
    <row r="425" spans="20:20" ht="13" x14ac:dyDescent="0.15">
      <c r="T425" s="3"/>
    </row>
    <row r="426" spans="20:20" ht="13" x14ac:dyDescent="0.15">
      <c r="T426" s="3"/>
    </row>
    <row r="427" spans="20:20" ht="13" x14ac:dyDescent="0.15">
      <c r="T427" s="3"/>
    </row>
    <row r="428" spans="20:20" ht="13" x14ac:dyDescent="0.15">
      <c r="T428" s="3"/>
    </row>
    <row r="429" spans="20:20" ht="13" x14ac:dyDescent="0.15">
      <c r="T429" s="3"/>
    </row>
    <row r="430" spans="20:20" ht="13" x14ac:dyDescent="0.15">
      <c r="T430" s="3"/>
    </row>
    <row r="431" spans="20:20" ht="13" x14ac:dyDescent="0.15">
      <c r="T431" s="3"/>
    </row>
    <row r="432" spans="20:20" ht="13" x14ac:dyDescent="0.15">
      <c r="T432" s="3"/>
    </row>
    <row r="433" spans="20:20" ht="13" x14ac:dyDescent="0.15">
      <c r="T433" s="3"/>
    </row>
    <row r="434" spans="20:20" ht="13" x14ac:dyDescent="0.15">
      <c r="T434" s="3"/>
    </row>
    <row r="435" spans="20:20" ht="13" x14ac:dyDescent="0.15">
      <c r="T435" s="3"/>
    </row>
    <row r="436" spans="20:20" ht="13" x14ac:dyDescent="0.15">
      <c r="T436" s="3"/>
    </row>
    <row r="437" spans="20:20" ht="13" x14ac:dyDescent="0.15">
      <c r="T437" s="3"/>
    </row>
    <row r="438" spans="20:20" ht="13" x14ac:dyDescent="0.15">
      <c r="T438" s="3"/>
    </row>
    <row r="439" spans="20:20" ht="13" x14ac:dyDescent="0.15">
      <c r="T439" s="3"/>
    </row>
    <row r="440" spans="20:20" ht="13" x14ac:dyDescent="0.15">
      <c r="T440" s="3"/>
    </row>
    <row r="441" spans="20:20" ht="13" x14ac:dyDescent="0.15">
      <c r="T441" s="3"/>
    </row>
    <row r="442" spans="20:20" ht="13" x14ac:dyDescent="0.15">
      <c r="T442" s="3"/>
    </row>
    <row r="443" spans="20:20" ht="13" x14ac:dyDescent="0.15">
      <c r="T443" s="3"/>
    </row>
    <row r="444" spans="20:20" ht="13" x14ac:dyDescent="0.15">
      <c r="T444" s="3"/>
    </row>
    <row r="445" spans="20:20" ht="13" x14ac:dyDescent="0.15">
      <c r="T445" s="3"/>
    </row>
    <row r="446" spans="20:20" ht="13" x14ac:dyDescent="0.15">
      <c r="T446" s="3"/>
    </row>
    <row r="447" spans="20:20" ht="13" x14ac:dyDescent="0.15">
      <c r="T447" s="3"/>
    </row>
    <row r="448" spans="20:20" ht="13" x14ac:dyDescent="0.15">
      <c r="T448" s="3"/>
    </row>
    <row r="449" spans="20:20" ht="13" x14ac:dyDescent="0.15">
      <c r="T449" s="3"/>
    </row>
    <row r="450" spans="20:20" ht="13" x14ac:dyDescent="0.15">
      <c r="T450" s="3"/>
    </row>
    <row r="451" spans="20:20" ht="13" x14ac:dyDescent="0.15">
      <c r="T451" s="3"/>
    </row>
    <row r="452" spans="20:20" ht="13" x14ac:dyDescent="0.15">
      <c r="T452" s="3"/>
    </row>
    <row r="453" spans="20:20" ht="13" x14ac:dyDescent="0.15">
      <c r="T453" s="3"/>
    </row>
    <row r="454" spans="20:20" ht="13" x14ac:dyDescent="0.15">
      <c r="T454" s="3"/>
    </row>
    <row r="455" spans="20:20" ht="13" x14ac:dyDescent="0.15">
      <c r="T455" s="3"/>
    </row>
    <row r="456" spans="20:20" ht="13" x14ac:dyDescent="0.15">
      <c r="T456" s="3"/>
    </row>
    <row r="457" spans="20:20" ht="13" x14ac:dyDescent="0.15">
      <c r="T457" s="3"/>
    </row>
    <row r="458" spans="20:20" ht="13" x14ac:dyDescent="0.15">
      <c r="T458" s="3"/>
    </row>
    <row r="459" spans="20:20" ht="13" x14ac:dyDescent="0.15">
      <c r="T459" s="3"/>
    </row>
    <row r="460" spans="20:20" ht="13" x14ac:dyDescent="0.15">
      <c r="T460" s="3"/>
    </row>
    <row r="461" spans="20:20" ht="13" x14ac:dyDescent="0.15">
      <c r="T461" s="3"/>
    </row>
    <row r="462" spans="20:20" ht="13" x14ac:dyDescent="0.15">
      <c r="T462" s="3"/>
    </row>
    <row r="463" spans="20:20" ht="13" x14ac:dyDescent="0.15">
      <c r="T463" s="3"/>
    </row>
    <row r="464" spans="20:20" ht="13" x14ac:dyDescent="0.15">
      <c r="T464" s="3"/>
    </row>
    <row r="465" spans="20:20" ht="13" x14ac:dyDescent="0.15">
      <c r="T465" s="3"/>
    </row>
    <row r="466" spans="20:20" ht="13" x14ac:dyDescent="0.15">
      <c r="T466" s="3"/>
    </row>
    <row r="467" spans="20:20" ht="13" x14ac:dyDescent="0.15">
      <c r="T467" s="3"/>
    </row>
    <row r="468" spans="20:20" ht="13" x14ac:dyDescent="0.15">
      <c r="T468" s="3"/>
    </row>
    <row r="469" spans="20:20" ht="13" x14ac:dyDescent="0.15">
      <c r="T469" s="3"/>
    </row>
    <row r="470" spans="20:20" ht="13" x14ac:dyDescent="0.15">
      <c r="T470" s="3"/>
    </row>
    <row r="471" spans="20:20" ht="13" x14ac:dyDescent="0.15">
      <c r="T471" s="3"/>
    </row>
    <row r="472" spans="20:20" ht="13" x14ac:dyDescent="0.15">
      <c r="T472" s="3"/>
    </row>
    <row r="473" spans="20:20" ht="13" x14ac:dyDescent="0.15">
      <c r="T473" s="3"/>
    </row>
    <row r="474" spans="20:20" ht="13" x14ac:dyDescent="0.15">
      <c r="T474" s="3"/>
    </row>
    <row r="475" spans="20:20" ht="13" x14ac:dyDescent="0.15">
      <c r="T475" s="3"/>
    </row>
    <row r="476" spans="20:20" ht="13" x14ac:dyDescent="0.15">
      <c r="T476" s="3"/>
    </row>
    <row r="477" spans="20:20" ht="13" x14ac:dyDescent="0.15">
      <c r="T477" s="3"/>
    </row>
    <row r="478" spans="20:20" ht="13" x14ac:dyDescent="0.15">
      <c r="T478" s="3"/>
    </row>
    <row r="479" spans="20:20" ht="13" x14ac:dyDescent="0.15">
      <c r="T479" s="3"/>
    </row>
    <row r="480" spans="20:20" ht="13" x14ac:dyDescent="0.15">
      <c r="T480" s="3"/>
    </row>
    <row r="481" spans="20:20" ht="13" x14ac:dyDescent="0.15">
      <c r="T481" s="3"/>
    </row>
    <row r="482" spans="20:20" ht="13" x14ac:dyDescent="0.15">
      <c r="T482" s="3"/>
    </row>
    <row r="483" spans="20:20" ht="13" x14ac:dyDescent="0.15">
      <c r="T483" s="3"/>
    </row>
    <row r="484" spans="20:20" ht="13" x14ac:dyDescent="0.15">
      <c r="T484" s="3"/>
    </row>
    <row r="485" spans="20:20" ht="13" x14ac:dyDescent="0.15">
      <c r="T485" s="3"/>
    </row>
    <row r="486" spans="20:20" ht="13" x14ac:dyDescent="0.15">
      <c r="T486" s="3"/>
    </row>
    <row r="487" spans="20:20" ht="13" x14ac:dyDescent="0.15">
      <c r="T487" s="3"/>
    </row>
    <row r="488" spans="20:20" ht="13" x14ac:dyDescent="0.15">
      <c r="T488" s="3"/>
    </row>
    <row r="489" spans="20:20" ht="13" x14ac:dyDescent="0.15">
      <c r="T489" s="3"/>
    </row>
    <row r="490" spans="20:20" ht="13" x14ac:dyDescent="0.15">
      <c r="T490" s="3"/>
    </row>
    <row r="491" spans="20:20" ht="13" x14ac:dyDescent="0.15">
      <c r="T491" s="3"/>
    </row>
    <row r="492" spans="20:20" ht="13" x14ac:dyDescent="0.15">
      <c r="T492" s="3"/>
    </row>
    <row r="493" spans="20:20" ht="13" x14ac:dyDescent="0.15">
      <c r="T493" s="3"/>
    </row>
    <row r="494" spans="20:20" ht="13" x14ac:dyDescent="0.15">
      <c r="T494" s="3"/>
    </row>
    <row r="495" spans="20:20" ht="13" x14ac:dyDescent="0.15">
      <c r="T495" s="3"/>
    </row>
    <row r="496" spans="20:20" ht="13" x14ac:dyDescent="0.15">
      <c r="T496" s="3"/>
    </row>
    <row r="497" spans="20:20" ht="13" x14ac:dyDescent="0.15">
      <c r="T497" s="3"/>
    </row>
    <row r="498" spans="20:20" ht="13" x14ac:dyDescent="0.15">
      <c r="T498" s="3"/>
    </row>
    <row r="499" spans="20:20" ht="13" x14ac:dyDescent="0.15">
      <c r="T499" s="3"/>
    </row>
    <row r="500" spans="20:20" ht="13" x14ac:dyDescent="0.15">
      <c r="T500" s="3"/>
    </row>
    <row r="501" spans="20:20" ht="13" x14ac:dyDescent="0.15">
      <c r="T501" s="3"/>
    </row>
    <row r="502" spans="20:20" ht="13" x14ac:dyDescent="0.15">
      <c r="T502" s="3"/>
    </row>
    <row r="503" spans="20:20" ht="13" x14ac:dyDescent="0.15">
      <c r="T503" s="3"/>
    </row>
    <row r="504" spans="20:20" ht="13" x14ac:dyDescent="0.15">
      <c r="T504" s="3"/>
    </row>
    <row r="505" spans="20:20" ht="13" x14ac:dyDescent="0.15">
      <c r="T505" s="3"/>
    </row>
    <row r="506" spans="20:20" ht="13" x14ac:dyDescent="0.15">
      <c r="T506" s="3"/>
    </row>
    <row r="507" spans="20:20" ht="13" x14ac:dyDescent="0.15">
      <c r="T507" s="3"/>
    </row>
    <row r="508" spans="20:20" ht="13" x14ac:dyDescent="0.15">
      <c r="T508" s="3"/>
    </row>
    <row r="509" spans="20:20" ht="13" x14ac:dyDescent="0.15">
      <c r="T509" s="3"/>
    </row>
    <row r="510" spans="20:20" ht="13" x14ac:dyDescent="0.15">
      <c r="T510" s="3"/>
    </row>
    <row r="511" spans="20:20" ht="13" x14ac:dyDescent="0.15">
      <c r="T511" s="3"/>
    </row>
    <row r="512" spans="20:20" ht="13" x14ac:dyDescent="0.15">
      <c r="T512" s="3"/>
    </row>
    <row r="513" spans="20:20" ht="13" x14ac:dyDescent="0.15">
      <c r="T513" s="3"/>
    </row>
    <row r="514" spans="20:20" ht="13" x14ac:dyDescent="0.15">
      <c r="T514" s="3"/>
    </row>
    <row r="515" spans="20:20" ht="13" x14ac:dyDescent="0.15">
      <c r="T515" s="3"/>
    </row>
    <row r="516" spans="20:20" ht="13" x14ac:dyDescent="0.15">
      <c r="T516" s="3"/>
    </row>
    <row r="517" spans="20:20" ht="13" x14ac:dyDescent="0.15">
      <c r="T517" s="3"/>
    </row>
    <row r="518" spans="20:20" ht="13" x14ac:dyDescent="0.15">
      <c r="T518" s="3"/>
    </row>
    <row r="519" spans="20:20" ht="13" x14ac:dyDescent="0.15">
      <c r="T519" s="3"/>
    </row>
    <row r="520" spans="20:20" ht="13" x14ac:dyDescent="0.15">
      <c r="T520" s="3"/>
    </row>
    <row r="521" spans="20:20" ht="13" x14ac:dyDescent="0.15">
      <c r="T521" s="3"/>
    </row>
    <row r="522" spans="20:20" ht="13" x14ac:dyDescent="0.15">
      <c r="T522" s="3"/>
    </row>
    <row r="523" spans="20:20" ht="13" x14ac:dyDescent="0.15">
      <c r="T523" s="3"/>
    </row>
    <row r="524" spans="20:20" ht="13" x14ac:dyDescent="0.15">
      <c r="T524" s="3"/>
    </row>
    <row r="525" spans="20:20" ht="13" x14ac:dyDescent="0.15">
      <c r="T525" s="3"/>
    </row>
    <row r="526" spans="20:20" ht="13" x14ac:dyDescent="0.15">
      <c r="T526" s="3"/>
    </row>
    <row r="527" spans="20:20" ht="13" x14ac:dyDescent="0.15">
      <c r="T527" s="3"/>
    </row>
    <row r="528" spans="20:20" ht="13" x14ac:dyDescent="0.15">
      <c r="T528" s="3"/>
    </row>
    <row r="529" spans="20:20" ht="13" x14ac:dyDescent="0.15">
      <c r="T529" s="3"/>
    </row>
    <row r="530" spans="20:20" ht="13" x14ac:dyDescent="0.15">
      <c r="T530" s="3"/>
    </row>
    <row r="531" spans="20:20" ht="13" x14ac:dyDescent="0.15">
      <c r="T531" s="3"/>
    </row>
    <row r="532" spans="20:20" ht="13" x14ac:dyDescent="0.15">
      <c r="T532" s="3"/>
    </row>
    <row r="533" spans="20:20" ht="13" x14ac:dyDescent="0.15">
      <c r="T533" s="3"/>
    </row>
    <row r="534" spans="20:20" ht="13" x14ac:dyDescent="0.15">
      <c r="T534" s="3"/>
    </row>
    <row r="535" spans="20:20" ht="13" x14ac:dyDescent="0.15">
      <c r="T535" s="3"/>
    </row>
    <row r="536" spans="20:20" ht="13" x14ac:dyDescent="0.15">
      <c r="T536" s="3"/>
    </row>
    <row r="537" spans="20:20" ht="13" x14ac:dyDescent="0.15">
      <c r="T537" s="3"/>
    </row>
    <row r="538" spans="20:20" ht="13" x14ac:dyDescent="0.15">
      <c r="T538" s="3"/>
    </row>
    <row r="539" spans="20:20" ht="13" x14ac:dyDescent="0.15">
      <c r="T539" s="3"/>
    </row>
    <row r="540" spans="20:20" ht="13" x14ac:dyDescent="0.15">
      <c r="T540" s="3"/>
    </row>
    <row r="541" spans="20:20" ht="13" x14ac:dyDescent="0.15">
      <c r="T541" s="3"/>
    </row>
    <row r="542" spans="20:20" ht="13" x14ac:dyDescent="0.15">
      <c r="T542" s="3"/>
    </row>
    <row r="543" spans="20:20" ht="13" x14ac:dyDescent="0.15">
      <c r="T543" s="3"/>
    </row>
    <row r="544" spans="20:20" ht="13" x14ac:dyDescent="0.15">
      <c r="T544" s="3"/>
    </row>
    <row r="545" spans="20:20" ht="13" x14ac:dyDescent="0.15">
      <c r="T545" s="3"/>
    </row>
    <row r="546" spans="20:20" ht="13" x14ac:dyDescent="0.15">
      <c r="T546" s="3"/>
    </row>
    <row r="547" spans="20:20" ht="13" x14ac:dyDescent="0.15">
      <c r="T547" s="3"/>
    </row>
    <row r="548" spans="20:20" ht="13" x14ac:dyDescent="0.15">
      <c r="T548" s="3"/>
    </row>
    <row r="549" spans="20:20" ht="13" x14ac:dyDescent="0.15">
      <c r="T549" s="3"/>
    </row>
    <row r="550" spans="20:20" ht="13" x14ac:dyDescent="0.15">
      <c r="T550" s="3"/>
    </row>
    <row r="551" spans="20:20" ht="13" x14ac:dyDescent="0.15">
      <c r="T551" s="3"/>
    </row>
    <row r="552" spans="20:20" ht="13" x14ac:dyDescent="0.15">
      <c r="T552" s="3"/>
    </row>
    <row r="553" spans="20:20" ht="13" x14ac:dyDescent="0.15">
      <c r="T553" s="3"/>
    </row>
    <row r="554" spans="20:20" ht="13" x14ac:dyDescent="0.15">
      <c r="T554" s="3"/>
    </row>
    <row r="555" spans="20:20" ht="13" x14ac:dyDescent="0.15">
      <c r="T555" s="3"/>
    </row>
    <row r="556" spans="20:20" ht="13" x14ac:dyDescent="0.15">
      <c r="T556" s="3"/>
    </row>
    <row r="557" spans="20:20" ht="13" x14ac:dyDescent="0.15">
      <c r="T557" s="3"/>
    </row>
    <row r="558" spans="20:20" ht="13" x14ac:dyDescent="0.15">
      <c r="T558" s="3"/>
    </row>
    <row r="559" spans="20:20" ht="13" x14ac:dyDescent="0.15">
      <c r="T559" s="3"/>
    </row>
    <row r="560" spans="20:20" ht="13" x14ac:dyDescent="0.15">
      <c r="T560" s="3"/>
    </row>
    <row r="561" spans="20:20" ht="13" x14ac:dyDescent="0.15">
      <c r="T561" s="3"/>
    </row>
    <row r="562" spans="20:20" ht="13" x14ac:dyDescent="0.15">
      <c r="T562" s="3"/>
    </row>
    <row r="563" spans="20:20" ht="13" x14ac:dyDescent="0.15">
      <c r="T563" s="3"/>
    </row>
    <row r="564" spans="20:20" ht="13" x14ac:dyDescent="0.15">
      <c r="T564" s="3"/>
    </row>
    <row r="565" spans="20:20" ht="13" x14ac:dyDescent="0.15">
      <c r="T565" s="3"/>
    </row>
    <row r="566" spans="20:20" ht="13" x14ac:dyDescent="0.15">
      <c r="T566" s="3"/>
    </row>
    <row r="567" spans="20:20" ht="13" x14ac:dyDescent="0.15">
      <c r="T567" s="3"/>
    </row>
    <row r="568" spans="20:20" ht="13" x14ac:dyDescent="0.15">
      <c r="T568" s="3"/>
    </row>
    <row r="569" spans="20:20" ht="13" x14ac:dyDescent="0.15">
      <c r="T569" s="3"/>
    </row>
    <row r="570" spans="20:20" ht="13" x14ac:dyDescent="0.15">
      <c r="T570" s="3"/>
    </row>
    <row r="571" spans="20:20" ht="13" x14ac:dyDescent="0.15">
      <c r="T571" s="3"/>
    </row>
    <row r="572" spans="20:20" ht="13" x14ac:dyDescent="0.15">
      <c r="T572" s="3"/>
    </row>
    <row r="573" spans="20:20" ht="13" x14ac:dyDescent="0.15">
      <c r="T573" s="3"/>
    </row>
    <row r="574" spans="20:20" ht="13" x14ac:dyDescent="0.15">
      <c r="T574" s="3"/>
    </row>
    <row r="575" spans="20:20" ht="13" x14ac:dyDescent="0.15">
      <c r="T575" s="3"/>
    </row>
    <row r="576" spans="20:20" ht="13" x14ac:dyDescent="0.15">
      <c r="T576" s="3"/>
    </row>
    <row r="577" spans="20:20" ht="13" x14ac:dyDescent="0.15">
      <c r="T577" s="3"/>
    </row>
    <row r="578" spans="20:20" ht="13" x14ac:dyDescent="0.15">
      <c r="T578" s="3"/>
    </row>
    <row r="579" spans="20:20" ht="13" x14ac:dyDescent="0.15">
      <c r="T579" s="3"/>
    </row>
    <row r="580" spans="20:20" ht="13" x14ac:dyDescent="0.15">
      <c r="T580" s="3"/>
    </row>
    <row r="581" spans="20:20" ht="13" x14ac:dyDescent="0.15">
      <c r="T581" s="3"/>
    </row>
    <row r="582" spans="20:20" ht="13" x14ac:dyDescent="0.15">
      <c r="T582" s="3"/>
    </row>
    <row r="583" spans="20:20" ht="13" x14ac:dyDescent="0.15">
      <c r="T583" s="3"/>
    </row>
    <row r="584" spans="20:20" ht="13" x14ac:dyDescent="0.15">
      <c r="T584" s="3"/>
    </row>
    <row r="585" spans="20:20" ht="13" x14ac:dyDescent="0.15">
      <c r="T585" s="3"/>
    </row>
    <row r="586" spans="20:20" ht="13" x14ac:dyDescent="0.15">
      <c r="T586" s="3"/>
    </row>
    <row r="587" spans="20:20" ht="13" x14ac:dyDescent="0.15">
      <c r="T587" s="3"/>
    </row>
    <row r="588" spans="20:20" ht="13" x14ac:dyDescent="0.15">
      <c r="T588" s="3"/>
    </row>
    <row r="589" spans="20:20" ht="13" x14ac:dyDescent="0.15">
      <c r="T589" s="3"/>
    </row>
    <row r="590" spans="20:20" ht="13" x14ac:dyDescent="0.15">
      <c r="T590" s="3"/>
    </row>
    <row r="591" spans="20:20" ht="13" x14ac:dyDescent="0.15">
      <c r="T591" s="3"/>
    </row>
    <row r="592" spans="20:20" ht="13" x14ac:dyDescent="0.15">
      <c r="T592" s="3"/>
    </row>
    <row r="593" spans="20:20" ht="13" x14ac:dyDescent="0.15">
      <c r="T593" s="3"/>
    </row>
    <row r="594" spans="20:20" ht="13" x14ac:dyDescent="0.15">
      <c r="T594" s="3"/>
    </row>
    <row r="595" spans="20:20" ht="13" x14ac:dyDescent="0.15">
      <c r="T595" s="3"/>
    </row>
    <row r="596" spans="20:20" ht="13" x14ac:dyDescent="0.15">
      <c r="T596" s="3"/>
    </row>
    <row r="597" spans="20:20" ht="13" x14ac:dyDescent="0.15">
      <c r="T597" s="3"/>
    </row>
    <row r="598" spans="20:20" ht="13" x14ac:dyDescent="0.15">
      <c r="T598" s="3"/>
    </row>
    <row r="599" spans="20:20" ht="13" x14ac:dyDescent="0.15">
      <c r="T599" s="3"/>
    </row>
    <row r="600" spans="20:20" ht="13" x14ac:dyDescent="0.15">
      <c r="T600" s="3"/>
    </row>
    <row r="601" spans="20:20" ht="13" x14ac:dyDescent="0.15">
      <c r="T601" s="3"/>
    </row>
    <row r="602" spans="20:20" ht="13" x14ac:dyDescent="0.15">
      <c r="T602" s="3"/>
    </row>
    <row r="603" spans="20:20" ht="13" x14ac:dyDescent="0.15">
      <c r="T603" s="3"/>
    </row>
    <row r="604" spans="20:20" ht="13" x14ac:dyDescent="0.15">
      <c r="T604" s="3"/>
    </row>
    <row r="605" spans="20:20" ht="13" x14ac:dyDescent="0.15">
      <c r="T605" s="3"/>
    </row>
    <row r="606" spans="20:20" ht="13" x14ac:dyDescent="0.15">
      <c r="T606" s="3"/>
    </row>
    <row r="607" spans="20:20" ht="13" x14ac:dyDescent="0.15">
      <c r="T607" s="3"/>
    </row>
    <row r="608" spans="20:20" ht="13" x14ac:dyDescent="0.15">
      <c r="T608" s="3"/>
    </row>
    <row r="609" spans="20:20" ht="13" x14ac:dyDescent="0.15">
      <c r="T609" s="3"/>
    </row>
    <row r="610" spans="20:20" ht="13" x14ac:dyDescent="0.15">
      <c r="T610" s="3"/>
    </row>
    <row r="611" spans="20:20" ht="13" x14ac:dyDescent="0.15">
      <c r="T611" s="3"/>
    </row>
    <row r="612" spans="20:20" ht="13" x14ac:dyDescent="0.15">
      <c r="T612" s="3"/>
    </row>
    <row r="613" spans="20:20" ht="13" x14ac:dyDescent="0.15">
      <c r="T613" s="3"/>
    </row>
    <row r="614" spans="20:20" ht="13" x14ac:dyDescent="0.15">
      <c r="T614" s="3"/>
    </row>
    <row r="615" spans="20:20" ht="13" x14ac:dyDescent="0.15">
      <c r="T615" s="3"/>
    </row>
    <row r="616" spans="20:20" ht="13" x14ac:dyDescent="0.15">
      <c r="T616" s="3"/>
    </row>
    <row r="617" spans="20:20" ht="13" x14ac:dyDescent="0.15">
      <c r="T617" s="3"/>
    </row>
    <row r="618" spans="20:20" ht="13" x14ac:dyDescent="0.15">
      <c r="T618" s="3"/>
    </row>
    <row r="619" spans="20:20" ht="13" x14ac:dyDescent="0.15">
      <c r="T619" s="3"/>
    </row>
    <row r="620" spans="20:20" ht="13" x14ac:dyDescent="0.15">
      <c r="T620" s="3"/>
    </row>
    <row r="621" spans="20:20" ht="13" x14ac:dyDescent="0.15">
      <c r="T621" s="3"/>
    </row>
    <row r="622" spans="20:20" ht="13" x14ac:dyDescent="0.15">
      <c r="T622" s="3"/>
    </row>
    <row r="623" spans="20:20" ht="13" x14ac:dyDescent="0.15">
      <c r="T623" s="3"/>
    </row>
    <row r="624" spans="20:20" ht="13" x14ac:dyDescent="0.15">
      <c r="T624" s="3"/>
    </row>
    <row r="625" spans="20:20" ht="13" x14ac:dyDescent="0.15">
      <c r="T625" s="3"/>
    </row>
    <row r="626" spans="20:20" ht="13" x14ac:dyDescent="0.15">
      <c r="T626" s="3"/>
    </row>
    <row r="627" spans="20:20" ht="13" x14ac:dyDescent="0.15">
      <c r="T627" s="3"/>
    </row>
    <row r="628" spans="20:20" ht="13" x14ac:dyDescent="0.15">
      <c r="T628" s="3"/>
    </row>
    <row r="629" spans="20:20" ht="13" x14ac:dyDescent="0.15">
      <c r="T629" s="3"/>
    </row>
    <row r="630" spans="20:20" ht="13" x14ac:dyDescent="0.15">
      <c r="T630" s="3"/>
    </row>
    <row r="631" spans="20:20" ht="13" x14ac:dyDescent="0.15">
      <c r="T631" s="3"/>
    </row>
    <row r="632" spans="20:20" ht="13" x14ac:dyDescent="0.15">
      <c r="T632" s="3"/>
    </row>
    <row r="633" spans="20:20" ht="13" x14ac:dyDescent="0.15">
      <c r="T633" s="3"/>
    </row>
    <row r="634" spans="20:20" ht="13" x14ac:dyDescent="0.15">
      <c r="T634" s="3"/>
    </row>
    <row r="635" spans="20:20" ht="13" x14ac:dyDescent="0.15">
      <c r="T635" s="3"/>
    </row>
    <row r="636" spans="20:20" ht="13" x14ac:dyDescent="0.15">
      <c r="T636" s="3"/>
    </row>
    <row r="637" spans="20:20" ht="13" x14ac:dyDescent="0.15">
      <c r="T637" s="3"/>
    </row>
    <row r="638" spans="20:20" ht="13" x14ac:dyDescent="0.15">
      <c r="T638" s="3"/>
    </row>
    <row r="639" spans="20:20" ht="13" x14ac:dyDescent="0.15">
      <c r="T639" s="3"/>
    </row>
    <row r="640" spans="20:20" ht="13" x14ac:dyDescent="0.15">
      <c r="T640" s="3"/>
    </row>
    <row r="641" spans="20:20" ht="13" x14ac:dyDescent="0.15">
      <c r="T641" s="3"/>
    </row>
    <row r="642" spans="20:20" ht="13" x14ac:dyDescent="0.15">
      <c r="T642" s="3"/>
    </row>
    <row r="643" spans="20:20" ht="13" x14ac:dyDescent="0.15">
      <c r="T643" s="3"/>
    </row>
    <row r="644" spans="20:20" ht="13" x14ac:dyDescent="0.15">
      <c r="T644" s="3"/>
    </row>
    <row r="645" spans="20:20" ht="13" x14ac:dyDescent="0.15">
      <c r="T645" s="3"/>
    </row>
    <row r="646" spans="20:20" ht="13" x14ac:dyDescent="0.15">
      <c r="T646" s="3"/>
    </row>
    <row r="647" spans="20:20" ht="13" x14ac:dyDescent="0.15">
      <c r="T647" s="3"/>
    </row>
    <row r="648" spans="20:20" ht="13" x14ac:dyDescent="0.15">
      <c r="T648" s="3"/>
    </row>
    <row r="649" spans="20:20" ht="13" x14ac:dyDescent="0.15">
      <c r="T649" s="3"/>
    </row>
    <row r="650" spans="20:20" ht="13" x14ac:dyDescent="0.15">
      <c r="T650" s="3"/>
    </row>
    <row r="651" spans="20:20" ht="13" x14ac:dyDescent="0.15">
      <c r="T651" s="3"/>
    </row>
    <row r="652" spans="20:20" ht="13" x14ac:dyDescent="0.15">
      <c r="T652" s="3"/>
    </row>
    <row r="653" spans="20:20" ht="13" x14ac:dyDescent="0.15">
      <c r="T653" s="3"/>
    </row>
    <row r="654" spans="20:20" ht="13" x14ac:dyDescent="0.15">
      <c r="T654" s="3"/>
    </row>
    <row r="655" spans="20:20" ht="13" x14ac:dyDescent="0.15">
      <c r="T655" s="3"/>
    </row>
    <row r="656" spans="20:20" ht="13" x14ac:dyDescent="0.15">
      <c r="T656" s="3"/>
    </row>
    <row r="657" spans="20:20" ht="13" x14ac:dyDescent="0.15">
      <c r="T657" s="3"/>
    </row>
    <row r="658" spans="20:20" ht="13" x14ac:dyDescent="0.15">
      <c r="T658" s="3"/>
    </row>
    <row r="659" spans="20:20" ht="13" x14ac:dyDescent="0.15">
      <c r="T659" s="3"/>
    </row>
    <row r="660" spans="20:20" ht="13" x14ac:dyDescent="0.15">
      <c r="T660" s="3"/>
    </row>
    <row r="661" spans="20:20" ht="13" x14ac:dyDescent="0.15">
      <c r="T661" s="3"/>
    </row>
    <row r="662" spans="20:20" ht="13" x14ac:dyDescent="0.15">
      <c r="T662" s="3"/>
    </row>
    <row r="663" spans="20:20" ht="13" x14ac:dyDescent="0.15">
      <c r="T663" s="3"/>
    </row>
    <row r="664" spans="20:20" ht="13" x14ac:dyDescent="0.15">
      <c r="T664" s="3"/>
    </row>
    <row r="665" spans="20:20" ht="13" x14ac:dyDescent="0.15">
      <c r="T665" s="3"/>
    </row>
    <row r="666" spans="20:20" ht="13" x14ac:dyDescent="0.15">
      <c r="T666" s="3"/>
    </row>
    <row r="667" spans="20:20" ht="13" x14ac:dyDescent="0.15">
      <c r="T667" s="3"/>
    </row>
    <row r="668" spans="20:20" ht="13" x14ac:dyDescent="0.15">
      <c r="T668" s="3"/>
    </row>
    <row r="669" spans="20:20" ht="13" x14ac:dyDescent="0.15">
      <c r="T669" s="3"/>
    </row>
    <row r="670" spans="20:20" ht="13" x14ac:dyDescent="0.15">
      <c r="T670" s="3"/>
    </row>
    <row r="671" spans="20:20" ht="13" x14ac:dyDescent="0.15">
      <c r="T671" s="3"/>
    </row>
    <row r="672" spans="20:20" ht="13" x14ac:dyDescent="0.15">
      <c r="T672" s="3"/>
    </row>
    <row r="673" spans="20:20" ht="13" x14ac:dyDescent="0.15">
      <c r="T673" s="3"/>
    </row>
    <row r="674" spans="20:20" ht="13" x14ac:dyDescent="0.15">
      <c r="T674" s="3"/>
    </row>
    <row r="675" spans="20:20" ht="13" x14ac:dyDescent="0.15">
      <c r="T675" s="3"/>
    </row>
    <row r="676" spans="20:20" ht="13" x14ac:dyDescent="0.15">
      <c r="T676" s="3"/>
    </row>
    <row r="677" spans="20:20" ht="13" x14ac:dyDescent="0.15">
      <c r="T677" s="3"/>
    </row>
    <row r="678" spans="20:20" ht="13" x14ac:dyDescent="0.15">
      <c r="T678" s="3"/>
    </row>
    <row r="679" spans="20:20" ht="13" x14ac:dyDescent="0.15">
      <c r="T679" s="3"/>
    </row>
    <row r="680" spans="20:20" ht="13" x14ac:dyDescent="0.15">
      <c r="T680" s="3"/>
    </row>
    <row r="681" spans="20:20" ht="13" x14ac:dyDescent="0.15">
      <c r="T681" s="3"/>
    </row>
    <row r="682" spans="20:20" ht="13" x14ac:dyDescent="0.15">
      <c r="T682" s="3"/>
    </row>
    <row r="683" spans="20:20" ht="13" x14ac:dyDescent="0.15">
      <c r="T683" s="3"/>
    </row>
    <row r="684" spans="20:20" ht="13" x14ac:dyDescent="0.15">
      <c r="T684" s="3"/>
    </row>
    <row r="685" spans="20:20" ht="13" x14ac:dyDescent="0.15">
      <c r="T685" s="3"/>
    </row>
    <row r="686" spans="20:20" ht="13" x14ac:dyDescent="0.15">
      <c r="T686" s="3"/>
    </row>
    <row r="687" spans="20:20" ht="13" x14ac:dyDescent="0.15">
      <c r="T687" s="3"/>
    </row>
    <row r="688" spans="20:20" ht="13" x14ac:dyDescent="0.15">
      <c r="T688" s="3"/>
    </row>
    <row r="689" spans="20:20" ht="13" x14ac:dyDescent="0.15">
      <c r="T689" s="3"/>
    </row>
    <row r="690" spans="20:20" ht="13" x14ac:dyDescent="0.15">
      <c r="T690" s="3"/>
    </row>
    <row r="691" spans="20:20" ht="13" x14ac:dyDescent="0.15">
      <c r="T691" s="3"/>
    </row>
    <row r="692" spans="20:20" ht="13" x14ac:dyDescent="0.15">
      <c r="T692" s="3"/>
    </row>
    <row r="693" spans="20:20" ht="13" x14ac:dyDescent="0.15">
      <c r="T693" s="3"/>
    </row>
    <row r="694" spans="20:20" ht="13" x14ac:dyDescent="0.15">
      <c r="T694" s="3"/>
    </row>
    <row r="695" spans="20:20" ht="13" x14ac:dyDescent="0.15">
      <c r="T695" s="3"/>
    </row>
    <row r="696" spans="20:20" ht="13" x14ac:dyDescent="0.15">
      <c r="T696" s="3"/>
    </row>
    <row r="697" spans="20:20" ht="13" x14ac:dyDescent="0.15">
      <c r="T697" s="3"/>
    </row>
    <row r="698" spans="20:20" ht="13" x14ac:dyDescent="0.15">
      <c r="T698" s="3"/>
    </row>
    <row r="699" spans="20:20" ht="13" x14ac:dyDescent="0.15">
      <c r="T699" s="3"/>
    </row>
    <row r="700" spans="20:20" ht="13" x14ac:dyDescent="0.15">
      <c r="T700" s="3"/>
    </row>
    <row r="701" spans="20:20" ht="13" x14ac:dyDescent="0.15">
      <c r="T701" s="3"/>
    </row>
    <row r="702" spans="20:20" ht="13" x14ac:dyDescent="0.15">
      <c r="T702" s="3"/>
    </row>
    <row r="703" spans="20:20" ht="13" x14ac:dyDescent="0.15">
      <c r="T703" s="3"/>
    </row>
    <row r="704" spans="20:20" ht="13" x14ac:dyDescent="0.15">
      <c r="T704" s="3"/>
    </row>
    <row r="705" spans="20:20" ht="13" x14ac:dyDescent="0.15">
      <c r="T705" s="3"/>
    </row>
    <row r="706" spans="20:20" ht="13" x14ac:dyDescent="0.15">
      <c r="T706" s="3"/>
    </row>
    <row r="707" spans="20:20" ht="13" x14ac:dyDescent="0.15">
      <c r="T707" s="3"/>
    </row>
    <row r="708" spans="20:20" ht="13" x14ac:dyDescent="0.15">
      <c r="T708" s="3"/>
    </row>
    <row r="709" spans="20:20" ht="13" x14ac:dyDescent="0.15">
      <c r="T709" s="3"/>
    </row>
    <row r="710" spans="20:20" ht="13" x14ac:dyDescent="0.15">
      <c r="T710" s="3"/>
    </row>
    <row r="711" spans="20:20" ht="13" x14ac:dyDescent="0.15">
      <c r="T711" s="3"/>
    </row>
    <row r="712" spans="20:20" ht="13" x14ac:dyDescent="0.15">
      <c r="T712" s="3"/>
    </row>
    <row r="713" spans="20:20" ht="13" x14ac:dyDescent="0.15">
      <c r="T713" s="3"/>
    </row>
    <row r="714" spans="20:20" ht="13" x14ac:dyDescent="0.15">
      <c r="T714" s="3"/>
    </row>
    <row r="715" spans="20:20" ht="13" x14ac:dyDescent="0.15">
      <c r="T715" s="3"/>
    </row>
    <row r="716" spans="20:20" ht="13" x14ac:dyDescent="0.15">
      <c r="T716" s="3"/>
    </row>
    <row r="717" spans="20:20" ht="13" x14ac:dyDescent="0.15">
      <c r="T717" s="3"/>
    </row>
    <row r="718" spans="20:20" ht="13" x14ac:dyDescent="0.15">
      <c r="T718" s="3"/>
    </row>
    <row r="719" spans="20:20" ht="13" x14ac:dyDescent="0.15">
      <c r="T719" s="3"/>
    </row>
    <row r="720" spans="20:20" ht="13" x14ac:dyDescent="0.15">
      <c r="T720" s="3"/>
    </row>
    <row r="721" spans="20:20" ht="13" x14ac:dyDescent="0.15">
      <c r="T721" s="3"/>
    </row>
    <row r="722" spans="20:20" ht="13" x14ac:dyDescent="0.15">
      <c r="T722" s="3"/>
    </row>
    <row r="723" spans="20:20" ht="13" x14ac:dyDescent="0.15">
      <c r="T723" s="3"/>
    </row>
    <row r="724" spans="20:20" ht="13" x14ac:dyDescent="0.15">
      <c r="T724" s="3"/>
    </row>
    <row r="725" spans="20:20" ht="13" x14ac:dyDescent="0.15">
      <c r="T725" s="3"/>
    </row>
    <row r="726" spans="20:20" ht="13" x14ac:dyDescent="0.15">
      <c r="T726" s="3"/>
    </row>
    <row r="727" spans="20:20" ht="13" x14ac:dyDescent="0.15">
      <c r="T727" s="3"/>
    </row>
    <row r="728" spans="20:20" ht="13" x14ac:dyDescent="0.15">
      <c r="T728" s="3"/>
    </row>
    <row r="729" spans="20:20" ht="13" x14ac:dyDescent="0.15">
      <c r="T729" s="3"/>
    </row>
    <row r="730" spans="20:20" ht="13" x14ac:dyDescent="0.15">
      <c r="T730" s="3"/>
    </row>
    <row r="731" spans="20:20" ht="13" x14ac:dyDescent="0.15">
      <c r="T731" s="3"/>
    </row>
    <row r="732" spans="20:20" ht="13" x14ac:dyDescent="0.15">
      <c r="T732" s="3"/>
    </row>
    <row r="733" spans="20:20" ht="13" x14ac:dyDescent="0.15">
      <c r="T733" s="3"/>
    </row>
    <row r="734" spans="20:20" ht="13" x14ac:dyDescent="0.15">
      <c r="T734" s="3"/>
    </row>
    <row r="735" spans="20:20" ht="13" x14ac:dyDescent="0.15">
      <c r="T735" s="3"/>
    </row>
    <row r="736" spans="20:20" ht="13" x14ac:dyDescent="0.15">
      <c r="T736" s="3"/>
    </row>
    <row r="737" spans="20:20" ht="13" x14ac:dyDescent="0.15">
      <c r="T737" s="3"/>
    </row>
    <row r="738" spans="20:20" ht="13" x14ac:dyDescent="0.15">
      <c r="T738" s="3"/>
    </row>
    <row r="739" spans="20:20" ht="13" x14ac:dyDescent="0.15">
      <c r="T739" s="3"/>
    </row>
    <row r="740" spans="20:20" ht="13" x14ac:dyDescent="0.15">
      <c r="T740" s="3"/>
    </row>
    <row r="741" spans="20:20" ht="13" x14ac:dyDescent="0.15">
      <c r="T741" s="3"/>
    </row>
    <row r="742" spans="20:20" ht="13" x14ac:dyDescent="0.15">
      <c r="T742" s="3"/>
    </row>
    <row r="743" spans="20:20" ht="13" x14ac:dyDescent="0.15">
      <c r="T743" s="3"/>
    </row>
    <row r="744" spans="20:20" ht="13" x14ac:dyDescent="0.15">
      <c r="T744" s="3"/>
    </row>
    <row r="745" spans="20:20" ht="13" x14ac:dyDescent="0.15">
      <c r="T745" s="3"/>
    </row>
    <row r="746" spans="20:20" ht="13" x14ac:dyDescent="0.15">
      <c r="T746" s="3"/>
    </row>
    <row r="747" spans="20:20" ht="13" x14ac:dyDescent="0.15">
      <c r="T747" s="3"/>
    </row>
    <row r="748" spans="20:20" ht="13" x14ac:dyDescent="0.15">
      <c r="T748" s="3"/>
    </row>
    <row r="749" spans="20:20" ht="13" x14ac:dyDescent="0.15">
      <c r="T749" s="3"/>
    </row>
    <row r="750" spans="20:20" ht="13" x14ac:dyDescent="0.15">
      <c r="T750" s="3"/>
    </row>
    <row r="751" spans="20:20" ht="13" x14ac:dyDescent="0.15">
      <c r="T751" s="3"/>
    </row>
    <row r="752" spans="20:20" ht="13" x14ac:dyDescent="0.15">
      <c r="T752" s="3"/>
    </row>
    <row r="753" spans="20:20" ht="13" x14ac:dyDescent="0.15">
      <c r="T753" s="3"/>
    </row>
    <row r="754" spans="20:20" ht="13" x14ac:dyDescent="0.15">
      <c r="T754" s="3"/>
    </row>
    <row r="755" spans="20:20" ht="13" x14ac:dyDescent="0.15">
      <c r="T755" s="3"/>
    </row>
    <row r="756" spans="20:20" ht="13" x14ac:dyDescent="0.15">
      <c r="T756" s="3"/>
    </row>
    <row r="757" spans="20:20" ht="13" x14ac:dyDescent="0.15">
      <c r="T757" s="3"/>
    </row>
    <row r="758" spans="20:20" ht="13" x14ac:dyDescent="0.15">
      <c r="T758" s="3"/>
    </row>
    <row r="759" spans="20:20" ht="13" x14ac:dyDescent="0.15">
      <c r="T759" s="3"/>
    </row>
    <row r="760" spans="20:20" ht="13" x14ac:dyDescent="0.15">
      <c r="T760" s="3"/>
    </row>
    <row r="761" spans="20:20" ht="13" x14ac:dyDescent="0.15">
      <c r="T761" s="3"/>
    </row>
    <row r="762" spans="20:20" ht="13" x14ac:dyDescent="0.15">
      <c r="T762" s="3"/>
    </row>
    <row r="763" spans="20:20" ht="13" x14ac:dyDescent="0.15">
      <c r="T763" s="3"/>
    </row>
    <row r="764" spans="20:20" ht="13" x14ac:dyDescent="0.15">
      <c r="T764" s="3"/>
    </row>
    <row r="765" spans="20:20" ht="13" x14ac:dyDescent="0.15">
      <c r="T765" s="3"/>
    </row>
    <row r="766" spans="20:20" ht="13" x14ac:dyDescent="0.15">
      <c r="T766" s="3"/>
    </row>
    <row r="767" spans="20:20" ht="13" x14ac:dyDescent="0.15">
      <c r="T767" s="3"/>
    </row>
    <row r="768" spans="20:20" ht="13" x14ac:dyDescent="0.15">
      <c r="T768" s="3"/>
    </row>
    <row r="769" spans="20:20" ht="13" x14ac:dyDescent="0.15">
      <c r="T769" s="3"/>
    </row>
    <row r="770" spans="20:20" ht="13" x14ac:dyDescent="0.15">
      <c r="T770" s="3"/>
    </row>
    <row r="771" spans="20:20" ht="13" x14ac:dyDescent="0.15">
      <c r="T771" s="3"/>
    </row>
    <row r="772" spans="20:20" ht="13" x14ac:dyDescent="0.15">
      <c r="T772" s="3"/>
    </row>
    <row r="773" spans="20:20" ht="13" x14ac:dyDescent="0.15">
      <c r="T773" s="3"/>
    </row>
    <row r="774" spans="20:20" ht="13" x14ac:dyDescent="0.15">
      <c r="T774" s="3"/>
    </row>
    <row r="775" spans="20:20" ht="13" x14ac:dyDescent="0.15">
      <c r="T775" s="3"/>
    </row>
    <row r="776" spans="20:20" ht="13" x14ac:dyDescent="0.15">
      <c r="T776" s="3"/>
    </row>
    <row r="777" spans="20:20" ht="13" x14ac:dyDescent="0.15">
      <c r="T777" s="3"/>
    </row>
    <row r="778" spans="20:20" ht="13" x14ac:dyDescent="0.15">
      <c r="T778" s="3"/>
    </row>
    <row r="779" spans="20:20" ht="13" x14ac:dyDescent="0.15">
      <c r="T779" s="3"/>
    </row>
    <row r="780" spans="20:20" ht="13" x14ac:dyDescent="0.15">
      <c r="T780" s="3"/>
    </row>
    <row r="781" spans="20:20" ht="13" x14ac:dyDescent="0.15">
      <c r="T781" s="3"/>
    </row>
    <row r="782" spans="20:20" ht="13" x14ac:dyDescent="0.15">
      <c r="T782" s="3"/>
    </row>
    <row r="783" spans="20:20" ht="13" x14ac:dyDescent="0.15">
      <c r="T783" s="3"/>
    </row>
    <row r="784" spans="20:20" ht="13" x14ac:dyDescent="0.15">
      <c r="T784" s="3"/>
    </row>
    <row r="785" spans="20:20" ht="13" x14ac:dyDescent="0.15">
      <c r="T785" s="3"/>
    </row>
    <row r="786" spans="20:20" ht="13" x14ac:dyDescent="0.15">
      <c r="T786" s="3"/>
    </row>
    <row r="787" spans="20:20" ht="13" x14ac:dyDescent="0.15">
      <c r="T787" s="3"/>
    </row>
    <row r="788" spans="20:20" ht="13" x14ac:dyDescent="0.15">
      <c r="T788" s="3"/>
    </row>
    <row r="789" spans="20:20" ht="13" x14ac:dyDescent="0.15">
      <c r="T789" s="3"/>
    </row>
    <row r="790" spans="20:20" ht="13" x14ac:dyDescent="0.15">
      <c r="T790" s="3"/>
    </row>
    <row r="791" spans="20:20" ht="13" x14ac:dyDescent="0.15">
      <c r="T791" s="3"/>
    </row>
    <row r="792" spans="20:20" ht="13" x14ac:dyDescent="0.15">
      <c r="T792" s="3"/>
    </row>
    <row r="793" spans="20:20" ht="13" x14ac:dyDescent="0.15">
      <c r="T793" s="3"/>
    </row>
    <row r="794" spans="20:20" ht="13" x14ac:dyDescent="0.15">
      <c r="T794" s="3"/>
    </row>
    <row r="795" spans="20:20" ht="13" x14ac:dyDescent="0.15">
      <c r="T795" s="3"/>
    </row>
    <row r="796" spans="20:20" ht="13" x14ac:dyDescent="0.15">
      <c r="T796" s="3"/>
    </row>
    <row r="797" spans="20:20" ht="13" x14ac:dyDescent="0.15">
      <c r="T797" s="3"/>
    </row>
    <row r="798" spans="20:20" ht="13" x14ac:dyDescent="0.15">
      <c r="T798" s="3"/>
    </row>
    <row r="799" spans="20:20" ht="13" x14ac:dyDescent="0.15">
      <c r="T799" s="3"/>
    </row>
    <row r="800" spans="20:20" ht="13" x14ac:dyDescent="0.15">
      <c r="T800" s="3"/>
    </row>
    <row r="801" spans="20:20" ht="13" x14ac:dyDescent="0.15">
      <c r="T801" s="3"/>
    </row>
    <row r="802" spans="20:20" ht="13" x14ac:dyDescent="0.15">
      <c r="T802" s="3"/>
    </row>
    <row r="803" spans="20:20" ht="13" x14ac:dyDescent="0.15">
      <c r="T803" s="3"/>
    </row>
    <row r="804" spans="20:20" ht="13" x14ac:dyDescent="0.15">
      <c r="T804" s="3"/>
    </row>
    <row r="805" spans="20:20" ht="13" x14ac:dyDescent="0.15">
      <c r="T805" s="3"/>
    </row>
    <row r="806" spans="20:20" ht="13" x14ac:dyDescent="0.15">
      <c r="T806" s="3"/>
    </row>
    <row r="807" spans="20:20" ht="13" x14ac:dyDescent="0.15">
      <c r="T807" s="3"/>
    </row>
    <row r="808" spans="20:20" ht="13" x14ac:dyDescent="0.15">
      <c r="T808" s="3"/>
    </row>
    <row r="809" spans="20:20" ht="13" x14ac:dyDescent="0.15">
      <c r="T809" s="3"/>
    </row>
    <row r="810" spans="20:20" ht="13" x14ac:dyDescent="0.15">
      <c r="T810" s="3"/>
    </row>
    <row r="811" spans="20:20" ht="13" x14ac:dyDescent="0.15">
      <c r="T811" s="3"/>
    </row>
    <row r="812" spans="20:20" ht="13" x14ac:dyDescent="0.15">
      <c r="T812" s="3"/>
    </row>
    <row r="813" spans="20:20" ht="13" x14ac:dyDescent="0.15">
      <c r="T813" s="3"/>
    </row>
    <row r="814" spans="20:20" ht="13" x14ac:dyDescent="0.15">
      <c r="T814" s="3"/>
    </row>
    <row r="815" spans="20:20" ht="13" x14ac:dyDescent="0.15">
      <c r="T815" s="3"/>
    </row>
    <row r="816" spans="20:20" ht="13" x14ac:dyDescent="0.15">
      <c r="T816" s="3"/>
    </row>
    <row r="817" spans="20:20" ht="13" x14ac:dyDescent="0.15">
      <c r="T817" s="3"/>
    </row>
    <row r="818" spans="20:20" ht="13" x14ac:dyDescent="0.15">
      <c r="T818" s="3"/>
    </row>
    <row r="819" spans="20:20" ht="13" x14ac:dyDescent="0.15">
      <c r="T819" s="3"/>
    </row>
    <row r="820" spans="20:20" ht="13" x14ac:dyDescent="0.15">
      <c r="T820" s="3"/>
    </row>
    <row r="821" spans="20:20" ht="13" x14ac:dyDescent="0.15">
      <c r="T821" s="3"/>
    </row>
    <row r="822" spans="20:20" ht="13" x14ac:dyDescent="0.15">
      <c r="T822" s="3"/>
    </row>
    <row r="823" spans="20:20" ht="13" x14ac:dyDescent="0.15">
      <c r="T823" s="3"/>
    </row>
    <row r="824" spans="20:20" ht="13" x14ac:dyDescent="0.15">
      <c r="T824" s="3"/>
    </row>
    <row r="825" spans="20:20" ht="13" x14ac:dyDescent="0.15">
      <c r="T825" s="3"/>
    </row>
    <row r="826" spans="20:20" ht="13" x14ac:dyDescent="0.15">
      <c r="T826" s="3"/>
    </row>
    <row r="827" spans="20:20" ht="13" x14ac:dyDescent="0.15">
      <c r="T827" s="3"/>
    </row>
    <row r="828" spans="20:20" ht="13" x14ac:dyDescent="0.15">
      <c r="T828" s="3"/>
    </row>
    <row r="829" spans="20:20" ht="13" x14ac:dyDescent="0.15">
      <c r="T829" s="3"/>
    </row>
    <row r="830" spans="20:20" ht="13" x14ac:dyDescent="0.15">
      <c r="T830" s="3"/>
    </row>
    <row r="831" spans="20:20" ht="13" x14ac:dyDescent="0.15">
      <c r="T831" s="3"/>
    </row>
    <row r="832" spans="20:20" ht="13" x14ac:dyDescent="0.15">
      <c r="T832" s="3"/>
    </row>
    <row r="833" spans="20:20" ht="13" x14ac:dyDescent="0.15">
      <c r="T833" s="3"/>
    </row>
    <row r="834" spans="20:20" ht="13" x14ac:dyDescent="0.15">
      <c r="T834" s="3"/>
    </row>
    <row r="835" spans="20:20" ht="13" x14ac:dyDescent="0.15">
      <c r="T835" s="3"/>
    </row>
    <row r="836" spans="20:20" ht="13" x14ac:dyDescent="0.15">
      <c r="T836" s="3"/>
    </row>
    <row r="837" spans="20:20" ht="13" x14ac:dyDescent="0.15">
      <c r="T837" s="3"/>
    </row>
    <row r="838" spans="20:20" ht="13" x14ac:dyDescent="0.15">
      <c r="T838" s="3"/>
    </row>
    <row r="839" spans="20:20" ht="13" x14ac:dyDescent="0.15">
      <c r="T839" s="3"/>
    </row>
    <row r="840" spans="20:20" ht="13" x14ac:dyDescent="0.15">
      <c r="T840" s="3"/>
    </row>
    <row r="841" spans="20:20" ht="13" x14ac:dyDescent="0.15">
      <c r="T841" s="3"/>
    </row>
    <row r="842" spans="20:20" ht="13" x14ac:dyDescent="0.15">
      <c r="T842" s="3"/>
    </row>
    <row r="843" spans="20:20" ht="13" x14ac:dyDescent="0.15">
      <c r="T843" s="3"/>
    </row>
    <row r="844" spans="20:20" ht="13" x14ac:dyDescent="0.15">
      <c r="T844" s="3"/>
    </row>
    <row r="845" spans="20:20" ht="13" x14ac:dyDescent="0.15">
      <c r="T845" s="3"/>
    </row>
    <row r="846" spans="20:20" ht="13" x14ac:dyDescent="0.15">
      <c r="T846" s="3"/>
    </row>
    <row r="847" spans="20:20" ht="13" x14ac:dyDescent="0.15">
      <c r="T847" s="3"/>
    </row>
    <row r="848" spans="20:20" ht="13" x14ac:dyDescent="0.15">
      <c r="T848" s="3"/>
    </row>
    <row r="849" spans="20:20" ht="13" x14ac:dyDescent="0.15">
      <c r="T849" s="3"/>
    </row>
    <row r="850" spans="20:20" ht="13" x14ac:dyDescent="0.15">
      <c r="T850" s="3"/>
    </row>
    <row r="851" spans="20:20" ht="13" x14ac:dyDescent="0.15">
      <c r="T851" s="3"/>
    </row>
    <row r="852" spans="20:20" ht="13" x14ac:dyDescent="0.15">
      <c r="T852" s="3"/>
    </row>
    <row r="853" spans="20:20" ht="13" x14ac:dyDescent="0.15">
      <c r="T853" s="3"/>
    </row>
    <row r="854" spans="20:20" ht="13" x14ac:dyDescent="0.15">
      <c r="T854" s="3"/>
    </row>
    <row r="855" spans="20:20" ht="13" x14ac:dyDescent="0.15">
      <c r="T855" s="3"/>
    </row>
    <row r="856" spans="20:20" ht="13" x14ac:dyDescent="0.15">
      <c r="T856" s="3"/>
    </row>
    <row r="857" spans="20:20" ht="13" x14ac:dyDescent="0.15">
      <c r="T857" s="3"/>
    </row>
    <row r="858" spans="20:20" ht="13" x14ac:dyDescent="0.15">
      <c r="T858" s="3"/>
    </row>
    <row r="859" spans="20:20" ht="13" x14ac:dyDescent="0.15">
      <c r="T859" s="3"/>
    </row>
    <row r="860" spans="20:20" ht="13" x14ac:dyDescent="0.15">
      <c r="T860" s="3"/>
    </row>
    <row r="861" spans="20:20" ht="13" x14ac:dyDescent="0.15">
      <c r="T861" s="3"/>
    </row>
    <row r="862" spans="20:20" ht="13" x14ac:dyDescent="0.15">
      <c r="T862" s="3"/>
    </row>
    <row r="863" spans="20:20" ht="13" x14ac:dyDescent="0.15">
      <c r="T863" s="3"/>
    </row>
    <row r="864" spans="20:20" ht="13" x14ac:dyDescent="0.15">
      <c r="T864" s="3"/>
    </row>
    <row r="865" spans="20:20" ht="13" x14ac:dyDescent="0.15">
      <c r="T865" s="3"/>
    </row>
    <row r="866" spans="20:20" ht="13" x14ac:dyDescent="0.15">
      <c r="T866" s="3"/>
    </row>
    <row r="867" spans="20:20" ht="13" x14ac:dyDescent="0.15">
      <c r="T867" s="3"/>
    </row>
    <row r="868" spans="20:20" ht="13" x14ac:dyDescent="0.15">
      <c r="T868" s="3"/>
    </row>
    <row r="869" spans="20:20" ht="13" x14ac:dyDescent="0.15">
      <c r="T869" s="3"/>
    </row>
    <row r="870" spans="20:20" ht="13" x14ac:dyDescent="0.15">
      <c r="T870" s="3"/>
    </row>
    <row r="871" spans="20:20" ht="13" x14ac:dyDescent="0.15">
      <c r="T871" s="3"/>
    </row>
    <row r="872" spans="20:20" ht="13" x14ac:dyDescent="0.15">
      <c r="T872" s="3"/>
    </row>
    <row r="873" spans="20:20" ht="13" x14ac:dyDescent="0.15">
      <c r="T873" s="3"/>
    </row>
    <row r="874" spans="20:20" ht="13" x14ac:dyDescent="0.15">
      <c r="T874" s="3"/>
    </row>
    <row r="875" spans="20:20" ht="13" x14ac:dyDescent="0.15">
      <c r="T875" s="3"/>
    </row>
    <row r="876" spans="20:20" ht="13" x14ac:dyDescent="0.15">
      <c r="T876" s="3"/>
    </row>
    <row r="877" spans="20:20" ht="13" x14ac:dyDescent="0.15">
      <c r="T877" s="3"/>
    </row>
    <row r="878" spans="20:20" ht="13" x14ac:dyDescent="0.15">
      <c r="T878" s="3"/>
    </row>
    <row r="879" spans="20:20" ht="13" x14ac:dyDescent="0.15">
      <c r="T879" s="3"/>
    </row>
    <row r="880" spans="20:20" ht="13" x14ac:dyDescent="0.15">
      <c r="T880" s="3"/>
    </row>
    <row r="881" spans="20:20" ht="13" x14ac:dyDescent="0.15">
      <c r="T881" s="3"/>
    </row>
    <row r="882" spans="20:20" ht="13" x14ac:dyDescent="0.15">
      <c r="T882" s="3"/>
    </row>
    <row r="883" spans="20:20" ht="13" x14ac:dyDescent="0.15">
      <c r="T883" s="3"/>
    </row>
    <row r="884" spans="20:20" ht="13" x14ac:dyDescent="0.15">
      <c r="T884" s="3"/>
    </row>
    <row r="885" spans="20:20" ht="13" x14ac:dyDescent="0.15">
      <c r="T885" s="3"/>
    </row>
    <row r="886" spans="20:20" ht="13" x14ac:dyDescent="0.15">
      <c r="T886" s="3"/>
    </row>
    <row r="887" spans="20:20" ht="13" x14ac:dyDescent="0.15">
      <c r="T887" s="3"/>
    </row>
    <row r="888" spans="20:20" ht="13" x14ac:dyDescent="0.15">
      <c r="T888" s="3"/>
    </row>
    <row r="889" spans="20:20" ht="13" x14ac:dyDescent="0.15">
      <c r="T889" s="3"/>
    </row>
    <row r="890" spans="20:20" ht="13" x14ac:dyDescent="0.15">
      <c r="T890" s="3"/>
    </row>
    <row r="891" spans="20:20" ht="13" x14ac:dyDescent="0.15">
      <c r="T891" s="3"/>
    </row>
    <row r="892" spans="20:20" ht="13" x14ac:dyDescent="0.15">
      <c r="T892" s="3"/>
    </row>
    <row r="893" spans="20:20" ht="13" x14ac:dyDescent="0.15">
      <c r="T893" s="3"/>
    </row>
    <row r="894" spans="20:20" ht="13" x14ac:dyDescent="0.15">
      <c r="T894" s="3"/>
    </row>
    <row r="895" spans="20:20" ht="13" x14ac:dyDescent="0.15">
      <c r="T895" s="3"/>
    </row>
    <row r="896" spans="20:20" ht="13" x14ac:dyDescent="0.15">
      <c r="T896" s="3"/>
    </row>
    <row r="897" spans="20:20" ht="13" x14ac:dyDescent="0.15">
      <c r="T897" s="3"/>
    </row>
    <row r="898" spans="20:20" ht="13" x14ac:dyDescent="0.15">
      <c r="T898" s="3"/>
    </row>
    <row r="899" spans="20:20" ht="13" x14ac:dyDescent="0.15">
      <c r="T899" s="3"/>
    </row>
    <row r="900" spans="20:20" ht="13" x14ac:dyDescent="0.15">
      <c r="T900" s="3"/>
    </row>
    <row r="901" spans="20:20" ht="13" x14ac:dyDescent="0.15">
      <c r="T901" s="3"/>
    </row>
    <row r="902" spans="20:20" ht="13" x14ac:dyDescent="0.15">
      <c r="T902" s="3"/>
    </row>
    <row r="903" spans="20:20" ht="13" x14ac:dyDescent="0.15">
      <c r="T903" s="3"/>
    </row>
    <row r="904" spans="20:20" ht="13" x14ac:dyDescent="0.15">
      <c r="T904" s="3"/>
    </row>
    <row r="905" spans="20:20" ht="13" x14ac:dyDescent="0.15">
      <c r="T905" s="3"/>
    </row>
    <row r="906" spans="20:20" ht="13" x14ac:dyDescent="0.15">
      <c r="T906" s="3"/>
    </row>
    <row r="907" spans="20:20" ht="13" x14ac:dyDescent="0.15">
      <c r="T907" s="3"/>
    </row>
    <row r="908" spans="20:20" ht="13" x14ac:dyDescent="0.15">
      <c r="T908" s="3"/>
    </row>
    <row r="909" spans="20:20" ht="13" x14ac:dyDescent="0.15">
      <c r="T909" s="3"/>
    </row>
    <row r="910" spans="20:20" ht="13" x14ac:dyDescent="0.15">
      <c r="T910" s="3"/>
    </row>
    <row r="911" spans="20:20" ht="13" x14ac:dyDescent="0.15">
      <c r="T911" s="3"/>
    </row>
    <row r="912" spans="20:20" ht="13" x14ac:dyDescent="0.15">
      <c r="T912" s="3"/>
    </row>
    <row r="913" spans="20:20" ht="13" x14ac:dyDescent="0.15">
      <c r="T913" s="3"/>
    </row>
    <row r="914" spans="20:20" ht="13" x14ac:dyDescent="0.15">
      <c r="T914" s="3"/>
    </row>
    <row r="915" spans="20:20" ht="13" x14ac:dyDescent="0.15">
      <c r="T915" s="3"/>
    </row>
    <row r="916" spans="20:20" ht="13" x14ac:dyDescent="0.15">
      <c r="T916" s="3"/>
    </row>
    <row r="917" spans="20:20" ht="13" x14ac:dyDescent="0.15">
      <c r="T917" s="3"/>
    </row>
    <row r="918" spans="20:20" ht="13" x14ac:dyDescent="0.15">
      <c r="T918" s="3"/>
    </row>
    <row r="919" spans="20:20" ht="13" x14ac:dyDescent="0.15">
      <c r="T919" s="3"/>
    </row>
    <row r="920" spans="20:20" ht="13" x14ac:dyDescent="0.15">
      <c r="T920" s="3"/>
    </row>
    <row r="921" spans="20:20" ht="13" x14ac:dyDescent="0.15">
      <c r="T921" s="3"/>
    </row>
    <row r="922" spans="20:20" ht="13" x14ac:dyDescent="0.15">
      <c r="T922" s="3"/>
    </row>
    <row r="923" spans="20:20" ht="13" x14ac:dyDescent="0.15">
      <c r="T923" s="3"/>
    </row>
    <row r="924" spans="20:20" ht="13" x14ac:dyDescent="0.15">
      <c r="T924" s="3"/>
    </row>
    <row r="925" spans="20:20" ht="13" x14ac:dyDescent="0.15">
      <c r="T925" s="3"/>
    </row>
    <row r="926" spans="20:20" ht="13" x14ac:dyDescent="0.15">
      <c r="T926" s="3"/>
    </row>
    <row r="927" spans="20:20" ht="13" x14ac:dyDescent="0.15">
      <c r="T927" s="3"/>
    </row>
    <row r="928" spans="20:20" ht="13" x14ac:dyDescent="0.15">
      <c r="T928" s="3"/>
    </row>
    <row r="929" spans="20:20" ht="13" x14ac:dyDescent="0.15">
      <c r="T929" s="3"/>
    </row>
    <row r="930" spans="20:20" ht="13" x14ac:dyDescent="0.15">
      <c r="T930" s="3"/>
    </row>
    <row r="931" spans="20:20" ht="13" x14ac:dyDescent="0.15">
      <c r="T931" s="3"/>
    </row>
    <row r="932" spans="20:20" ht="13" x14ac:dyDescent="0.15">
      <c r="T932" s="3"/>
    </row>
    <row r="933" spans="20:20" ht="13" x14ac:dyDescent="0.15">
      <c r="T933" s="3"/>
    </row>
    <row r="934" spans="20:20" ht="13" x14ac:dyDescent="0.15">
      <c r="T934" s="3"/>
    </row>
    <row r="935" spans="20:20" ht="13" x14ac:dyDescent="0.15">
      <c r="T935" s="3"/>
    </row>
    <row r="936" spans="20:20" ht="13" x14ac:dyDescent="0.15">
      <c r="T936" s="3"/>
    </row>
    <row r="937" spans="20:20" ht="13" x14ac:dyDescent="0.15">
      <c r="T937" s="3"/>
    </row>
    <row r="938" spans="20:20" ht="13" x14ac:dyDescent="0.15">
      <c r="T938" s="3"/>
    </row>
    <row r="939" spans="20:20" ht="13" x14ac:dyDescent="0.15">
      <c r="T939" s="3"/>
    </row>
    <row r="940" spans="20:20" ht="13" x14ac:dyDescent="0.15">
      <c r="T940" s="3"/>
    </row>
    <row r="941" spans="20:20" ht="13" x14ac:dyDescent="0.15">
      <c r="T941" s="3"/>
    </row>
    <row r="942" spans="20:20" ht="13" x14ac:dyDescent="0.15">
      <c r="T942" s="3"/>
    </row>
    <row r="943" spans="20:20" ht="13" x14ac:dyDescent="0.15">
      <c r="T943" s="3"/>
    </row>
    <row r="944" spans="20:20" ht="13" x14ac:dyDescent="0.15">
      <c r="T944" s="3"/>
    </row>
    <row r="945" spans="20:20" ht="13" x14ac:dyDescent="0.15">
      <c r="T945" s="3"/>
    </row>
    <row r="946" spans="20:20" ht="13" x14ac:dyDescent="0.15">
      <c r="T946" s="3"/>
    </row>
    <row r="947" spans="20:20" ht="13" x14ac:dyDescent="0.15">
      <c r="T947" s="3"/>
    </row>
    <row r="948" spans="20:20" ht="13" x14ac:dyDescent="0.15">
      <c r="T948" s="3"/>
    </row>
    <row r="949" spans="20:20" ht="13" x14ac:dyDescent="0.15">
      <c r="T949" s="3"/>
    </row>
    <row r="950" spans="20:20" ht="13" x14ac:dyDescent="0.15">
      <c r="T950" s="3"/>
    </row>
    <row r="951" spans="20:20" ht="13" x14ac:dyDescent="0.15">
      <c r="T951" s="3"/>
    </row>
    <row r="952" spans="20:20" ht="13" x14ac:dyDescent="0.15">
      <c r="T952" s="3"/>
    </row>
    <row r="953" spans="20:20" ht="13" x14ac:dyDescent="0.15">
      <c r="T953" s="3"/>
    </row>
    <row r="954" spans="20:20" ht="13" x14ac:dyDescent="0.15">
      <c r="T954" s="3"/>
    </row>
    <row r="955" spans="20:20" ht="13" x14ac:dyDescent="0.15">
      <c r="T955" s="3"/>
    </row>
    <row r="956" spans="20:20" ht="13" x14ac:dyDescent="0.15">
      <c r="T956" s="3"/>
    </row>
    <row r="957" spans="20:20" ht="13" x14ac:dyDescent="0.15">
      <c r="T957" s="3"/>
    </row>
    <row r="958" spans="20:20" ht="13" x14ac:dyDescent="0.15">
      <c r="T958" s="3"/>
    </row>
    <row r="959" spans="20:20" ht="13" x14ac:dyDescent="0.15">
      <c r="T959" s="3"/>
    </row>
    <row r="960" spans="20:20" ht="13" x14ac:dyDescent="0.15">
      <c r="T960" s="3"/>
    </row>
    <row r="961" spans="20:20" ht="13" x14ac:dyDescent="0.15">
      <c r="T961" s="3"/>
    </row>
    <row r="962" spans="20:20" ht="13" x14ac:dyDescent="0.15">
      <c r="T962" s="3"/>
    </row>
    <row r="963" spans="20:20" ht="13" x14ac:dyDescent="0.15">
      <c r="T963" s="3"/>
    </row>
    <row r="964" spans="20:20" ht="13" x14ac:dyDescent="0.15">
      <c r="T964" s="3"/>
    </row>
    <row r="965" spans="20:20" ht="13" x14ac:dyDescent="0.15">
      <c r="T965" s="3"/>
    </row>
    <row r="966" spans="20:20" ht="13" x14ac:dyDescent="0.15">
      <c r="T966" s="3"/>
    </row>
    <row r="967" spans="20:20" ht="13" x14ac:dyDescent="0.15">
      <c r="T967" s="3"/>
    </row>
    <row r="968" spans="20:20" ht="13" x14ac:dyDescent="0.15">
      <c r="T968" s="3"/>
    </row>
    <row r="969" spans="20:20" ht="13" x14ac:dyDescent="0.15">
      <c r="T969" s="3"/>
    </row>
    <row r="970" spans="20:20" ht="13" x14ac:dyDescent="0.15">
      <c r="T970" s="3"/>
    </row>
    <row r="971" spans="20:20" ht="13" x14ac:dyDescent="0.15">
      <c r="T971" s="3"/>
    </row>
    <row r="972" spans="20:20" ht="13" x14ac:dyDescent="0.15">
      <c r="T972" s="3"/>
    </row>
    <row r="973" spans="20:20" ht="13" x14ac:dyDescent="0.15">
      <c r="T973" s="3"/>
    </row>
    <row r="974" spans="20:20" ht="13" x14ac:dyDescent="0.15">
      <c r="T974" s="3"/>
    </row>
    <row r="975" spans="20:20" ht="13" x14ac:dyDescent="0.15">
      <c r="T975" s="3"/>
    </row>
    <row r="976" spans="20:20" ht="13" x14ac:dyDescent="0.15">
      <c r="T976" s="3"/>
    </row>
    <row r="977" spans="20:20" ht="13" x14ac:dyDescent="0.15">
      <c r="T977" s="3"/>
    </row>
    <row r="978" spans="20:20" ht="13" x14ac:dyDescent="0.15">
      <c r="T978" s="3"/>
    </row>
    <row r="979" spans="20:20" ht="13" x14ac:dyDescent="0.15">
      <c r="T979" s="3"/>
    </row>
    <row r="980" spans="20:20" ht="13" x14ac:dyDescent="0.15">
      <c r="T980" s="3"/>
    </row>
    <row r="981" spans="20:20" ht="13" x14ac:dyDescent="0.15">
      <c r="T981" s="3"/>
    </row>
    <row r="982" spans="20:20" ht="13" x14ac:dyDescent="0.15">
      <c r="T982" s="3"/>
    </row>
    <row r="983" spans="20:20" ht="13" x14ac:dyDescent="0.15">
      <c r="T983" s="3"/>
    </row>
    <row r="984" spans="20:20" ht="13" x14ac:dyDescent="0.15">
      <c r="T984" s="3"/>
    </row>
    <row r="985" spans="20:20" ht="13" x14ac:dyDescent="0.15">
      <c r="T985" s="3"/>
    </row>
    <row r="986" spans="20:20" ht="13" x14ac:dyDescent="0.15">
      <c r="T986" s="3"/>
    </row>
    <row r="987" spans="20:20" ht="13" x14ac:dyDescent="0.15">
      <c r="T987" s="3"/>
    </row>
    <row r="988" spans="20:20" ht="13" x14ac:dyDescent="0.15">
      <c r="T988" s="3"/>
    </row>
    <row r="989" spans="20:20" ht="13" x14ac:dyDescent="0.15">
      <c r="T989" s="3"/>
    </row>
    <row r="990" spans="20:20" ht="13" x14ac:dyDescent="0.15">
      <c r="T990" s="3"/>
    </row>
    <row r="991" spans="20:20" ht="13" x14ac:dyDescent="0.15">
      <c r="T991" s="3"/>
    </row>
    <row r="992" spans="20:20" ht="13" x14ac:dyDescent="0.15">
      <c r="T992" s="3"/>
    </row>
    <row r="993" spans="20:20" ht="13" x14ac:dyDescent="0.15">
      <c r="T993" s="3"/>
    </row>
    <row r="994" spans="20:20" ht="13" x14ac:dyDescent="0.15">
      <c r="T994" s="3"/>
    </row>
    <row r="995" spans="20:20" ht="13" x14ac:dyDescent="0.15">
      <c r="T995" s="3"/>
    </row>
    <row r="996" spans="20:20" ht="13" x14ac:dyDescent="0.15">
      <c r="T996" s="3"/>
    </row>
    <row r="997" spans="20:20" ht="13" x14ac:dyDescent="0.15">
      <c r="T997" s="3"/>
    </row>
    <row r="998" spans="20:20" ht="13" x14ac:dyDescent="0.15">
      <c r="T998" s="3"/>
    </row>
    <row r="999" spans="20:20" ht="13" x14ac:dyDescent="0.15"/>
    <row r="1000" spans="20:20" ht="13" x14ac:dyDescent="0.15"/>
    <row r="1001" spans="20:20" ht="13" x14ac:dyDescent="0.15"/>
    <row r="1002" spans="20:20" ht="13" x14ac:dyDescent="0.15"/>
  </sheetData>
  <printOptions horizontalCentered="1" gridLines="1"/>
  <pageMargins left="0.7" right="0.7" top="0.75" bottom="0.75" header="0" footer="0"/>
  <pageSetup fitToHeight="0" pageOrder="overThenDown" orientation="landscape" cellComments="atEnd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42"/>
  <sheetViews>
    <sheetView workbookViewId="0"/>
  </sheetViews>
  <sheetFormatPr baseColWidth="10" defaultColWidth="12.6640625" defaultRowHeight="15.75" customHeight="1" x14ac:dyDescent="0.15"/>
  <cols>
    <col min="2" max="2" width="33.1640625" customWidth="1"/>
    <col min="7" max="7" width="15.1640625" customWidth="1"/>
  </cols>
  <sheetData>
    <row r="1" spans="1:9" ht="15.75" customHeight="1" x14ac:dyDescent="0.45">
      <c r="A1" s="89" t="s">
        <v>117</v>
      </c>
      <c r="B1" s="90"/>
      <c r="C1" s="90"/>
      <c r="D1" s="90"/>
      <c r="E1" s="90"/>
      <c r="F1" s="90"/>
      <c r="G1" s="90"/>
      <c r="H1" s="90"/>
      <c r="I1" s="90"/>
    </row>
    <row r="2" spans="1:9" ht="15.75" customHeight="1" x14ac:dyDescent="0.15">
      <c r="A2" s="10" t="s">
        <v>118</v>
      </c>
    </row>
    <row r="4" spans="1:9" ht="15.75" customHeight="1" x14ac:dyDescent="0.15">
      <c r="A4" s="10" t="s">
        <v>119</v>
      </c>
      <c r="B4" s="10" t="s">
        <v>120</v>
      </c>
      <c r="C4" s="10" t="s">
        <v>121</v>
      </c>
      <c r="D4" s="10" t="s">
        <v>3</v>
      </c>
      <c r="E4" s="10" t="s">
        <v>122</v>
      </c>
      <c r="F4" s="10" t="s">
        <v>123</v>
      </c>
      <c r="G4" s="10" t="s">
        <v>124</v>
      </c>
      <c r="H4" s="10" t="s">
        <v>125</v>
      </c>
    </row>
    <row r="5" spans="1:9" ht="15.75" customHeight="1" x14ac:dyDescent="0.15">
      <c r="A5" s="10" t="s">
        <v>54</v>
      </c>
      <c r="B5" s="10" t="s">
        <v>126</v>
      </c>
      <c r="C5" s="36">
        <v>1053.75</v>
      </c>
      <c r="D5" s="12">
        <v>23.75</v>
      </c>
      <c r="E5" s="36">
        <v>25026.62</v>
      </c>
      <c r="F5" s="10">
        <f ca="1">IFERROR(__xludf.DUMMYFUNCTION("GOOGLEFINANCE(A5)"),17.17)</f>
        <v>17.170000000000002</v>
      </c>
      <c r="G5" s="36">
        <f t="shared" ref="G5:G7" si="0">C5</f>
        <v>1053.75</v>
      </c>
      <c r="H5" s="10">
        <f t="shared" ref="H5:H24" ca="1" si="1">F5*G5</f>
        <v>18092.887500000001</v>
      </c>
    </row>
    <row r="6" spans="1:9" ht="15.75" customHeight="1" x14ac:dyDescent="0.15">
      <c r="A6" s="10" t="s">
        <v>32</v>
      </c>
      <c r="B6" s="10" t="s">
        <v>127</v>
      </c>
      <c r="C6" s="10">
        <v>41</v>
      </c>
      <c r="D6" s="12">
        <v>2596.27</v>
      </c>
      <c r="E6" s="36">
        <v>106447.07</v>
      </c>
      <c r="F6" s="10">
        <f ca="1">IFERROR(__xludf.DUMMYFUNCTION("GOOGLEFINANCE(A6)"),168.65)</f>
        <v>168.65</v>
      </c>
      <c r="G6" s="10">
        <f t="shared" si="0"/>
        <v>41</v>
      </c>
      <c r="H6" s="10">
        <f t="shared" ca="1" si="1"/>
        <v>6914.6500000000005</v>
      </c>
    </row>
    <row r="7" spans="1:9" ht="15.75" customHeight="1" x14ac:dyDescent="0.15">
      <c r="A7" s="10" t="s">
        <v>52</v>
      </c>
      <c r="B7" s="10" t="s">
        <v>128</v>
      </c>
      <c r="C7" s="10">
        <v>390</v>
      </c>
      <c r="D7" s="12">
        <v>61.43</v>
      </c>
      <c r="E7" s="36">
        <v>23957.7</v>
      </c>
      <c r="F7" s="10">
        <f ca="1">IFERROR(__xludf.DUMMYFUNCTION("GOOGLEFINANCE(A7)"),64.21)</f>
        <v>64.209999999999994</v>
      </c>
      <c r="G7" s="10">
        <f t="shared" si="0"/>
        <v>390</v>
      </c>
      <c r="H7" s="10">
        <f t="shared" ca="1" si="1"/>
        <v>25041.899999999998</v>
      </c>
    </row>
    <row r="8" spans="1:9" ht="15.75" customHeight="1" x14ac:dyDescent="0.15">
      <c r="A8" s="10" t="s">
        <v>21</v>
      </c>
      <c r="B8" s="10" t="s">
        <v>129</v>
      </c>
      <c r="C8" s="10">
        <v>669.95050000000003</v>
      </c>
      <c r="D8" s="12">
        <v>164.32</v>
      </c>
      <c r="E8" s="36">
        <v>110086.27</v>
      </c>
      <c r="F8" s="10">
        <f ca="1">IFERROR(__xludf.DUMMYFUNCTION("GOOGLEFINANCE(A8)"),183.05)</f>
        <v>183.05</v>
      </c>
      <c r="G8" s="10">
        <f>492</f>
        <v>492</v>
      </c>
      <c r="H8" s="10">
        <f t="shared" ca="1" si="1"/>
        <v>90060.6</v>
      </c>
    </row>
    <row r="9" spans="1:9" ht="15.75" customHeight="1" x14ac:dyDescent="0.15">
      <c r="A9" s="10" t="s">
        <v>24</v>
      </c>
      <c r="B9" s="10" t="s">
        <v>130</v>
      </c>
      <c r="C9" s="10">
        <v>198.8339</v>
      </c>
      <c r="D9" s="12">
        <v>198.74</v>
      </c>
      <c r="E9" s="36">
        <v>39516.25</v>
      </c>
      <c r="F9" s="10">
        <f ca="1">IFERROR(__xludf.DUMMYFUNCTION("GOOGLEFINANCE(A9)"),178.51)</f>
        <v>178.51</v>
      </c>
      <c r="G9" s="10">
        <f t="shared" ref="G9:G15" si="2">C9</f>
        <v>198.8339</v>
      </c>
      <c r="H9" s="10">
        <f t="shared" ca="1" si="1"/>
        <v>35493.839488999998</v>
      </c>
    </row>
    <row r="10" spans="1:9" ht="15.75" customHeight="1" x14ac:dyDescent="0.15">
      <c r="A10" s="10" t="s">
        <v>56</v>
      </c>
      <c r="B10" s="10" t="s">
        <v>131</v>
      </c>
      <c r="C10" s="10">
        <v>637.39880000000005</v>
      </c>
      <c r="D10" s="12">
        <v>53.92</v>
      </c>
      <c r="E10" s="36">
        <v>34368.54</v>
      </c>
      <c r="F10" s="10">
        <f ca="1">IFERROR(__xludf.DUMMYFUNCTION("GOOGLEFINANCE(A10)"),99.53)</f>
        <v>99.53</v>
      </c>
      <c r="G10" s="10">
        <f t="shared" si="2"/>
        <v>637.39880000000005</v>
      </c>
      <c r="H10" s="10">
        <f t="shared" ca="1" si="1"/>
        <v>63440.302564000005</v>
      </c>
    </row>
    <row r="11" spans="1:9" ht="15.75" customHeight="1" x14ac:dyDescent="0.15">
      <c r="A11" s="10" t="s">
        <v>106</v>
      </c>
      <c r="B11" s="10" t="s">
        <v>132</v>
      </c>
      <c r="C11" s="91">
        <v>1764</v>
      </c>
      <c r="D11" s="12">
        <v>21.51</v>
      </c>
      <c r="E11" s="36">
        <v>37943.64</v>
      </c>
      <c r="F11" s="10">
        <f ca="1">IFERROR(__xludf.DUMMYFUNCTION("GOOGLEFINANCE(A11)"),14.43)</f>
        <v>14.43</v>
      </c>
      <c r="G11" s="91">
        <f t="shared" si="2"/>
        <v>1764</v>
      </c>
      <c r="H11" s="10">
        <f t="shared" ca="1" si="1"/>
        <v>25454.52</v>
      </c>
    </row>
    <row r="12" spans="1:9" ht="15.75" customHeight="1" x14ac:dyDescent="0.15">
      <c r="A12" s="10" t="s">
        <v>58</v>
      </c>
      <c r="B12" s="10" t="s">
        <v>133</v>
      </c>
      <c r="C12" s="10">
        <v>117</v>
      </c>
      <c r="D12" s="12">
        <v>133.69</v>
      </c>
      <c r="E12" s="36">
        <v>15641.73</v>
      </c>
      <c r="F12" s="10">
        <f ca="1">IFERROR(__xludf.DUMMYFUNCTION("GOOGLEFINANCE(A12)"),151.57)</f>
        <v>151.57</v>
      </c>
      <c r="G12" s="10">
        <f t="shared" si="2"/>
        <v>117</v>
      </c>
      <c r="H12" s="10">
        <f t="shared" ca="1" si="1"/>
        <v>17733.689999999999</v>
      </c>
    </row>
    <row r="13" spans="1:9" ht="15.75" customHeight="1" x14ac:dyDescent="0.15">
      <c r="A13" s="10" t="s">
        <v>60</v>
      </c>
      <c r="B13" s="10" t="s">
        <v>134</v>
      </c>
      <c r="C13" s="36">
        <v>1039.58</v>
      </c>
      <c r="D13" s="12">
        <v>56.3</v>
      </c>
      <c r="E13" s="36">
        <v>58528.52</v>
      </c>
      <c r="F13" s="10">
        <f ca="1">IFERROR(__xludf.DUMMYFUNCTION("GOOGLEFINANCE(A13)"),48.06)</f>
        <v>48.06</v>
      </c>
      <c r="G13" s="36">
        <f t="shared" si="2"/>
        <v>1039.58</v>
      </c>
      <c r="H13" s="10">
        <f t="shared" ca="1" si="1"/>
        <v>49962.214800000002</v>
      </c>
    </row>
    <row r="14" spans="1:9" ht="15.75" customHeight="1" x14ac:dyDescent="0.15">
      <c r="A14" s="10" t="s">
        <v>26</v>
      </c>
      <c r="B14" s="10" t="s">
        <v>135</v>
      </c>
      <c r="C14" s="10">
        <v>44.293599999999998</v>
      </c>
      <c r="D14" s="12">
        <v>502.18</v>
      </c>
      <c r="E14" s="36">
        <v>22243.360000000001</v>
      </c>
      <c r="F14" s="10">
        <f ca="1">IFERROR(__xludf.DUMMYFUNCTION("GOOGLEFINANCE(A14)"),787.19)</f>
        <v>787.19</v>
      </c>
      <c r="G14" s="10">
        <f t="shared" si="2"/>
        <v>44.293599999999998</v>
      </c>
      <c r="H14" s="10">
        <f t="shared" ca="1" si="1"/>
        <v>34867.478984000001</v>
      </c>
    </row>
    <row r="15" spans="1:9" ht="15.75" customHeight="1" x14ac:dyDescent="0.15">
      <c r="A15" s="10" t="s">
        <v>108</v>
      </c>
      <c r="B15" s="10" t="s">
        <v>136</v>
      </c>
      <c r="C15" s="10">
        <v>733.75480000000005</v>
      </c>
      <c r="D15" s="12">
        <v>79.37</v>
      </c>
      <c r="E15" s="36">
        <v>58238.12</v>
      </c>
      <c r="F15" s="10">
        <f ca="1">IFERROR(__xludf.DUMMYFUNCTION("GOOGLEFINANCE(A15)"),53.07)</f>
        <v>53.07</v>
      </c>
      <c r="G15" s="10">
        <f t="shared" si="2"/>
        <v>733.75480000000005</v>
      </c>
      <c r="H15" s="10">
        <f t="shared" ca="1" si="1"/>
        <v>38940.367236000006</v>
      </c>
    </row>
    <row r="16" spans="1:9" ht="15.75" customHeight="1" x14ac:dyDescent="0.15">
      <c r="A16" s="10" t="s">
        <v>76</v>
      </c>
      <c r="B16" s="10" t="s">
        <v>137</v>
      </c>
      <c r="C16" s="10">
        <v>100</v>
      </c>
      <c r="D16" s="12">
        <f ca="1">IFERROR(__xludf.DUMMYFUNCTION("GOOGLEFINANCE(A16)"),163.13)</f>
        <v>163.13</v>
      </c>
      <c r="E16" s="36"/>
      <c r="F16" s="10">
        <f t="shared" ref="F16:G16" si="3">C16</f>
        <v>100</v>
      </c>
      <c r="G16" s="12">
        <f t="shared" ca="1" si="3"/>
        <v>163.13</v>
      </c>
      <c r="H16" s="12">
        <f t="shared" ca="1" si="1"/>
        <v>16313</v>
      </c>
    </row>
    <row r="17" spans="1:8" ht="15.75" customHeight="1" x14ac:dyDescent="0.15">
      <c r="A17" s="10" t="s">
        <v>62</v>
      </c>
      <c r="B17" s="10" t="s">
        <v>138</v>
      </c>
      <c r="C17" s="36">
        <v>1515.62</v>
      </c>
      <c r="D17" s="12">
        <v>23.2</v>
      </c>
      <c r="E17" s="36">
        <v>35162.379999999997</v>
      </c>
      <c r="F17" s="10">
        <f ca="1">IFERROR(__xludf.DUMMYFUNCTION("GOOGLEFINANCE(A17)"),28.8)</f>
        <v>28.8</v>
      </c>
      <c r="G17" s="36">
        <f t="shared" ref="G17:G24" si="4">C17</f>
        <v>1515.62</v>
      </c>
      <c r="H17" s="10">
        <f t="shared" ca="1" si="1"/>
        <v>43649.856</v>
      </c>
    </row>
    <row r="18" spans="1:8" ht="15.75" customHeight="1" x14ac:dyDescent="0.15">
      <c r="A18" s="10" t="s">
        <v>74</v>
      </c>
      <c r="B18" s="10" t="s">
        <v>139</v>
      </c>
      <c r="C18" s="10">
        <v>561.73860000000002</v>
      </c>
      <c r="D18" s="12">
        <v>84.66</v>
      </c>
      <c r="E18" s="36">
        <v>47556.79</v>
      </c>
      <c r="F18" s="10">
        <f ca="1">IFERROR(__xludf.DUMMYFUNCTION("GOOGLEFINANCE(A18)"),66.8)</f>
        <v>66.8</v>
      </c>
      <c r="G18" s="10">
        <f t="shared" si="4"/>
        <v>561.73860000000002</v>
      </c>
      <c r="H18" s="10">
        <f t="shared" ca="1" si="1"/>
        <v>37524.138480000001</v>
      </c>
    </row>
    <row r="19" spans="1:8" ht="15.75" customHeight="1" x14ac:dyDescent="0.15">
      <c r="A19" s="10" t="s">
        <v>34</v>
      </c>
      <c r="B19" s="10" t="s">
        <v>140</v>
      </c>
      <c r="C19" s="10">
        <v>201.88839999999999</v>
      </c>
      <c r="D19" s="12">
        <v>161.13999999999999</v>
      </c>
      <c r="E19" s="36">
        <v>32532.3</v>
      </c>
      <c r="F19" s="10">
        <f ca="1">IFERROR(__xludf.DUMMYFUNCTION("GOOGLEFINANCE(A19)"),149.91)</f>
        <v>149.91</v>
      </c>
      <c r="G19" s="10">
        <f t="shared" si="4"/>
        <v>201.88839999999999</v>
      </c>
      <c r="H19" s="10">
        <f t="shared" ca="1" si="1"/>
        <v>30265.090043999997</v>
      </c>
    </row>
    <row r="20" spans="1:8" ht="15.75" customHeight="1" x14ac:dyDescent="0.15">
      <c r="A20" s="10" t="s">
        <v>66</v>
      </c>
      <c r="B20" s="10" t="s">
        <v>141</v>
      </c>
      <c r="C20" s="36">
        <v>1246.46</v>
      </c>
      <c r="D20" s="12">
        <v>40.4</v>
      </c>
      <c r="E20" s="36">
        <v>50356.87</v>
      </c>
      <c r="F20" s="10">
        <f ca="1">IFERROR(__xludf.DUMMYFUNCTION("GOOGLEFINANCE(A20)"),36.24)</f>
        <v>36.24</v>
      </c>
      <c r="G20" s="36">
        <f t="shared" si="4"/>
        <v>1246.46</v>
      </c>
      <c r="H20" s="10">
        <f t="shared" ca="1" si="1"/>
        <v>45171.710400000004</v>
      </c>
    </row>
    <row r="21" spans="1:8" ht="15.75" customHeight="1" x14ac:dyDescent="0.15">
      <c r="A21" s="10" t="s">
        <v>110</v>
      </c>
      <c r="B21" s="10" t="s">
        <v>142</v>
      </c>
      <c r="C21" s="10">
        <v>863.81730000000005</v>
      </c>
      <c r="D21" s="12">
        <v>20.420000000000002</v>
      </c>
      <c r="E21" s="36">
        <v>17639.150000000001</v>
      </c>
      <c r="F21" s="10">
        <f ca="1">IFERROR(__xludf.DUMMYFUNCTION("GOOGLEFINANCE(A21)"),4.78)</f>
        <v>4.78</v>
      </c>
      <c r="G21" s="10">
        <f t="shared" si="4"/>
        <v>863.81730000000005</v>
      </c>
      <c r="H21" s="10">
        <f t="shared" ca="1" si="1"/>
        <v>4129.0466940000006</v>
      </c>
    </row>
    <row r="22" spans="1:8" ht="15.75" customHeight="1" x14ac:dyDescent="0.15">
      <c r="A22" s="10" t="s">
        <v>36</v>
      </c>
      <c r="B22" s="10" t="s">
        <v>143</v>
      </c>
      <c r="C22" s="10">
        <v>266.00490000000002</v>
      </c>
      <c r="D22" s="12">
        <v>287.72000000000003</v>
      </c>
      <c r="E22" s="36">
        <v>76534.929999999993</v>
      </c>
      <c r="F22" s="10">
        <f ca="1">IFERROR(__xludf.DUMMYFUNCTION("GOOGLEFINANCE(A22)"),414.74)</f>
        <v>414.74</v>
      </c>
      <c r="G22" s="10">
        <f t="shared" si="4"/>
        <v>266.00490000000002</v>
      </c>
      <c r="H22" s="10">
        <f t="shared" ca="1" si="1"/>
        <v>110322.87222600001</v>
      </c>
    </row>
    <row r="23" spans="1:8" ht="15.75" customHeight="1" x14ac:dyDescent="0.15">
      <c r="A23" s="10" t="s">
        <v>38</v>
      </c>
      <c r="B23" s="10" t="s">
        <v>144</v>
      </c>
      <c r="C23" s="36">
        <v>1147.02</v>
      </c>
      <c r="D23" s="12">
        <v>73.78</v>
      </c>
      <c r="E23" s="36">
        <v>84627.46</v>
      </c>
      <c r="F23" s="10">
        <f ca="1">IFERROR(__xludf.DUMMYFUNCTION("GOOGLEFINANCE(A23)"),73.79)</f>
        <v>73.790000000000006</v>
      </c>
      <c r="G23" s="36">
        <f t="shared" si="4"/>
        <v>1147.02</v>
      </c>
      <c r="H23" s="10">
        <f t="shared" ca="1" si="1"/>
        <v>84638.605800000005</v>
      </c>
    </row>
    <row r="24" spans="1:8" ht="15.75" customHeight="1" x14ac:dyDescent="0.15">
      <c r="A24" s="10" t="s">
        <v>40</v>
      </c>
      <c r="B24" s="10" t="s">
        <v>145</v>
      </c>
      <c r="C24" s="10">
        <v>89.305499999999995</v>
      </c>
      <c r="D24" s="12">
        <v>93.61</v>
      </c>
      <c r="E24" s="36">
        <v>8359.89</v>
      </c>
      <c r="F24" s="10">
        <f ca="1">IFERROR(__xludf.DUMMYFUNCTION("GOOGLEFINANCE(A24)"),109.18)</f>
        <v>109.18</v>
      </c>
      <c r="G24" s="10">
        <f t="shared" si="4"/>
        <v>89.305499999999995</v>
      </c>
      <c r="H24" s="10">
        <f t="shared" ca="1" si="1"/>
        <v>9750.3744900000002</v>
      </c>
    </row>
    <row r="25" spans="1:8" ht="15.75" customHeight="1" x14ac:dyDescent="0.15">
      <c r="D25" s="12"/>
      <c r="E25" s="36"/>
    </row>
    <row r="27" spans="1:8" ht="15.75" customHeight="1" x14ac:dyDescent="0.15">
      <c r="A27" s="10" t="s">
        <v>42</v>
      </c>
      <c r="B27" s="10" t="s">
        <v>146</v>
      </c>
      <c r="C27" s="10">
        <v>350.99180000000001</v>
      </c>
      <c r="D27" s="12">
        <v>157.93</v>
      </c>
      <c r="E27" s="36">
        <v>55432.13</v>
      </c>
      <c r="F27" s="10">
        <f ca="1">IFERROR(__xludf.DUMMYFUNCTION("GOOGLEFINANCE(A27)"),166.85)</f>
        <v>166.85</v>
      </c>
      <c r="G27" s="10">
        <f t="shared" ref="G27:G40" si="5">C27</f>
        <v>350.99180000000001</v>
      </c>
      <c r="H27" s="10">
        <f t="shared" ref="H27:H41" ca="1" si="6">F27*G27</f>
        <v>58562.981829999997</v>
      </c>
    </row>
    <row r="28" spans="1:8" ht="15.75" customHeight="1" x14ac:dyDescent="0.15">
      <c r="A28" s="10" t="s">
        <v>70</v>
      </c>
      <c r="B28" s="10" t="s">
        <v>147</v>
      </c>
      <c r="C28" s="10">
        <v>364.02289999999999</v>
      </c>
      <c r="D28" s="12">
        <v>165.89</v>
      </c>
      <c r="E28" s="36">
        <v>60387.76</v>
      </c>
      <c r="F28" s="10">
        <f ca="1">IFERROR(__xludf.DUMMYFUNCTION("GOOGLEFINANCE(A28)"),182.08)</f>
        <v>182.08</v>
      </c>
      <c r="G28" s="10">
        <f t="shared" si="5"/>
        <v>364.02289999999999</v>
      </c>
      <c r="H28" s="10">
        <f t="shared" ca="1" si="6"/>
        <v>66281.289632</v>
      </c>
    </row>
    <row r="29" spans="1:8" ht="15.75" customHeight="1" x14ac:dyDescent="0.15">
      <c r="A29" s="10" t="s">
        <v>115</v>
      </c>
      <c r="B29" s="10" t="s">
        <v>148</v>
      </c>
      <c r="C29" s="36">
        <v>1082.51</v>
      </c>
      <c r="D29" s="12">
        <v>30.37</v>
      </c>
      <c r="E29" s="36">
        <v>32875.910000000003</v>
      </c>
      <c r="F29" s="10" t="str">
        <f ca="1">IFERROR(__xludf.DUMMYFUNCTION("GOOGLEFINANCE(A29)"),"#N/A")</f>
        <v>#N/A</v>
      </c>
      <c r="G29" s="36">
        <f t="shared" si="5"/>
        <v>1082.51</v>
      </c>
      <c r="H29" s="10" t="e">
        <f t="shared" ca="1" si="6"/>
        <v>#VALUE!</v>
      </c>
    </row>
    <row r="30" spans="1:8" ht="15.75" customHeight="1" x14ac:dyDescent="0.15">
      <c r="A30" s="10" t="s">
        <v>44</v>
      </c>
      <c r="B30" s="10" t="s">
        <v>149</v>
      </c>
      <c r="C30" s="10">
        <v>309.79629999999997</v>
      </c>
      <c r="D30" s="12">
        <v>246.27</v>
      </c>
      <c r="E30" s="36">
        <v>76293.53</v>
      </c>
      <c r="F30" s="10">
        <f ca="1">IFERROR(__xludf.DUMMYFUNCTION("GOOGLEFINANCE(A30)"),247.4)</f>
        <v>247.4</v>
      </c>
      <c r="G30" s="10">
        <f t="shared" si="5"/>
        <v>309.79629999999997</v>
      </c>
      <c r="H30" s="10">
        <f t="shared" ca="1" si="6"/>
        <v>76643.604619999998</v>
      </c>
    </row>
    <row r="31" spans="1:8" ht="15.75" customHeight="1" x14ac:dyDescent="0.15">
      <c r="A31" s="10" t="s">
        <v>46</v>
      </c>
      <c r="B31" s="10" t="s">
        <v>150</v>
      </c>
      <c r="C31" s="36">
        <v>1001.4</v>
      </c>
      <c r="D31" s="12">
        <v>53.9</v>
      </c>
      <c r="E31" s="36">
        <v>53975.71</v>
      </c>
      <c r="F31" s="10">
        <f ca="1">IFERROR(__xludf.DUMMYFUNCTION("GOOGLEFINANCE(A31)"),40.4)</f>
        <v>40.4</v>
      </c>
      <c r="G31" s="36">
        <f t="shared" si="5"/>
        <v>1001.4</v>
      </c>
      <c r="H31" s="10">
        <f t="shared" ca="1" si="6"/>
        <v>40456.559999999998</v>
      </c>
    </row>
    <row r="32" spans="1:8" ht="15.75" customHeight="1" x14ac:dyDescent="0.15">
      <c r="A32" s="10" t="s">
        <v>28</v>
      </c>
      <c r="B32" s="10" t="s">
        <v>151</v>
      </c>
      <c r="C32" s="10">
        <v>341.4461</v>
      </c>
      <c r="D32" s="12">
        <v>136.44999999999999</v>
      </c>
      <c r="E32" s="36">
        <v>46590.32</v>
      </c>
      <c r="F32" s="10">
        <f ca="1">IFERROR(__xludf.DUMMYFUNCTION("GOOGLEFINANCE(A32)"),60.48)</f>
        <v>60.48</v>
      </c>
      <c r="G32" s="10">
        <f t="shared" si="5"/>
        <v>341.4461</v>
      </c>
      <c r="H32" s="10">
        <f t="shared" ca="1" si="6"/>
        <v>20650.660128</v>
      </c>
    </row>
    <row r="33" spans="1:8" ht="15.75" customHeight="1" x14ac:dyDescent="0.15">
      <c r="A33" s="10" t="s">
        <v>30</v>
      </c>
      <c r="B33" s="10" t="s">
        <v>152</v>
      </c>
      <c r="C33" s="10">
        <v>395.39389999999997</v>
      </c>
      <c r="D33" s="12">
        <v>148.09</v>
      </c>
      <c r="E33" s="36">
        <v>58553.88</v>
      </c>
      <c r="F33" s="10">
        <f ca="1">IFERROR(__xludf.DUMMYFUNCTION("GOOGLEFINANCE(A33)"),105.79)</f>
        <v>105.79</v>
      </c>
      <c r="G33" s="10">
        <f t="shared" si="5"/>
        <v>395.39389999999997</v>
      </c>
      <c r="H33" s="10">
        <f t="shared" ca="1" si="6"/>
        <v>41828.720680999999</v>
      </c>
    </row>
    <row r="34" spans="1:8" ht="15.75" customHeight="1" x14ac:dyDescent="0.15">
      <c r="A34" s="10" t="s">
        <v>48</v>
      </c>
      <c r="B34" s="10" t="s">
        <v>153</v>
      </c>
      <c r="C34" s="10">
        <v>582.22969999999998</v>
      </c>
      <c r="D34" s="12">
        <v>55.28</v>
      </c>
      <c r="E34" s="36">
        <v>32185.66</v>
      </c>
      <c r="F34" s="10">
        <f ca="1">IFERROR(__xludf.DUMMYFUNCTION("GOOGLEFINANCE(A34)"),61.89)</f>
        <v>61.89</v>
      </c>
      <c r="G34" s="10">
        <f t="shared" si="5"/>
        <v>582.22969999999998</v>
      </c>
      <c r="H34" s="10">
        <f t="shared" ca="1" si="6"/>
        <v>36034.196132999998</v>
      </c>
    </row>
    <row r="35" spans="1:8" ht="15.75" customHeight="1" x14ac:dyDescent="0.15">
      <c r="A35" s="10" t="s">
        <v>104</v>
      </c>
      <c r="B35" s="10" t="s">
        <v>154</v>
      </c>
      <c r="C35" s="36">
        <v>1300.81</v>
      </c>
      <c r="D35" s="12">
        <v>18.170000000000002</v>
      </c>
      <c r="E35" s="36">
        <v>23635.759999999998</v>
      </c>
      <c r="F35" s="10" t="str">
        <f ca="1">IFERROR(__xludf.DUMMYFUNCTION("GOOGLEFINANCE(A35)"),"#N/A")</f>
        <v>#N/A</v>
      </c>
      <c r="G35" s="36">
        <f t="shared" si="5"/>
        <v>1300.81</v>
      </c>
      <c r="H35" s="10" t="e">
        <f t="shared" ca="1" si="6"/>
        <v>#VALUE!</v>
      </c>
    </row>
    <row r="36" spans="1:8" ht="15.75" customHeight="1" x14ac:dyDescent="0.15">
      <c r="A36" s="10" t="s">
        <v>90</v>
      </c>
      <c r="B36" s="10" t="s">
        <v>155</v>
      </c>
      <c r="C36" s="10">
        <v>747.03639999999996</v>
      </c>
      <c r="D36" s="12">
        <v>25.7</v>
      </c>
      <c r="E36" s="36">
        <v>19195.099999999999</v>
      </c>
      <c r="F36" s="10">
        <f ca="1">IFERROR(__xludf.DUMMYFUNCTION("GOOGLEFINANCE(A36)"),22.55)</f>
        <v>22.55</v>
      </c>
      <c r="G36" s="10">
        <f t="shared" si="5"/>
        <v>747.03639999999996</v>
      </c>
      <c r="H36" s="10">
        <f t="shared" ca="1" si="6"/>
        <v>16845.670819999999</v>
      </c>
    </row>
    <row r="37" spans="1:8" ht="15.75" customHeight="1" x14ac:dyDescent="0.15">
      <c r="A37" s="10" t="s">
        <v>86</v>
      </c>
      <c r="B37" s="10" t="s">
        <v>156</v>
      </c>
      <c r="C37" s="10">
        <v>888.7998</v>
      </c>
      <c r="D37" s="12">
        <v>111.21</v>
      </c>
      <c r="E37" s="36">
        <v>98843.43</v>
      </c>
      <c r="F37" s="10">
        <f ca="1">IFERROR(__xludf.DUMMYFUNCTION("GOOGLEFINANCE(A37)"),92.5)</f>
        <v>92.5</v>
      </c>
      <c r="G37" s="10">
        <f t="shared" si="5"/>
        <v>888.7998</v>
      </c>
      <c r="H37" s="10">
        <f t="shared" ca="1" si="6"/>
        <v>82213.981499999994</v>
      </c>
    </row>
    <row r="38" spans="1:8" ht="15.75" customHeight="1" x14ac:dyDescent="0.15">
      <c r="A38" s="10" t="s">
        <v>88</v>
      </c>
      <c r="B38" s="10" t="s">
        <v>157</v>
      </c>
      <c r="C38" s="10">
        <v>375.67410000000001</v>
      </c>
      <c r="D38" s="12">
        <v>51.86</v>
      </c>
      <c r="E38" s="36">
        <v>19482.46</v>
      </c>
      <c r="F38" s="10">
        <f ca="1">IFERROR(__xludf.DUMMYFUNCTION("GOOGLEFINANCE(A38)"),46.24)</f>
        <v>46.24</v>
      </c>
      <c r="G38" s="10">
        <f t="shared" si="5"/>
        <v>375.67410000000001</v>
      </c>
      <c r="H38" s="10">
        <f t="shared" ca="1" si="6"/>
        <v>17371.170384000001</v>
      </c>
    </row>
    <row r="39" spans="1:8" ht="15.75" customHeight="1" x14ac:dyDescent="0.15">
      <c r="A39" s="10" t="s">
        <v>64</v>
      </c>
      <c r="B39" s="10" t="s">
        <v>158</v>
      </c>
      <c r="C39" s="36">
        <v>1479.88</v>
      </c>
      <c r="D39" s="12">
        <v>57.04</v>
      </c>
      <c r="E39" s="36">
        <v>84412.26</v>
      </c>
      <c r="F39" s="10">
        <f ca="1">IFERROR(__xludf.DUMMYFUNCTION("GOOGLEFINANCE(A39)"),55.83)</f>
        <v>55.83</v>
      </c>
      <c r="G39" s="36">
        <f t="shared" si="5"/>
        <v>1479.88</v>
      </c>
      <c r="H39" s="10">
        <f t="shared" ca="1" si="6"/>
        <v>82621.700400000002</v>
      </c>
    </row>
    <row r="40" spans="1:8" ht="15.75" customHeight="1" x14ac:dyDescent="0.15">
      <c r="A40" s="10" t="s">
        <v>101</v>
      </c>
      <c r="B40" s="10" t="s">
        <v>159</v>
      </c>
      <c r="C40" s="36">
        <v>2386.4</v>
      </c>
      <c r="D40" s="12">
        <v>25.07</v>
      </c>
      <c r="E40" s="36">
        <v>59827.02</v>
      </c>
      <c r="F40" s="10">
        <f ca="1">IFERROR(__xludf.DUMMYFUNCTION("GOOGLEFINANCE(A40)"),22.3)</f>
        <v>22.3</v>
      </c>
      <c r="G40" s="36">
        <f t="shared" si="5"/>
        <v>2386.4</v>
      </c>
      <c r="H40" s="10">
        <f t="shared" ca="1" si="6"/>
        <v>53216.72</v>
      </c>
    </row>
    <row r="41" spans="1:8" ht="15.75" customHeight="1" x14ac:dyDescent="0.15">
      <c r="A41" s="10" t="s">
        <v>160</v>
      </c>
      <c r="B41" s="10" t="s">
        <v>161</v>
      </c>
      <c r="C41" s="10">
        <v>74788.539999999994</v>
      </c>
      <c r="D41" s="10">
        <v>1</v>
      </c>
      <c r="E41" s="36">
        <v>74788.539999999994</v>
      </c>
      <c r="F41" s="10">
        <v>1</v>
      </c>
      <c r="G41" s="10">
        <v>93050</v>
      </c>
      <c r="H41" s="10">
        <f t="shared" si="6"/>
        <v>93050</v>
      </c>
    </row>
    <row r="42" spans="1:8" ht="15.75" customHeight="1" x14ac:dyDescent="0.15">
      <c r="A42" s="10" t="s">
        <v>162</v>
      </c>
      <c r="B42" s="10" t="s">
        <v>161</v>
      </c>
      <c r="C42" s="10" t="s">
        <v>161</v>
      </c>
      <c r="D42" s="10" t="s">
        <v>161</v>
      </c>
      <c r="E42" s="36">
        <v>1718358.32</v>
      </c>
      <c r="G42" s="10" t="str">
        <f>C42</f>
        <v>--</v>
      </c>
      <c r="H42" s="10" t="e">
        <f ca="1">SUM(H5:H41)</f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54"/>
  <sheetViews>
    <sheetView workbookViewId="0"/>
  </sheetViews>
  <sheetFormatPr baseColWidth="10" defaultColWidth="12.6640625" defaultRowHeight="15.75" customHeight="1" x14ac:dyDescent="0.15"/>
  <cols>
    <col min="3" max="3" width="14.5" customWidth="1"/>
    <col min="4" max="4" width="16.6640625" customWidth="1"/>
    <col min="5" max="5" width="14.6640625" customWidth="1"/>
    <col min="6" max="6" width="14.33203125" customWidth="1"/>
    <col min="7" max="7" width="14.6640625" customWidth="1"/>
    <col min="8" max="8" width="21.83203125" customWidth="1"/>
    <col min="9" max="9" width="14.1640625" customWidth="1"/>
    <col min="10" max="10" width="15.6640625" customWidth="1"/>
    <col min="11" max="11" width="15.83203125" customWidth="1"/>
    <col min="12" max="13" width="22.1640625" customWidth="1"/>
  </cols>
  <sheetData>
    <row r="1" spans="1:20" ht="15.75" customHeight="1" x14ac:dyDescent="0.15">
      <c r="A1" s="10"/>
      <c r="B1" s="10" t="s">
        <v>163</v>
      </c>
      <c r="C1" s="4" t="s">
        <v>164</v>
      </c>
      <c r="D1" s="10" t="s">
        <v>163</v>
      </c>
      <c r="E1" s="10" t="s">
        <v>165</v>
      </c>
      <c r="F1" s="10" t="s">
        <v>163</v>
      </c>
      <c r="G1" s="10" t="s">
        <v>0</v>
      </c>
    </row>
    <row r="2" spans="1:20" ht="15.75" customHeight="1" x14ac:dyDescent="0.15">
      <c r="A2" s="10"/>
      <c r="B2" s="92">
        <v>44614</v>
      </c>
      <c r="C2" s="10">
        <v>4348.87</v>
      </c>
      <c r="D2" s="92">
        <v>44614</v>
      </c>
      <c r="E2" s="10">
        <v>13548.07</v>
      </c>
      <c r="F2" s="92">
        <v>44614</v>
      </c>
      <c r="G2" s="12">
        <v>1718358.32</v>
      </c>
    </row>
    <row r="3" spans="1:20" ht="15.75" customHeight="1" x14ac:dyDescent="0.15">
      <c r="A3" s="92"/>
      <c r="B3" s="92">
        <v>44681</v>
      </c>
      <c r="C3" s="10">
        <v>4131.93</v>
      </c>
      <c r="D3" s="92">
        <v>44681</v>
      </c>
      <c r="E3" s="10">
        <v>12334.64</v>
      </c>
      <c r="F3" s="92">
        <v>44681</v>
      </c>
      <c r="G3" s="40">
        <v>1611645.24</v>
      </c>
    </row>
    <row r="4" spans="1:20" ht="15.75" customHeight="1" x14ac:dyDescent="0.15">
      <c r="A4" s="10" t="s">
        <v>166</v>
      </c>
      <c r="B4" s="10" t="s">
        <v>161</v>
      </c>
      <c r="C4" s="14">
        <f>(C3-C2)/C2</f>
        <v>-4.9884222798106087E-2</v>
      </c>
      <c r="D4" s="10" t="s">
        <v>161</v>
      </c>
      <c r="E4" s="14">
        <f>(E3-E2)/E2</f>
        <v>-8.9564786718698705E-2</v>
      </c>
      <c r="F4" s="10" t="s">
        <v>161</v>
      </c>
      <c r="G4" s="14">
        <f>(G3-G2)/G2</f>
        <v>-6.210176233790405E-2</v>
      </c>
      <c r="H4" s="14"/>
    </row>
    <row r="6" spans="1:20" ht="15.75" customHeight="1" x14ac:dyDescent="0.15">
      <c r="N6" s="4" t="s">
        <v>167</v>
      </c>
      <c r="R6" s="4" t="s">
        <v>168</v>
      </c>
    </row>
    <row r="7" spans="1:20" ht="15.75" customHeight="1" x14ac:dyDescent="0.15">
      <c r="A7" s="6"/>
      <c r="B7" s="6" t="s">
        <v>2</v>
      </c>
      <c r="C7" s="10" t="s">
        <v>169</v>
      </c>
      <c r="D7" s="4" t="s">
        <v>170</v>
      </c>
      <c r="E7" s="4" t="s">
        <v>171</v>
      </c>
      <c r="F7" s="4" t="s">
        <v>172</v>
      </c>
      <c r="G7" s="4" t="s">
        <v>173</v>
      </c>
      <c r="H7" s="10" t="s">
        <v>174</v>
      </c>
      <c r="I7" s="10" t="s">
        <v>175</v>
      </c>
      <c r="J7" s="10" t="s">
        <v>176</v>
      </c>
      <c r="K7" s="10" t="s">
        <v>177</v>
      </c>
      <c r="L7" s="6" t="s">
        <v>4</v>
      </c>
      <c r="M7" s="93"/>
    </row>
    <row r="8" spans="1:20" ht="16" x14ac:dyDescent="0.2">
      <c r="A8" s="11"/>
      <c r="B8" s="94" t="s">
        <v>21</v>
      </c>
      <c r="C8" s="10">
        <f ca="1">P9</f>
        <v>83.45</v>
      </c>
      <c r="D8" s="10">
        <f t="shared" ref="D8:D22" ca="1" si="0">C8*L8</f>
        <v>43389.827500000007</v>
      </c>
      <c r="E8" s="4">
        <v>129.41</v>
      </c>
      <c r="F8" s="10">
        <f t="shared" ref="F8:F22" si="1">E8*L8</f>
        <v>67286.729500000001</v>
      </c>
      <c r="G8" s="4"/>
      <c r="L8" s="35">
        <v>519.95000000000005</v>
      </c>
      <c r="M8" s="95"/>
      <c r="N8" s="4" t="s">
        <v>52</v>
      </c>
      <c r="O8" s="10" t="str">
        <f ca="1">IFERROR(__xludf.DUMMYFUNCTION("GOOGLEFINANCE(N8,""PRICE"",""1/1/2020"")"),"Date")</f>
        <v>Date</v>
      </c>
      <c r="P8" s="10" t="str">
        <f ca="1">IFERROR(__xludf.DUMMYFUNCTION("""COMPUTED_VALUE"""),"Close")</f>
        <v>Close</v>
      </c>
      <c r="R8" s="4" t="s">
        <v>21</v>
      </c>
      <c r="S8" s="10" t="str">
        <f ca="1">IFERROR(__xludf.DUMMYFUNCTION("GOOGLEFINANCE(R8,""PRICE"",""1/2/2020"")"),"Date")</f>
        <v>Date</v>
      </c>
      <c r="T8" s="10" t="str">
        <f ca="1">IFERROR(__xludf.DUMMYFUNCTION("""COMPUTED_VALUE"""),"Close")</f>
        <v>Close</v>
      </c>
    </row>
    <row r="9" spans="1:20" ht="16" x14ac:dyDescent="0.2">
      <c r="A9" s="11"/>
      <c r="B9" s="11" t="s">
        <v>24</v>
      </c>
      <c r="C9" s="10">
        <v>207.86</v>
      </c>
      <c r="D9" s="10">
        <f t="shared" si="0"/>
        <v>41329.614454000002</v>
      </c>
      <c r="E9" s="4">
        <v>202.72</v>
      </c>
      <c r="F9" s="10">
        <f t="shared" si="1"/>
        <v>40307.608207999998</v>
      </c>
      <c r="G9" s="4"/>
      <c r="L9" s="35">
        <v>198.8339</v>
      </c>
      <c r="M9" s="95"/>
      <c r="O9" s="96">
        <f ca="1">IFERROR(__xludf.DUMMYFUNCTION("""COMPUTED_VALUE"""),43832.6666666666)</f>
        <v>43832.666666666599</v>
      </c>
      <c r="P9" s="10">
        <f ca="1">IFERROR(__xludf.DUMMYFUNCTION("""COMPUTED_VALUE"""),83.45)</f>
        <v>83.45</v>
      </c>
      <c r="S9" s="97">
        <f ca="1">IFERROR(__xludf.DUMMYFUNCTION("""COMPUTED_VALUE"""),43832.6666666666)</f>
        <v>43832.666666666599</v>
      </c>
      <c r="T9" s="10">
        <f ca="1">IFERROR(__xludf.DUMMYFUNCTION("""COMPUTED_VALUE"""),75.09)</f>
        <v>75.09</v>
      </c>
    </row>
    <row r="10" spans="1:20" ht="16" x14ac:dyDescent="0.2">
      <c r="A10" s="11"/>
      <c r="B10" s="11" t="s">
        <v>26</v>
      </c>
      <c r="C10" s="10">
        <v>556.71</v>
      </c>
      <c r="D10" s="10">
        <f t="shared" si="0"/>
        <v>24658.690055999999</v>
      </c>
      <c r="E10" s="4">
        <v>380.15</v>
      </c>
      <c r="F10" s="10">
        <f t="shared" si="1"/>
        <v>16838.212039999999</v>
      </c>
      <c r="G10" s="4"/>
      <c r="L10" s="35">
        <v>44.293599999999998</v>
      </c>
      <c r="M10" s="95"/>
      <c r="N10" s="10" t="s">
        <v>54</v>
      </c>
      <c r="O10" s="98" t="str">
        <f ca="1">IFERROR(__xludf.DUMMYFUNCTION("GOOGLEFINANCE(N10,""PRICE"",""1/2/2020"")"),"Date")</f>
        <v>Date</v>
      </c>
      <c r="P10" s="10" t="str">
        <f ca="1">IFERROR(__xludf.DUMMYFUNCTION("""COMPUTED_VALUE"""),"Close")</f>
        <v>Close</v>
      </c>
      <c r="R10" s="4" t="s">
        <v>24</v>
      </c>
      <c r="S10" s="98" t="str">
        <f ca="1">IFERROR(__xludf.DUMMYFUNCTION("GOOGLEFINANCE(R10,""PRICE"",""1/2/2020"")"),"Date")</f>
        <v>Date</v>
      </c>
      <c r="T10" s="10" t="str">
        <f ca="1">IFERROR(__xludf.DUMMYFUNCTION("""COMPUTED_VALUE"""),"Close")</f>
        <v>Close</v>
      </c>
    </row>
    <row r="11" spans="1:20" ht="16" x14ac:dyDescent="0.2">
      <c r="A11" s="11"/>
      <c r="B11" s="11" t="s">
        <v>28</v>
      </c>
      <c r="C11" s="10">
        <v>144.65</v>
      </c>
      <c r="D11" s="10">
        <f t="shared" si="0"/>
        <v>49390.178365</v>
      </c>
      <c r="E11" s="4">
        <v>146.53</v>
      </c>
      <c r="F11" s="10">
        <f t="shared" si="1"/>
        <v>50032.097032999998</v>
      </c>
      <c r="G11" s="4"/>
      <c r="L11" s="35">
        <v>341.4461</v>
      </c>
      <c r="M11" s="95"/>
      <c r="O11" s="97">
        <f ca="1">IFERROR(__xludf.DUMMYFUNCTION("""COMPUTED_VALUE"""),43832.6666666666)</f>
        <v>43832.666666666599</v>
      </c>
      <c r="P11" s="10">
        <f ca="1">IFERROR(__xludf.DUMMYFUNCTION("""COMPUTED_VALUE"""),29.33)</f>
        <v>29.33</v>
      </c>
      <c r="S11" s="97">
        <f ca="1">IFERROR(__xludf.DUMMYFUNCTION("""COMPUTED_VALUE"""),43832.6666666666)</f>
        <v>43832.666666666599</v>
      </c>
      <c r="T11" s="10">
        <f ca="1">IFERROR(__xludf.DUMMYFUNCTION("""COMPUTED_VALUE"""),333.32)</f>
        <v>333.32</v>
      </c>
    </row>
    <row r="12" spans="1:20" ht="16" x14ac:dyDescent="0.2">
      <c r="A12" s="11"/>
      <c r="B12" s="11" t="s">
        <v>30</v>
      </c>
      <c r="C12" s="10">
        <v>156.76</v>
      </c>
      <c r="D12" s="10">
        <f t="shared" si="0"/>
        <v>61981.94776399999</v>
      </c>
      <c r="E12" s="4">
        <v>177.68</v>
      </c>
      <c r="F12" s="10">
        <f t="shared" si="1"/>
        <v>70253.588151999997</v>
      </c>
      <c r="G12" s="4"/>
      <c r="L12" s="35">
        <v>395.39389999999997</v>
      </c>
      <c r="M12" s="95"/>
      <c r="N12" s="10" t="s">
        <v>56</v>
      </c>
      <c r="O12" s="98" t="str">
        <f ca="1">IFERROR(__xludf.DUMMYFUNCTION("GOOGLEFINANCE(N12,""PRICE"",""1/2/2020"")"),"Date")</f>
        <v>Date</v>
      </c>
      <c r="P12" s="10" t="str">
        <f ca="1">IFERROR(__xludf.DUMMYFUNCTION("""COMPUTED_VALUE"""),"Close")</f>
        <v>Close</v>
      </c>
      <c r="R12" s="4" t="s">
        <v>26</v>
      </c>
      <c r="S12" s="98" t="str">
        <f ca="1">IFERROR(__xludf.DUMMYFUNCTION("GOOGLEFINANCE(R12,""PRICE"",""1/2/2020"")"),"Date")</f>
        <v>Date</v>
      </c>
      <c r="T12" s="10" t="str">
        <f ca="1">IFERROR(__xludf.DUMMYFUNCTION("""COMPUTED_VALUE"""),"Close")</f>
        <v>Close</v>
      </c>
    </row>
    <row r="13" spans="1:20" ht="16" x14ac:dyDescent="0.2">
      <c r="A13" s="11"/>
      <c r="B13" s="11" t="s">
        <v>108</v>
      </c>
      <c r="C13" s="10">
        <v>78.349999999999994</v>
      </c>
      <c r="D13" s="10">
        <f t="shared" si="0"/>
        <v>57489.688580000002</v>
      </c>
      <c r="E13" s="4">
        <v>73.89</v>
      </c>
      <c r="F13" s="10">
        <f t="shared" si="1"/>
        <v>54217.142172000007</v>
      </c>
      <c r="G13" s="4"/>
      <c r="L13" s="35">
        <v>733.75480000000005</v>
      </c>
      <c r="M13" s="95"/>
      <c r="O13" s="97">
        <f ca="1">IFERROR(__xludf.DUMMYFUNCTION("""COMPUTED_VALUE"""),43832.6666666666)</f>
        <v>43832.666666666599</v>
      </c>
      <c r="P13" s="10">
        <f ca="1">IFERROR(__xludf.DUMMYFUNCTION("""COMPUTED_VALUE"""),50.09)</f>
        <v>50.09</v>
      </c>
      <c r="S13" s="97">
        <f ca="1">IFERROR(__xludf.DUMMYFUNCTION("""COMPUTED_VALUE"""),43832.6666666666)</f>
        <v>43832.666666666599</v>
      </c>
      <c r="T13" s="10">
        <f ca="1">IFERROR(__xludf.DUMMYFUNCTION("""COMPUTED_VALUE"""),291.49)</f>
        <v>291.49</v>
      </c>
    </row>
    <row r="14" spans="1:20" ht="16" x14ac:dyDescent="0.2">
      <c r="A14" s="11"/>
      <c r="B14" s="11" t="s">
        <v>32</v>
      </c>
      <c r="C14" s="10">
        <v>2899.83</v>
      </c>
      <c r="D14" s="10">
        <f t="shared" si="0"/>
        <v>118893.03</v>
      </c>
      <c r="E14" s="4">
        <v>1726.13</v>
      </c>
      <c r="F14" s="10">
        <f t="shared" si="1"/>
        <v>70771.33</v>
      </c>
      <c r="G14" s="4"/>
      <c r="L14" s="35">
        <v>41</v>
      </c>
      <c r="M14" s="95"/>
      <c r="N14" s="10" t="s">
        <v>106</v>
      </c>
      <c r="O14" s="10" t="str">
        <f ca="1">IFERROR(__xludf.DUMMYFUNCTION("GOOGLEFINANCE(N14,""PRICE"",""1/2/2020"")"),"Date")</f>
        <v>Date</v>
      </c>
      <c r="P14" s="10" t="str">
        <f ca="1">IFERROR(__xludf.DUMMYFUNCTION("""COMPUTED_VALUE"""),"Close")</f>
        <v>Close</v>
      </c>
      <c r="R14" s="4" t="s">
        <v>28</v>
      </c>
      <c r="S14" s="10" t="str">
        <f ca="1">IFERROR(__xludf.DUMMYFUNCTION("GOOGLEFINANCE(R14,""PRICE"",""1/2/2020"")"),"Date")</f>
        <v>Date</v>
      </c>
      <c r="T14" s="10" t="str">
        <f ca="1">IFERROR(__xludf.DUMMYFUNCTION("""COMPUTED_VALUE"""),"Close")</f>
        <v>Close</v>
      </c>
    </row>
    <row r="15" spans="1:20" ht="16" x14ac:dyDescent="0.2">
      <c r="A15" s="11"/>
      <c r="B15" s="11" t="s">
        <v>34</v>
      </c>
      <c r="C15" s="10">
        <v>171.54</v>
      </c>
      <c r="D15" s="10">
        <f t="shared" si="0"/>
        <v>34631.936135999997</v>
      </c>
      <c r="E15" s="4">
        <v>156.5</v>
      </c>
      <c r="F15" s="10">
        <f t="shared" si="1"/>
        <v>31595.534599999999</v>
      </c>
      <c r="G15" s="4"/>
      <c r="L15" s="35">
        <v>201.88839999999999</v>
      </c>
      <c r="M15" s="95"/>
      <c r="O15" s="97">
        <f ca="1">IFERROR(__xludf.DUMMYFUNCTION("""COMPUTED_VALUE"""),43832.6666666666)</f>
        <v>43832.666666666599</v>
      </c>
      <c r="P15" s="10">
        <f ca="1">IFERROR(__xludf.DUMMYFUNCTION("""COMPUTED_VALUE"""),51.31)</f>
        <v>51.31</v>
      </c>
      <c r="S15" s="97">
        <f ca="1">IFERROR(__xludf.DUMMYFUNCTION("""COMPUTED_VALUE"""),43832.6666666666)</f>
        <v>43832.666666666599</v>
      </c>
      <c r="T15" s="10">
        <f ca="1">IFERROR(__xludf.DUMMYFUNCTION("""COMPUTED_VALUE"""),39.65)</f>
        <v>39.65</v>
      </c>
    </row>
    <row r="16" spans="1:20" ht="16" x14ac:dyDescent="0.2">
      <c r="A16" s="11"/>
      <c r="B16" s="11" t="s">
        <v>36</v>
      </c>
      <c r="C16" s="10">
        <v>334.75</v>
      </c>
      <c r="D16" s="10">
        <f t="shared" si="0"/>
        <v>89045.140275000012</v>
      </c>
      <c r="E16" s="4">
        <v>217.69</v>
      </c>
      <c r="F16" s="10">
        <f t="shared" si="1"/>
        <v>57906.606681000005</v>
      </c>
      <c r="G16" s="4"/>
      <c r="L16" s="35">
        <v>266.00490000000002</v>
      </c>
      <c r="M16" s="95"/>
      <c r="N16" s="10" t="s">
        <v>58</v>
      </c>
      <c r="O16" s="98" t="str">
        <f ca="1">IFERROR(__xludf.DUMMYFUNCTION("GOOGLEFINANCE(N16,""PRICE"",""1/2/2020"")"),"Date")</f>
        <v>Date</v>
      </c>
      <c r="P16" s="10" t="str">
        <f ca="1">IFERROR(__xludf.DUMMYFUNCTION("""COMPUTED_VALUE"""),"Close")</f>
        <v>Close</v>
      </c>
      <c r="R16" s="4" t="s">
        <v>30</v>
      </c>
      <c r="S16" s="98" t="str">
        <f ca="1">IFERROR(__xludf.DUMMYFUNCTION("GOOGLEFINANCE(R16,""PRICE"",""1/2/2020"")"),"Date")</f>
        <v>Date</v>
      </c>
      <c r="T16" s="10" t="str">
        <f ca="1">IFERROR(__xludf.DUMMYFUNCTION("""COMPUTED_VALUE"""),"Close")</f>
        <v>Close</v>
      </c>
    </row>
    <row r="17" spans="1:20" ht="16" x14ac:dyDescent="0.2">
      <c r="A17" s="11"/>
      <c r="B17" s="11" t="s">
        <v>38</v>
      </c>
      <c r="C17" s="10">
        <v>91.66</v>
      </c>
      <c r="D17" s="10">
        <f t="shared" si="0"/>
        <v>105135.8532</v>
      </c>
      <c r="E17" s="4">
        <v>74.22</v>
      </c>
      <c r="F17" s="10">
        <f t="shared" si="1"/>
        <v>85131.824399999998</v>
      </c>
      <c r="G17" s="4"/>
      <c r="L17" s="35">
        <v>1147.02</v>
      </c>
      <c r="M17" s="95"/>
      <c r="O17" s="97">
        <f ca="1">IFERROR(__xludf.DUMMYFUNCTION("""COMPUTED_VALUE"""),43832.6666666666)</f>
        <v>43832.666666666599</v>
      </c>
      <c r="P17" s="10">
        <f ca="1">IFERROR(__xludf.DUMMYFUNCTION("""COMPUTED_VALUE"""),112.26)</f>
        <v>112.26</v>
      </c>
      <c r="S17" s="97">
        <f ca="1">IFERROR(__xludf.DUMMYFUNCTION("""COMPUTED_VALUE"""),43832.6666666666)</f>
        <v>43832.666666666599</v>
      </c>
      <c r="T17" s="10">
        <f ca="1">IFERROR(__xludf.DUMMYFUNCTION("""COMPUTED_VALUE"""),148.2)</f>
        <v>148.19999999999999</v>
      </c>
    </row>
    <row r="18" spans="1:20" ht="16" x14ac:dyDescent="0.2">
      <c r="A18" s="11"/>
      <c r="B18" s="11" t="s">
        <v>40</v>
      </c>
      <c r="C18" s="10">
        <v>182.01</v>
      </c>
      <c r="D18" s="10">
        <f t="shared" si="0"/>
        <v>16254.494054999997</v>
      </c>
      <c r="E18" s="4">
        <v>84.72</v>
      </c>
      <c r="F18" s="10">
        <f t="shared" si="1"/>
        <v>7565.9619599999996</v>
      </c>
      <c r="G18" s="4"/>
      <c r="L18" s="35">
        <v>89.305499999999995</v>
      </c>
      <c r="M18" s="95"/>
      <c r="N18" s="10" t="s">
        <v>60</v>
      </c>
      <c r="O18" s="98" t="str">
        <f ca="1">IFERROR(__xludf.DUMMYFUNCTION("GOOGLEFINANCE(N18,""PRICE"",""1/2/2020"")"),"Date")</f>
        <v>Date</v>
      </c>
      <c r="P18" s="10" t="str">
        <f ca="1">IFERROR(__xludf.DUMMYFUNCTION("""COMPUTED_VALUE"""),"Close")</f>
        <v>Close</v>
      </c>
      <c r="R18" s="4" t="s">
        <v>108</v>
      </c>
      <c r="S18" s="98" t="str">
        <f ca="1">IFERROR(__xludf.DUMMYFUNCTION("GOOGLEFINANCE(R18,""PRICE"",""1/2/2020"")"),"Date")</f>
        <v>Date</v>
      </c>
      <c r="T18" s="10" t="str">
        <f ca="1">IFERROR(__xludf.DUMMYFUNCTION("""COMPUTED_VALUE"""),"Close")</f>
        <v>Close</v>
      </c>
    </row>
    <row r="19" spans="1:20" ht="16" x14ac:dyDescent="0.2">
      <c r="A19" s="11"/>
      <c r="B19" s="11" t="s">
        <v>42</v>
      </c>
      <c r="C19" s="99">
        <v>162.9</v>
      </c>
      <c r="D19" s="10">
        <f t="shared" si="0"/>
        <v>57176.564220000007</v>
      </c>
      <c r="E19" s="4">
        <v>137.82</v>
      </c>
      <c r="F19" s="10">
        <f t="shared" si="1"/>
        <v>48373.689875999997</v>
      </c>
      <c r="G19" s="4"/>
      <c r="L19" s="35">
        <v>350.99180000000001</v>
      </c>
      <c r="M19" s="95"/>
      <c r="O19" s="97">
        <f ca="1">IFERROR(__xludf.DUMMYFUNCTION("""COMPUTED_VALUE"""),43832.6666666666)</f>
        <v>43832.666666666599</v>
      </c>
      <c r="P19" s="10">
        <f ca="1">IFERROR(__xludf.DUMMYFUNCTION("""COMPUTED_VALUE"""),48.42)</f>
        <v>48.42</v>
      </c>
      <c r="S19" s="97">
        <f ca="1">IFERROR(__xludf.DUMMYFUNCTION("""COMPUTED_VALUE"""),43832.6666666666)</f>
        <v>43832.666666666599</v>
      </c>
      <c r="T19" s="10">
        <f ca="1">IFERROR(__xludf.DUMMYFUNCTION("""COMPUTED_VALUE"""),81.96)</f>
        <v>81.96</v>
      </c>
    </row>
    <row r="20" spans="1:20" ht="16" x14ac:dyDescent="0.2">
      <c r="A20" s="11"/>
      <c r="B20" s="11" t="s">
        <v>44</v>
      </c>
      <c r="C20" s="10">
        <v>247.77</v>
      </c>
      <c r="D20" s="10">
        <f t="shared" si="0"/>
        <v>76758.229250999997</v>
      </c>
      <c r="E20" s="4">
        <v>203.01</v>
      </c>
      <c r="F20" s="10">
        <f t="shared" si="1"/>
        <v>62891.746862999993</v>
      </c>
      <c r="G20" s="4"/>
      <c r="L20" s="35">
        <v>309.79629999999997</v>
      </c>
      <c r="M20" s="95"/>
      <c r="N20" s="10" t="s">
        <v>62</v>
      </c>
      <c r="O20" s="98" t="str">
        <f ca="1">IFERROR(__xludf.DUMMYFUNCTION("GOOGLEFINANCE(N20,""PRICE"",""1/2/2020"")"),"Date")</f>
        <v>Date</v>
      </c>
      <c r="P20" s="10" t="str">
        <f ca="1">IFERROR(__xludf.DUMMYFUNCTION("""COMPUTED_VALUE"""),"Close")</f>
        <v>Close</v>
      </c>
      <c r="R20" s="4" t="s">
        <v>32</v>
      </c>
      <c r="S20" s="98" t="str">
        <f ca="1">IFERROR(__xludf.DUMMYFUNCTION("GOOGLEFINANCE(R20,""PRICE"",""1/2/2020"")"),"Date")</f>
        <v>Date</v>
      </c>
      <c r="T20" s="10" t="str">
        <f ca="1">IFERROR(__xludf.DUMMYFUNCTION("""COMPUTED_VALUE"""),"Close")</f>
        <v>Close</v>
      </c>
    </row>
    <row r="21" spans="1:20" ht="16" x14ac:dyDescent="0.2">
      <c r="A21" s="11"/>
      <c r="B21" s="11" t="s">
        <v>46</v>
      </c>
      <c r="C21" s="10">
        <v>52.44</v>
      </c>
      <c r="D21" s="10">
        <f t="shared" si="0"/>
        <v>52513.415999999997</v>
      </c>
      <c r="E21" s="4">
        <v>58.85</v>
      </c>
      <c r="F21" s="10">
        <f t="shared" si="1"/>
        <v>58932.39</v>
      </c>
      <c r="G21" s="4"/>
      <c r="L21" s="35">
        <v>1001.4</v>
      </c>
      <c r="M21" s="95"/>
      <c r="O21" s="97">
        <f ca="1">IFERROR(__xludf.DUMMYFUNCTION("""COMPUTED_VALUE"""),43832.6666666666)</f>
        <v>43832.666666666599</v>
      </c>
      <c r="P21" s="10">
        <f ca="1">IFERROR(__xludf.DUMMYFUNCTION("""COMPUTED_VALUE"""),28.13)</f>
        <v>28.13</v>
      </c>
      <c r="S21" s="97">
        <f ca="1">IFERROR(__xludf.DUMMYFUNCTION("""COMPUTED_VALUE"""),43832.6666666666)</f>
        <v>43832.666666666599</v>
      </c>
      <c r="T21" s="10">
        <f ca="1">IFERROR(__xludf.DUMMYFUNCTION("""COMPUTED_VALUE"""),68.43)</f>
        <v>68.430000000000007</v>
      </c>
    </row>
    <row r="22" spans="1:20" ht="16" x14ac:dyDescent="0.2">
      <c r="A22" s="11"/>
      <c r="B22" s="11" t="s">
        <v>48</v>
      </c>
      <c r="C22" s="10">
        <v>50.73</v>
      </c>
      <c r="D22" s="10">
        <f t="shared" si="0"/>
        <v>29536.512680999997</v>
      </c>
      <c r="E22" s="4">
        <v>29.7</v>
      </c>
      <c r="F22" s="10">
        <f t="shared" si="1"/>
        <v>17292.222089999999</v>
      </c>
      <c r="G22" s="4"/>
      <c r="L22" s="35">
        <v>582.22969999999998</v>
      </c>
      <c r="M22" s="95"/>
      <c r="N22" s="10" t="s">
        <v>64</v>
      </c>
      <c r="O22" s="98" t="str">
        <f ca="1">IFERROR(__xludf.DUMMYFUNCTION("GOOGLEFINANCE(N22,""PRICE"",""1/2/2020"")"),"Date")</f>
        <v>Date</v>
      </c>
      <c r="P22" s="10" t="str">
        <f ca="1">IFERROR(__xludf.DUMMYFUNCTION("""COMPUTED_VALUE"""),"Close")</f>
        <v>Close</v>
      </c>
      <c r="R22" s="4" t="s">
        <v>34</v>
      </c>
      <c r="S22" s="98" t="str">
        <f ca="1">IFERROR(__xludf.DUMMYFUNCTION("GOOGLEFINANCE(R22,""PRICE"",""1/2/2020"")"),"Date")</f>
        <v>Date</v>
      </c>
      <c r="T22" s="10" t="str">
        <f ca="1">IFERROR(__xludf.DUMMYFUNCTION("""COMPUTED_VALUE"""),"Close")</f>
        <v>Close</v>
      </c>
    </row>
    <row r="23" spans="1:20" ht="15.75" customHeight="1" x14ac:dyDescent="0.15">
      <c r="A23" s="1"/>
      <c r="B23" s="1"/>
      <c r="L23" s="35"/>
      <c r="M23" s="95"/>
      <c r="O23" s="97">
        <f ca="1">IFERROR(__xludf.DUMMYFUNCTION("""COMPUTED_VALUE"""),43832.6666666666)</f>
        <v>43832.666666666599</v>
      </c>
      <c r="P23" s="10">
        <f ca="1">IFERROR(__xludf.DUMMYFUNCTION("""COMPUTED_VALUE"""),44.27)</f>
        <v>44.27</v>
      </c>
      <c r="S23" s="97">
        <f ca="1">IFERROR(__xludf.DUMMYFUNCTION("""COMPUTED_VALUE"""),43832.6666666666)</f>
        <v>43832.666666666599</v>
      </c>
      <c r="T23" s="10">
        <f ca="1">IFERROR(__xludf.DUMMYFUNCTION("""COMPUTED_VALUE"""),145.97)</f>
        <v>145.97</v>
      </c>
    </row>
    <row r="24" spans="1:20" ht="14" x14ac:dyDescent="0.15">
      <c r="A24" s="1"/>
      <c r="B24" s="1"/>
      <c r="L24" s="35"/>
      <c r="M24" s="100"/>
      <c r="N24" s="10" t="s">
        <v>66</v>
      </c>
      <c r="O24" s="98" t="str">
        <f ca="1">IFERROR(__xludf.DUMMYFUNCTION("GOOGLEFINANCE(N24,""PRICE"",""1/2/2020"")"),"Date")</f>
        <v>Date</v>
      </c>
      <c r="P24" s="10" t="str">
        <f ca="1">IFERROR(__xludf.DUMMYFUNCTION("""COMPUTED_VALUE"""),"Close")</f>
        <v>Close</v>
      </c>
      <c r="R24" s="4" t="s">
        <v>36</v>
      </c>
      <c r="S24" s="98" t="str">
        <f ca="1">IFERROR(__xludf.DUMMYFUNCTION("GOOGLEFINANCE(R24,""PRICE"",""1/2/2020"")"),"Date")</f>
        <v>Date</v>
      </c>
      <c r="T24" s="10" t="str">
        <f ca="1">IFERROR(__xludf.DUMMYFUNCTION("""COMPUTED_VALUE"""),"Close")</f>
        <v>Close</v>
      </c>
    </row>
    <row r="25" spans="1:20" ht="15.75" customHeight="1" x14ac:dyDescent="0.15">
      <c r="A25" s="6"/>
      <c r="B25" s="6"/>
      <c r="L25" s="6" t="s">
        <v>4</v>
      </c>
      <c r="M25" s="93"/>
      <c r="O25" s="97">
        <f ca="1">IFERROR(__xludf.DUMMYFUNCTION("""COMPUTED_VALUE"""),43832.6666666666)</f>
        <v>43832.666666666599</v>
      </c>
      <c r="P25" s="10">
        <f ca="1">IFERROR(__xludf.DUMMYFUNCTION("""COMPUTED_VALUE"""),31.61)</f>
        <v>31.61</v>
      </c>
      <c r="S25" s="97">
        <f ca="1">IFERROR(__xludf.DUMMYFUNCTION("""COMPUTED_VALUE"""),43832.6666666666)</f>
        <v>43832.666666666599</v>
      </c>
      <c r="T25" s="10">
        <f ca="1">IFERROR(__xludf.DUMMYFUNCTION("""COMPUTED_VALUE"""),160.62)</f>
        <v>160.62</v>
      </c>
    </row>
    <row r="26" spans="1:20" ht="16" x14ac:dyDescent="0.2">
      <c r="A26" s="11"/>
      <c r="B26" s="94" t="s">
        <v>52</v>
      </c>
      <c r="C26" s="10">
        <v>63.25</v>
      </c>
      <c r="D26" s="10">
        <f t="shared" ref="D26:D42" si="2">C26*L26</f>
        <v>24667.5</v>
      </c>
      <c r="E26" s="4">
        <v>69.77</v>
      </c>
      <c r="F26" s="10">
        <f t="shared" ref="F26:F42" si="3">E26*L26</f>
        <v>27210.3</v>
      </c>
      <c r="G26" s="4"/>
      <c r="L26" s="35">
        <v>390</v>
      </c>
      <c r="M26" s="95"/>
      <c r="N26" s="4" t="s">
        <v>68</v>
      </c>
      <c r="O26" s="98" t="str">
        <f ca="1">IFERROR(__xludf.DUMMYFUNCTION("GOOGLEFINANCE(N26,""PRICE"",""1/2/2020"")"),"Date")</f>
        <v>Date</v>
      </c>
      <c r="P26" s="10" t="str">
        <f ca="1">IFERROR(__xludf.DUMMYFUNCTION("""COMPUTED_VALUE"""),"Close")</f>
        <v>Close</v>
      </c>
      <c r="R26" s="4" t="s">
        <v>38</v>
      </c>
      <c r="S26" s="98" t="str">
        <f ca="1">IFERROR(__xludf.DUMMYFUNCTION("GOOGLEFINANCE(R26,""PRICE"",""1/2/2020"")"),"Date")</f>
        <v>Date</v>
      </c>
      <c r="T26" s="10" t="str">
        <f ca="1">IFERROR(__xludf.DUMMYFUNCTION("""COMPUTED_VALUE"""),"Close")</f>
        <v>Close</v>
      </c>
    </row>
    <row r="27" spans="1:20" ht="16" x14ac:dyDescent="0.2">
      <c r="A27" s="41"/>
      <c r="B27" s="41" t="s">
        <v>54</v>
      </c>
      <c r="C27" s="10">
        <v>19.190000000000001</v>
      </c>
      <c r="D27" s="10">
        <f t="shared" si="2"/>
        <v>20221.462500000001</v>
      </c>
      <c r="E27" s="4">
        <v>22.22</v>
      </c>
      <c r="F27" s="10">
        <f t="shared" si="3"/>
        <v>23414.324999999997</v>
      </c>
      <c r="G27" s="4"/>
      <c r="L27" s="35">
        <v>1053.75</v>
      </c>
      <c r="M27" s="95"/>
      <c r="O27" s="97">
        <f ca="1">IFERROR(__xludf.DUMMYFUNCTION("""COMPUTED_VALUE"""),43832.6666666666)</f>
        <v>43832.666666666599</v>
      </c>
      <c r="P27" s="10">
        <f ca="1">IFERROR(__xludf.DUMMYFUNCTION("""COMPUTED_VALUE"""),110.75)</f>
        <v>110.75</v>
      </c>
      <c r="S27" s="97">
        <f ca="1">IFERROR(__xludf.DUMMYFUNCTION("""COMPUTED_VALUE"""),43832.6666666666)</f>
        <v>43832.666666666599</v>
      </c>
      <c r="T27" s="10">
        <f ca="1">IFERROR(__xludf.DUMMYFUNCTION("""COMPUTED_VALUE"""),59.66)</f>
        <v>59.66</v>
      </c>
    </row>
    <row r="28" spans="1:20" ht="16" x14ac:dyDescent="0.2">
      <c r="A28" s="41"/>
      <c r="B28" s="41" t="s">
        <v>56</v>
      </c>
      <c r="C28" s="10">
        <v>52.01</v>
      </c>
      <c r="D28" s="10">
        <f t="shared" si="2"/>
        <v>33151.111588</v>
      </c>
      <c r="E28" s="4">
        <v>52.93</v>
      </c>
      <c r="F28" s="10">
        <f t="shared" si="3"/>
        <v>33737.518484</v>
      </c>
      <c r="G28" s="4"/>
      <c r="L28" s="35">
        <v>637.39880000000005</v>
      </c>
      <c r="M28" s="95"/>
      <c r="N28" s="4" t="s">
        <v>70</v>
      </c>
      <c r="O28" s="98" t="str">
        <f ca="1">IFERROR(__xludf.DUMMYFUNCTION("GOOGLEFINANCE(N28,""PRICE"",""1/2/2020"")"),"Date")</f>
        <v>Date</v>
      </c>
      <c r="P28" s="10" t="str">
        <f ca="1">IFERROR(__xludf.DUMMYFUNCTION("""COMPUTED_VALUE"""),"Close")</f>
        <v>Close</v>
      </c>
      <c r="R28" s="4" t="s">
        <v>40</v>
      </c>
      <c r="S28" s="98" t="str">
        <f ca="1">IFERROR(__xludf.DUMMYFUNCTION("GOOGLEFINANCE(R28,""PRICE"",""1/2/2020"")"),"Date")</f>
        <v>Date</v>
      </c>
      <c r="T28" s="10" t="str">
        <f ca="1">IFERROR(__xludf.DUMMYFUNCTION("""COMPUTED_VALUE"""),"Close")</f>
        <v>Close</v>
      </c>
    </row>
    <row r="29" spans="1:20" ht="16" x14ac:dyDescent="0.2">
      <c r="A29" s="11"/>
      <c r="B29" s="11" t="s">
        <v>106</v>
      </c>
      <c r="C29" s="10">
        <v>21.41</v>
      </c>
      <c r="D29" s="10">
        <f t="shared" si="2"/>
        <v>37767.24</v>
      </c>
      <c r="E29" s="4">
        <v>20.38</v>
      </c>
      <c r="F29" s="10">
        <f t="shared" si="3"/>
        <v>35950.32</v>
      </c>
      <c r="G29" s="4"/>
      <c r="L29" s="35">
        <v>1764</v>
      </c>
      <c r="M29" s="95"/>
      <c r="O29" s="97">
        <f ca="1">IFERROR(__xludf.DUMMYFUNCTION("""COMPUTED_VALUE"""),43832.6666666666)</f>
        <v>43832.666666666599</v>
      </c>
      <c r="P29" s="10">
        <f ca="1">IFERROR(__xludf.DUMMYFUNCTION("""COMPUTED_VALUE"""),88.69)</f>
        <v>88.69</v>
      </c>
      <c r="S29" s="97">
        <f ca="1">IFERROR(__xludf.DUMMYFUNCTION("""COMPUTED_VALUE"""),43832.6666666666)</f>
        <v>43832.666666666599</v>
      </c>
      <c r="T29" s="10">
        <f ca="1">IFERROR(__xludf.DUMMYFUNCTION("""COMPUTED_VALUE"""),53.01)</f>
        <v>53.01</v>
      </c>
    </row>
    <row r="30" spans="1:20" ht="16" x14ac:dyDescent="0.2">
      <c r="A30" s="11"/>
      <c r="B30" s="11" t="s">
        <v>58</v>
      </c>
      <c r="C30" s="10">
        <v>116.39</v>
      </c>
      <c r="D30" s="10">
        <f t="shared" si="2"/>
        <v>13617.63</v>
      </c>
      <c r="E30" s="4">
        <v>129.88</v>
      </c>
      <c r="F30" s="10">
        <f t="shared" si="3"/>
        <v>15195.96</v>
      </c>
      <c r="G30" s="4"/>
      <c r="L30" s="35">
        <v>117</v>
      </c>
      <c r="M30" s="95"/>
      <c r="N30" s="4" t="s">
        <v>101</v>
      </c>
      <c r="O30" s="98" t="s">
        <v>178</v>
      </c>
      <c r="R30" s="4" t="s">
        <v>42</v>
      </c>
      <c r="S30" s="98" t="str">
        <f ca="1">IFERROR(__xludf.DUMMYFUNCTION("GOOGLEFINANCE(R30,""PRICE"",""1/2/2020"")"),"Date")</f>
        <v>Date</v>
      </c>
      <c r="T30" s="10" t="str">
        <f ca="1">IFERROR(__xludf.DUMMYFUNCTION("""COMPUTED_VALUE"""),"Close")</f>
        <v>Close</v>
      </c>
    </row>
    <row r="31" spans="1:20" ht="16" x14ac:dyDescent="0.2">
      <c r="A31" s="11"/>
      <c r="B31" s="11" t="s">
        <v>60</v>
      </c>
      <c r="C31" s="10">
        <v>63.16</v>
      </c>
      <c r="D31" s="10">
        <f t="shared" si="2"/>
        <v>65659.872799999997</v>
      </c>
      <c r="E31" s="4">
        <v>43.96</v>
      </c>
      <c r="F31" s="10">
        <f t="shared" si="3"/>
        <v>45699.936799999996</v>
      </c>
      <c r="G31" s="4"/>
      <c r="L31" s="35">
        <v>1039.58</v>
      </c>
      <c r="M31" s="95"/>
      <c r="S31" s="97">
        <f ca="1">IFERROR(__xludf.DUMMYFUNCTION("""COMPUTED_VALUE"""),43832.6666666666)</f>
        <v>43832.666666666599</v>
      </c>
      <c r="T31" s="10">
        <f ca="1">IFERROR(__xludf.DUMMYFUNCTION("""COMPUTED_VALUE"""),123.41)</f>
        <v>123.41</v>
      </c>
    </row>
    <row r="32" spans="1:20" ht="16" x14ac:dyDescent="0.2">
      <c r="A32" s="11"/>
      <c r="B32" s="11" t="s">
        <v>62</v>
      </c>
      <c r="C32" s="10">
        <v>22.64</v>
      </c>
      <c r="D32" s="10">
        <f t="shared" si="2"/>
        <v>34313.6368</v>
      </c>
      <c r="E32" s="4">
        <v>19.29</v>
      </c>
      <c r="F32" s="10">
        <f t="shared" si="3"/>
        <v>29236.309799999995</v>
      </c>
      <c r="G32" s="4"/>
      <c r="L32" s="35">
        <v>1515.62</v>
      </c>
      <c r="M32" s="95"/>
      <c r="N32" s="4" t="s">
        <v>104</v>
      </c>
      <c r="O32" s="98" t="str">
        <f ca="1">IFERROR(__xludf.DUMMYFUNCTION("GOOGLEFINANCE(N32,""PRICE"",""1/2/2020"")"),"#N/A")</f>
        <v>#N/A</v>
      </c>
      <c r="R32" s="4" t="s">
        <v>44</v>
      </c>
      <c r="S32" s="98" t="str">
        <f ca="1">IFERROR(__xludf.DUMMYFUNCTION("GOOGLEFINANCE(R32,""PRICE"",""1/2/2020"")"),"Date")</f>
        <v>Date</v>
      </c>
      <c r="T32" s="10" t="str">
        <f ca="1">IFERROR(__xludf.DUMMYFUNCTION("""COMPUTED_VALUE"""),"Close")</f>
        <v>Close</v>
      </c>
    </row>
    <row r="33" spans="1:20" ht="16" x14ac:dyDescent="0.2">
      <c r="A33" s="11"/>
      <c r="B33" s="11" t="s">
        <v>64</v>
      </c>
      <c r="C33" s="10">
        <v>65.41</v>
      </c>
      <c r="D33" s="10">
        <f t="shared" si="2"/>
        <v>96798.950800000006</v>
      </c>
      <c r="E33" s="4">
        <v>54.05</v>
      </c>
      <c r="F33" s="10">
        <f t="shared" si="3"/>
        <v>79987.513999999996</v>
      </c>
      <c r="G33" s="4"/>
      <c r="L33" s="35">
        <v>1479.88</v>
      </c>
      <c r="M33" s="95"/>
      <c r="S33" s="97">
        <f ca="1">IFERROR(__xludf.DUMMYFUNCTION("""COMPUTED_VALUE"""),43832.6666666666)</f>
        <v>43832.666666666599</v>
      </c>
      <c r="T33" s="10">
        <f ca="1">IFERROR(__xludf.DUMMYFUNCTION("""COMPUTED_VALUE"""),182.27)</f>
        <v>182.27</v>
      </c>
    </row>
    <row r="34" spans="1:20" ht="16" x14ac:dyDescent="0.2">
      <c r="A34" s="11"/>
      <c r="B34" s="11" t="s">
        <v>66</v>
      </c>
      <c r="C34" s="10">
        <v>36.14</v>
      </c>
      <c r="D34" s="10">
        <f t="shared" si="2"/>
        <v>45047.064400000003</v>
      </c>
      <c r="E34" s="4">
        <v>34.229999999999997</v>
      </c>
      <c r="F34" s="10">
        <f t="shared" si="3"/>
        <v>42666.325799999999</v>
      </c>
      <c r="G34" s="4"/>
      <c r="L34" s="35">
        <v>1246.46</v>
      </c>
      <c r="M34" s="95"/>
      <c r="N34" s="4" t="s">
        <v>74</v>
      </c>
      <c r="O34" s="98" t="str">
        <f ca="1">IFERROR(__xludf.DUMMYFUNCTION("GOOGLEFINANCE(N34,""PRICE"",""1/2/2020"")"),"Date")</f>
        <v>Date</v>
      </c>
      <c r="P34" s="10" t="str">
        <f ca="1">IFERROR(__xludf.DUMMYFUNCTION("""COMPUTED_VALUE"""),"Close")</f>
        <v>Close</v>
      </c>
      <c r="R34" s="4" t="s">
        <v>46</v>
      </c>
      <c r="S34" s="98" t="str">
        <f ca="1">IFERROR(__xludf.DUMMYFUNCTION("GOOGLEFINANCE(R34,""PRICE"",""1/2/2020"")"),"Date")</f>
        <v>Date</v>
      </c>
      <c r="T34" s="10" t="str">
        <f ca="1">IFERROR(__xludf.DUMMYFUNCTION("""COMPUTED_VALUE"""),"Close")</f>
        <v>Close</v>
      </c>
    </row>
    <row r="35" spans="1:20" ht="16" x14ac:dyDescent="0.2">
      <c r="A35" s="11"/>
      <c r="B35" s="11" t="s">
        <v>68</v>
      </c>
      <c r="C35" s="4">
        <v>194.94</v>
      </c>
      <c r="D35" s="10">
        <f t="shared" si="2"/>
        <v>37623.42</v>
      </c>
      <c r="E35" s="4">
        <v>231.92</v>
      </c>
      <c r="F35" s="10">
        <f t="shared" si="3"/>
        <v>44760.56</v>
      </c>
      <c r="G35" s="4"/>
      <c r="L35" s="35">
        <v>193</v>
      </c>
      <c r="M35" s="95"/>
      <c r="O35" s="97">
        <f ca="1">IFERROR(__xludf.DUMMYFUNCTION("""COMPUTED_VALUE"""),43832.6666666666)</f>
        <v>43832.666666666599</v>
      </c>
      <c r="P35" s="10">
        <f ca="1">IFERROR(__xludf.DUMMYFUNCTION("""COMPUTED_VALUE"""),79.77)</f>
        <v>79.77</v>
      </c>
      <c r="S35" s="97">
        <f ca="1">IFERROR(__xludf.DUMMYFUNCTION("""COMPUTED_VALUE"""),43832.6666666666)</f>
        <v>43832.666666666599</v>
      </c>
      <c r="T35" s="10">
        <f ca="1">IFERROR(__xludf.DUMMYFUNCTION("""COMPUTED_VALUE"""),61.05)</f>
        <v>61.05</v>
      </c>
    </row>
    <row r="36" spans="1:20" ht="16" x14ac:dyDescent="0.2">
      <c r="A36" s="11"/>
      <c r="B36" s="11" t="s">
        <v>70</v>
      </c>
      <c r="C36" s="4">
        <v>186.21</v>
      </c>
      <c r="D36" s="10">
        <f t="shared" si="2"/>
        <v>67784.704209000003</v>
      </c>
      <c r="E36" s="4">
        <v>148.5</v>
      </c>
      <c r="F36" s="10">
        <f t="shared" si="3"/>
        <v>54057.400649999996</v>
      </c>
      <c r="G36" s="4"/>
      <c r="L36" s="35">
        <v>364.02289999999999</v>
      </c>
      <c r="M36" s="95"/>
      <c r="N36" s="4" t="s">
        <v>110</v>
      </c>
      <c r="O36" s="98" t="str">
        <f ca="1">IFERROR(__xludf.DUMMYFUNCTION("GOOGLEFINANCE(N36,""PRICE"",""1/2/2020"")"),"Date")</f>
        <v>Date</v>
      </c>
      <c r="P36" s="10" t="str">
        <f ca="1">IFERROR(__xludf.DUMMYFUNCTION("""COMPUTED_VALUE"""),"Close")</f>
        <v>Close</v>
      </c>
      <c r="R36" s="4" t="s">
        <v>48</v>
      </c>
      <c r="S36" s="98" t="str">
        <f ca="1">IFERROR(__xludf.DUMMYFUNCTION("GOOGLEFINANCE(R36,""PRICE"",""1/2/2020"")"),"Date")</f>
        <v>Date</v>
      </c>
      <c r="T36" s="10" t="str">
        <f ca="1">IFERROR(__xludf.DUMMYFUNCTION("""COMPUTED_VALUE"""),"Close")</f>
        <v>Close</v>
      </c>
    </row>
    <row r="37" spans="1:20" ht="16" x14ac:dyDescent="0.2">
      <c r="A37" s="11"/>
      <c r="B37" s="11" t="s">
        <v>101</v>
      </c>
      <c r="C37" s="4">
        <v>26.58</v>
      </c>
      <c r="D37" s="10">
        <f t="shared" si="2"/>
        <v>63430.511999999995</v>
      </c>
      <c r="E37" s="4">
        <v>31.22</v>
      </c>
      <c r="F37" s="10">
        <f t="shared" si="3"/>
        <v>74503.407999999996</v>
      </c>
      <c r="G37" s="4"/>
      <c r="L37" s="35">
        <v>2386.4</v>
      </c>
      <c r="M37" s="95"/>
      <c r="O37" s="97">
        <f ca="1">IFERROR(__xludf.DUMMYFUNCTION("""COMPUTED_VALUE"""),43832.6666666666)</f>
        <v>43832.666666666599</v>
      </c>
      <c r="P37" s="10">
        <f ca="1">IFERROR(__xludf.DUMMYFUNCTION("""COMPUTED_VALUE"""),20.79)</f>
        <v>20.79</v>
      </c>
      <c r="S37" s="97">
        <f ca="1">IFERROR(__xludf.DUMMYFUNCTION("""COMPUTED_VALUE"""),43832.6666666666)</f>
        <v>43832.666666666599</v>
      </c>
      <c r="T37" s="10">
        <f ca="1">IFERROR(__xludf.DUMMYFUNCTION("""COMPUTED_VALUE"""),53.75)</f>
        <v>53.75</v>
      </c>
    </row>
    <row r="38" spans="1:20" ht="16" x14ac:dyDescent="0.2">
      <c r="A38" s="11"/>
      <c r="B38" s="11" t="s">
        <v>104</v>
      </c>
      <c r="C38" s="4">
        <v>21.47</v>
      </c>
      <c r="D38" s="10">
        <f t="shared" si="2"/>
        <v>27928.390699999996</v>
      </c>
      <c r="E38" s="4">
        <v>26.56</v>
      </c>
      <c r="F38" s="10">
        <f t="shared" si="3"/>
        <v>34549.513599999998</v>
      </c>
      <c r="G38" s="4"/>
      <c r="L38" s="35">
        <v>1300.81</v>
      </c>
      <c r="M38" s="95"/>
      <c r="N38" s="4" t="s">
        <v>115</v>
      </c>
      <c r="O38" s="98" t="str">
        <f ca="1">IFERROR(__xludf.DUMMYFUNCTION("GOOGLEFINANCE(N38,""PRICE"",""1/2/2020"")"),"#N/A")</f>
        <v>#N/A</v>
      </c>
      <c r="R38" s="4"/>
      <c r="S38" s="98"/>
    </row>
    <row r="39" spans="1:20" ht="16" x14ac:dyDescent="0.2">
      <c r="A39" s="11"/>
      <c r="B39" s="11" t="s">
        <v>74</v>
      </c>
      <c r="C39" s="4">
        <v>91.06</v>
      </c>
      <c r="D39" s="10">
        <f t="shared" si="2"/>
        <v>51151.916916000002</v>
      </c>
      <c r="E39" s="4">
        <v>57.5</v>
      </c>
      <c r="F39" s="10">
        <f t="shared" si="3"/>
        <v>32299.969500000003</v>
      </c>
      <c r="G39" s="4"/>
      <c r="L39" s="35">
        <v>561.73860000000002</v>
      </c>
      <c r="M39" s="95"/>
    </row>
    <row r="40" spans="1:20" ht="16" x14ac:dyDescent="0.2">
      <c r="A40" s="11"/>
      <c r="B40" s="11" t="s">
        <v>110</v>
      </c>
      <c r="C40" s="4">
        <v>23.45</v>
      </c>
      <c r="D40" s="10">
        <f t="shared" si="2"/>
        <v>20256.515685000002</v>
      </c>
      <c r="E40" s="4">
        <v>20.8</v>
      </c>
      <c r="F40" s="10">
        <f t="shared" si="3"/>
        <v>17967.399840000002</v>
      </c>
      <c r="G40" s="4"/>
      <c r="L40" s="35">
        <v>863.81730000000005</v>
      </c>
      <c r="M40" s="95"/>
      <c r="N40" s="4" t="s">
        <v>76</v>
      </c>
      <c r="O40" s="10" t="str">
        <f ca="1">IFERROR(__xludf.DUMMYFUNCTION("GOOGLEFINANCE(N40,""PRICE"",""1/2/2020"")"),"Date")</f>
        <v>Date</v>
      </c>
      <c r="P40" s="10" t="str">
        <f ca="1">IFERROR(__xludf.DUMMYFUNCTION("""COMPUTED_VALUE"""),"Close")</f>
        <v>Close</v>
      </c>
      <c r="R40" s="4"/>
    </row>
    <row r="41" spans="1:20" ht="16" x14ac:dyDescent="0.2">
      <c r="A41" s="11"/>
      <c r="B41" s="11" t="s">
        <v>115</v>
      </c>
      <c r="C41" s="4">
        <v>34.6</v>
      </c>
      <c r="D41" s="10">
        <f t="shared" si="2"/>
        <v>37454.845999999998</v>
      </c>
      <c r="E41" s="4">
        <v>32.1</v>
      </c>
      <c r="F41" s="10">
        <f t="shared" si="3"/>
        <v>34748.571000000004</v>
      </c>
      <c r="G41" s="4"/>
      <c r="L41" s="35">
        <v>1082.51</v>
      </c>
      <c r="M41" s="95"/>
      <c r="O41" s="97">
        <f ca="1">IFERROR(__xludf.DUMMYFUNCTION("""COMPUTED_VALUE"""),43832.6666666666)</f>
        <v>43832.666666666599</v>
      </c>
      <c r="P41" s="10">
        <f ca="1">IFERROR(__xludf.DUMMYFUNCTION("""COMPUTED_VALUE"""),126.07)</f>
        <v>126.07</v>
      </c>
    </row>
    <row r="42" spans="1:20" ht="16" x14ac:dyDescent="0.2">
      <c r="A42" s="41"/>
      <c r="B42" s="41" t="s">
        <v>76</v>
      </c>
      <c r="C42" s="4">
        <v>231.95</v>
      </c>
      <c r="D42" s="10">
        <f t="shared" si="2"/>
        <v>23195</v>
      </c>
      <c r="E42" s="4">
        <v>177.63</v>
      </c>
      <c r="F42" s="10">
        <f t="shared" si="3"/>
        <v>17763</v>
      </c>
      <c r="G42" s="4"/>
      <c r="L42" s="35">
        <v>100</v>
      </c>
      <c r="M42" s="95"/>
    </row>
    <row r="43" spans="1:20" ht="15.75" customHeight="1" x14ac:dyDescent="0.15">
      <c r="A43" s="1"/>
      <c r="B43" s="1"/>
      <c r="L43" s="35"/>
      <c r="M43" s="95"/>
    </row>
    <row r="44" spans="1:20" ht="15.75" customHeight="1" x14ac:dyDescent="0.15">
      <c r="A44" s="1"/>
      <c r="B44" s="1"/>
      <c r="L44" s="35"/>
      <c r="M44" s="100"/>
    </row>
    <row r="45" spans="1:20" ht="15.75" customHeight="1" x14ac:dyDescent="0.15">
      <c r="A45" s="6"/>
      <c r="B45" s="6"/>
      <c r="L45" s="6" t="s">
        <v>4</v>
      </c>
      <c r="M45" s="93"/>
      <c r="N45" s="4" t="s">
        <v>86</v>
      </c>
      <c r="O45" s="10" t="str">
        <f ca="1">IFERROR(__xludf.DUMMYFUNCTION("GOOGLEFINANCE(N45,""PRICE"",""1/2/2020"")"),"Date")</f>
        <v>Date</v>
      </c>
      <c r="P45" s="10" t="str">
        <f ca="1">IFERROR(__xludf.DUMMYFUNCTION("""COMPUTED_VALUE"""),"Close")</f>
        <v>Close</v>
      </c>
    </row>
    <row r="46" spans="1:20" ht="16" x14ac:dyDescent="0.2">
      <c r="A46" s="41"/>
      <c r="B46" s="101" t="s">
        <v>86</v>
      </c>
      <c r="C46" s="4">
        <v>113.93</v>
      </c>
      <c r="D46" s="10">
        <f t="shared" ref="D46:D48" si="4">C46*L46</f>
        <v>101260.96121400001</v>
      </c>
      <c r="E46" s="4">
        <v>119.98</v>
      </c>
      <c r="F46" s="10">
        <f t="shared" ref="F46:F48" si="5">E46*L46</f>
        <v>106638.200004</v>
      </c>
      <c r="G46" s="4"/>
      <c r="L46" s="35">
        <v>888.7998</v>
      </c>
      <c r="M46" s="95"/>
      <c r="O46" s="97">
        <f ca="1">IFERROR(__xludf.DUMMYFUNCTION("""COMPUTED_VALUE"""),43832.6666666666)</f>
        <v>43832.666666666599</v>
      </c>
      <c r="P46" s="10">
        <f ca="1">IFERROR(__xludf.DUMMYFUNCTION("""COMPUTED_VALUE"""),110.73)</f>
        <v>110.73</v>
      </c>
    </row>
    <row r="47" spans="1:20" ht="16" x14ac:dyDescent="0.2">
      <c r="A47" s="41"/>
      <c r="B47" s="41" t="s">
        <v>88</v>
      </c>
      <c r="C47" s="4">
        <v>53.93</v>
      </c>
      <c r="D47" s="10">
        <f t="shared" si="4"/>
        <v>20260.104212999999</v>
      </c>
      <c r="E47" s="4">
        <v>56.31</v>
      </c>
      <c r="F47" s="10">
        <f t="shared" si="5"/>
        <v>21154.208571000003</v>
      </c>
      <c r="G47" s="4"/>
      <c r="L47" s="35">
        <v>375.67410000000001</v>
      </c>
      <c r="M47" s="95"/>
      <c r="N47" s="4" t="s">
        <v>88</v>
      </c>
      <c r="O47" s="10" t="str">
        <f ca="1">IFERROR(__xludf.DUMMYFUNCTION("GOOGLEFINANCE(N47,""PRICE"",""1/2/2020"")"),"Date")</f>
        <v>Date</v>
      </c>
      <c r="P47" s="10" t="str">
        <f ca="1">IFERROR(__xludf.DUMMYFUNCTION("""COMPUTED_VALUE"""),"Close")</f>
        <v>Close</v>
      </c>
    </row>
    <row r="48" spans="1:20" ht="16" x14ac:dyDescent="0.2">
      <c r="A48" s="41"/>
      <c r="B48" s="41" t="s">
        <v>90</v>
      </c>
      <c r="C48" s="4">
        <v>27.04</v>
      </c>
      <c r="D48" s="10">
        <f t="shared" si="4"/>
        <v>20199.864255999997</v>
      </c>
      <c r="E48" s="4">
        <v>28.24</v>
      </c>
      <c r="F48" s="10">
        <f t="shared" si="5"/>
        <v>21096.307935999997</v>
      </c>
      <c r="G48" s="4"/>
      <c r="L48" s="35">
        <v>747.03639999999996</v>
      </c>
      <c r="M48" s="95"/>
      <c r="O48" s="97">
        <f ca="1">IFERROR(__xludf.DUMMYFUNCTION("""COMPUTED_VALUE"""),43832.6666666666)</f>
        <v>43832.666666666599</v>
      </c>
      <c r="P48" s="10">
        <f ca="1">IFERROR(__xludf.DUMMYFUNCTION("""COMPUTED_VALUE"""),53.83)</f>
        <v>53.83</v>
      </c>
    </row>
    <row r="49" spans="2:16" ht="14" x14ac:dyDescent="0.15">
      <c r="M49" s="95"/>
      <c r="N49" s="4" t="s">
        <v>90</v>
      </c>
      <c r="O49" s="10" t="str">
        <f ca="1">IFERROR(__xludf.DUMMYFUNCTION("GOOGLEFINANCE(N49,""PRICE"",""1/2/2020"")"),"Date")</f>
        <v>Date</v>
      </c>
      <c r="P49" s="10" t="str">
        <f ca="1">IFERROR(__xludf.DUMMYFUNCTION("""COMPUTED_VALUE"""),"Close")</f>
        <v>Close</v>
      </c>
    </row>
    <row r="50" spans="2:16" ht="13" x14ac:dyDescent="0.15">
      <c r="M50" s="100"/>
      <c r="O50" s="97">
        <f ca="1">IFERROR(__xludf.DUMMYFUNCTION("""COMPUTED_VALUE"""),43832.6666666666)</f>
        <v>43832.666666666599</v>
      </c>
      <c r="P50" s="10">
        <f ca="1">IFERROR(__xludf.DUMMYFUNCTION("""COMPUTED_VALUE"""),26.49)</f>
        <v>26.49</v>
      </c>
    </row>
    <row r="51" spans="2:16" ht="13" x14ac:dyDescent="0.15">
      <c r="M51" s="93"/>
    </row>
    <row r="52" spans="2:16" ht="14" x14ac:dyDescent="0.15">
      <c r="B52" s="4" t="s">
        <v>179</v>
      </c>
      <c r="D52" s="4">
        <v>93050</v>
      </c>
      <c r="F52" s="4">
        <v>93050</v>
      </c>
      <c r="H52" s="4"/>
      <c r="M52" s="95"/>
    </row>
    <row r="53" spans="2:16" ht="13" x14ac:dyDescent="0.15">
      <c r="M53" s="95"/>
    </row>
    <row r="54" spans="2:16" ht="13" x14ac:dyDescent="0.15">
      <c r="D54" s="10">
        <f ca="1">SUM(D8:D52)</f>
        <v>1793025.8266179999</v>
      </c>
      <c r="F54" s="10">
        <f>SUM(F52,F46:F48,F26:F42,F8:F22)</f>
        <v>1625083.7325599999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Aiden Guenther</cp:lastModifiedBy>
  <dcterms:created xsi:type="dcterms:W3CDTF">2024-05-12T20:46:03Z</dcterms:created>
  <dcterms:modified xsi:type="dcterms:W3CDTF">2024-05-12T23:54:57Z</dcterms:modified>
</cp:coreProperties>
</file>