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9615" yWindow="90" windowWidth="11190" windowHeight="8055" tabRatio="500" firstSheet="4" activeTab="4"/>
  </bookViews>
  <sheets>
    <sheet name="menu enero 2017" sheetId="1" r:id="rId1"/>
    <sheet name="menu junio 2017" sheetId="2" r:id="rId2"/>
    <sheet name="enero 2018" sheetId="3" r:id="rId3"/>
    <sheet name="mayo 2018 " sheetId="6" r:id="rId4"/>
    <sheet name="enero 2019" sheetId="7" r:id="rId5"/>
    <sheet name="Participacion" sheetId="4" r:id="rId6"/>
  </sheets>
  <definedNames>
    <definedName name="_xlnm._FilterDatabase" localSheetId="1" hidden="1">'menu junio 2017'!$A$3:$V$16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4" i="7" l="1"/>
  <c r="V144" i="7" s="1"/>
  <c r="U144" i="7"/>
  <c r="N141" i="7"/>
  <c r="V141" i="7" s="1"/>
  <c r="U141" i="7"/>
  <c r="N139" i="7"/>
  <c r="V139" i="7" s="1"/>
  <c r="U139" i="7"/>
  <c r="X11" i="7" l="1"/>
  <c r="AA4" i="7"/>
  <c r="X143" i="7"/>
  <c r="X142" i="7"/>
  <c r="X140" i="7"/>
  <c r="X138" i="7"/>
  <c r="U137" i="7"/>
  <c r="S137" i="7"/>
  <c r="Q137" i="7"/>
  <c r="N137" i="7"/>
  <c r="V137" i="7" s="1"/>
  <c r="M137" i="7"/>
  <c r="X136" i="7"/>
  <c r="X134" i="7"/>
  <c r="X133" i="7"/>
  <c r="U133" i="7"/>
  <c r="S133" i="7"/>
  <c r="Q133" i="7"/>
  <c r="N133" i="7"/>
  <c r="V133" i="7" s="1"/>
  <c r="M133" i="7"/>
  <c r="X132" i="7"/>
  <c r="U132" i="7"/>
  <c r="S132" i="7"/>
  <c r="Q132" i="7"/>
  <c r="O132" i="7"/>
  <c r="N132" i="7"/>
  <c r="V132" i="7" s="1"/>
  <c r="M132" i="7"/>
  <c r="X131" i="7"/>
  <c r="X130" i="7"/>
  <c r="K130" i="7"/>
  <c r="U130" i="7" s="1"/>
  <c r="X129" i="7"/>
  <c r="X128" i="7"/>
  <c r="U128" i="7"/>
  <c r="S128" i="7"/>
  <c r="Q128" i="7"/>
  <c r="N128" i="7"/>
  <c r="V128" i="7" s="1"/>
  <c r="M128" i="7"/>
  <c r="X127" i="7"/>
  <c r="U127" i="7"/>
  <c r="S127" i="7"/>
  <c r="Q127" i="7"/>
  <c r="N127" i="7"/>
  <c r="M127" i="7"/>
  <c r="X126" i="7"/>
  <c r="U126" i="7"/>
  <c r="S126" i="7"/>
  <c r="Q126" i="7"/>
  <c r="N126" i="7"/>
  <c r="M126" i="7"/>
  <c r="X125" i="7"/>
  <c r="U125" i="7"/>
  <c r="S125" i="7"/>
  <c r="Q125" i="7"/>
  <c r="N125" i="7"/>
  <c r="M125" i="7"/>
  <c r="X124" i="7"/>
  <c r="U124" i="7"/>
  <c r="S124" i="7"/>
  <c r="Q124" i="7"/>
  <c r="N124" i="7"/>
  <c r="M124" i="7"/>
  <c r="X123" i="7"/>
  <c r="U123" i="7"/>
  <c r="S123" i="7"/>
  <c r="Q123" i="7"/>
  <c r="N123" i="7"/>
  <c r="M123" i="7"/>
  <c r="X122" i="7"/>
  <c r="X121" i="7"/>
  <c r="X120" i="7"/>
  <c r="U120" i="7"/>
  <c r="S120" i="7"/>
  <c r="Q120" i="7"/>
  <c r="N120" i="7"/>
  <c r="M120" i="7"/>
  <c r="X119" i="7"/>
  <c r="U119" i="7"/>
  <c r="S119" i="7"/>
  <c r="Q119" i="7"/>
  <c r="N119" i="7"/>
  <c r="M119" i="7"/>
  <c r="X118" i="7"/>
  <c r="U118" i="7"/>
  <c r="S118" i="7"/>
  <c r="Q118" i="7"/>
  <c r="N118" i="7"/>
  <c r="M118" i="7"/>
  <c r="X117" i="7"/>
  <c r="U117" i="7"/>
  <c r="S117" i="7"/>
  <c r="Q117" i="7"/>
  <c r="N117" i="7"/>
  <c r="M117" i="7"/>
  <c r="X116" i="7"/>
  <c r="U116" i="7"/>
  <c r="S116" i="7"/>
  <c r="Q116" i="7"/>
  <c r="N116" i="7"/>
  <c r="M116" i="7"/>
  <c r="D116" i="7"/>
  <c r="E116" i="7" s="1"/>
  <c r="X115" i="7"/>
  <c r="U115" i="7"/>
  <c r="S115" i="7"/>
  <c r="Q115" i="7"/>
  <c r="N115" i="7"/>
  <c r="M115" i="7"/>
  <c r="D115" i="7"/>
  <c r="E115" i="7" s="1"/>
  <c r="X114" i="7"/>
  <c r="U114" i="7"/>
  <c r="S114" i="7"/>
  <c r="Q114" i="7"/>
  <c r="N114" i="7"/>
  <c r="M114" i="7"/>
  <c r="E114" i="7"/>
  <c r="X113" i="7"/>
  <c r="U113" i="7"/>
  <c r="S113" i="7"/>
  <c r="Q113" i="7"/>
  <c r="N113" i="7"/>
  <c r="V113" i="7" s="1"/>
  <c r="M113" i="7"/>
  <c r="D113" i="7"/>
  <c r="E113" i="7" s="1"/>
  <c r="X112" i="7"/>
  <c r="X111" i="7"/>
  <c r="X110" i="7"/>
  <c r="X109" i="7"/>
  <c r="E109" i="7"/>
  <c r="D109" i="7"/>
  <c r="X108" i="7"/>
  <c r="D108" i="7"/>
  <c r="E108" i="7" s="1"/>
  <c r="X107" i="7"/>
  <c r="D107" i="7"/>
  <c r="E107" i="7" s="1"/>
  <c r="X106" i="7"/>
  <c r="D106" i="7"/>
  <c r="E106" i="7" s="1"/>
  <c r="X105" i="7"/>
  <c r="E105" i="7"/>
  <c r="X104" i="7"/>
  <c r="E104" i="7"/>
  <c r="D104" i="7"/>
  <c r="X103" i="7"/>
  <c r="X102" i="7"/>
  <c r="X101" i="7"/>
  <c r="E101" i="7"/>
  <c r="X100" i="7"/>
  <c r="D100" i="7"/>
  <c r="E100" i="7" s="1"/>
  <c r="E94" i="7" s="1"/>
  <c r="X99" i="7"/>
  <c r="E99" i="7"/>
  <c r="X98" i="7"/>
  <c r="E98" i="7"/>
  <c r="X97" i="7"/>
  <c r="E97" i="7"/>
  <c r="X96" i="7"/>
  <c r="E96" i="7"/>
  <c r="X95" i="7"/>
  <c r="E95" i="7"/>
  <c r="X94" i="7"/>
  <c r="X93" i="7"/>
  <c r="X92" i="7"/>
  <c r="E92" i="7"/>
  <c r="X91" i="7"/>
  <c r="E91" i="7"/>
  <c r="X90" i="7"/>
  <c r="E90" i="7"/>
  <c r="X89" i="7"/>
  <c r="E89" i="7"/>
  <c r="X88" i="7"/>
  <c r="E88" i="7"/>
  <c r="X87" i="7"/>
  <c r="E87" i="7"/>
  <c r="X86" i="7"/>
  <c r="E86" i="7"/>
  <c r="X85" i="7"/>
  <c r="X84" i="7"/>
  <c r="E84" i="7"/>
  <c r="X83" i="7"/>
  <c r="E83" i="7"/>
  <c r="X82" i="7"/>
  <c r="D82" i="7"/>
  <c r="E82" i="7" s="1"/>
  <c r="X81" i="7"/>
  <c r="E81" i="7"/>
  <c r="X80" i="7"/>
  <c r="E80" i="7"/>
  <c r="D80" i="7"/>
  <c r="X79" i="7"/>
  <c r="E79" i="7"/>
  <c r="X78" i="7"/>
  <c r="X77" i="7"/>
  <c r="E77" i="7"/>
  <c r="X76" i="7"/>
  <c r="E76" i="7"/>
  <c r="X75" i="7"/>
  <c r="E75" i="7"/>
  <c r="X74" i="7"/>
  <c r="E74" i="7"/>
  <c r="X73" i="7"/>
  <c r="E73" i="7"/>
  <c r="X72" i="7"/>
  <c r="X71" i="7"/>
  <c r="X70" i="7"/>
  <c r="E70" i="7"/>
  <c r="X69" i="7"/>
  <c r="E69" i="7"/>
  <c r="X68" i="7"/>
  <c r="E68" i="7"/>
  <c r="X67" i="7"/>
  <c r="E67" i="7"/>
  <c r="X66" i="7"/>
  <c r="E66" i="7"/>
  <c r="X65" i="7"/>
  <c r="E65" i="7"/>
  <c r="X64" i="7"/>
  <c r="D64" i="7"/>
  <c r="E64" i="7" s="1"/>
  <c r="X63" i="7"/>
  <c r="E63" i="7"/>
  <c r="E71" i="7" s="1"/>
  <c r="D49" i="7" s="1"/>
  <c r="E49" i="7" s="1"/>
  <c r="X62" i="7"/>
  <c r="X61" i="7"/>
  <c r="X60" i="7"/>
  <c r="X59" i="7"/>
  <c r="X58" i="7"/>
  <c r="X57" i="7"/>
  <c r="X56" i="7"/>
  <c r="E56" i="7"/>
  <c r="X55" i="7"/>
  <c r="E55" i="7"/>
  <c r="X54" i="7"/>
  <c r="E54" i="7"/>
  <c r="X53" i="7"/>
  <c r="E53" i="7"/>
  <c r="X52" i="7"/>
  <c r="E52" i="7"/>
  <c r="X51" i="7"/>
  <c r="E51" i="7"/>
  <c r="X50" i="7"/>
  <c r="X49" i="7"/>
  <c r="X48" i="7"/>
  <c r="X47" i="7"/>
  <c r="E47" i="7"/>
  <c r="X46" i="7"/>
  <c r="E46" i="7"/>
  <c r="X45" i="7"/>
  <c r="E45" i="7"/>
  <c r="X44" i="7"/>
  <c r="E44" i="7"/>
  <c r="X43" i="7"/>
  <c r="E43" i="7"/>
  <c r="X42" i="7"/>
  <c r="X41" i="7"/>
  <c r="E41" i="7"/>
  <c r="X40" i="7"/>
  <c r="E40" i="7"/>
  <c r="X39" i="7"/>
  <c r="E39" i="7"/>
  <c r="X38" i="7"/>
  <c r="E38" i="7"/>
  <c r="X37" i="7"/>
  <c r="E37" i="7"/>
  <c r="X36" i="7"/>
  <c r="E36" i="7"/>
  <c r="X35" i="7"/>
  <c r="E35" i="7"/>
  <c r="X34" i="7"/>
  <c r="E34" i="7"/>
  <c r="X33" i="7"/>
  <c r="E33" i="7"/>
  <c r="X32" i="7"/>
  <c r="E32" i="7"/>
  <c r="X31" i="7"/>
  <c r="E31" i="7"/>
  <c r="X30" i="7"/>
  <c r="E30" i="7"/>
  <c r="X29" i="7"/>
  <c r="E29" i="7"/>
  <c r="X28" i="7"/>
  <c r="E28" i="7"/>
  <c r="X27" i="7"/>
  <c r="E27" i="7"/>
  <c r="X26" i="7"/>
  <c r="E26" i="7"/>
  <c r="X25" i="7"/>
  <c r="E25" i="7"/>
  <c r="X24" i="7"/>
  <c r="E24" i="7"/>
  <c r="X23" i="7"/>
  <c r="E23" i="7"/>
  <c r="X22" i="7"/>
  <c r="E22" i="7"/>
  <c r="X21" i="7"/>
  <c r="E21" i="7"/>
  <c r="X20" i="7"/>
  <c r="E20" i="7"/>
  <c r="X19" i="7"/>
  <c r="E19" i="7"/>
  <c r="D19" i="7"/>
  <c r="X18" i="7"/>
  <c r="X17" i="7"/>
  <c r="X16" i="7"/>
  <c r="X15" i="7"/>
  <c r="E15" i="7"/>
  <c r="X14" i="7"/>
  <c r="E14" i="7"/>
  <c r="X13" i="7"/>
  <c r="E13" i="7"/>
  <c r="X12" i="7"/>
  <c r="E12" i="7"/>
  <c r="E11" i="7"/>
  <c r="X10" i="7"/>
  <c r="E10" i="7"/>
  <c r="X9" i="7"/>
  <c r="E9" i="7"/>
  <c r="X8" i="7"/>
  <c r="D8" i="7"/>
  <c r="E8" i="7" s="1"/>
  <c r="X7" i="7"/>
  <c r="E7" i="7"/>
  <c r="X6" i="7"/>
  <c r="D6" i="7"/>
  <c r="E6" i="7" s="1"/>
  <c r="X5" i="7"/>
  <c r="E5" i="7"/>
  <c r="X4" i="7"/>
  <c r="E4" i="7"/>
  <c r="O137" i="7" l="1"/>
  <c r="O133" i="7"/>
  <c r="E112" i="7"/>
  <c r="E103" i="7"/>
  <c r="O113" i="7"/>
  <c r="S4" i="7"/>
  <c r="U4" i="7"/>
  <c r="Q4" i="7"/>
  <c r="N4" i="7"/>
  <c r="M4" i="7"/>
  <c r="K53" i="7"/>
  <c r="S19" i="7"/>
  <c r="M19" i="7"/>
  <c r="U19" i="7"/>
  <c r="Q19" i="7"/>
  <c r="N19" i="7"/>
  <c r="S36" i="7"/>
  <c r="M36" i="7"/>
  <c r="U36" i="7"/>
  <c r="Q36" i="7"/>
  <c r="N36" i="7"/>
  <c r="S32" i="7"/>
  <c r="M32" i="7"/>
  <c r="U32" i="7"/>
  <c r="Q32" i="7"/>
  <c r="N32" i="7"/>
  <c r="U42" i="7"/>
  <c r="Q42" i="7"/>
  <c r="N42" i="7"/>
  <c r="S42" i="7"/>
  <c r="M42" i="7"/>
  <c r="K49" i="7"/>
  <c r="S40" i="7"/>
  <c r="M40" i="7"/>
  <c r="U40" i="7"/>
  <c r="Q40" i="7"/>
  <c r="N40" i="7"/>
  <c r="S37" i="7"/>
  <c r="M37" i="7"/>
  <c r="U37" i="7"/>
  <c r="Q37" i="7"/>
  <c r="N37" i="7"/>
  <c r="S41" i="7"/>
  <c r="M41" i="7"/>
  <c r="U41" i="7"/>
  <c r="Q41" i="7"/>
  <c r="N41" i="7"/>
  <c r="K101" i="7"/>
  <c r="K26" i="7"/>
  <c r="K38" i="7"/>
  <c r="K92" i="7"/>
  <c r="K83" i="7"/>
  <c r="K63" i="7"/>
  <c r="K62" i="7"/>
  <c r="K60" i="7"/>
  <c r="U112" i="7"/>
  <c r="Q112" i="7"/>
  <c r="N112" i="7"/>
  <c r="S112" i="7"/>
  <c r="M112" i="7"/>
  <c r="K77" i="7"/>
  <c r="K76" i="7"/>
  <c r="K75" i="7"/>
  <c r="S74" i="7"/>
  <c r="M74" i="7"/>
  <c r="U74" i="7"/>
  <c r="Q74" i="7"/>
  <c r="N74" i="7"/>
  <c r="K131" i="7"/>
  <c r="K129" i="7"/>
  <c r="S105" i="7"/>
  <c r="M105" i="7"/>
  <c r="U105" i="7"/>
  <c r="Q105" i="7"/>
  <c r="N105" i="7"/>
  <c r="V114" i="7"/>
  <c r="O114" i="7"/>
  <c r="V115" i="7"/>
  <c r="O115" i="7"/>
  <c r="V116" i="7"/>
  <c r="O116" i="7"/>
  <c r="V117" i="7"/>
  <c r="O117" i="7"/>
  <c r="V118" i="7"/>
  <c r="O118" i="7"/>
  <c r="V119" i="7"/>
  <c r="O119" i="7"/>
  <c r="V120" i="7"/>
  <c r="O120" i="7"/>
  <c r="V123" i="7"/>
  <c r="O123" i="7"/>
  <c r="V124" i="7"/>
  <c r="O124" i="7"/>
  <c r="V125" i="7"/>
  <c r="O125" i="7"/>
  <c r="V126" i="7"/>
  <c r="O126" i="7"/>
  <c r="V127" i="7"/>
  <c r="O127" i="7"/>
  <c r="O128" i="7"/>
  <c r="M130" i="7"/>
  <c r="S130" i="7"/>
  <c r="N130" i="7"/>
  <c r="Q130" i="7"/>
  <c r="S137" i="6"/>
  <c r="M137" i="6"/>
  <c r="U137" i="6"/>
  <c r="V130" i="7" l="1"/>
  <c r="O130" i="7"/>
  <c r="S136" i="7"/>
  <c r="M136" i="7"/>
  <c r="U136" i="7"/>
  <c r="Q136" i="7"/>
  <c r="N136" i="7"/>
  <c r="U140" i="7"/>
  <c r="Q140" i="7"/>
  <c r="N140" i="7"/>
  <c r="S140" i="7"/>
  <c r="M140" i="7"/>
  <c r="S72" i="7"/>
  <c r="M72" i="7"/>
  <c r="U72" i="7"/>
  <c r="Q72" i="7"/>
  <c r="N72" i="7"/>
  <c r="S138" i="7"/>
  <c r="M138" i="7"/>
  <c r="U138" i="7"/>
  <c r="Q138" i="7"/>
  <c r="N138" i="7"/>
  <c r="U134" i="7"/>
  <c r="Q134" i="7"/>
  <c r="N134" i="7"/>
  <c r="S134" i="7"/>
  <c r="M134" i="7"/>
  <c r="U143" i="7"/>
  <c r="Q143" i="7"/>
  <c r="N143" i="7"/>
  <c r="S143" i="7"/>
  <c r="M143" i="7"/>
  <c r="S129" i="7"/>
  <c r="M129" i="7"/>
  <c r="U129" i="7"/>
  <c r="Q129" i="7"/>
  <c r="N129" i="7"/>
  <c r="S73" i="7"/>
  <c r="M73" i="7"/>
  <c r="U73" i="7"/>
  <c r="Q73" i="7"/>
  <c r="N73" i="7"/>
  <c r="V74" i="7"/>
  <c r="O74" i="7"/>
  <c r="U121" i="7"/>
  <c r="Q121" i="7"/>
  <c r="N121" i="7"/>
  <c r="S121" i="7"/>
  <c r="M121" i="7"/>
  <c r="S76" i="7"/>
  <c r="M76" i="7"/>
  <c r="U76" i="7"/>
  <c r="Q76" i="7"/>
  <c r="N76" i="7"/>
  <c r="V112" i="7"/>
  <c r="O112" i="7"/>
  <c r="S104" i="7"/>
  <c r="M104" i="7"/>
  <c r="U104" i="7"/>
  <c r="Q104" i="7"/>
  <c r="N104" i="7"/>
  <c r="S55" i="7"/>
  <c r="M55" i="7"/>
  <c r="U55" i="7"/>
  <c r="Q55" i="7"/>
  <c r="N55" i="7"/>
  <c r="S58" i="7"/>
  <c r="M58" i="7"/>
  <c r="U58" i="7"/>
  <c r="Q58" i="7"/>
  <c r="N58" i="7"/>
  <c r="S62" i="7"/>
  <c r="M62" i="7"/>
  <c r="U62" i="7"/>
  <c r="Q62" i="7"/>
  <c r="N62" i="7"/>
  <c r="U57" i="7"/>
  <c r="Q57" i="7"/>
  <c r="N57" i="7"/>
  <c r="S57" i="7"/>
  <c r="M57" i="7"/>
  <c r="U61" i="7"/>
  <c r="Q61" i="7"/>
  <c r="N61" i="7"/>
  <c r="S61" i="7"/>
  <c r="M61" i="7"/>
  <c r="U65" i="7"/>
  <c r="Q65" i="7"/>
  <c r="N65" i="7"/>
  <c r="S65" i="7"/>
  <c r="M65" i="7"/>
  <c r="S81" i="7"/>
  <c r="M81" i="7"/>
  <c r="U81" i="7"/>
  <c r="Q81" i="7"/>
  <c r="N81" i="7"/>
  <c r="S86" i="7"/>
  <c r="M86" i="7"/>
  <c r="U86" i="7"/>
  <c r="Q86" i="7"/>
  <c r="N86" i="7"/>
  <c r="U79" i="7"/>
  <c r="Q79" i="7"/>
  <c r="N79" i="7"/>
  <c r="S79" i="7"/>
  <c r="M79" i="7"/>
  <c r="U83" i="7"/>
  <c r="Q83" i="7"/>
  <c r="N83" i="7"/>
  <c r="S83" i="7"/>
  <c r="M83" i="7"/>
  <c r="S87" i="7"/>
  <c r="M87" i="7"/>
  <c r="U87" i="7"/>
  <c r="Q87" i="7"/>
  <c r="N87" i="7"/>
  <c r="U89" i="7"/>
  <c r="Q89" i="7"/>
  <c r="N89" i="7"/>
  <c r="S89" i="7"/>
  <c r="M89" i="7"/>
  <c r="S91" i="7"/>
  <c r="M91" i="7"/>
  <c r="U91" i="7"/>
  <c r="Q91" i="7"/>
  <c r="N91" i="7"/>
  <c r="U93" i="7"/>
  <c r="Q93" i="7"/>
  <c r="N93" i="7"/>
  <c r="S93" i="7"/>
  <c r="M93" i="7"/>
  <c r="U95" i="7"/>
  <c r="Q95" i="7"/>
  <c r="N95" i="7"/>
  <c r="S95" i="7"/>
  <c r="M95" i="7"/>
  <c r="U67" i="7"/>
  <c r="Q67" i="7"/>
  <c r="N67" i="7"/>
  <c r="S67" i="7"/>
  <c r="M67" i="7"/>
  <c r="U69" i="7"/>
  <c r="Q69" i="7"/>
  <c r="N69" i="7"/>
  <c r="S69" i="7"/>
  <c r="M69" i="7"/>
  <c r="U71" i="7"/>
  <c r="Q71" i="7"/>
  <c r="N71" i="7"/>
  <c r="S71" i="7"/>
  <c r="M71" i="7"/>
  <c r="S38" i="7"/>
  <c r="M38" i="7"/>
  <c r="U38" i="7"/>
  <c r="Q38" i="7"/>
  <c r="N38" i="7"/>
  <c r="S34" i="7"/>
  <c r="M34" i="7"/>
  <c r="U34" i="7"/>
  <c r="Q34" i="7"/>
  <c r="N34" i="7"/>
  <c r="S31" i="7"/>
  <c r="M31" i="7"/>
  <c r="U31" i="7"/>
  <c r="Q31" i="7"/>
  <c r="N31" i="7"/>
  <c r="S29" i="7"/>
  <c r="M29" i="7"/>
  <c r="U29" i="7"/>
  <c r="Q29" i="7"/>
  <c r="N29" i="7"/>
  <c r="S27" i="7"/>
  <c r="M27" i="7"/>
  <c r="U27" i="7"/>
  <c r="Q27" i="7"/>
  <c r="N27" i="7"/>
  <c r="S25" i="7"/>
  <c r="M25" i="7"/>
  <c r="U25" i="7"/>
  <c r="Q25" i="7"/>
  <c r="N25" i="7"/>
  <c r="S23" i="7"/>
  <c r="M23" i="7"/>
  <c r="U23" i="7"/>
  <c r="Q23" i="7"/>
  <c r="N23" i="7"/>
  <c r="S21" i="7"/>
  <c r="M21" i="7"/>
  <c r="U21" i="7"/>
  <c r="Q21" i="7"/>
  <c r="N21" i="7"/>
  <c r="S100" i="7"/>
  <c r="M100" i="7"/>
  <c r="U100" i="7"/>
  <c r="Q100" i="7"/>
  <c r="N100" i="7"/>
  <c r="S107" i="7"/>
  <c r="M107" i="7"/>
  <c r="U107" i="7"/>
  <c r="Q107" i="7"/>
  <c r="N107" i="7"/>
  <c r="U96" i="7"/>
  <c r="Q96" i="7"/>
  <c r="N96" i="7"/>
  <c r="S96" i="7"/>
  <c r="M96" i="7"/>
  <c r="U98" i="7"/>
  <c r="Q98" i="7"/>
  <c r="N98" i="7"/>
  <c r="S98" i="7"/>
  <c r="M98" i="7"/>
  <c r="U102" i="7"/>
  <c r="Q102" i="7"/>
  <c r="N102" i="7"/>
  <c r="S102" i="7"/>
  <c r="M102" i="7"/>
  <c r="U108" i="7"/>
  <c r="Q108" i="7"/>
  <c r="N108" i="7"/>
  <c r="S108" i="7"/>
  <c r="M108" i="7"/>
  <c r="U111" i="7"/>
  <c r="Q111" i="7"/>
  <c r="N111" i="7"/>
  <c r="S111" i="7"/>
  <c r="M111" i="7"/>
  <c r="U44" i="7"/>
  <c r="Q44" i="7"/>
  <c r="N44" i="7"/>
  <c r="S44" i="7"/>
  <c r="M44" i="7"/>
  <c r="V40" i="7"/>
  <c r="O40" i="7"/>
  <c r="S10" i="7"/>
  <c r="M10" i="7"/>
  <c r="U10" i="7"/>
  <c r="Q10" i="7"/>
  <c r="N10" i="7"/>
  <c r="S14" i="7"/>
  <c r="M14" i="7"/>
  <c r="U14" i="7"/>
  <c r="Q14" i="7"/>
  <c r="N14" i="7"/>
  <c r="U47" i="7"/>
  <c r="Q47" i="7"/>
  <c r="N47" i="7"/>
  <c r="S47" i="7"/>
  <c r="M47" i="7"/>
  <c r="U50" i="7"/>
  <c r="Q50" i="7"/>
  <c r="N50" i="7"/>
  <c r="S50" i="7"/>
  <c r="M50" i="7"/>
  <c r="V42" i="7"/>
  <c r="O42" i="7"/>
  <c r="V36" i="7"/>
  <c r="O36" i="7"/>
  <c r="U43" i="7"/>
  <c r="Q43" i="7"/>
  <c r="N43" i="7"/>
  <c r="S43" i="7"/>
  <c r="M43" i="7"/>
  <c r="U46" i="7"/>
  <c r="Q46" i="7"/>
  <c r="N46" i="7"/>
  <c r="S46" i="7"/>
  <c r="M46" i="7"/>
  <c r="S6" i="7"/>
  <c r="M6" i="7"/>
  <c r="U6" i="7"/>
  <c r="N6" i="7"/>
  <c r="Q6" i="7"/>
  <c r="S11" i="7"/>
  <c r="M11" i="7"/>
  <c r="U11" i="7"/>
  <c r="Q11" i="7"/>
  <c r="N11" i="7"/>
  <c r="S15" i="7"/>
  <c r="M15" i="7"/>
  <c r="U15" i="7"/>
  <c r="Q15" i="7"/>
  <c r="N15" i="7"/>
  <c r="S52" i="7"/>
  <c r="M52" i="7"/>
  <c r="U52" i="7"/>
  <c r="Q52" i="7"/>
  <c r="N52" i="7"/>
  <c r="S54" i="7"/>
  <c r="M54" i="7"/>
  <c r="U54" i="7"/>
  <c r="Q54" i="7"/>
  <c r="N54" i="7"/>
  <c r="U16" i="7"/>
  <c r="Q16" i="7"/>
  <c r="N16" i="7"/>
  <c r="S16" i="7"/>
  <c r="M16" i="7"/>
  <c r="V4" i="7"/>
  <c r="O4" i="7"/>
  <c r="S142" i="7"/>
  <c r="M142" i="7"/>
  <c r="U142" i="7"/>
  <c r="Q142" i="7"/>
  <c r="N142" i="7"/>
  <c r="V105" i="7"/>
  <c r="O105" i="7"/>
  <c r="S131" i="7"/>
  <c r="M131" i="7"/>
  <c r="U131" i="7"/>
  <c r="Q131" i="7"/>
  <c r="N131" i="7"/>
  <c r="S122" i="7"/>
  <c r="M122" i="7"/>
  <c r="U122" i="7"/>
  <c r="N122" i="7"/>
  <c r="Q122" i="7"/>
  <c r="S75" i="7"/>
  <c r="M75" i="7"/>
  <c r="U75" i="7"/>
  <c r="Q75" i="7"/>
  <c r="N75" i="7"/>
  <c r="S77" i="7"/>
  <c r="M77" i="7"/>
  <c r="U77" i="7"/>
  <c r="Q77" i="7"/>
  <c r="N77" i="7"/>
  <c r="U18" i="7"/>
  <c r="Q18" i="7"/>
  <c r="N18" i="7"/>
  <c r="S18" i="7"/>
  <c r="M18" i="7"/>
  <c r="U103" i="7"/>
  <c r="Q103" i="7"/>
  <c r="N103" i="7"/>
  <c r="S103" i="7"/>
  <c r="M103" i="7"/>
  <c r="S56" i="7"/>
  <c r="M56" i="7"/>
  <c r="U56" i="7"/>
  <c r="Q56" i="7"/>
  <c r="N56" i="7"/>
  <c r="S60" i="7"/>
  <c r="M60" i="7"/>
  <c r="U60" i="7"/>
  <c r="Q60" i="7"/>
  <c r="N60" i="7"/>
  <c r="S63" i="7"/>
  <c r="M63" i="7"/>
  <c r="U63" i="7"/>
  <c r="Q63" i="7"/>
  <c r="N63" i="7"/>
  <c r="U59" i="7"/>
  <c r="Q59" i="7"/>
  <c r="N59" i="7"/>
  <c r="S59" i="7"/>
  <c r="M59" i="7"/>
  <c r="U64" i="7"/>
  <c r="Q64" i="7"/>
  <c r="N64" i="7"/>
  <c r="S64" i="7"/>
  <c r="M64" i="7"/>
  <c r="S80" i="7"/>
  <c r="M80" i="7"/>
  <c r="U80" i="7"/>
  <c r="Q80" i="7"/>
  <c r="N80" i="7"/>
  <c r="S85" i="7"/>
  <c r="M85" i="7"/>
  <c r="U85" i="7"/>
  <c r="Q85" i="7"/>
  <c r="N85" i="7"/>
  <c r="U78" i="7"/>
  <c r="Q78" i="7"/>
  <c r="N78" i="7"/>
  <c r="S78" i="7"/>
  <c r="M78" i="7"/>
  <c r="U82" i="7"/>
  <c r="Q82" i="7"/>
  <c r="N82" i="7"/>
  <c r="S82" i="7"/>
  <c r="M82" i="7"/>
  <c r="U84" i="7"/>
  <c r="Q84" i="7"/>
  <c r="N84" i="7"/>
  <c r="S84" i="7"/>
  <c r="M84" i="7"/>
  <c r="S88" i="7"/>
  <c r="M88" i="7"/>
  <c r="U88" i="7"/>
  <c r="Q88" i="7"/>
  <c r="N88" i="7"/>
  <c r="U90" i="7"/>
  <c r="Q90" i="7"/>
  <c r="N90" i="7"/>
  <c r="S90" i="7"/>
  <c r="M90" i="7"/>
  <c r="S92" i="7"/>
  <c r="M92" i="7"/>
  <c r="U92" i="7"/>
  <c r="Q92" i="7"/>
  <c r="N92" i="7"/>
  <c r="U94" i="7"/>
  <c r="Q94" i="7"/>
  <c r="N94" i="7"/>
  <c r="S94" i="7"/>
  <c r="M94" i="7"/>
  <c r="U66" i="7"/>
  <c r="Q66" i="7"/>
  <c r="N66" i="7"/>
  <c r="S66" i="7"/>
  <c r="M66" i="7"/>
  <c r="U68" i="7"/>
  <c r="Q68" i="7"/>
  <c r="N68" i="7"/>
  <c r="S68" i="7"/>
  <c r="M68" i="7"/>
  <c r="U70" i="7"/>
  <c r="Q70" i="7"/>
  <c r="N70" i="7"/>
  <c r="S70" i="7"/>
  <c r="M70" i="7"/>
  <c r="S39" i="7"/>
  <c r="M39" i="7"/>
  <c r="U39" i="7"/>
  <c r="Q39" i="7"/>
  <c r="N39" i="7"/>
  <c r="S35" i="7"/>
  <c r="M35" i="7"/>
  <c r="U35" i="7"/>
  <c r="Q35" i="7"/>
  <c r="N35" i="7"/>
  <c r="S33" i="7"/>
  <c r="M33" i="7"/>
  <c r="U33" i="7"/>
  <c r="Q33" i="7"/>
  <c r="N33" i="7"/>
  <c r="S30" i="7"/>
  <c r="M30" i="7"/>
  <c r="U30" i="7"/>
  <c r="Q30" i="7"/>
  <c r="N30" i="7"/>
  <c r="S28" i="7"/>
  <c r="M28" i="7"/>
  <c r="U28" i="7"/>
  <c r="Q28" i="7"/>
  <c r="N28" i="7"/>
  <c r="S26" i="7"/>
  <c r="M26" i="7"/>
  <c r="U26" i="7"/>
  <c r="Q26" i="7"/>
  <c r="N26" i="7"/>
  <c r="S24" i="7"/>
  <c r="M24" i="7"/>
  <c r="U24" i="7"/>
  <c r="Q24" i="7"/>
  <c r="N24" i="7"/>
  <c r="S22" i="7"/>
  <c r="M22" i="7"/>
  <c r="U22" i="7"/>
  <c r="Q22" i="7"/>
  <c r="N22" i="7"/>
  <c r="S20" i="7"/>
  <c r="M20" i="7"/>
  <c r="U20" i="7"/>
  <c r="Q20" i="7"/>
  <c r="N20" i="7"/>
  <c r="S101" i="7"/>
  <c r="M101" i="7"/>
  <c r="U101" i="7"/>
  <c r="Q101" i="7"/>
  <c r="N101" i="7"/>
  <c r="U109" i="7"/>
  <c r="Q109" i="7"/>
  <c r="M109" i="7"/>
  <c r="S109" i="7"/>
  <c r="N109" i="7"/>
  <c r="U97" i="7"/>
  <c r="Q97" i="7"/>
  <c r="N97" i="7"/>
  <c r="S97" i="7"/>
  <c r="M97" i="7"/>
  <c r="U99" i="7"/>
  <c r="Q99" i="7"/>
  <c r="N99" i="7"/>
  <c r="S99" i="7"/>
  <c r="M99" i="7"/>
  <c r="U106" i="7"/>
  <c r="Q106" i="7"/>
  <c r="N106" i="7"/>
  <c r="S106" i="7"/>
  <c r="M106" i="7"/>
  <c r="S110" i="7"/>
  <c r="M110" i="7"/>
  <c r="Q110" i="7"/>
  <c r="U110" i="7"/>
  <c r="N110" i="7"/>
  <c r="V41" i="7"/>
  <c r="O41" i="7"/>
  <c r="V37" i="7"/>
  <c r="O37" i="7"/>
  <c r="S8" i="7"/>
  <c r="M8" i="7"/>
  <c r="U8" i="7"/>
  <c r="Q8" i="7"/>
  <c r="N8" i="7"/>
  <c r="S12" i="7"/>
  <c r="M12" i="7"/>
  <c r="U12" i="7"/>
  <c r="Q12" i="7"/>
  <c r="N12" i="7"/>
  <c r="U48" i="7"/>
  <c r="S48" i="7"/>
  <c r="M48" i="7"/>
  <c r="Q48" i="7"/>
  <c r="N48" i="7"/>
  <c r="S49" i="7"/>
  <c r="M49" i="7"/>
  <c r="Q49" i="7"/>
  <c r="U49" i="7"/>
  <c r="N49" i="7"/>
  <c r="M5" i="7"/>
  <c r="U5" i="7"/>
  <c r="Q5" i="7"/>
  <c r="N5" i="7"/>
  <c r="S5" i="7"/>
  <c r="V32" i="7"/>
  <c r="O32" i="7"/>
  <c r="V19" i="7"/>
  <c r="O19" i="7"/>
  <c r="U45" i="7"/>
  <c r="Q45" i="7"/>
  <c r="N45" i="7"/>
  <c r="S45" i="7"/>
  <c r="M45" i="7"/>
  <c r="S7" i="7"/>
  <c r="M7" i="7"/>
  <c r="Q7" i="7"/>
  <c r="U7" i="7"/>
  <c r="N7" i="7"/>
  <c r="S9" i="7"/>
  <c r="M9" i="7"/>
  <c r="U9" i="7"/>
  <c r="Q9" i="7"/>
  <c r="N9" i="7"/>
  <c r="S13" i="7"/>
  <c r="M13" i="7"/>
  <c r="U13" i="7"/>
  <c r="Q13" i="7"/>
  <c r="N13" i="7"/>
  <c r="S51" i="7"/>
  <c r="M51" i="7"/>
  <c r="U51" i="7"/>
  <c r="Q51" i="7"/>
  <c r="N51" i="7"/>
  <c r="S53" i="7"/>
  <c r="M53" i="7"/>
  <c r="U53" i="7"/>
  <c r="Q53" i="7"/>
  <c r="N53" i="7"/>
  <c r="S17" i="7"/>
  <c r="M17" i="7"/>
  <c r="U17" i="7"/>
  <c r="Q17" i="7"/>
  <c r="N17" i="7"/>
  <c r="N137" i="6"/>
  <c r="Q137" i="6"/>
  <c r="V13" i="7" l="1"/>
  <c r="O13" i="7"/>
  <c r="V106" i="7"/>
  <c r="O106" i="7"/>
  <c r="V17" i="7"/>
  <c r="O17" i="7"/>
  <c r="V51" i="7"/>
  <c r="O51" i="7"/>
  <c r="V9" i="7"/>
  <c r="O9" i="7"/>
  <c r="V45" i="7"/>
  <c r="O45" i="7"/>
  <c r="V5" i="7"/>
  <c r="O5" i="7"/>
  <c r="V49" i="7"/>
  <c r="O49" i="7"/>
  <c r="V12" i="7"/>
  <c r="O12" i="7"/>
  <c r="V110" i="7"/>
  <c r="O110" i="7"/>
  <c r="V99" i="7"/>
  <c r="O99" i="7"/>
  <c r="V109" i="7"/>
  <c r="O109" i="7"/>
  <c r="V20" i="7"/>
  <c r="O20" i="7"/>
  <c r="V24" i="7"/>
  <c r="O24" i="7"/>
  <c r="V28" i="7"/>
  <c r="O28" i="7"/>
  <c r="V33" i="7"/>
  <c r="O33" i="7"/>
  <c r="V39" i="7"/>
  <c r="O39" i="7"/>
  <c r="V68" i="7"/>
  <c r="O68" i="7"/>
  <c r="V94" i="7"/>
  <c r="O94" i="7"/>
  <c r="V90" i="7"/>
  <c r="O90" i="7"/>
  <c r="V84" i="7"/>
  <c r="O84" i="7"/>
  <c r="V78" i="7"/>
  <c r="O78" i="7"/>
  <c r="V80" i="7"/>
  <c r="O80" i="7"/>
  <c r="V59" i="7"/>
  <c r="O59" i="7"/>
  <c r="V60" i="7"/>
  <c r="O60" i="7"/>
  <c r="V103" i="7"/>
  <c r="O103" i="7"/>
  <c r="V77" i="7"/>
  <c r="O77" i="7"/>
  <c r="V142" i="7"/>
  <c r="O142" i="7"/>
  <c r="V54" i="7"/>
  <c r="O54" i="7"/>
  <c r="V15" i="7"/>
  <c r="O15" i="7"/>
  <c r="V43" i="7"/>
  <c r="O43" i="7"/>
  <c r="V47" i="7"/>
  <c r="O47" i="7"/>
  <c r="V10" i="7"/>
  <c r="O10" i="7"/>
  <c r="V111" i="7"/>
  <c r="O111" i="7"/>
  <c r="V102" i="7"/>
  <c r="O102" i="7"/>
  <c r="V96" i="7"/>
  <c r="O96" i="7"/>
  <c r="V100" i="7"/>
  <c r="O100" i="7"/>
  <c r="V23" i="7"/>
  <c r="O23" i="7"/>
  <c r="V27" i="7"/>
  <c r="O27" i="7"/>
  <c r="V31" i="7"/>
  <c r="O31" i="7"/>
  <c r="V38" i="7"/>
  <c r="O38" i="7"/>
  <c r="V69" i="7"/>
  <c r="O69" i="7"/>
  <c r="V95" i="7"/>
  <c r="O95" i="7"/>
  <c r="V91" i="7"/>
  <c r="O91" i="7"/>
  <c r="V87" i="7"/>
  <c r="O87" i="7"/>
  <c r="V79" i="7"/>
  <c r="O79" i="7"/>
  <c r="V81" i="7"/>
  <c r="O81" i="7"/>
  <c r="V61" i="7"/>
  <c r="O61" i="7"/>
  <c r="V62" i="7"/>
  <c r="O62" i="7"/>
  <c r="V55" i="7"/>
  <c r="O55" i="7"/>
  <c r="V76" i="7"/>
  <c r="O76" i="7"/>
  <c r="V73" i="7"/>
  <c r="O73" i="7"/>
  <c r="V143" i="7"/>
  <c r="O143" i="7"/>
  <c r="V138" i="7"/>
  <c r="O138" i="7"/>
  <c r="V140" i="7"/>
  <c r="O140" i="7"/>
  <c r="V53" i="7"/>
  <c r="O53" i="7"/>
  <c r="V7" i="7"/>
  <c r="O7" i="7"/>
  <c r="O48" i="7"/>
  <c r="V48" i="7"/>
  <c r="V8" i="7"/>
  <c r="O8" i="7"/>
  <c r="V97" i="7"/>
  <c r="O97" i="7"/>
  <c r="V101" i="7"/>
  <c r="O101" i="7"/>
  <c r="V22" i="7"/>
  <c r="O22" i="7"/>
  <c r="V26" i="7"/>
  <c r="O26" i="7"/>
  <c r="V30" i="7"/>
  <c r="O30" i="7"/>
  <c r="V35" i="7"/>
  <c r="O35" i="7"/>
  <c r="V70" i="7"/>
  <c r="O70" i="7"/>
  <c r="V66" i="7"/>
  <c r="O66" i="7"/>
  <c r="V92" i="7"/>
  <c r="O92" i="7"/>
  <c r="V88" i="7"/>
  <c r="O88" i="7"/>
  <c r="V82" i="7"/>
  <c r="O82" i="7"/>
  <c r="V85" i="7"/>
  <c r="O85" i="7"/>
  <c r="V64" i="7"/>
  <c r="O64" i="7"/>
  <c r="V63" i="7"/>
  <c r="O63" i="7"/>
  <c r="V56" i="7"/>
  <c r="O56" i="7"/>
  <c r="V18" i="7"/>
  <c r="O18" i="7"/>
  <c r="V75" i="7"/>
  <c r="O75" i="7"/>
  <c r="V122" i="7"/>
  <c r="O122" i="7"/>
  <c r="V131" i="7"/>
  <c r="O131" i="7"/>
  <c r="V16" i="7"/>
  <c r="O16" i="7"/>
  <c r="V52" i="7"/>
  <c r="O52" i="7"/>
  <c r="V11" i="7"/>
  <c r="O11" i="7"/>
  <c r="V6" i="7"/>
  <c r="O6" i="7"/>
  <c r="V46" i="7"/>
  <c r="O46" i="7"/>
  <c r="V50" i="7"/>
  <c r="O50" i="7"/>
  <c r="V14" i="7"/>
  <c r="O14" i="7"/>
  <c r="V44" i="7"/>
  <c r="O44" i="7"/>
  <c r="V108" i="7"/>
  <c r="O108" i="7"/>
  <c r="V98" i="7"/>
  <c r="O98" i="7"/>
  <c r="V107" i="7"/>
  <c r="O107" i="7"/>
  <c r="V21" i="7"/>
  <c r="O21" i="7"/>
  <c r="V25" i="7"/>
  <c r="O25" i="7"/>
  <c r="V29" i="7"/>
  <c r="O29" i="7"/>
  <c r="V34" i="7"/>
  <c r="O34" i="7"/>
  <c r="V71" i="7"/>
  <c r="O71" i="7"/>
  <c r="V67" i="7"/>
  <c r="O67" i="7"/>
  <c r="V93" i="7"/>
  <c r="O93" i="7"/>
  <c r="V89" i="7"/>
  <c r="O89" i="7"/>
  <c r="V83" i="7"/>
  <c r="O83" i="7"/>
  <c r="V86" i="7"/>
  <c r="O86" i="7"/>
  <c r="V65" i="7"/>
  <c r="O65" i="7"/>
  <c r="V57" i="7"/>
  <c r="O57" i="7"/>
  <c r="V58" i="7"/>
  <c r="O58" i="7"/>
  <c r="V104" i="7"/>
  <c r="O104" i="7"/>
  <c r="V121" i="7"/>
  <c r="O121" i="7"/>
  <c r="V129" i="7"/>
  <c r="O129" i="7"/>
  <c r="V134" i="7"/>
  <c r="O134" i="7"/>
  <c r="V72" i="7"/>
  <c r="O72" i="7"/>
  <c r="V136" i="7"/>
  <c r="O136" i="7"/>
  <c r="V137" i="6"/>
  <c r="O137" i="6"/>
  <c r="X143" i="6" l="1"/>
  <c r="X140" i="6"/>
  <c r="X142" i="6"/>
  <c r="X138" i="6"/>
  <c r="X136" i="6"/>
  <c r="X134" i="6"/>
  <c r="X133" i="6"/>
  <c r="U133" i="6"/>
  <c r="S133" i="6"/>
  <c r="Q133" i="6"/>
  <c r="N133" i="6"/>
  <c r="V133" i="6" s="1"/>
  <c r="M133" i="6"/>
  <c r="X132" i="6"/>
  <c r="U132" i="6"/>
  <c r="S132" i="6"/>
  <c r="Q132" i="6"/>
  <c r="N132" i="6"/>
  <c r="V132" i="6" s="1"/>
  <c r="M132" i="6"/>
  <c r="X131" i="6"/>
  <c r="X130" i="6"/>
  <c r="K130" i="6"/>
  <c r="X129" i="6"/>
  <c r="X128" i="6"/>
  <c r="U128" i="6"/>
  <c r="S128" i="6"/>
  <c r="Q128" i="6"/>
  <c r="N128" i="6"/>
  <c r="M128" i="6"/>
  <c r="X127" i="6"/>
  <c r="U127" i="6"/>
  <c r="S127" i="6"/>
  <c r="Q127" i="6"/>
  <c r="N127" i="6"/>
  <c r="M127" i="6"/>
  <c r="X126" i="6"/>
  <c r="U126" i="6"/>
  <c r="S126" i="6"/>
  <c r="Q126" i="6"/>
  <c r="N126" i="6"/>
  <c r="M126" i="6"/>
  <c r="X125" i="6"/>
  <c r="U125" i="6"/>
  <c r="S125" i="6"/>
  <c r="Q125" i="6"/>
  <c r="N125" i="6"/>
  <c r="M125" i="6"/>
  <c r="X124" i="6"/>
  <c r="U124" i="6"/>
  <c r="S124" i="6"/>
  <c r="Q124" i="6"/>
  <c r="N124" i="6"/>
  <c r="M124" i="6"/>
  <c r="X123" i="6"/>
  <c r="U123" i="6"/>
  <c r="S123" i="6"/>
  <c r="Q123" i="6"/>
  <c r="N123" i="6"/>
  <c r="M123" i="6"/>
  <c r="X122" i="6"/>
  <c r="X121" i="6"/>
  <c r="X120" i="6"/>
  <c r="U120" i="6"/>
  <c r="S120" i="6"/>
  <c r="Q120" i="6"/>
  <c r="N120" i="6"/>
  <c r="M120" i="6"/>
  <c r="X119" i="6"/>
  <c r="U119" i="6"/>
  <c r="S119" i="6"/>
  <c r="Q119" i="6"/>
  <c r="N119" i="6"/>
  <c r="M119" i="6"/>
  <c r="X118" i="6"/>
  <c r="U118" i="6"/>
  <c r="S118" i="6"/>
  <c r="Q118" i="6"/>
  <c r="N118" i="6"/>
  <c r="M118" i="6"/>
  <c r="X117" i="6"/>
  <c r="U117" i="6"/>
  <c r="S117" i="6"/>
  <c r="Q117" i="6"/>
  <c r="N117" i="6"/>
  <c r="M117" i="6"/>
  <c r="X116" i="6"/>
  <c r="U116" i="6"/>
  <c r="S116" i="6"/>
  <c r="Q116" i="6"/>
  <c r="N116" i="6"/>
  <c r="M116" i="6"/>
  <c r="D116" i="6"/>
  <c r="E116" i="6" s="1"/>
  <c r="X115" i="6"/>
  <c r="U115" i="6"/>
  <c r="S115" i="6"/>
  <c r="Q115" i="6"/>
  <c r="N115" i="6"/>
  <c r="M115" i="6"/>
  <c r="D115" i="6"/>
  <c r="E115" i="6" s="1"/>
  <c r="X114" i="6"/>
  <c r="U114" i="6"/>
  <c r="S114" i="6"/>
  <c r="Q114" i="6"/>
  <c r="N114" i="6"/>
  <c r="M114" i="6"/>
  <c r="E114" i="6"/>
  <c r="X113" i="6"/>
  <c r="U113" i="6"/>
  <c r="S113" i="6"/>
  <c r="Q113" i="6"/>
  <c r="N113" i="6"/>
  <c r="V113" i="6" s="1"/>
  <c r="M113" i="6"/>
  <c r="D113" i="6"/>
  <c r="E113" i="6" s="1"/>
  <c r="X112" i="6"/>
  <c r="X111" i="6"/>
  <c r="X110" i="6"/>
  <c r="X109" i="6"/>
  <c r="D109" i="6"/>
  <c r="E109" i="6" s="1"/>
  <c r="X108" i="6"/>
  <c r="D108" i="6"/>
  <c r="E108" i="6" s="1"/>
  <c r="X107" i="6"/>
  <c r="D107" i="6"/>
  <c r="E107" i="6" s="1"/>
  <c r="X106" i="6"/>
  <c r="D106" i="6"/>
  <c r="E106" i="6" s="1"/>
  <c r="X105" i="6"/>
  <c r="E105" i="6"/>
  <c r="X104" i="6"/>
  <c r="D104" i="6"/>
  <c r="E104" i="6" s="1"/>
  <c r="X103" i="6"/>
  <c r="X102" i="6"/>
  <c r="X101" i="6"/>
  <c r="E101" i="6"/>
  <c r="X100" i="6"/>
  <c r="D100" i="6"/>
  <c r="E100" i="6" s="1"/>
  <c r="X99" i="6"/>
  <c r="E99" i="6"/>
  <c r="X98" i="6"/>
  <c r="E98" i="6"/>
  <c r="X97" i="6"/>
  <c r="E97" i="6"/>
  <c r="X96" i="6"/>
  <c r="E96" i="6"/>
  <c r="X95" i="6"/>
  <c r="E95" i="6"/>
  <c r="X94" i="6"/>
  <c r="E94" i="6"/>
  <c r="X93" i="6"/>
  <c r="X92" i="6"/>
  <c r="E92" i="6"/>
  <c r="X91" i="6"/>
  <c r="E91" i="6"/>
  <c r="X90" i="6"/>
  <c r="E90" i="6"/>
  <c r="X89" i="6"/>
  <c r="E89" i="6"/>
  <c r="X88" i="6"/>
  <c r="E88" i="6"/>
  <c r="X87" i="6"/>
  <c r="E87" i="6"/>
  <c r="X86" i="6"/>
  <c r="E86" i="6"/>
  <c r="X85" i="6"/>
  <c r="X84" i="6"/>
  <c r="E84" i="6"/>
  <c r="X83" i="6"/>
  <c r="E83" i="6"/>
  <c r="X82" i="6"/>
  <c r="D82" i="6"/>
  <c r="E82" i="6" s="1"/>
  <c r="X81" i="6"/>
  <c r="E81" i="6"/>
  <c r="X80" i="6"/>
  <c r="D80" i="6"/>
  <c r="E80" i="6" s="1"/>
  <c r="K134" i="6" s="1"/>
  <c r="X79" i="6"/>
  <c r="E79" i="6"/>
  <c r="X78" i="6"/>
  <c r="X77" i="6"/>
  <c r="E77" i="6"/>
  <c r="X76" i="6"/>
  <c r="E76" i="6"/>
  <c r="X75" i="6"/>
  <c r="E75" i="6"/>
  <c r="X74" i="6"/>
  <c r="E74" i="6"/>
  <c r="X73" i="6"/>
  <c r="E73" i="6"/>
  <c r="K105" i="6" s="1"/>
  <c r="X72" i="6"/>
  <c r="X71" i="6"/>
  <c r="X70" i="6"/>
  <c r="E70" i="6"/>
  <c r="X69" i="6"/>
  <c r="E69" i="6"/>
  <c r="X68" i="6"/>
  <c r="E68" i="6"/>
  <c r="X67" i="6"/>
  <c r="E67" i="6"/>
  <c r="X66" i="6"/>
  <c r="E66" i="6"/>
  <c r="X65" i="6"/>
  <c r="E65" i="6"/>
  <c r="X64" i="6"/>
  <c r="D64" i="6"/>
  <c r="E64" i="6" s="1"/>
  <c r="X63" i="6"/>
  <c r="E63" i="6"/>
  <c r="X62" i="6"/>
  <c r="X61" i="6"/>
  <c r="X60" i="6"/>
  <c r="X59" i="6"/>
  <c r="X58" i="6"/>
  <c r="X57" i="6"/>
  <c r="X56" i="6"/>
  <c r="E56" i="6"/>
  <c r="X55" i="6"/>
  <c r="E55" i="6"/>
  <c r="X54" i="6"/>
  <c r="E54" i="6"/>
  <c r="X53" i="6"/>
  <c r="E53" i="6"/>
  <c r="X52" i="6"/>
  <c r="E52" i="6"/>
  <c r="X51" i="6"/>
  <c r="E51" i="6"/>
  <c r="K74" i="6" s="1"/>
  <c r="X50" i="6"/>
  <c r="X49" i="6"/>
  <c r="X48" i="6"/>
  <c r="X47" i="6"/>
  <c r="E47" i="6"/>
  <c r="X46" i="6"/>
  <c r="E46" i="6"/>
  <c r="X45" i="6"/>
  <c r="E45" i="6"/>
  <c r="X44" i="6"/>
  <c r="E44" i="6"/>
  <c r="X43" i="6"/>
  <c r="E43" i="6"/>
  <c r="X42" i="6"/>
  <c r="X41" i="6"/>
  <c r="E41" i="6"/>
  <c r="K121" i="6" s="1"/>
  <c r="X40" i="6"/>
  <c r="E40" i="6"/>
  <c r="X39" i="6"/>
  <c r="E39" i="6"/>
  <c r="K77" i="6" s="1"/>
  <c r="X38" i="6"/>
  <c r="E38" i="6"/>
  <c r="X37" i="6"/>
  <c r="E37" i="6"/>
  <c r="X36" i="6"/>
  <c r="E36" i="6"/>
  <c r="X35" i="6"/>
  <c r="E35" i="6"/>
  <c r="X34" i="6"/>
  <c r="E34" i="6"/>
  <c r="X33" i="6"/>
  <c r="E33" i="6"/>
  <c r="X32" i="6"/>
  <c r="E32" i="6"/>
  <c r="X31" i="6"/>
  <c r="E31" i="6"/>
  <c r="X30" i="6"/>
  <c r="E30" i="6"/>
  <c r="X29" i="6"/>
  <c r="E29" i="6"/>
  <c r="X28" i="6"/>
  <c r="E28" i="6"/>
  <c r="K34" i="6" s="1"/>
  <c r="X27" i="6"/>
  <c r="E27" i="6"/>
  <c r="K35" i="6" s="1"/>
  <c r="X26" i="6"/>
  <c r="E26" i="6"/>
  <c r="K33" i="6" s="1"/>
  <c r="X25" i="6"/>
  <c r="E25" i="6"/>
  <c r="K32" i="6" s="1"/>
  <c r="X24" i="6"/>
  <c r="E24" i="6"/>
  <c r="K37" i="6" s="1"/>
  <c r="X23" i="6"/>
  <c r="E23" i="6"/>
  <c r="X22" i="6"/>
  <c r="E22" i="6"/>
  <c r="K112" i="6" s="1"/>
  <c r="M112" i="6" s="1"/>
  <c r="X21" i="6"/>
  <c r="E21" i="6"/>
  <c r="K36" i="6" s="1"/>
  <c r="X20" i="6"/>
  <c r="E20" i="6"/>
  <c r="X19" i="6"/>
  <c r="D19" i="6"/>
  <c r="E19" i="6" s="1"/>
  <c r="X18" i="6"/>
  <c r="X17" i="6"/>
  <c r="X16" i="6"/>
  <c r="X15" i="6"/>
  <c r="E15" i="6"/>
  <c r="K103" i="6" s="1"/>
  <c r="S103" i="6" s="1"/>
  <c r="X14" i="6"/>
  <c r="E14" i="6"/>
  <c r="K65" i="6" s="1"/>
  <c r="X13" i="6"/>
  <c r="E13" i="6"/>
  <c r="K86" i="6" s="1"/>
  <c r="Q86" i="6" s="1"/>
  <c r="X12" i="6"/>
  <c r="E12" i="6"/>
  <c r="X11" i="6"/>
  <c r="E11" i="6"/>
  <c r="K23" i="6" s="1"/>
  <c r="X10" i="6"/>
  <c r="E10" i="6"/>
  <c r="K22" i="6" s="1"/>
  <c r="X9" i="6"/>
  <c r="E9" i="6"/>
  <c r="K41" i="6" s="1"/>
  <c r="X8" i="6"/>
  <c r="E8" i="6"/>
  <c r="K25" i="6" s="1"/>
  <c r="D8" i="6"/>
  <c r="X7" i="6"/>
  <c r="E7" i="6"/>
  <c r="K31" i="6" s="1"/>
  <c r="X6" i="6"/>
  <c r="D6" i="6"/>
  <c r="E6" i="6" s="1"/>
  <c r="X5" i="6"/>
  <c r="E5" i="6"/>
  <c r="X4" i="6"/>
  <c r="E4" i="6"/>
  <c r="O113" i="6" l="1"/>
  <c r="E71" i="6"/>
  <c r="D49" i="6" s="1"/>
  <c r="E49" i="6" s="1"/>
  <c r="E112" i="6"/>
  <c r="U74" i="6"/>
  <c r="N74" i="6"/>
  <c r="V74" i="6" s="1"/>
  <c r="K19" i="6"/>
  <c r="K58" i="6"/>
  <c r="S58" i="6" s="1"/>
  <c r="K62" i="6"/>
  <c r="K73" i="6"/>
  <c r="M73" i="6" s="1"/>
  <c r="K75" i="6"/>
  <c r="K80" i="6"/>
  <c r="Q80" i="6" s="1"/>
  <c r="K85" i="6"/>
  <c r="Q85" i="6" s="1"/>
  <c r="E103" i="6"/>
  <c r="K122" i="6"/>
  <c r="O132" i="6"/>
  <c r="O133" i="6"/>
  <c r="K55" i="6"/>
  <c r="M55" i="6" s="1"/>
  <c r="K56" i="6"/>
  <c r="K60" i="6"/>
  <c r="M60" i="6" s="1"/>
  <c r="K63" i="6"/>
  <c r="K72" i="6"/>
  <c r="S72" i="6" s="1"/>
  <c r="K81" i="6"/>
  <c r="Q81" i="6" s="1"/>
  <c r="S41" i="6"/>
  <c r="M41" i="6"/>
  <c r="U41" i="6"/>
  <c r="N41" i="6"/>
  <c r="Q41" i="6"/>
  <c r="S25" i="6"/>
  <c r="M25" i="6"/>
  <c r="U25" i="6"/>
  <c r="N25" i="6"/>
  <c r="Q25" i="6"/>
  <c r="S22" i="6"/>
  <c r="M22" i="6"/>
  <c r="U22" i="6"/>
  <c r="N22" i="6"/>
  <c r="Q22" i="6"/>
  <c r="S23" i="6"/>
  <c r="M23" i="6"/>
  <c r="U23" i="6"/>
  <c r="N23" i="6"/>
  <c r="Q23" i="6"/>
  <c r="K16" i="6"/>
  <c r="K17" i="6"/>
  <c r="S31" i="6"/>
  <c r="M31" i="6"/>
  <c r="U31" i="6"/>
  <c r="N31" i="6"/>
  <c r="Q31" i="6"/>
  <c r="K49" i="6"/>
  <c r="K47" i="6"/>
  <c r="K50" i="6"/>
  <c r="K54" i="6"/>
  <c r="K53" i="6"/>
  <c r="K52" i="6"/>
  <c r="K51" i="6"/>
  <c r="K7" i="6"/>
  <c r="K95" i="6"/>
  <c r="K94" i="6"/>
  <c r="K93" i="6"/>
  <c r="K92" i="6"/>
  <c r="K91" i="6"/>
  <c r="K90" i="6"/>
  <c r="K89" i="6"/>
  <c r="K88" i="6"/>
  <c r="K87" i="6"/>
  <c r="S19" i="6"/>
  <c r="M19" i="6"/>
  <c r="Q19" i="6"/>
  <c r="K20" i="6"/>
  <c r="K21" i="6"/>
  <c r="K24" i="6"/>
  <c r="K26" i="6"/>
  <c r="K27" i="6"/>
  <c r="K28" i="6"/>
  <c r="K29" i="6"/>
  <c r="K30" i="6"/>
  <c r="S32" i="6"/>
  <c r="M32" i="6"/>
  <c r="Q32" i="6"/>
  <c r="S33" i="6"/>
  <c r="M33" i="6"/>
  <c r="Q33" i="6"/>
  <c r="S34" i="6"/>
  <c r="M34" i="6"/>
  <c r="Q34" i="6"/>
  <c r="S35" i="6"/>
  <c r="M35" i="6"/>
  <c r="Q35" i="6"/>
  <c r="S36" i="6"/>
  <c r="M36" i="6"/>
  <c r="Q36" i="6"/>
  <c r="S37" i="6"/>
  <c r="M37" i="6"/>
  <c r="Q37" i="6"/>
  <c r="K38" i="6"/>
  <c r="K39" i="6"/>
  <c r="K40" i="6"/>
  <c r="K48" i="6"/>
  <c r="K6" i="6"/>
  <c r="K46" i="6"/>
  <c r="K45" i="6"/>
  <c r="K43" i="6"/>
  <c r="K71" i="6"/>
  <c r="K70" i="6"/>
  <c r="K69" i="6"/>
  <c r="K68" i="6"/>
  <c r="K67" i="6"/>
  <c r="K66" i="6"/>
  <c r="U65" i="6"/>
  <c r="Q65" i="6"/>
  <c r="N65" i="6"/>
  <c r="S65" i="6"/>
  <c r="M65" i="6"/>
  <c r="K4" i="6"/>
  <c r="K5" i="6"/>
  <c r="K111" i="6"/>
  <c r="K110" i="6"/>
  <c r="K108" i="6"/>
  <c r="K106" i="6"/>
  <c r="K102" i="6"/>
  <c r="K99" i="6"/>
  <c r="K98" i="6"/>
  <c r="K97" i="6"/>
  <c r="K96" i="6"/>
  <c r="K107" i="6"/>
  <c r="K101" i="6"/>
  <c r="K100" i="6"/>
  <c r="K18" i="6"/>
  <c r="K109" i="6"/>
  <c r="K8" i="6"/>
  <c r="K9" i="6"/>
  <c r="K10" i="6"/>
  <c r="K11" i="6"/>
  <c r="K12" i="6"/>
  <c r="K13" i="6"/>
  <c r="K14" i="6"/>
  <c r="K15" i="6"/>
  <c r="S55" i="6"/>
  <c r="U55" i="6"/>
  <c r="Q55" i="6"/>
  <c r="N19" i="6"/>
  <c r="U19" i="6"/>
  <c r="K44" i="6"/>
  <c r="K42" i="6"/>
  <c r="N32" i="6"/>
  <c r="U32" i="6"/>
  <c r="N33" i="6"/>
  <c r="U33" i="6"/>
  <c r="N34" i="6"/>
  <c r="U34" i="6"/>
  <c r="N35" i="6"/>
  <c r="U35" i="6"/>
  <c r="N36" i="6"/>
  <c r="U36" i="6"/>
  <c r="N37" i="6"/>
  <c r="U37" i="6"/>
  <c r="S77" i="6"/>
  <c r="M77" i="6"/>
  <c r="Q77" i="6"/>
  <c r="U77" i="6"/>
  <c r="N77" i="6"/>
  <c r="S56" i="6"/>
  <c r="M56" i="6"/>
  <c r="Q56" i="6"/>
  <c r="M58" i="6"/>
  <c r="S60" i="6"/>
  <c r="Q60" i="6"/>
  <c r="S62" i="6"/>
  <c r="M62" i="6"/>
  <c r="Q62" i="6"/>
  <c r="S63" i="6"/>
  <c r="M63" i="6"/>
  <c r="Q63" i="6"/>
  <c r="M72" i="6"/>
  <c r="S73" i="6"/>
  <c r="Q73" i="6"/>
  <c r="S74" i="6"/>
  <c r="M74" i="6"/>
  <c r="Q74" i="6"/>
  <c r="S75" i="6"/>
  <c r="M75" i="6"/>
  <c r="Q75" i="6"/>
  <c r="O74" i="6"/>
  <c r="M80" i="6"/>
  <c r="N80" i="6"/>
  <c r="S81" i="6"/>
  <c r="M81" i="6"/>
  <c r="U81" i="6"/>
  <c r="N81" i="6"/>
  <c r="K140" i="6"/>
  <c r="K138" i="6"/>
  <c r="S134" i="6"/>
  <c r="M134" i="6"/>
  <c r="U134" i="6"/>
  <c r="N134" i="6"/>
  <c r="Q134" i="6"/>
  <c r="S85" i="6"/>
  <c r="M85" i="6"/>
  <c r="U85" i="6"/>
  <c r="N85" i="6"/>
  <c r="S86" i="6"/>
  <c r="M86" i="6"/>
  <c r="U86" i="6"/>
  <c r="N86" i="6"/>
  <c r="M103" i="6"/>
  <c r="K104" i="6"/>
  <c r="S105" i="6"/>
  <c r="M105" i="6"/>
  <c r="Q105" i="6"/>
  <c r="V114" i="6"/>
  <c r="O114" i="6"/>
  <c r="V115" i="6"/>
  <c r="O115" i="6"/>
  <c r="V116" i="6"/>
  <c r="O116" i="6"/>
  <c r="V117" i="6"/>
  <c r="O117" i="6"/>
  <c r="V118" i="6"/>
  <c r="O118" i="6"/>
  <c r="V119" i="6"/>
  <c r="O119" i="6"/>
  <c r="V120" i="6"/>
  <c r="O120" i="6"/>
  <c r="S122" i="6"/>
  <c r="M122" i="6"/>
  <c r="U122" i="6"/>
  <c r="N122" i="6"/>
  <c r="V123" i="6"/>
  <c r="O123" i="6"/>
  <c r="V124" i="6"/>
  <c r="O124" i="6"/>
  <c r="V125" i="6"/>
  <c r="O125" i="6"/>
  <c r="V126" i="6"/>
  <c r="O126" i="6"/>
  <c r="V127" i="6"/>
  <c r="O127" i="6"/>
  <c r="V128" i="6"/>
  <c r="O128" i="6"/>
  <c r="S130" i="6"/>
  <c r="M130" i="6"/>
  <c r="U130" i="6"/>
  <c r="N130" i="6"/>
  <c r="K84" i="6"/>
  <c r="K83" i="6"/>
  <c r="K82" i="6"/>
  <c r="K79" i="6"/>
  <c r="K78" i="6"/>
  <c r="U103" i="6"/>
  <c r="Q103" i="6"/>
  <c r="N103" i="6"/>
  <c r="U112" i="6"/>
  <c r="Q112" i="6"/>
  <c r="N112" i="6"/>
  <c r="U121" i="6"/>
  <c r="Q121" i="6"/>
  <c r="N121" i="6"/>
  <c r="S121" i="6"/>
  <c r="M121" i="6"/>
  <c r="K57" i="6"/>
  <c r="K59" i="6"/>
  <c r="K61" i="6"/>
  <c r="K64" i="6"/>
  <c r="K76" i="6"/>
  <c r="K131" i="6"/>
  <c r="K129" i="6"/>
  <c r="K143" i="6"/>
  <c r="K142" i="6"/>
  <c r="K136" i="6"/>
  <c r="N105" i="6"/>
  <c r="U105" i="6"/>
  <c r="S112" i="6"/>
  <c r="Q122" i="6"/>
  <c r="Q130" i="6"/>
  <c r="E116" i="3"/>
  <c r="D116" i="3"/>
  <c r="E114" i="3"/>
  <c r="E92" i="3"/>
  <c r="E90" i="3"/>
  <c r="E101" i="3"/>
  <c r="D100" i="3"/>
  <c r="D113" i="3"/>
  <c r="E113" i="3" s="1"/>
  <c r="D115" i="3"/>
  <c r="E115" i="3" s="1"/>
  <c r="E96" i="3"/>
  <c r="E100" i="3"/>
  <c r="E99" i="3"/>
  <c r="E98" i="3"/>
  <c r="E95" i="3"/>
  <c r="E87" i="3"/>
  <c r="D109" i="3"/>
  <c r="E109" i="3" s="1"/>
  <c r="D108" i="3"/>
  <c r="E108" i="3" s="1"/>
  <c r="D106" i="3"/>
  <c r="E106" i="3" s="1"/>
  <c r="D104" i="3"/>
  <c r="E104" i="3" s="1"/>
  <c r="E105" i="3"/>
  <c r="D107" i="3"/>
  <c r="E107" i="3" s="1"/>
  <c r="U80" i="6" l="1"/>
  <c r="S80" i="6"/>
  <c r="Q72" i="6"/>
  <c r="Q58" i="6"/>
  <c r="N55" i="6"/>
  <c r="U72" i="6"/>
  <c r="N72" i="6"/>
  <c r="U60" i="6"/>
  <c r="N60" i="6"/>
  <c r="N73" i="6"/>
  <c r="U73" i="6"/>
  <c r="N58" i="6"/>
  <c r="U58" i="6"/>
  <c r="U63" i="6"/>
  <c r="N63" i="6"/>
  <c r="U56" i="6"/>
  <c r="N56" i="6"/>
  <c r="N75" i="6"/>
  <c r="U75" i="6"/>
  <c r="N62" i="6"/>
  <c r="U62" i="6"/>
  <c r="U143" i="6"/>
  <c r="Q143" i="6"/>
  <c r="N143" i="6"/>
  <c r="S143" i="6"/>
  <c r="M143" i="6"/>
  <c r="U131" i="6"/>
  <c r="Q131" i="6"/>
  <c r="N131" i="6"/>
  <c r="S131" i="6"/>
  <c r="M131" i="6"/>
  <c r="U59" i="6"/>
  <c r="Q59" i="6"/>
  <c r="N59" i="6"/>
  <c r="S59" i="6"/>
  <c r="M59" i="6"/>
  <c r="O121" i="6"/>
  <c r="V121" i="6"/>
  <c r="U83" i="6"/>
  <c r="Q83" i="6"/>
  <c r="N83" i="6"/>
  <c r="S83" i="6"/>
  <c r="M83" i="6"/>
  <c r="V105" i="6"/>
  <c r="O105" i="6"/>
  <c r="U142" i="6"/>
  <c r="Q142" i="6"/>
  <c r="N142" i="6"/>
  <c r="S142" i="6"/>
  <c r="M142" i="6"/>
  <c r="U129" i="6"/>
  <c r="Q129" i="6"/>
  <c r="N129" i="6"/>
  <c r="S129" i="6"/>
  <c r="M129" i="6"/>
  <c r="S76" i="6"/>
  <c r="M76" i="6"/>
  <c r="Q76" i="6"/>
  <c r="U76" i="6"/>
  <c r="N76" i="6"/>
  <c r="U61" i="6"/>
  <c r="Q61" i="6"/>
  <c r="N61" i="6"/>
  <c r="S61" i="6"/>
  <c r="M61" i="6"/>
  <c r="U57" i="6"/>
  <c r="Q57" i="6"/>
  <c r="N57" i="6"/>
  <c r="S57" i="6"/>
  <c r="M57" i="6"/>
  <c r="V112" i="6"/>
  <c r="O112" i="6"/>
  <c r="U78" i="6"/>
  <c r="Q78" i="6"/>
  <c r="N78" i="6"/>
  <c r="M78" i="6"/>
  <c r="S78" i="6"/>
  <c r="U82" i="6"/>
  <c r="Q82" i="6"/>
  <c r="N82" i="6"/>
  <c r="S82" i="6"/>
  <c r="M82" i="6"/>
  <c r="U84" i="6"/>
  <c r="Q84" i="6"/>
  <c r="N84" i="6"/>
  <c r="S84" i="6"/>
  <c r="M84" i="6"/>
  <c r="S104" i="6"/>
  <c r="M104" i="6"/>
  <c r="U104" i="6"/>
  <c r="N104" i="6"/>
  <c r="Q104" i="6"/>
  <c r="V86" i="6"/>
  <c r="O86" i="6"/>
  <c r="V85" i="6"/>
  <c r="O85" i="6"/>
  <c r="S140" i="6"/>
  <c r="M140" i="6"/>
  <c r="U140" i="6"/>
  <c r="N140" i="6"/>
  <c r="Q140" i="6"/>
  <c r="V77" i="6"/>
  <c r="O77" i="6"/>
  <c r="V37" i="6"/>
  <c r="O37" i="6"/>
  <c r="V36" i="6"/>
  <c r="O36" i="6"/>
  <c r="V35" i="6"/>
  <c r="O35" i="6"/>
  <c r="V34" i="6"/>
  <c r="O34" i="6"/>
  <c r="V33" i="6"/>
  <c r="O33" i="6"/>
  <c r="V32" i="6"/>
  <c r="O32" i="6"/>
  <c r="U44" i="6"/>
  <c r="Q44" i="6"/>
  <c r="N44" i="6"/>
  <c r="S44" i="6"/>
  <c r="M44" i="6"/>
  <c r="V19" i="6"/>
  <c r="O19" i="6"/>
  <c r="V55" i="6"/>
  <c r="O55" i="6"/>
  <c r="S15" i="6"/>
  <c r="M15" i="6"/>
  <c r="Q15" i="6"/>
  <c r="N15" i="6"/>
  <c r="U15" i="6"/>
  <c r="S13" i="6"/>
  <c r="M13" i="6"/>
  <c r="Q13" i="6"/>
  <c r="N13" i="6"/>
  <c r="U13" i="6"/>
  <c r="U11" i="6"/>
  <c r="Q11" i="6"/>
  <c r="N11" i="6"/>
  <c r="S11" i="6"/>
  <c r="M11" i="6"/>
  <c r="U9" i="6"/>
  <c r="Q9" i="6"/>
  <c r="N9" i="6"/>
  <c r="S9" i="6"/>
  <c r="M9" i="6"/>
  <c r="U109" i="6"/>
  <c r="Q109" i="6"/>
  <c r="M109" i="6"/>
  <c r="N109" i="6"/>
  <c r="S109" i="6"/>
  <c r="S100" i="6"/>
  <c r="M100" i="6"/>
  <c r="Q100" i="6"/>
  <c r="U100" i="6"/>
  <c r="N100" i="6"/>
  <c r="S107" i="6"/>
  <c r="M107" i="6"/>
  <c r="Q107" i="6"/>
  <c r="U107" i="6"/>
  <c r="N107" i="6"/>
  <c r="U97" i="6"/>
  <c r="Q97" i="6"/>
  <c r="N97" i="6"/>
  <c r="S97" i="6"/>
  <c r="M97" i="6"/>
  <c r="U99" i="6"/>
  <c r="Q99" i="6"/>
  <c r="N99" i="6"/>
  <c r="S99" i="6"/>
  <c r="M99" i="6"/>
  <c r="U106" i="6"/>
  <c r="Q106" i="6"/>
  <c r="N106" i="6"/>
  <c r="S106" i="6"/>
  <c r="M106" i="6"/>
  <c r="S110" i="6"/>
  <c r="M110" i="6"/>
  <c r="Q110" i="6"/>
  <c r="U110" i="6"/>
  <c r="N110" i="6"/>
  <c r="U5" i="6"/>
  <c r="Q5" i="6"/>
  <c r="N5" i="6"/>
  <c r="M5" i="6"/>
  <c r="S5" i="6"/>
  <c r="V65" i="6"/>
  <c r="O65" i="6"/>
  <c r="U67" i="6"/>
  <c r="Q67" i="6"/>
  <c r="N67" i="6"/>
  <c r="S67" i="6"/>
  <c r="M67" i="6"/>
  <c r="U69" i="6"/>
  <c r="Q69" i="6"/>
  <c r="N69" i="6"/>
  <c r="S69" i="6"/>
  <c r="M69" i="6"/>
  <c r="U71" i="6"/>
  <c r="Q71" i="6"/>
  <c r="N71" i="6"/>
  <c r="S71" i="6"/>
  <c r="M71" i="6"/>
  <c r="U45" i="6"/>
  <c r="Q45" i="6"/>
  <c r="N45" i="6"/>
  <c r="S45" i="6"/>
  <c r="M45" i="6"/>
  <c r="S6" i="6"/>
  <c r="M6" i="6"/>
  <c r="Q6" i="6"/>
  <c r="U6" i="6"/>
  <c r="N6" i="6"/>
  <c r="S40" i="6"/>
  <c r="M40" i="6"/>
  <c r="U40" i="6"/>
  <c r="N40" i="6"/>
  <c r="Q40" i="6"/>
  <c r="S38" i="6"/>
  <c r="M38" i="6"/>
  <c r="U38" i="6"/>
  <c r="N38" i="6"/>
  <c r="Q38" i="6"/>
  <c r="S29" i="6"/>
  <c r="M29" i="6"/>
  <c r="U29" i="6"/>
  <c r="N29" i="6"/>
  <c r="Q29" i="6"/>
  <c r="S27" i="6"/>
  <c r="M27" i="6"/>
  <c r="U27" i="6"/>
  <c r="N27" i="6"/>
  <c r="Q27" i="6"/>
  <c r="S24" i="6"/>
  <c r="M24" i="6"/>
  <c r="U24" i="6"/>
  <c r="N24" i="6"/>
  <c r="Q24" i="6"/>
  <c r="S20" i="6"/>
  <c r="M20" i="6"/>
  <c r="U20" i="6"/>
  <c r="N20" i="6"/>
  <c r="Q20" i="6"/>
  <c r="S87" i="6"/>
  <c r="M87" i="6"/>
  <c r="U87" i="6"/>
  <c r="N87" i="6"/>
  <c r="Q87" i="6"/>
  <c r="S89" i="6"/>
  <c r="M89" i="6"/>
  <c r="U89" i="6"/>
  <c r="N89" i="6"/>
  <c r="Q89" i="6"/>
  <c r="S91" i="6"/>
  <c r="M91" i="6"/>
  <c r="U91" i="6"/>
  <c r="N91" i="6"/>
  <c r="Q91" i="6"/>
  <c r="U93" i="6"/>
  <c r="Q93" i="6"/>
  <c r="N93" i="6"/>
  <c r="S93" i="6"/>
  <c r="M93" i="6"/>
  <c r="U95" i="6"/>
  <c r="Q95" i="6"/>
  <c r="N95" i="6"/>
  <c r="S95" i="6"/>
  <c r="M95" i="6"/>
  <c r="S51" i="6"/>
  <c r="M51" i="6"/>
  <c r="U51" i="6"/>
  <c r="N51" i="6"/>
  <c r="Q51" i="6"/>
  <c r="S53" i="6"/>
  <c r="M53" i="6"/>
  <c r="U53" i="6"/>
  <c r="N53" i="6"/>
  <c r="Q53" i="6"/>
  <c r="S50" i="6"/>
  <c r="M50" i="6"/>
  <c r="U50" i="6"/>
  <c r="Q50" i="6"/>
  <c r="N50" i="6"/>
  <c r="U49" i="6"/>
  <c r="Q49" i="6"/>
  <c r="N49" i="6"/>
  <c r="M49" i="6"/>
  <c r="S49" i="6"/>
  <c r="V31" i="6"/>
  <c r="O31" i="6"/>
  <c r="S17" i="6"/>
  <c r="M17" i="6"/>
  <c r="Q17" i="6"/>
  <c r="U17" i="6"/>
  <c r="N17" i="6"/>
  <c r="V22" i="6"/>
  <c r="O22" i="6"/>
  <c r="V41" i="6"/>
  <c r="O41" i="6"/>
  <c r="U136" i="6"/>
  <c r="Q136" i="6"/>
  <c r="N136" i="6"/>
  <c r="S136" i="6"/>
  <c r="M136" i="6"/>
  <c r="U64" i="6"/>
  <c r="Q64" i="6"/>
  <c r="N64" i="6"/>
  <c r="S64" i="6"/>
  <c r="M64" i="6"/>
  <c r="V103" i="6"/>
  <c r="O103" i="6"/>
  <c r="U79" i="6"/>
  <c r="Q79" i="6"/>
  <c r="N79" i="6"/>
  <c r="M79" i="6"/>
  <c r="S79" i="6"/>
  <c r="V130" i="6"/>
  <c r="O130" i="6"/>
  <c r="V122" i="6"/>
  <c r="O122" i="6"/>
  <c r="V134" i="6"/>
  <c r="O134" i="6"/>
  <c r="S138" i="6"/>
  <c r="M138" i="6"/>
  <c r="U138" i="6"/>
  <c r="N138" i="6"/>
  <c r="Q138" i="6"/>
  <c r="V81" i="6"/>
  <c r="O81" i="6"/>
  <c r="V80" i="6"/>
  <c r="O80" i="6"/>
  <c r="U42" i="6"/>
  <c r="Q42" i="6"/>
  <c r="N42" i="6"/>
  <c r="S42" i="6"/>
  <c r="M42" i="6"/>
  <c r="S14" i="6"/>
  <c r="M14" i="6"/>
  <c r="Q14" i="6"/>
  <c r="U14" i="6"/>
  <c r="N14" i="6"/>
  <c r="S12" i="6"/>
  <c r="M12" i="6"/>
  <c r="Q12" i="6"/>
  <c r="N12" i="6"/>
  <c r="U12" i="6"/>
  <c r="U10" i="6"/>
  <c r="Q10" i="6"/>
  <c r="N10" i="6"/>
  <c r="S10" i="6"/>
  <c r="M10" i="6"/>
  <c r="U8" i="6"/>
  <c r="Q8" i="6"/>
  <c r="N8" i="6"/>
  <c r="S8" i="6"/>
  <c r="M8" i="6"/>
  <c r="U18" i="6"/>
  <c r="Q18" i="6"/>
  <c r="N18" i="6"/>
  <c r="S18" i="6"/>
  <c r="M18" i="6"/>
  <c r="S101" i="6"/>
  <c r="M101" i="6"/>
  <c r="Q101" i="6"/>
  <c r="U101" i="6"/>
  <c r="N101" i="6"/>
  <c r="U96" i="6"/>
  <c r="Q96" i="6"/>
  <c r="N96" i="6"/>
  <c r="S96" i="6"/>
  <c r="M96" i="6"/>
  <c r="U98" i="6"/>
  <c r="Q98" i="6"/>
  <c r="N98" i="6"/>
  <c r="S98" i="6"/>
  <c r="M98" i="6"/>
  <c r="U102" i="6"/>
  <c r="Q102" i="6"/>
  <c r="N102" i="6"/>
  <c r="S102" i="6"/>
  <c r="M102" i="6"/>
  <c r="U108" i="6"/>
  <c r="Q108" i="6"/>
  <c r="N108" i="6"/>
  <c r="S108" i="6"/>
  <c r="M108" i="6"/>
  <c r="U111" i="6"/>
  <c r="Q111" i="6"/>
  <c r="N111" i="6"/>
  <c r="M111" i="6"/>
  <c r="S111" i="6"/>
  <c r="U4" i="6"/>
  <c r="Q4" i="6"/>
  <c r="N4" i="6"/>
  <c r="M4" i="6"/>
  <c r="S4" i="6"/>
  <c r="U66" i="6"/>
  <c r="Q66" i="6"/>
  <c r="N66" i="6"/>
  <c r="S66" i="6"/>
  <c r="M66" i="6"/>
  <c r="U68" i="6"/>
  <c r="Q68" i="6"/>
  <c r="N68" i="6"/>
  <c r="S68" i="6"/>
  <c r="M68" i="6"/>
  <c r="U70" i="6"/>
  <c r="Q70" i="6"/>
  <c r="N70" i="6"/>
  <c r="S70" i="6"/>
  <c r="M70" i="6"/>
  <c r="U43" i="6"/>
  <c r="Q43" i="6"/>
  <c r="N43" i="6"/>
  <c r="S43" i="6"/>
  <c r="M43" i="6"/>
  <c r="U46" i="6"/>
  <c r="Q46" i="6"/>
  <c r="N46" i="6"/>
  <c r="S46" i="6"/>
  <c r="M46" i="6"/>
  <c r="S48" i="6"/>
  <c r="M48" i="6"/>
  <c r="U48" i="6"/>
  <c r="N48" i="6"/>
  <c r="Q48" i="6"/>
  <c r="S39" i="6"/>
  <c r="M39" i="6"/>
  <c r="U39" i="6"/>
  <c r="N39" i="6"/>
  <c r="Q39" i="6"/>
  <c r="S30" i="6"/>
  <c r="M30" i="6"/>
  <c r="U30" i="6"/>
  <c r="N30" i="6"/>
  <c r="Q30" i="6"/>
  <c r="S28" i="6"/>
  <c r="M28" i="6"/>
  <c r="U28" i="6"/>
  <c r="N28" i="6"/>
  <c r="Q28" i="6"/>
  <c r="S26" i="6"/>
  <c r="M26" i="6"/>
  <c r="U26" i="6"/>
  <c r="N26" i="6"/>
  <c r="Q26" i="6"/>
  <c r="S21" i="6"/>
  <c r="M21" i="6"/>
  <c r="U21" i="6"/>
  <c r="N21" i="6"/>
  <c r="Q21" i="6"/>
  <c r="S88" i="6"/>
  <c r="M88" i="6"/>
  <c r="U88" i="6"/>
  <c r="N88" i="6"/>
  <c r="Q88" i="6"/>
  <c r="S90" i="6"/>
  <c r="M90" i="6"/>
  <c r="U90" i="6"/>
  <c r="N90" i="6"/>
  <c r="Q90" i="6"/>
  <c r="S92" i="6"/>
  <c r="M92" i="6"/>
  <c r="U92" i="6"/>
  <c r="N92" i="6"/>
  <c r="Q92" i="6"/>
  <c r="U94" i="6"/>
  <c r="Q94" i="6"/>
  <c r="N94" i="6"/>
  <c r="S94" i="6"/>
  <c r="M94" i="6"/>
  <c r="S7" i="6"/>
  <c r="M7" i="6"/>
  <c r="U7" i="6"/>
  <c r="N7" i="6"/>
  <c r="Q7" i="6"/>
  <c r="S52" i="6"/>
  <c r="M52" i="6"/>
  <c r="U52" i="6"/>
  <c r="N52" i="6"/>
  <c r="Q52" i="6"/>
  <c r="S54" i="6"/>
  <c r="M54" i="6"/>
  <c r="U54" i="6"/>
  <c r="N54" i="6"/>
  <c r="Q54" i="6"/>
  <c r="U47" i="6"/>
  <c r="Q47" i="6"/>
  <c r="N47" i="6"/>
  <c r="S47" i="6"/>
  <c r="M47" i="6"/>
  <c r="U16" i="6"/>
  <c r="Q16" i="6"/>
  <c r="N16" i="6"/>
  <c r="M16" i="6"/>
  <c r="S16" i="6"/>
  <c r="V23" i="6"/>
  <c r="O23" i="6"/>
  <c r="V25" i="6"/>
  <c r="O25" i="6"/>
  <c r="E103" i="3"/>
  <c r="E97" i="3"/>
  <c r="V56" i="6" l="1"/>
  <c r="O56" i="6"/>
  <c r="V63" i="6"/>
  <c r="O63" i="6"/>
  <c r="V60" i="6"/>
  <c r="O60" i="6"/>
  <c r="V72" i="6"/>
  <c r="O72" i="6"/>
  <c r="V62" i="6"/>
  <c r="O62" i="6"/>
  <c r="V75" i="6"/>
  <c r="O75" i="6"/>
  <c r="V58" i="6"/>
  <c r="O58" i="6"/>
  <c r="V73" i="6"/>
  <c r="O73" i="6"/>
  <c r="V90" i="6"/>
  <c r="O90" i="6"/>
  <c r="V21" i="6"/>
  <c r="O21" i="6"/>
  <c r="V39" i="6"/>
  <c r="O39" i="6"/>
  <c r="O47" i="6"/>
  <c r="V47" i="6"/>
  <c r="V54" i="6"/>
  <c r="O54" i="6"/>
  <c r="V7" i="6"/>
  <c r="O7" i="6"/>
  <c r="V94" i="6"/>
  <c r="O94" i="6"/>
  <c r="V92" i="6"/>
  <c r="O92" i="6"/>
  <c r="V88" i="6"/>
  <c r="O88" i="6"/>
  <c r="V26" i="6"/>
  <c r="O26" i="6"/>
  <c r="V30" i="6"/>
  <c r="O30" i="6"/>
  <c r="V48" i="6"/>
  <c r="O48" i="6"/>
  <c r="O46" i="6"/>
  <c r="V46" i="6"/>
  <c r="V70" i="6"/>
  <c r="O70" i="6"/>
  <c r="V66" i="6"/>
  <c r="O66" i="6"/>
  <c r="V111" i="6"/>
  <c r="O111" i="6"/>
  <c r="V102" i="6"/>
  <c r="O102" i="6"/>
  <c r="V96" i="6"/>
  <c r="O96" i="6"/>
  <c r="V18" i="6"/>
  <c r="O18" i="6"/>
  <c r="V10" i="6"/>
  <c r="O10" i="6"/>
  <c r="V12" i="6"/>
  <c r="O12" i="6"/>
  <c r="V14" i="6"/>
  <c r="O14" i="6"/>
  <c r="V64" i="6"/>
  <c r="O64" i="6"/>
  <c r="V17" i="6"/>
  <c r="O17" i="6"/>
  <c r="V50" i="6"/>
  <c r="O50" i="6"/>
  <c r="V53" i="6"/>
  <c r="O53" i="6"/>
  <c r="V93" i="6"/>
  <c r="O93" i="6"/>
  <c r="V91" i="6"/>
  <c r="O91" i="6"/>
  <c r="V87" i="6"/>
  <c r="O87" i="6"/>
  <c r="V24" i="6"/>
  <c r="O24" i="6"/>
  <c r="V29" i="6"/>
  <c r="O29" i="6"/>
  <c r="V40" i="6"/>
  <c r="O40" i="6"/>
  <c r="V6" i="6"/>
  <c r="O6" i="6"/>
  <c r="V71" i="6"/>
  <c r="O71" i="6"/>
  <c r="V67" i="6"/>
  <c r="O67" i="6"/>
  <c r="V110" i="6"/>
  <c r="O110" i="6"/>
  <c r="V99" i="6"/>
  <c r="O99" i="6"/>
  <c r="V107" i="6"/>
  <c r="O107" i="6"/>
  <c r="V11" i="6"/>
  <c r="O11" i="6"/>
  <c r="V13" i="6"/>
  <c r="O13" i="6"/>
  <c r="V104" i="6"/>
  <c r="O104" i="6"/>
  <c r="V84" i="6"/>
  <c r="O84" i="6"/>
  <c r="V78" i="6"/>
  <c r="O78" i="6"/>
  <c r="V61" i="6"/>
  <c r="O61" i="6"/>
  <c r="O129" i="6"/>
  <c r="V129" i="6"/>
  <c r="V83" i="6"/>
  <c r="O83" i="6"/>
  <c r="O131" i="6"/>
  <c r="V131" i="6"/>
  <c r="V16" i="6"/>
  <c r="O16" i="6"/>
  <c r="V52" i="6"/>
  <c r="O52" i="6"/>
  <c r="V28" i="6"/>
  <c r="O28" i="6"/>
  <c r="O43" i="6"/>
  <c r="V43" i="6"/>
  <c r="V68" i="6"/>
  <c r="O68" i="6"/>
  <c r="V4" i="6"/>
  <c r="O4" i="6"/>
  <c r="V108" i="6"/>
  <c r="O108" i="6"/>
  <c r="V98" i="6"/>
  <c r="O98" i="6"/>
  <c r="V101" i="6"/>
  <c r="O101" i="6"/>
  <c r="V8" i="6"/>
  <c r="O8" i="6"/>
  <c r="O42" i="6"/>
  <c r="V42" i="6"/>
  <c r="V138" i="6"/>
  <c r="O138" i="6"/>
  <c r="V79" i="6"/>
  <c r="O79" i="6"/>
  <c r="O136" i="6"/>
  <c r="V136" i="6"/>
  <c r="V49" i="6"/>
  <c r="O49" i="6"/>
  <c r="V51" i="6"/>
  <c r="O51" i="6"/>
  <c r="V95" i="6"/>
  <c r="O95" i="6"/>
  <c r="V89" i="6"/>
  <c r="O89" i="6"/>
  <c r="V20" i="6"/>
  <c r="O20" i="6"/>
  <c r="V27" i="6"/>
  <c r="O27" i="6"/>
  <c r="V38" i="6"/>
  <c r="O38" i="6"/>
  <c r="O45" i="6"/>
  <c r="V45" i="6"/>
  <c r="V69" i="6"/>
  <c r="O69" i="6"/>
  <c r="V5" i="6"/>
  <c r="O5" i="6"/>
  <c r="V106" i="6"/>
  <c r="O106" i="6"/>
  <c r="V97" i="6"/>
  <c r="O97" i="6"/>
  <c r="V100" i="6"/>
  <c r="O100" i="6"/>
  <c r="V109" i="6"/>
  <c r="O109" i="6"/>
  <c r="V9" i="6"/>
  <c r="O9" i="6"/>
  <c r="V15" i="6"/>
  <c r="O15" i="6"/>
  <c r="O44" i="6"/>
  <c r="V44" i="6"/>
  <c r="V140" i="6"/>
  <c r="O140" i="6"/>
  <c r="V82" i="6"/>
  <c r="O82" i="6"/>
  <c r="V57" i="6"/>
  <c r="O57" i="6"/>
  <c r="V76" i="6"/>
  <c r="O76" i="6"/>
  <c r="O142" i="6"/>
  <c r="V142" i="6"/>
  <c r="V59" i="6"/>
  <c r="O59" i="6"/>
  <c r="O143" i="6"/>
  <c r="V143" i="6"/>
  <c r="E112" i="3"/>
  <c r="E94" i="3"/>
  <c r="E91" i="3"/>
  <c r="E89" i="3"/>
  <c r="E88" i="3"/>
  <c r="E86" i="3" s="1"/>
  <c r="X38" i="3" l="1"/>
  <c r="F47" i="4"/>
  <c r="B49" i="4"/>
  <c r="C49" i="4"/>
  <c r="E14" i="3"/>
  <c r="E44" i="3"/>
  <c r="E45" i="3"/>
  <c r="E46" i="3"/>
  <c r="E47" i="3"/>
  <c r="E43" i="3"/>
  <c r="D19" i="3" s="1"/>
  <c r="E19" i="3" s="1"/>
  <c r="E4" i="3"/>
  <c r="E28" i="3"/>
  <c r="K49" i="3"/>
  <c r="E26" i="3"/>
  <c r="K48" i="3"/>
  <c r="E25" i="3"/>
  <c r="K32" i="3" s="1"/>
  <c r="N32" i="3" s="1"/>
  <c r="V32" i="3" s="1"/>
  <c r="K47" i="3"/>
  <c r="D8" i="3"/>
  <c r="E8" i="3"/>
  <c r="E29" i="3"/>
  <c r="K43" i="3"/>
  <c r="E27" i="3"/>
  <c r="E9" i="3"/>
  <c r="K21" i="3" s="1"/>
  <c r="K39" i="3"/>
  <c r="K40" i="3"/>
  <c r="E24" i="3"/>
  <c r="K23" i="3" s="1"/>
  <c r="N23" i="3" s="1"/>
  <c r="V23" i="3" s="1"/>
  <c r="E35" i="3"/>
  <c r="K37" i="3" s="1"/>
  <c r="N37" i="3" s="1"/>
  <c r="V37" i="3" s="1"/>
  <c r="E21" i="3"/>
  <c r="K36" i="3" s="1"/>
  <c r="N36" i="3" s="1"/>
  <c r="V36" i="3" s="1"/>
  <c r="K34" i="3"/>
  <c r="E7" i="3"/>
  <c r="K26" i="3" s="1"/>
  <c r="N26" i="3" s="1"/>
  <c r="V26" i="3" s="1"/>
  <c r="K25" i="3"/>
  <c r="E10" i="3"/>
  <c r="K20" i="3"/>
  <c r="E15" i="3"/>
  <c r="E20" i="3"/>
  <c r="K19" i="3" s="1"/>
  <c r="N19" i="3" s="1"/>
  <c r="V19" i="3" s="1"/>
  <c r="D82" i="3"/>
  <c r="D80" i="3"/>
  <c r="E53" i="3"/>
  <c r="E52" i="3"/>
  <c r="E63" i="3"/>
  <c r="D64" i="3"/>
  <c r="E64" i="3" s="1"/>
  <c r="E71" i="3" s="1"/>
  <c r="D49" i="3" s="1"/>
  <c r="E49" i="3" s="1"/>
  <c r="E65" i="3"/>
  <c r="E66" i="3"/>
  <c r="E67" i="3"/>
  <c r="E68" i="3"/>
  <c r="E69" i="3"/>
  <c r="E70" i="3"/>
  <c r="E30" i="3"/>
  <c r="E22" i="3"/>
  <c r="K12" i="3" s="1"/>
  <c r="N12" i="3" s="1"/>
  <c r="V12" i="3" s="1"/>
  <c r="K6" i="3"/>
  <c r="N6" i="3" s="1"/>
  <c r="V6" i="3" s="1"/>
  <c r="E5" i="3"/>
  <c r="K7" i="3"/>
  <c r="N7" i="3" s="1"/>
  <c r="V7" i="3" s="1"/>
  <c r="K8" i="3"/>
  <c r="N8" i="3"/>
  <c r="V8" i="3" s="1"/>
  <c r="K9" i="3"/>
  <c r="N9" i="3" s="1"/>
  <c r="V9" i="3" s="1"/>
  <c r="E23" i="3"/>
  <c r="K10" i="3"/>
  <c r="N10" i="3" s="1"/>
  <c r="V10" i="3" s="1"/>
  <c r="K11" i="3"/>
  <c r="N11" i="3"/>
  <c r="V11" i="3" s="1"/>
  <c r="K13" i="3"/>
  <c r="N13" i="3" s="1"/>
  <c r="V13" i="3" s="1"/>
  <c r="K14" i="3"/>
  <c r="N14" i="3"/>
  <c r="V14" i="3" s="1"/>
  <c r="K15" i="3"/>
  <c r="N15" i="3" s="1"/>
  <c r="V15" i="3" s="1"/>
  <c r="D6" i="3"/>
  <c r="E6" i="3"/>
  <c r="K16" i="3" s="1"/>
  <c r="N16" i="3" s="1"/>
  <c r="V16" i="3" s="1"/>
  <c r="N20" i="3"/>
  <c r="V20" i="3"/>
  <c r="N21" i="3"/>
  <c r="V21" i="3"/>
  <c r="N25" i="3"/>
  <c r="V25" i="3"/>
  <c r="K27" i="3"/>
  <c r="N27" i="3"/>
  <c r="V27" i="3" s="1"/>
  <c r="K28" i="3"/>
  <c r="N28" i="3" s="1"/>
  <c r="V28" i="3" s="1"/>
  <c r="K29" i="3"/>
  <c r="N29" i="3"/>
  <c r="V29" i="3" s="1"/>
  <c r="K30" i="3"/>
  <c r="N30" i="3" s="1"/>
  <c r="V30" i="3" s="1"/>
  <c r="K31" i="3"/>
  <c r="N31" i="3"/>
  <c r="V31" i="3" s="1"/>
  <c r="N34" i="3"/>
  <c r="V34" i="3" s="1"/>
  <c r="N39" i="3"/>
  <c r="V39" i="3" s="1"/>
  <c r="N40" i="3"/>
  <c r="V40" i="3" s="1"/>
  <c r="K41" i="3"/>
  <c r="N41" i="3" s="1"/>
  <c r="V41" i="3" s="1"/>
  <c r="N43" i="3"/>
  <c r="V43" i="3"/>
  <c r="K44" i="3"/>
  <c r="N44" i="3"/>
  <c r="V44" i="3" s="1"/>
  <c r="K45" i="3"/>
  <c r="N45" i="3" s="1"/>
  <c r="V45" i="3" s="1"/>
  <c r="K46" i="3"/>
  <c r="N46" i="3"/>
  <c r="V46" i="3" s="1"/>
  <c r="N47" i="3"/>
  <c r="V47" i="3" s="1"/>
  <c r="N48" i="3"/>
  <c r="V48" i="3" s="1"/>
  <c r="N49" i="3"/>
  <c r="V49" i="3" s="1"/>
  <c r="K50" i="3"/>
  <c r="N50" i="3" s="1"/>
  <c r="V50" i="3" s="1"/>
  <c r="K51" i="3"/>
  <c r="N51" i="3"/>
  <c r="V51" i="3" s="1"/>
  <c r="K52" i="3"/>
  <c r="N52" i="3" s="1"/>
  <c r="V52" i="3" s="1"/>
  <c r="K53" i="3"/>
  <c r="N53" i="3"/>
  <c r="V53" i="3" s="1"/>
  <c r="K54" i="3"/>
  <c r="N54" i="3" s="1"/>
  <c r="V54" i="3" s="1"/>
  <c r="E32" i="3"/>
  <c r="K56" i="3"/>
  <c r="N56" i="3" s="1"/>
  <c r="V56" i="3" s="1"/>
  <c r="E33" i="3"/>
  <c r="K57" i="3"/>
  <c r="N57" i="3" s="1"/>
  <c r="V57" i="3" s="1"/>
  <c r="E34" i="3"/>
  <c r="K58" i="3"/>
  <c r="N58" i="3" s="1"/>
  <c r="V58" i="3" s="1"/>
  <c r="K59" i="3"/>
  <c r="N59" i="3"/>
  <c r="V59" i="3" s="1"/>
  <c r="E31" i="3"/>
  <c r="K60" i="3" s="1"/>
  <c r="N60" i="3" s="1"/>
  <c r="V60" i="3" s="1"/>
  <c r="E37" i="3"/>
  <c r="K61" i="3" s="1"/>
  <c r="N61" i="3" s="1"/>
  <c r="V61" i="3" s="1"/>
  <c r="K62" i="3"/>
  <c r="N62" i="3" s="1"/>
  <c r="V62" i="3" s="1"/>
  <c r="K63" i="3"/>
  <c r="N63" i="3"/>
  <c r="V63" i="3" s="1"/>
  <c r="K64" i="3"/>
  <c r="N64" i="3" s="1"/>
  <c r="V64" i="3" s="1"/>
  <c r="K65" i="3"/>
  <c r="N65" i="3"/>
  <c r="V65" i="3" s="1"/>
  <c r="E11" i="3"/>
  <c r="K67" i="3" s="1"/>
  <c r="N67" i="3" s="1"/>
  <c r="V67" i="3" s="1"/>
  <c r="E38" i="3"/>
  <c r="K69" i="3"/>
  <c r="N69" i="3" s="1"/>
  <c r="V69" i="3" s="1"/>
  <c r="E54" i="3"/>
  <c r="E55" i="3"/>
  <c r="E56" i="3"/>
  <c r="E39" i="3"/>
  <c r="K75" i="3"/>
  <c r="N75" i="3" s="1"/>
  <c r="V75" i="3"/>
  <c r="K76" i="3"/>
  <c r="N76" i="3"/>
  <c r="V76" i="3" s="1"/>
  <c r="K77" i="3"/>
  <c r="N77" i="3"/>
  <c r="V77" i="3" s="1"/>
  <c r="E13" i="3"/>
  <c r="K79" i="3" s="1"/>
  <c r="K80" i="3"/>
  <c r="N80" i="3" s="1"/>
  <c r="V80" i="3" s="1"/>
  <c r="K82" i="3"/>
  <c r="N82" i="3" s="1"/>
  <c r="V82" i="3" s="1"/>
  <c r="K84" i="3"/>
  <c r="N84" i="3" s="1"/>
  <c r="V84" i="3" s="1"/>
  <c r="K86" i="3"/>
  <c r="N86" i="3" s="1"/>
  <c r="V86" i="3" s="1"/>
  <c r="E12" i="3"/>
  <c r="K88" i="3"/>
  <c r="N88" i="3" s="1"/>
  <c r="V88" i="3" s="1"/>
  <c r="K89" i="3"/>
  <c r="N89" i="3"/>
  <c r="V89" i="3" s="1"/>
  <c r="K90" i="3"/>
  <c r="N90" i="3" s="1"/>
  <c r="V90" i="3" s="1"/>
  <c r="K91" i="3"/>
  <c r="N91" i="3"/>
  <c r="V91" i="3" s="1"/>
  <c r="K92" i="3"/>
  <c r="N92" i="3" s="1"/>
  <c r="V92" i="3" s="1"/>
  <c r="K93" i="3"/>
  <c r="N93" i="3"/>
  <c r="V93" i="3" s="1"/>
  <c r="K94" i="3"/>
  <c r="N94" i="3" s="1"/>
  <c r="V94" i="3" s="1"/>
  <c r="K95" i="3"/>
  <c r="N95" i="3"/>
  <c r="V95" i="3" s="1"/>
  <c r="K97" i="3"/>
  <c r="N97" i="3" s="1"/>
  <c r="V97" i="3" s="1"/>
  <c r="K98" i="3"/>
  <c r="N98" i="3"/>
  <c r="V98" i="3" s="1"/>
  <c r="K99" i="3"/>
  <c r="N99" i="3" s="1"/>
  <c r="V99" i="3" s="1"/>
  <c r="K100" i="3"/>
  <c r="N100" i="3"/>
  <c r="V100" i="3" s="1"/>
  <c r="K101" i="3"/>
  <c r="N101" i="3" s="1"/>
  <c r="V101" i="3" s="1"/>
  <c r="K102" i="3"/>
  <c r="N102" i="3"/>
  <c r="V102" i="3" s="1"/>
  <c r="K103" i="3"/>
  <c r="N103" i="3" s="1"/>
  <c r="V103" i="3" s="1"/>
  <c r="K104" i="3"/>
  <c r="N104" i="3"/>
  <c r="V104" i="3" s="1"/>
  <c r="E74" i="3"/>
  <c r="E75" i="3"/>
  <c r="E76" i="3"/>
  <c r="E77" i="3"/>
  <c r="E73" i="3"/>
  <c r="K105" i="3" s="1"/>
  <c r="K106" i="3"/>
  <c r="N106" i="3" s="1"/>
  <c r="V106" i="3" s="1"/>
  <c r="K107" i="3"/>
  <c r="N107" i="3"/>
  <c r="V107" i="3" s="1"/>
  <c r="K108" i="3"/>
  <c r="N108" i="3" s="1"/>
  <c r="V108" i="3" s="1"/>
  <c r="K109" i="3"/>
  <c r="N109" i="3"/>
  <c r="V109" i="3" s="1"/>
  <c r="K110" i="3"/>
  <c r="N110" i="3" s="1"/>
  <c r="V110" i="3" s="1"/>
  <c r="K111" i="3"/>
  <c r="N111" i="3"/>
  <c r="V111" i="3" s="1"/>
  <c r="K112" i="3"/>
  <c r="N112" i="3" s="1"/>
  <c r="V112" i="3" s="1"/>
  <c r="N113" i="3"/>
  <c r="V113" i="3"/>
  <c r="N114" i="3"/>
  <c r="V114" i="3"/>
  <c r="N115" i="3"/>
  <c r="V115" i="3"/>
  <c r="N116" i="3"/>
  <c r="V116" i="3"/>
  <c r="N117" i="3"/>
  <c r="V117" i="3"/>
  <c r="N118" i="3"/>
  <c r="V118" i="3"/>
  <c r="N119" i="3"/>
  <c r="V119" i="3"/>
  <c r="N120" i="3"/>
  <c r="V120" i="3"/>
  <c r="E41" i="3"/>
  <c r="K121" i="3"/>
  <c r="N121" i="3" s="1"/>
  <c r="V121" i="3" s="1"/>
  <c r="K122" i="3"/>
  <c r="N122" i="3"/>
  <c r="V122" i="3" s="1"/>
  <c r="N123" i="3"/>
  <c r="V123" i="3" s="1"/>
  <c r="N124" i="3"/>
  <c r="V124" i="3" s="1"/>
  <c r="N125" i="3"/>
  <c r="V125" i="3" s="1"/>
  <c r="N126" i="3"/>
  <c r="V126" i="3" s="1"/>
  <c r="N127" i="3"/>
  <c r="V127" i="3" s="1"/>
  <c r="N128" i="3"/>
  <c r="V128" i="3" s="1"/>
  <c r="E79" i="3"/>
  <c r="K129" i="3" s="1"/>
  <c r="N129" i="3" s="1"/>
  <c r="V129" i="3" s="1"/>
  <c r="K130" i="3"/>
  <c r="N130" i="3" s="1"/>
  <c r="E82" i="3"/>
  <c r="K131" i="3"/>
  <c r="N131" i="3" s="1"/>
  <c r="V131" i="3" s="1"/>
  <c r="N132" i="3"/>
  <c r="V132" i="3"/>
  <c r="N133" i="3"/>
  <c r="V133" i="3"/>
  <c r="E80" i="3"/>
  <c r="E84" i="3"/>
  <c r="K134" i="3" s="1"/>
  <c r="K135" i="3"/>
  <c r="N135" i="3" s="1"/>
  <c r="V135" i="3" s="1"/>
  <c r="E83" i="3"/>
  <c r="K136" i="3"/>
  <c r="N136" i="3" s="1"/>
  <c r="V136" i="3" s="1"/>
  <c r="K138" i="3"/>
  <c r="N138" i="3" s="1"/>
  <c r="V138" i="3" s="1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5" i="3"/>
  <c r="X6" i="3"/>
  <c r="X7" i="3"/>
  <c r="X8" i="3"/>
  <c r="X4" i="3"/>
  <c r="U6" i="3"/>
  <c r="U8" i="3"/>
  <c r="U10" i="3"/>
  <c r="U12" i="3"/>
  <c r="U14" i="3"/>
  <c r="U20" i="3"/>
  <c r="U21" i="3"/>
  <c r="U23" i="3"/>
  <c r="U25" i="3"/>
  <c r="U26" i="3"/>
  <c r="U27" i="3"/>
  <c r="U28" i="3"/>
  <c r="U29" i="3"/>
  <c r="U30" i="3"/>
  <c r="U31" i="3"/>
  <c r="U32" i="3"/>
  <c r="U34" i="3"/>
  <c r="U36" i="3"/>
  <c r="U37" i="3"/>
  <c r="U39" i="3"/>
  <c r="U40" i="3"/>
  <c r="U41" i="3"/>
  <c r="U47" i="3"/>
  <c r="U48" i="3"/>
  <c r="U49" i="3"/>
  <c r="U50" i="3"/>
  <c r="U56" i="3"/>
  <c r="U57" i="3"/>
  <c r="U58" i="3"/>
  <c r="U59" i="3"/>
  <c r="U60" i="3"/>
  <c r="U61" i="3"/>
  <c r="U62" i="3"/>
  <c r="U63" i="3"/>
  <c r="U64" i="3"/>
  <c r="U65" i="3"/>
  <c r="U67" i="3"/>
  <c r="U69" i="3"/>
  <c r="U75" i="3"/>
  <c r="U76" i="3"/>
  <c r="U77" i="3"/>
  <c r="U80" i="3"/>
  <c r="U82" i="3"/>
  <c r="U84" i="3"/>
  <c r="U86" i="3"/>
  <c r="U88" i="3"/>
  <c r="U89" i="3"/>
  <c r="U90" i="3"/>
  <c r="U91" i="3"/>
  <c r="U92" i="3"/>
  <c r="U93" i="3"/>
  <c r="U94" i="3"/>
  <c r="U95" i="3"/>
  <c r="U97" i="3"/>
  <c r="U98" i="3"/>
  <c r="U99" i="3"/>
  <c r="U100" i="3"/>
  <c r="U101" i="3"/>
  <c r="U102" i="3"/>
  <c r="U103" i="3"/>
  <c r="U104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30" i="3"/>
  <c r="U131" i="3"/>
  <c r="U132" i="3"/>
  <c r="U133" i="3"/>
  <c r="U135" i="3"/>
  <c r="S133" i="3"/>
  <c r="Q133" i="3"/>
  <c r="M133" i="3"/>
  <c r="S132" i="3"/>
  <c r="Q132" i="3"/>
  <c r="M132" i="3"/>
  <c r="Q130" i="3"/>
  <c r="S128" i="3"/>
  <c r="Q128" i="3"/>
  <c r="M128" i="3"/>
  <c r="S127" i="3"/>
  <c r="Q127" i="3"/>
  <c r="M127" i="3"/>
  <c r="S126" i="3"/>
  <c r="Q126" i="3"/>
  <c r="M126" i="3"/>
  <c r="S125" i="3"/>
  <c r="Q125" i="3"/>
  <c r="M125" i="3"/>
  <c r="S124" i="3"/>
  <c r="Q124" i="3"/>
  <c r="M124" i="3"/>
  <c r="S123" i="3"/>
  <c r="Q123" i="3"/>
  <c r="M123" i="3"/>
  <c r="S120" i="3"/>
  <c r="Q120" i="3"/>
  <c r="O120" i="3"/>
  <c r="M120" i="3"/>
  <c r="S119" i="3"/>
  <c r="Q119" i="3"/>
  <c r="M119" i="3"/>
  <c r="S118" i="3"/>
  <c r="Q118" i="3"/>
  <c r="O118" i="3"/>
  <c r="M118" i="3"/>
  <c r="S117" i="3"/>
  <c r="Q117" i="3"/>
  <c r="M117" i="3"/>
  <c r="S116" i="3"/>
  <c r="Q116" i="3"/>
  <c r="M116" i="3"/>
  <c r="S115" i="3"/>
  <c r="Q115" i="3"/>
  <c r="M115" i="3"/>
  <c r="S114" i="3"/>
  <c r="Q114" i="3"/>
  <c r="O114" i="3"/>
  <c r="M114" i="3"/>
  <c r="S113" i="3"/>
  <c r="Q113" i="3"/>
  <c r="M113" i="3"/>
  <c r="E81" i="3"/>
  <c r="E40" i="3"/>
  <c r="E36" i="3"/>
  <c r="U45" i="3"/>
  <c r="Q23" i="3"/>
  <c r="O116" i="3"/>
  <c r="O124" i="3"/>
  <c r="O126" i="3"/>
  <c r="O128" i="3"/>
  <c r="S130" i="3"/>
  <c r="O133" i="3"/>
  <c r="Q6" i="3"/>
  <c r="M130" i="3"/>
  <c r="Q45" i="3"/>
  <c r="S45" i="3"/>
  <c r="M45" i="3"/>
  <c r="Q40" i="3"/>
  <c r="S40" i="3"/>
  <c r="M40" i="3"/>
  <c r="Q36" i="3"/>
  <c r="S36" i="3"/>
  <c r="M36" i="3"/>
  <c r="Q25" i="3"/>
  <c r="S25" i="3"/>
  <c r="M25" i="3"/>
  <c r="Q32" i="3"/>
  <c r="S32" i="3"/>
  <c r="M32" i="3"/>
  <c r="M44" i="3"/>
  <c r="Q34" i="3"/>
  <c r="S34" i="3"/>
  <c r="M34" i="3"/>
  <c r="S31" i="3"/>
  <c r="M31" i="3"/>
  <c r="Q31" i="3"/>
  <c r="M23" i="3"/>
  <c r="U53" i="3"/>
  <c r="U51" i="3"/>
  <c r="U54" i="3"/>
  <c r="U52" i="3"/>
  <c r="S50" i="3"/>
  <c r="M50" i="3"/>
  <c r="Q50" i="3"/>
  <c r="M6" i="3"/>
  <c r="S6" i="3"/>
  <c r="U7" i="3"/>
  <c r="U9" i="3"/>
  <c r="U11" i="3"/>
  <c r="U13" i="3"/>
  <c r="U15" i="3"/>
  <c r="U46" i="3"/>
  <c r="U16" i="3"/>
  <c r="U19" i="3"/>
  <c r="S112" i="3"/>
  <c r="M112" i="3"/>
  <c r="Q112" i="3"/>
  <c r="U43" i="3"/>
  <c r="U138" i="3"/>
  <c r="U136" i="3"/>
  <c r="U129" i="3"/>
  <c r="O113" i="3"/>
  <c r="O115" i="3"/>
  <c r="O117" i="3"/>
  <c r="O119" i="3"/>
  <c r="O123" i="3"/>
  <c r="O125" i="3"/>
  <c r="O127" i="3"/>
  <c r="O132" i="3"/>
  <c r="E53" i="2"/>
  <c r="E52" i="2"/>
  <c r="S113" i="2"/>
  <c r="S114" i="2"/>
  <c r="S115" i="2"/>
  <c r="S116" i="2"/>
  <c r="S117" i="2"/>
  <c r="S118" i="2"/>
  <c r="S119" i="2"/>
  <c r="S120" i="2"/>
  <c r="S123" i="2"/>
  <c r="S124" i="2"/>
  <c r="S125" i="2"/>
  <c r="S126" i="2"/>
  <c r="S127" i="2"/>
  <c r="S128" i="2"/>
  <c r="S132" i="2"/>
  <c r="S133" i="2"/>
  <c r="N113" i="2"/>
  <c r="N114" i="2"/>
  <c r="N115" i="2"/>
  <c r="N116" i="2"/>
  <c r="N117" i="2"/>
  <c r="N118" i="2"/>
  <c r="N119" i="2"/>
  <c r="N120" i="2"/>
  <c r="N123" i="2"/>
  <c r="N124" i="2"/>
  <c r="N125" i="2"/>
  <c r="N126" i="2"/>
  <c r="N127" i="2"/>
  <c r="N128" i="2"/>
  <c r="N132" i="2"/>
  <c r="N133" i="2"/>
  <c r="E24" i="2"/>
  <c r="K4" i="3"/>
  <c r="K17" i="3"/>
  <c r="K66" i="3"/>
  <c r="K78" i="3"/>
  <c r="K5" i="3"/>
  <c r="U5" i="3"/>
  <c r="K87" i="3"/>
  <c r="U87" i="3"/>
  <c r="K96" i="3"/>
  <c r="K71" i="3"/>
  <c r="U71" i="3"/>
  <c r="S4" i="3"/>
  <c r="U4" i="3"/>
  <c r="M4" i="3"/>
  <c r="S44" i="3"/>
  <c r="U44" i="3"/>
  <c r="S23" i="3"/>
  <c r="Q44" i="3"/>
  <c r="S131" i="3"/>
  <c r="M131" i="3"/>
  <c r="Q131" i="3"/>
  <c r="S135" i="3"/>
  <c r="M135" i="3"/>
  <c r="Q135" i="3"/>
  <c r="S47" i="3"/>
  <c r="Q47" i="3"/>
  <c r="M47" i="3"/>
  <c r="S121" i="3"/>
  <c r="M121" i="3"/>
  <c r="Q121" i="3"/>
  <c r="S76" i="3"/>
  <c r="M76" i="3"/>
  <c r="Q76" i="3"/>
  <c r="Q77" i="3"/>
  <c r="S77" i="3"/>
  <c r="M77" i="3"/>
  <c r="Q30" i="3"/>
  <c r="S30" i="3"/>
  <c r="M30" i="3"/>
  <c r="Q27" i="3"/>
  <c r="S27" i="3"/>
  <c r="M27" i="3"/>
  <c r="Q19" i="3"/>
  <c r="S19" i="3"/>
  <c r="M19" i="3"/>
  <c r="Q16" i="3"/>
  <c r="S16" i="3"/>
  <c r="M16" i="3"/>
  <c r="S104" i="3"/>
  <c r="M104" i="3"/>
  <c r="Q104" i="3"/>
  <c r="S79" i="3"/>
  <c r="M79" i="3"/>
  <c r="Q79" i="3"/>
  <c r="S78" i="3"/>
  <c r="S84" i="3"/>
  <c r="M84" i="3"/>
  <c r="Q84" i="3"/>
  <c r="S86" i="3"/>
  <c r="M86" i="3"/>
  <c r="Q86" i="3"/>
  <c r="S66" i="3"/>
  <c r="Q66" i="3"/>
  <c r="Q10" i="3"/>
  <c r="S10" i="3"/>
  <c r="M10" i="3"/>
  <c r="S96" i="3"/>
  <c r="Q96" i="3"/>
  <c r="S98" i="3"/>
  <c r="M98" i="3"/>
  <c r="Q98" i="3"/>
  <c r="S100" i="3"/>
  <c r="M100" i="3"/>
  <c r="Q100" i="3"/>
  <c r="S102" i="3"/>
  <c r="Q102" i="3"/>
  <c r="M102" i="3"/>
  <c r="S107" i="3"/>
  <c r="M107" i="3"/>
  <c r="Q107" i="3"/>
  <c r="S109" i="3"/>
  <c r="M109" i="3"/>
  <c r="Q109" i="3"/>
  <c r="S111" i="3"/>
  <c r="M111" i="3"/>
  <c r="Q111" i="3"/>
  <c r="S46" i="3"/>
  <c r="M46" i="3"/>
  <c r="Q46" i="3"/>
  <c r="S39" i="3"/>
  <c r="M39" i="3"/>
  <c r="Q39" i="3"/>
  <c r="S28" i="3"/>
  <c r="M28" i="3"/>
  <c r="Q28" i="3"/>
  <c r="S20" i="3"/>
  <c r="M20" i="3"/>
  <c r="Q20" i="3"/>
  <c r="S56" i="3"/>
  <c r="M56" i="3"/>
  <c r="Q56" i="3"/>
  <c r="S58" i="3"/>
  <c r="M58" i="3"/>
  <c r="Q58" i="3"/>
  <c r="S60" i="3"/>
  <c r="M60" i="3"/>
  <c r="Q60" i="3"/>
  <c r="S62" i="3"/>
  <c r="M62" i="3"/>
  <c r="Q62" i="3"/>
  <c r="S64" i="3"/>
  <c r="M64" i="3"/>
  <c r="Q64" i="3"/>
  <c r="S87" i="3"/>
  <c r="M87" i="3"/>
  <c r="Q87" i="3"/>
  <c r="N87" i="3"/>
  <c r="V87" i="3"/>
  <c r="S89" i="3"/>
  <c r="M89" i="3"/>
  <c r="Q89" i="3"/>
  <c r="S91" i="3"/>
  <c r="M91" i="3"/>
  <c r="Q91" i="3"/>
  <c r="S93" i="3"/>
  <c r="M93" i="3"/>
  <c r="Q93" i="3"/>
  <c r="S95" i="3"/>
  <c r="M95" i="3"/>
  <c r="Q95" i="3"/>
  <c r="S9" i="3"/>
  <c r="M9" i="3"/>
  <c r="Q9" i="3"/>
  <c r="M5" i="3"/>
  <c r="N5" i="3"/>
  <c r="V5" i="3"/>
  <c r="S52" i="3"/>
  <c r="M52" i="3"/>
  <c r="Q52" i="3"/>
  <c r="Q51" i="3"/>
  <c r="S51" i="3"/>
  <c r="M51" i="3"/>
  <c r="O23" i="3"/>
  <c r="O31" i="3"/>
  <c r="O34" i="3"/>
  <c r="O44" i="3"/>
  <c r="O32" i="3"/>
  <c r="O25" i="3"/>
  <c r="O36" i="3"/>
  <c r="O40" i="3"/>
  <c r="O45" i="3"/>
  <c r="S129" i="3"/>
  <c r="M129" i="3"/>
  <c r="Q129" i="3"/>
  <c r="M134" i="3"/>
  <c r="S136" i="3"/>
  <c r="M136" i="3"/>
  <c r="Q136" i="3"/>
  <c r="S138" i="3"/>
  <c r="M138" i="3"/>
  <c r="Q138" i="3"/>
  <c r="S49" i="3"/>
  <c r="M49" i="3"/>
  <c r="Q49" i="3"/>
  <c r="Q43" i="3"/>
  <c r="S43" i="3"/>
  <c r="M43" i="3"/>
  <c r="S122" i="3"/>
  <c r="M122" i="3"/>
  <c r="Q122" i="3"/>
  <c r="Q75" i="3"/>
  <c r="S75" i="3"/>
  <c r="M75" i="3"/>
  <c r="Q29" i="3"/>
  <c r="S29" i="3"/>
  <c r="M29" i="3"/>
  <c r="O112" i="3"/>
  <c r="Q21" i="3"/>
  <c r="S21" i="3"/>
  <c r="M21" i="3"/>
  <c r="S103" i="3"/>
  <c r="M103" i="3"/>
  <c r="Q103" i="3"/>
  <c r="Q14" i="3"/>
  <c r="S14" i="3"/>
  <c r="M14" i="3"/>
  <c r="S82" i="3"/>
  <c r="M82" i="3"/>
  <c r="Q82" i="3"/>
  <c r="S80" i="3"/>
  <c r="M80" i="3"/>
  <c r="Q80" i="3"/>
  <c r="Q12" i="3"/>
  <c r="S12" i="3"/>
  <c r="M12" i="3"/>
  <c r="S67" i="3"/>
  <c r="M67" i="3"/>
  <c r="Q67" i="3"/>
  <c r="S69" i="3"/>
  <c r="M69" i="3"/>
  <c r="Q69" i="3"/>
  <c r="S71" i="3"/>
  <c r="M71" i="3"/>
  <c r="Q71" i="3"/>
  <c r="N71" i="3"/>
  <c r="V71" i="3"/>
  <c r="Q8" i="3"/>
  <c r="S8" i="3"/>
  <c r="M8" i="3"/>
  <c r="S97" i="3"/>
  <c r="M97" i="3"/>
  <c r="Q97" i="3"/>
  <c r="S99" i="3"/>
  <c r="M99" i="3"/>
  <c r="Q99" i="3"/>
  <c r="Q101" i="3"/>
  <c r="M101" i="3"/>
  <c r="S101" i="3"/>
  <c r="S106" i="3"/>
  <c r="M106" i="3"/>
  <c r="Q106" i="3"/>
  <c r="S108" i="3"/>
  <c r="M108" i="3"/>
  <c r="Q108" i="3"/>
  <c r="S110" i="3"/>
  <c r="M110" i="3"/>
  <c r="Q110" i="3"/>
  <c r="S48" i="3"/>
  <c r="M48" i="3"/>
  <c r="Q48" i="3"/>
  <c r="S41" i="3"/>
  <c r="M41" i="3"/>
  <c r="Q41" i="3"/>
  <c r="S37" i="3"/>
  <c r="M37" i="3"/>
  <c r="Q37" i="3"/>
  <c r="S26" i="3"/>
  <c r="M26" i="3"/>
  <c r="Q26" i="3"/>
  <c r="S15" i="3"/>
  <c r="M15" i="3"/>
  <c r="Q15" i="3"/>
  <c r="S57" i="3"/>
  <c r="M57" i="3"/>
  <c r="Q57" i="3"/>
  <c r="S59" i="3"/>
  <c r="M59" i="3"/>
  <c r="Q59" i="3"/>
  <c r="S61" i="3"/>
  <c r="M61" i="3"/>
  <c r="Q61" i="3"/>
  <c r="S63" i="3"/>
  <c r="M63" i="3"/>
  <c r="Q63" i="3"/>
  <c r="S65" i="3"/>
  <c r="M65" i="3"/>
  <c r="Q65" i="3"/>
  <c r="S13" i="3"/>
  <c r="M13" i="3"/>
  <c r="Q13" i="3"/>
  <c r="S88" i="3"/>
  <c r="M88" i="3"/>
  <c r="Q88" i="3"/>
  <c r="S90" i="3"/>
  <c r="M90" i="3"/>
  <c r="Q90" i="3"/>
  <c r="S92" i="3"/>
  <c r="M92" i="3"/>
  <c r="Q92" i="3"/>
  <c r="S94" i="3"/>
  <c r="M94" i="3"/>
  <c r="Q94" i="3"/>
  <c r="S11" i="3"/>
  <c r="M11" i="3"/>
  <c r="Q11" i="3"/>
  <c r="S7" i="3"/>
  <c r="M7" i="3"/>
  <c r="Q7" i="3"/>
  <c r="O50" i="3"/>
  <c r="O6" i="3"/>
  <c r="S54" i="3"/>
  <c r="M54" i="3"/>
  <c r="Q54" i="3"/>
  <c r="Q53" i="3"/>
  <c r="S53" i="3"/>
  <c r="M53" i="3"/>
  <c r="T104" i="2"/>
  <c r="T103" i="2"/>
  <c r="T95" i="2"/>
  <c r="T94" i="2"/>
  <c r="T86" i="2"/>
  <c r="T85" i="2"/>
  <c r="S5" i="3"/>
  <c r="Q5" i="3"/>
  <c r="M78" i="3"/>
  <c r="M17" i="3"/>
  <c r="Q4" i="3"/>
  <c r="N4" i="3"/>
  <c r="V4" i="3" s="1"/>
  <c r="O48" i="3"/>
  <c r="O82" i="3"/>
  <c r="O53" i="3"/>
  <c r="O54" i="3"/>
  <c r="O7" i="3"/>
  <c r="O11" i="3"/>
  <c r="O94" i="3"/>
  <c r="O92" i="3"/>
  <c r="O90" i="3"/>
  <c r="O88" i="3"/>
  <c r="O13" i="3"/>
  <c r="O65" i="3"/>
  <c r="O63" i="3"/>
  <c r="O61" i="3"/>
  <c r="O59" i="3"/>
  <c r="O57" i="3"/>
  <c r="O15" i="3"/>
  <c r="O26" i="3"/>
  <c r="O37" i="3"/>
  <c r="O41" i="3"/>
  <c r="O110" i="3"/>
  <c r="O108" i="3"/>
  <c r="O106" i="3"/>
  <c r="O101" i="3"/>
  <c r="O99" i="3"/>
  <c r="O97" i="3"/>
  <c r="O8" i="3"/>
  <c r="O71" i="3"/>
  <c r="O69" i="3"/>
  <c r="O67" i="3"/>
  <c r="O12" i="3"/>
  <c r="O80" i="3"/>
  <c r="O14" i="3"/>
  <c r="O103" i="3"/>
  <c r="O21" i="3"/>
  <c r="O29" i="3"/>
  <c r="O75" i="3"/>
  <c r="O122" i="3"/>
  <c r="O43" i="3"/>
  <c r="O49" i="3"/>
  <c r="O138" i="3"/>
  <c r="O136" i="3"/>
  <c r="O129" i="3"/>
  <c r="O51" i="3"/>
  <c r="O52" i="3"/>
  <c r="O9" i="3"/>
  <c r="O95" i="3"/>
  <c r="O93" i="3"/>
  <c r="O91" i="3"/>
  <c r="O89" i="3"/>
  <c r="O87" i="3"/>
  <c r="O64" i="3"/>
  <c r="O62" i="3"/>
  <c r="O60" i="3"/>
  <c r="O58" i="3"/>
  <c r="O56" i="3"/>
  <c r="O20" i="3"/>
  <c r="O28" i="3"/>
  <c r="O39" i="3"/>
  <c r="O46" i="3"/>
  <c r="O111" i="3"/>
  <c r="O109" i="3"/>
  <c r="O107" i="3"/>
  <c r="O100" i="3"/>
  <c r="O98" i="3"/>
  <c r="O10" i="3"/>
  <c r="O86" i="3"/>
  <c r="O84" i="3"/>
  <c r="O104" i="3"/>
  <c r="O16" i="3"/>
  <c r="O19" i="3"/>
  <c r="O27" i="3"/>
  <c r="O30" i="3"/>
  <c r="O77" i="3"/>
  <c r="O76" i="3"/>
  <c r="O121" i="3"/>
  <c r="O47" i="3"/>
  <c r="O135" i="3"/>
  <c r="O131" i="3"/>
  <c r="O5" i="3"/>
  <c r="O102" i="3"/>
  <c r="E54" i="2"/>
  <c r="E51" i="2" s="1"/>
  <c r="K72" i="2" s="1"/>
  <c r="E55" i="2"/>
  <c r="E56" i="2"/>
  <c r="E38" i="2"/>
  <c r="E39" i="2"/>
  <c r="K75" i="2" s="1"/>
  <c r="N75" i="2" s="1"/>
  <c r="O4" i="3"/>
  <c r="Q113" i="2"/>
  <c r="Q114" i="2"/>
  <c r="Q115" i="2"/>
  <c r="Q116" i="2"/>
  <c r="Q117" i="2"/>
  <c r="Q118" i="2"/>
  <c r="Q119" i="2"/>
  <c r="Q120" i="2"/>
  <c r="Q123" i="2"/>
  <c r="Q124" i="2"/>
  <c r="Q125" i="2"/>
  <c r="Q126" i="2"/>
  <c r="Q127" i="2"/>
  <c r="Q128" i="2"/>
  <c r="Q132" i="2"/>
  <c r="Q133" i="2"/>
  <c r="T4" i="2"/>
  <c r="O133" i="2"/>
  <c r="O132" i="2"/>
  <c r="O128" i="2"/>
  <c r="O127" i="2"/>
  <c r="O126" i="2"/>
  <c r="O125" i="2"/>
  <c r="O124" i="2"/>
  <c r="O123" i="2"/>
  <c r="O120" i="2"/>
  <c r="O119" i="2"/>
  <c r="O118" i="2"/>
  <c r="O117" i="2"/>
  <c r="O116" i="2"/>
  <c r="O115" i="2"/>
  <c r="O114" i="2"/>
  <c r="O11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7" i="2"/>
  <c r="T88" i="2"/>
  <c r="T89" i="2"/>
  <c r="T90" i="2"/>
  <c r="T91" i="2"/>
  <c r="T92" i="2"/>
  <c r="T93" i="2"/>
  <c r="T96" i="2"/>
  <c r="T97" i="2"/>
  <c r="T98" i="2"/>
  <c r="T99" i="2"/>
  <c r="T100" i="2"/>
  <c r="T101" i="2"/>
  <c r="T102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E31" i="2"/>
  <c r="K101" i="2" s="1"/>
  <c r="E12" i="2"/>
  <c r="U133" i="2"/>
  <c r="M133" i="2"/>
  <c r="U132" i="2"/>
  <c r="M132" i="2"/>
  <c r="K130" i="2"/>
  <c r="S130" i="2" s="1"/>
  <c r="U128" i="2"/>
  <c r="M128" i="2"/>
  <c r="U127" i="2"/>
  <c r="M127" i="2"/>
  <c r="U126" i="2"/>
  <c r="M126" i="2"/>
  <c r="U125" i="2"/>
  <c r="M125" i="2"/>
  <c r="U124" i="2"/>
  <c r="M124" i="2"/>
  <c r="U123" i="2"/>
  <c r="M123" i="2"/>
  <c r="U120" i="2"/>
  <c r="M120" i="2"/>
  <c r="U119" i="2"/>
  <c r="M119" i="2"/>
  <c r="U118" i="2"/>
  <c r="M118" i="2"/>
  <c r="U117" i="2"/>
  <c r="M117" i="2"/>
  <c r="U116" i="2"/>
  <c r="M116" i="2"/>
  <c r="U115" i="2"/>
  <c r="M115" i="2"/>
  <c r="U114" i="2"/>
  <c r="M114" i="2"/>
  <c r="U113" i="2"/>
  <c r="M113" i="2"/>
  <c r="E84" i="2"/>
  <c r="E83" i="2"/>
  <c r="E82" i="2"/>
  <c r="K131" i="2" s="1"/>
  <c r="E81" i="2"/>
  <c r="E80" i="2"/>
  <c r="K139" i="2" s="1"/>
  <c r="E79" i="2"/>
  <c r="E77" i="2"/>
  <c r="E76" i="2"/>
  <c r="E75" i="2"/>
  <c r="E74" i="2"/>
  <c r="B71" i="2"/>
  <c r="C71" i="2" s="1"/>
  <c r="E49" i="2" s="1"/>
  <c r="E47" i="2"/>
  <c r="E46" i="2"/>
  <c r="E45" i="2"/>
  <c r="E44" i="2"/>
  <c r="E41" i="2"/>
  <c r="E40" i="2"/>
  <c r="E37" i="2"/>
  <c r="E36" i="2"/>
  <c r="E35" i="2"/>
  <c r="E34" i="2"/>
  <c r="E33" i="2"/>
  <c r="E32" i="2"/>
  <c r="E29" i="2"/>
  <c r="E28" i="2"/>
  <c r="K15" i="2" s="1"/>
  <c r="E27" i="2"/>
  <c r="K35" i="2"/>
  <c r="E26" i="2"/>
  <c r="E25" i="2"/>
  <c r="E23" i="2"/>
  <c r="E22" i="2"/>
  <c r="E21" i="2"/>
  <c r="E20" i="2"/>
  <c r="E16" i="2"/>
  <c r="E15" i="2"/>
  <c r="K104" i="2" s="1"/>
  <c r="S104" i="2" s="1"/>
  <c r="E14" i="2"/>
  <c r="E13" i="2"/>
  <c r="K83" i="2"/>
  <c r="E11" i="2"/>
  <c r="E10" i="2"/>
  <c r="E9" i="2"/>
  <c r="K20" i="2"/>
  <c r="E8" i="2"/>
  <c r="E7" i="2"/>
  <c r="E6" i="2"/>
  <c r="E5" i="2"/>
  <c r="E4" i="2"/>
  <c r="K11" i="2"/>
  <c r="S11" i="2" s="1"/>
  <c r="Q11" i="2"/>
  <c r="Q101" i="2"/>
  <c r="Q35" i="2"/>
  <c r="O75" i="2"/>
  <c r="K77" i="2"/>
  <c r="M130" i="2"/>
  <c r="K42" i="2"/>
  <c r="K34" i="2"/>
  <c r="E73" i="2"/>
  <c r="K105" i="2" s="1"/>
  <c r="E43" i="2"/>
  <c r="D19" i="2" s="1"/>
  <c r="E19" i="2"/>
  <c r="K18" i="2" s="1"/>
  <c r="Q18" i="2" s="1"/>
  <c r="M42" i="2"/>
  <c r="K49" i="2"/>
  <c r="K47" i="2"/>
  <c r="K93" i="2"/>
  <c r="K91" i="2"/>
  <c r="N91" i="2" s="1"/>
  <c r="K90" i="2"/>
  <c r="K89" i="2"/>
  <c r="N89" i="2" s="1"/>
  <c r="K58" i="2"/>
  <c r="K63" i="2"/>
  <c r="K59" i="2"/>
  <c r="K9" i="2"/>
  <c r="S9" i="2" s="1"/>
  <c r="K36" i="2"/>
  <c r="K38" i="2"/>
  <c r="K40" i="2"/>
  <c r="N40" i="2" s="1"/>
  <c r="K41" i="2"/>
  <c r="K28" i="2"/>
  <c r="N28" i="2" s="1"/>
  <c r="K16" i="2"/>
  <c r="K46" i="2"/>
  <c r="K54" i="2"/>
  <c r="N54" i="2" s="1"/>
  <c r="K53" i="2"/>
  <c r="K52" i="2"/>
  <c r="N52" i="2" s="1"/>
  <c r="K51" i="2"/>
  <c r="K111" i="2"/>
  <c r="K109" i="2"/>
  <c r="N109" i="2" s="1"/>
  <c r="K107" i="2"/>
  <c r="K108" i="2"/>
  <c r="K102" i="2"/>
  <c r="S102" i="2" s="1"/>
  <c r="K100" i="2"/>
  <c r="K99" i="2"/>
  <c r="K98" i="2"/>
  <c r="S98" i="2" s="1"/>
  <c r="K26" i="2"/>
  <c r="K70" i="2"/>
  <c r="K69" i="2"/>
  <c r="K84" i="2"/>
  <c r="K82" i="2"/>
  <c r="S82" i="2" s="1"/>
  <c r="K81" i="2"/>
  <c r="K80" i="2"/>
  <c r="S80" i="2" s="1"/>
  <c r="K78" i="2"/>
  <c r="K7" i="2"/>
  <c r="S7" i="2" s="1"/>
  <c r="K13" i="2"/>
  <c r="K21" i="2"/>
  <c r="K37" i="2"/>
  <c r="S37" i="2" s="1"/>
  <c r="K25" i="2"/>
  <c r="K33" i="2"/>
  <c r="M34" i="2"/>
  <c r="K27" i="2"/>
  <c r="K31" i="2"/>
  <c r="S31" i="2" s="1"/>
  <c r="K30" i="2"/>
  <c r="K76" i="2"/>
  <c r="S76" i="2" s="1"/>
  <c r="K122" i="2"/>
  <c r="K121" i="2"/>
  <c r="N121" i="2" s="1"/>
  <c r="M105" i="2"/>
  <c r="K129" i="2"/>
  <c r="K138" i="2"/>
  <c r="K136" i="2"/>
  <c r="K134" i="2"/>
  <c r="E38" i="1"/>
  <c r="K101" i="1" s="1"/>
  <c r="E75" i="1"/>
  <c r="E74" i="1"/>
  <c r="E73" i="1"/>
  <c r="K102" i="1"/>
  <c r="E55" i="1"/>
  <c r="E37" i="1"/>
  <c r="K138" i="1"/>
  <c r="N138" i="1" s="1"/>
  <c r="K134" i="1"/>
  <c r="E83" i="1"/>
  <c r="E82" i="1"/>
  <c r="N134" i="1"/>
  <c r="T134" i="1" s="1"/>
  <c r="S134" i="1"/>
  <c r="M134" i="1"/>
  <c r="E81" i="1"/>
  <c r="K129" i="1"/>
  <c r="E78" i="1"/>
  <c r="K130" i="1" s="1"/>
  <c r="E80" i="1"/>
  <c r="E79" i="1"/>
  <c r="N132" i="1"/>
  <c r="T132" i="1" s="1"/>
  <c r="S132" i="1"/>
  <c r="M132" i="1"/>
  <c r="E40" i="1"/>
  <c r="K123" i="1" s="1"/>
  <c r="N131" i="1"/>
  <c r="T131" i="1"/>
  <c r="S131" i="1"/>
  <c r="O131" i="1"/>
  <c r="M131" i="1"/>
  <c r="N129" i="1"/>
  <c r="T129" i="1"/>
  <c r="S129" i="1"/>
  <c r="O129" i="1"/>
  <c r="M129" i="1"/>
  <c r="N127" i="1"/>
  <c r="T127" i="1"/>
  <c r="S127" i="1"/>
  <c r="O127" i="1"/>
  <c r="M127" i="1"/>
  <c r="N126" i="1"/>
  <c r="T126" i="1" s="1"/>
  <c r="S126" i="1"/>
  <c r="M126" i="1"/>
  <c r="N125" i="1"/>
  <c r="T125" i="1"/>
  <c r="S125" i="1"/>
  <c r="O125" i="1"/>
  <c r="M125" i="1"/>
  <c r="N122" i="1"/>
  <c r="T122" i="1"/>
  <c r="S122" i="1"/>
  <c r="O122" i="1"/>
  <c r="M122" i="1"/>
  <c r="N121" i="1"/>
  <c r="T121" i="1" s="1"/>
  <c r="S121" i="1"/>
  <c r="M121" i="1"/>
  <c r="N120" i="1"/>
  <c r="T120" i="1"/>
  <c r="S120" i="1"/>
  <c r="O120" i="1"/>
  <c r="M120" i="1"/>
  <c r="N119" i="1"/>
  <c r="T119" i="1" s="1"/>
  <c r="S119" i="1"/>
  <c r="M119" i="1"/>
  <c r="N118" i="1"/>
  <c r="T118" i="1"/>
  <c r="S118" i="1"/>
  <c r="O118" i="1"/>
  <c r="M118" i="1"/>
  <c r="N117" i="1"/>
  <c r="T117" i="1" s="1"/>
  <c r="S117" i="1"/>
  <c r="M117" i="1"/>
  <c r="N116" i="1"/>
  <c r="T116" i="1"/>
  <c r="S116" i="1"/>
  <c r="O116" i="1"/>
  <c r="M116" i="1"/>
  <c r="N115" i="1"/>
  <c r="T115" i="1" s="1"/>
  <c r="S115" i="1"/>
  <c r="M115" i="1"/>
  <c r="N114" i="1"/>
  <c r="T114" i="1"/>
  <c r="S114" i="1"/>
  <c r="O114" i="1"/>
  <c r="M114" i="1"/>
  <c r="N113" i="1"/>
  <c r="T113" i="1" s="1"/>
  <c r="S113" i="1"/>
  <c r="M113" i="1"/>
  <c r="N112" i="1"/>
  <c r="T112" i="1"/>
  <c r="S112" i="1"/>
  <c r="O112" i="1"/>
  <c r="M112" i="1"/>
  <c r="E21" i="1"/>
  <c r="E36" i="1"/>
  <c r="E39" i="1"/>
  <c r="E6" i="1"/>
  <c r="E23" i="1"/>
  <c r="K110" i="1"/>
  <c r="E20" i="1"/>
  <c r="E26" i="1"/>
  <c r="K107" i="1"/>
  <c r="N107" i="1" s="1"/>
  <c r="E27" i="1"/>
  <c r="K106" i="1"/>
  <c r="E76" i="1"/>
  <c r="E72" i="1" s="1"/>
  <c r="K104" i="1" s="1"/>
  <c r="N110" i="1"/>
  <c r="T110" i="1" s="1"/>
  <c r="S110" i="1"/>
  <c r="M110" i="1"/>
  <c r="N106" i="1"/>
  <c r="T106" i="1" s="1"/>
  <c r="S106" i="1"/>
  <c r="M106" i="1"/>
  <c r="K103" i="1"/>
  <c r="N103" i="1"/>
  <c r="T103" i="1" s="1"/>
  <c r="S103" i="1"/>
  <c r="M103" i="1"/>
  <c r="N102" i="1"/>
  <c r="T102" i="1"/>
  <c r="S102" i="1"/>
  <c r="O102" i="1"/>
  <c r="M102" i="1"/>
  <c r="E51" i="1"/>
  <c r="E50" i="1" s="1"/>
  <c r="E52" i="1"/>
  <c r="E53" i="1"/>
  <c r="E54" i="1"/>
  <c r="E10" i="1"/>
  <c r="K94" i="1" s="1"/>
  <c r="E43" i="1"/>
  <c r="E44" i="1"/>
  <c r="E42" i="1" s="1"/>
  <c r="D18" i="1" s="1"/>
  <c r="E18" i="1" s="1"/>
  <c r="E45" i="1"/>
  <c r="E46" i="1"/>
  <c r="K95" i="1"/>
  <c r="E31" i="1"/>
  <c r="K93" i="1"/>
  <c r="N95" i="1"/>
  <c r="T95" i="1" s="1"/>
  <c r="S95" i="1"/>
  <c r="M95" i="1"/>
  <c r="N93" i="1"/>
  <c r="T93" i="1" s="1"/>
  <c r="S93" i="1"/>
  <c r="M93" i="1"/>
  <c r="E13" i="1"/>
  <c r="K90" i="1" s="1"/>
  <c r="K91" i="1"/>
  <c r="N91" i="1" s="1"/>
  <c r="K88" i="1"/>
  <c r="N88" i="1"/>
  <c r="T88" i="1" s="1"/>
  <c r="S88" i="1"/>
  <c r="M88" i="1"/>
  <c r="E34" i="1"/>
  <c r="K65" i="1" s="1"/>
  <c r="E35" i="1"/>
  <c r="K86" i="1"/>
  <c r="N86" i="1" s="1"/>
  <c r="E33" i="1"/>
  <c r="K63" i="1" s="1"/>
  <c r="E32" i="1"/>
  <c r="K82" i="1"/>
  <c r="N82" i="1" s="1"/>
  <c r="K78" i="1"/>
  <c r="N78" i="1" s="1"/>
  <c r="K76" i="1"/>
  <c r="N76" i="1" s="1"/>
  <c r="E11" i="1"/>
  <c r="K73" i="1" s="1"/>
  <c r="K72" i="1"/>
  <c r="N72" i="1" s="1"/>
  <c r="K70" i="1"/>
  <c r="N70" i="1" s="1"/>
  <c r="K68" i="1"/>
  <c r="N68" i="1" s="1"/>
  <c r="E12" i="1"/>
  <c r="K66" i="1"/>
  <c r="N66" i="1" s="1"/>
  <c r="K64" i="1"/>
  <c r="N64" i="1" s="1"/>
  <c r="T64" i="1" s="1"/>
  <c r="K62" i="1"/>
  <c r="N62" i="1" s="1"/>
  <c r="K61" i="1"/>
  <c r="O64" i="1"/>
  <c r="N63" i="1"/>
  <c r="S63" i="1"/>
  <c r="M63" i="1"/>
  <c r="T62" i="1"/>
  <c r="O62" i="1"/>
  <c r="N61" i="1"/>
  <c r="S61" i="1"/>
  <c r="M61" i="1"/>
  <c r="K34" i="1"/>
  <c r="K33" i="1"/>
  <c r="K32" i="1"/>
  <c r="E25" i="1"/>
  <c r="K31" i="1"/>
  <c r="N31" i="1" s="1"/>
  <c r="E24" i="1"/>
  <c r="K30" i="1"/>
  <c r="N33" i="1"/>
  <c r="T33" i="1"/>
  <c r="S33" i="1"/>
  <c r="O33" i="1"/>
  <c r="M33" i="1"/>
  <c r="E28" i="1"/>
  <c r="K39" i="1" s="1"/>
  <c r="E7" i="1"/>
  <c r="E19" i="1"/>
  <c r="K29" i="1"/>
  <c r="N29" i="1" s="1"/>
  <c r="E4" i="1"/>
  <c r="K58" i="1" s="1"/>
  <c r="K56" i="1"/>
  <c r="S56" i="1" s="1"/>
  <c r="N56" i="1"/>
  <c r="M56" i="1"/>
  <c r="E3" i="1"/>
  <c r="K55" i="1"/>
  <c r="S55" i="1" s="1"/>
  <c r="K54" i="1"/>
  <c r="K53" i="1"/>
  <c r="S53" i="1" s="1"/>
  <c r="K52" i="1"/>
  <c r="N55" i="1"/>
  <c r="M55" i="1"/>
  <c r="N54" i="1"/>
  <c r="T54" i="1"/>
  <c r="S54" i="1"/>
  <c r="O54" i="1"/>
  <c r="M54" i="1"/>
  <c r="N53" i="1"/>
  <c r="M53" i="1"/>
  <c r="N52" i="1"/>
  <c r="T52" i="1"/>
  <c r="S52" i="1"/>
  <c r="O52" i="1"/>
  <c r="M52" i="1"/>
  <c r="K50" i="1"/>
  <c r="S50" i="1" s="1"/>
  <c r="K48" i="1"/>
  <c r="N50" i="1"/>
  <c r="M50" i="1"/>
  <c r="N48" i="1"/>
  <c r="S48" i="1"/>
  <c r="M48" i="1"/>
  <c r="K46" i="1"/>
  <c r="B70" i="1"/>
  <c r="D48" i="1" s="1"/>
  <c r="C70" i="1"/>
  <c r="E48" i="1" s="1"/>
  <c r="E8" i="1"/>
  <c r="K37" i="1"/>
  <c r="M37" i="1" s="1"/>
  <c r="K26" i="1"/>
  <c r="N26" i="1" s="1"/>
  <c r="T26" i="1" s="1"/>
  <c r="E14" i="1"/>
  <c r="K43" i="1"/>
  <c r="E9" i="1"/>
  <c r="K44" i="1"/>
  <c r="N43" i="1"/>
  <c r="S43" i="1"/>
  <c r="M43" i="1"/>
  <c r="E5" i="1"/>
  <c r="K35" i="1" s="1"/>
  <c r="N35" i="1" s="1"/>
  <c r="T35" i="1" s="1"/>
  <c r="K16" i="1"/>
  <c r="N16" i="1" s="1"/>
  <c r="T16" i="1" s="1"/>
  <c r="K12" i="1"/>
  <c r="N12" i="1" s="1"/>
  <c r="T12" i="1" s="1"/>
  <c r="E22" i="1"/>
  <c r="K8" i="1"/>
  <c r="K20" i="1"/>
  <c r="S20" i="1" s="1"/>
  <c r="K11" i="1"/>
  <c r="N20" i="1"/>
  <c r="M20" i="1"/>
  <c r="N11" i="1"/>
  <c r="T11" i="1"/>
  <c r="S11" i="1"/>
  <c r="O11" i="1"/>
  <c r="M11" i="1"/>
  <c r="K4" i="1"/>
  <c r="N4" i="1" s="1"/>
  <c r="O4" i="1" s="1"/>
  <c r="K9" i="1"/>
  <c r="M9" i="1" s="1"/>
  <c r="K6" i="1"/>
  <c r="N6" i="1"/>
  <c r="T6" i="1" s="1"/>
  <c r="K7" i="1"/>
  <c r="N7" i="1" s="1"/>
  <c r="T7" i="1"/>
  <c r="T29" i="1"/>
  <c r="T31" i="1"/>
  <c r="T4" i="1"/>
  <c r="K5" i="1"/>
  <c r="N5" i="1"/>
  <c r="T5" i="1" s="1"/>
  <c r="S29" i="1"/>
  <c r="S31" i="1"/>
  <c r="S35" i="1"/>
  <c r="S7" i="1"/>
  <c r="S6" i="1"/>
  <c r="S5" i="1"/>
  <c r="O26" i="1"/>
  <c r="O29" i="1"/>
  <c r="O31" i="1"/>
  <c r="O35" i="1"/>
  <c r="O6" i="1"/>
  <c r="O7" i="1"/>
  <c r="O12" i="1"/>
  <c r="M35" i="1"/>
  <c r="M32" i="1"/>
  <c r="M31" i="1"/>
  <c r="M30" i="1"/>
  <c r="M29" i="1"/>
  <c r="M26" i="1"/>
  <c r="M16" i="1"/>
  <c r="M12" i="1"/>
  <c r="M8" i="1"/>
  <c r="M7" i="1"/>
  <c r="M6" i="1"/>
  <c r="M5" i="1"/>
  <c r="M4" i="1"/>
  <c r="E15" i="1"/>
  <c r="K66" i="2"/>
  <c r="M66" i="2" s="1"/>
  <c r="Q139" i="2"/>
  <c r="Q131" i="2"/>
  <c r="Q122" i="2"/>
  <c r="Q30" i="2"/>
  <c r="Q27" i="2"/>
  <c r="Q37" i="2"/>
  <c r="Q15" i="2"/>
  <c r="Q7" i="2"/>
  <c r="Q81" i="2"/>
  <c r="Q84" i="2"/>
  <c r="Q66" i="2"/>
  <c r="Q70" i="2"/>
  <c r="Q26" i="2"/>
  <c r="Q99" i="2"/>
  <c r="Q100" i="2"/>
  <c r="Q108" i="2"/>
  <c r="Q107" i="2"/>
  <c r="Q111" i="2"/>
  <c r="Q51" i="2"/>
  <c r="Q53" i="2"/>
  <c r="Q46" i="2"/>
  <c r="Q16" i="2"/>
  <c r="Q41" i="2"/>
  <c r="Q38" i="2"/>
  <c r="Q36" i="2"/>
  <c r="Q59" i="2"/>
  <c r="Q63" i="2"/>
  <c r="Q58" i="2"/>
  <c r="O89" i="2"/>
  <c r="Q89" i="2"/>
  <c r="O91" i="2"/>
  <c r="Q91" i="2"/>
  <c r="Q105" i="2"/>
  <c r="Q34" i="2"/>
  <c r="Q42" i="2"/>
  <c r="K106" i="2"/>
  <c r="Q106" i="2"/>
  <c r="Q134" i="2"/>
  <c r="Q136" i="2"/>
  <c r="Q138" i="2"/>
  <c r="Q129" i="2"/>
  <c r="O121" i="2"/>
  <c r="Q121" i="2"/>
  <c r="Q31" i="2"/>
  <c r="Q33" i="2"/>
  <c r="Q25" i="2"/>
  <c r="Q21" i="2"/>
  <c r="Q13" i="2"/>
  <c r="Q78" i="2"/>
  <c r="Q80" i="2"/>
  <c r="Q82" i="2"/>
  <c r="Q69" i="2"/>
  <c r="Q98" i="2"/>
  <c r="Q102" i="2"/>
  <c r="O109" i="2"/>
  <c r="Q109" i="2"/>
  <c r="O52" i="2"/>
  <c r="Q52" i="2"/>
  <c r="O54" i="2"/>
  <c r="Q54" i="2"/>
  <c r="O28" i="2"/>
  <c r="Q28" i="2"/>
  <c r="O40" i="2"/>
  <c r="Q40" i="2"/>
  <c r="Q9" i="2"/>
  <c r="Q90" i="2"/>
  <c r="Q93" i="2"/>
  <c r="Q47" i="2"/>
  <c r="Q49" i="2"/>
  <c r="K4" i="2"/>
  <c r="Q4" i="2" s="1"/>
  <c r="K96" i="2"/>
  <c r="Q77" i="2"/>
  <c r="Q76" i="2"/>
  <c r="Q72" i="2"/>
  <c r="K73" i="2"/>
  <c r="M73" i="2" s="1"/>
  <c r="K71" i="2"/>
  <c r="K5" i="2"/>
  <c r="K17" i="2"/>
  <c r="M17" i="2" s="1"/>
  <c r="K74" i="2"/>
  <c r="M11" i="2"/>
  <c r="M139" i="2"/>
  <c r="M129" i="2"/>
  <c r="M122" i="2"/>
  <c r="M77" i="2"/>
  <c r="M30" i="2"/>
  <c r="M27" i="2"/>
  <c r="M18" i="2"/>
  <c r="M37" i="2"/>
  <c r="M13" i="2"/>
  <c r="M7" i="2"/>
  <c r="M81" i="2"/>
  <c r="M83" i="2"/>
  <c r="M69" i="2"/>
  <c r="M70" i="2"/>
  <c r="M99" i="2"/>
  <c r="M102" i="2"/>
  <c r="M108" i="2"/>
  <c r="M107" i="2"/>
  <c r="M111" i="2"/>
  <c r="M51" i="2"/>
  <c r="M53" i="2"/>
  <c r="M28" i="2"/>
  <c r="U28" i="2"/>
  <c r="M20" i="2"/>
  <c r="M9" i="2"/>
  <c r="M5" i="2"/>
  <c r="U89" i="2"/>
  <c r="M89" i="2"/>
  <c r="U91" i="2"/>
  <c r="M91" i="2"/>
  <c r="M47" i="2"/>
  <c r="M49" i="2"/>
  <c r="M134" i="2"/>
  <c r="M136" i="2"/>
  <c r="M138" i="2"/>
  <c r="M72" i="2"/>
  <c r="M131" i="2"/>
  <c r="U121" i="2"/>
  <c r="M121" i="2"/>
  <c r="M75" i="2"/>
  <c r="U75" i="2"/>
  <c r="M76" i="2"/>
  <c r="M31" i="2"/>
  <c r="M33" i="2"/>
  <c r="M25" i="2"/>
  <c r="M21" i="2"/>
  <c r="M15" i="2"/>
  <c r="M78" i="2"/>
  <c r="M80" i="2"/>
  <c r="M82" i="2"/>
  <c r="M84" i="2"/>
  <c r="M71" i="2"/>
  <c r="M26" i="2"/>
  <c r="M98" i="2"/>
  <c r="M101" i="2"/>
  <c r="M100" i="2"/>
  <c r="M106" i="2"/>
  <c r="M109" i="2"/>
  <c r="U109" i="2"/>
  <c r="U52" i="2"/>
  <c r="M52" i="2"/>
  <c r="U54" i="2"/>
  <c r="M54" i="2"/>
  <c r="M46" i="2"/>
  <c r="M16" i="2"/>
  <c r="M41" i="2"/>
  <c r="M40" i="2"/>
  <c r="U40" i="2"/>
  <c r="M38" i="2"/>
  <c r="M36" i="2"/>
  <c r="M59" i="2"/>
  <c r="M63" i="2"/>
  <c r="M58" i="2"/>
  <c r="M90" i="2"/>
  <c r="M93" i="2"/>
  <c r="N74" i="2"/>
  <c r="O74" i="2" s="1"/>
  <c r="S74" i="2"/>
  <c r="N73" i="2"/>
  <c r="U73" i="2" s="1"/>
  <c r="Q71" i="2"/>
  <c r="Q17" i="2"/>
  <c r="Q74" i="2"/>
  <c r="M74" i="2"/>
  <c r="O73" i="2"/>
  <c r="U74" i="2"/>
  <c r="S58" i="1" l="1"/>
  <c r="N58" i="1"/>
  <c r="M58" i="1"/>
  <c r="N39" i="1"/>
  <c r="S39" i="1"/>
  <c r="M39" i="1"/>
  <c r="S5" i="2"/>
  <c r="N5" i="2"/>
  <c r="S96" i="2"/>
  <c r="N96" i="2"/>
  <c r="M4" i="2"/>
  <c r="Q73" i="2"/>
  <c r="Q5" i="2"/>
  <c r="S73" i="2"/>
  <c r="M96" i="2"/>
  <c r="S71" i="2"/>
  <c r="N71" i="2"/>
  <c r="Q96" i="2"/>
  <c r="S106" i="2"/>
  <c r="N106" i="2"/>
  <c r="O5" i="1"/>
  <c r="O16" i="1"/>
  <c r="S4" i="1"/>
  <c r="S26" i="1"/>
  <c r="S16" i="1"/>
  <c r="S12" i="1"/>
  <c r="K36" i="1"/>
  <c r="K14" i="1"/>
  <c r="K18" i="1"/>
  <c r="N44" i="1"/>
  <c r="S44" i="1"/>
  <c r="M44" i="1"/>
  <c r="K23" i="1"/>
  <c r="K22" i="1"/>
  <c r="K25" i="1"/>
  <c r="K24" i="1"/>
  <c r="K21" i="1"/>
  <c r="T48" i="1"/>
  <c r="O48" i="1"/>
  <c r="K40" i="1"/>
  <c r="N30" i="1"/>
  <c r="S30" i="1"/>
  <c r="N32" i="1"/>
  <c r="S32" i="1"/>
  <c r="N34" i="1"/>
  <c r="S34" i="1"/>
  <c r="M34" i="1"/>
  <c r="T63" i="1"/>
  <c r="O63" i="1"/>
  <c r="T66" i="1"/>
  <c r="O66" i="1"/>
  <c r="T68" i="1"/>
  <c r="O68" i="1"/>
  <c r="T72" i="1"/>
  <c r="O72" i="1"/>
  <c r="T76" i="1"/>
  <c r="O76" i="1"/>
  <c r="T82" i="1"/>
  <c r="O82" i="1"/>
  <c r="T91" i="1"/>
  <c r="O91" i="1"/>
  <c r="T107" i="1"/>
  <c r="O107" i="1"/>
  <c r="K41" i="1"/>
  <c r="T138" i="1"/>
  <c r="O138" i="1"/>
  <c r="S17" i="2"/>
  <c r="N17" i="2"/>
  <c r="S4" i="2"/>
  <c r="N4" i="2"/>
  <c r="N66" i="2"/>
  <c r="S66" i="2"/>
  <c r="N9" i="1"/>
  <c r="S9" i="1"/>
  <c r="T20" i="1"/>
  <c r="O20" i="1"/>
  <c r="N8" i="1"/>
  <c r="S8" i="1"/>
  <c r="T43" i="1"/>
  <c r="O43" i="1"/>
  <c r="N37" i="1"/>
  <c r="S37" i="1"/>
  <c r="N46" i="1"/>
  <c r="S46" i="1"/>
  <c r="M46" i="1"/>
  <c r="T50" i="1"/>
  <c r="O50" i="1"/>
  <c r="T53" i="1"/>
  <c r="O53" i="1"/>
  <c r="T55" i="1"/>
  <c r="O55" i="1"/>
  <c r="T56" i="1"/>
  <c r="O56" i="1"/>
  <c r="K59" i="1"/>
  <c r="K57" i="1"/>
  <c r="K17" i="1"/>
  <c r="K15" i="1"/>
  <c r="K13" i="1"/>
  <c r="K19" i="1"/>
  <c r="K45" i="1"/>
  <c r="K38" i="1"/>
  <c r="K42" i="1"/>
  <c r="T61" i="1"/>
  <c r="O61" i="1"/>
  <c r="T70" i="1"/>
  <c r="O70" i="1"/>
  <c r="N73" i="1"/>
  <c r="S73" i="1"/>
  <c r="M73" i="1"/>
  <c r="T78" i="1"/>
  <c r="O78" i="1"/>
  <c r="T86" i="1"/>
  <c r="O86" i="1"/>
  <c r="N65" i="1"/>
  <c r="S65" i="1"/>
  <c r="M65" i="1"/>
  <c r="N90" i="1"/>
  <c r="S90" i="1"/>
  <c r="M90" i="1"/>
  <c r="K97" i="1"/>
  <c r="K74" i="1"/>
  <c r="K60" i="1"/>
  <c r="K28" i="1"/>
  <c r="K3" i="1"/>
  <c r="N94" i="1"/>
  <c r="S94" i="1"/>
  <c r="M94" i="1"/>
  <c r="K98" i="1"/>
  <c r="K99" i="1"/>
  <c r="K100" i="1"/>
  <c r="N104" i="1"/>
  <c r="S104" i="1"/>
  <c r="M104" i="1"/>
  <c r="K105" i="1"/>
  <c r="N123" i="1"/>
  <c r="S123" i="1"/>
  <c r="M123" i="1"/>
  <c r="N130" i="1"/>
  <c r="S130" i="1"/>
  <c r="M130" i="1"/>
  <c r="N101" i="1"/>
  <c r="S101" i="1"/>
  <c r="M101" i="1"/>
  <c r="K47" i="1"/>
  <c r="K49" i="1"/>
  <c r="K10" i="1"/>
  <c r="K51" i="1"/>
  <c r="M62" i="1"/>
  <c r="S62" i="1"/>
  <c r="M64" i="1"/>
  <c r="S64" i="1"/>
  <c r="M66" i="1"/>
  <c r="S66" i="1"/>
  <c r="M68" i="1"/>
  <c r="S68" i="1"/>
  <c r="M70" i="1"/>
  <c r="S70" i="1"/>
  <c r="M72" i="1"/>
  <c r="S72" i="1"/>
  <c r="K67" i="1"/>
  <c r="K69" i="1"/>
  <c r="K71" i="1"/>
  <c r="M76" i="1"/>
  <c r="S76" i="1"/>
  <c r="M78" i="1"/>
  <c r="S78" i="1"/>
  <c r="K75" i="1"/>
  <c r="K77" i="1"/>
  <c r="K80" i="1"/>
  <c r="M82" i="1"/>
  <c r="S82" i="1"/>
  <c r="M86" i="1"/>
  <c r="S86" i="1"/>
  <c r="K81" i="1"/>
  <c r="K83" i="1"/>
  <c r="K84" i="1"/>
  <c r="K85" i="1"/>
  <c r="K87" i="1"/>
  <c r="O88" i="1"/>
  <c r="M91" i="1"/>
  <c r="S91" i="1"/>
  <c r="K89" i="1"/>
  <c r="O93" i="1"/>
  <c r="O95" i="1"/>
  <c r="K92" i="1"/>
  <c r="K96" i="1"/>
  <c r="O103" i="1"/>
  <c r="O106" i="1"/>
  <c r="M107" i="1"/>
  <c r="S107" i="1"/>
  <c r="O110" i="1"/>
  <c r="K27" i="1"/>
  <c r="K108" i="1"/>
  <c r="O113" i="1"/>
  <c r="O115" i="1"/>
  <c r="O117" i="1"/>
  <c r="O119" i="1"/>
  <c r="O121" i="1"/>
  <c r="O126" i="1"/>
  <c r="K124" i="1"/>
  <c r="O132" i="1"/>
  <c r="K137" i="1"/>
  <c r="K135" i="1"/>
  <c r="K133" i="1"/>
  <c r="K128" i="1"/>
  <c r="O134" i="1"/>
  <c r="M138" i="1"/>
  <c r="S138" i="1"/>
  <c r="K136" i="1"/>
  <c r="S134" i="2"/>
  <c r="N134" i="2"/>
  <c r="S138" i="2"/>
  <c r="N138" i="2"/>
  <c r="S122" i="2"/>
  <c r="N122" i="2"/>
  <c r="N30" i="2"/>
  <c r="S30" i="2"/>
  <c r="S27" i="2"/>
  <c r="N27" i="2"/>
  <c r="S33" i="2"/>
  <c r="N33" i="2"/>
  <c r="S69" i="2"/>
  <c r="N69" i="2"/>
  <c r="N26" i="2"/>
  <c r="S26" i="2"/>
  <c r="N99" i="2"/>
  <c r="S99" i="2"/>
  <c r="N107" i="2"/>
  <c r="S107" i="2"/>
  <c r="N111" i="2"/>
  <c r="S111" i="2"/>
  <c r="S16" i="2"/>
  <c r="N16" i="2"/>
  <c r="S41" i="2"/>
  <c r="N41" i="2"/>
  <c r="N36" i="2"/>
  <c r="S36" i="2"/>
  <c r="K55" i="2"/>
  <c r="S63" i="2"/>
  <c r="N63" i="2"/>
  <c r="K87" i="2"/>
  <c r="S90" i="2"/>
  <c r="N90" i="2"/>
  <c r="N93" i="2"/>
  <c r="S93" i="2"/>
  <c r="S49" i="2"/>
  <c r="N49" i="2"/>
  <c r="N34" i="2"/>
  <c r="S34" i="2"/>
  <c r="N42" i="2"/>
  <c r="S42" i="2"/>
  <c r="N77" i="2"/>
  <c r="S77" i="2"/>
  <c r="K50" i="2"/>
  <c r="K10" i="2"/>
  <c r="K48" i="2"/>
  <c r="K6" i="2"/>
  <c r="K8" i="2"/>
  <c r="K12" i="2"/>
  <c r="K14" i="2"/>
  <c r="K45" i="2"/>
  <c r="K43" i="2"/>
  <c r="K44" i="2"/>
  <c r="K19" i="2"/>
  <c r="K68" i="2"/>
  <c r="K67" i="2"/>
  <c r="K85" i="2"/>
  <c r="K112" i="2"/>
  <c r="K29" i="2"/>
  <c r="K32" i="2"/>
  <c r="K39" i="2"/>
  <c r="S35" i="2"/>
  <c r="N35" i="2"/>
  <c r="M35" i="2"/>
  <c r="S15" i="2"/>
  <c r="N15" i="2"/>
  <c r="K88" i="2"/>
  <c r="K97" i="2"/>
  <c r="K79" i="2"/>
  <c r="N139" i="2"/>
  <c r="S139" i="2"/>
  <c r="N131" i="2"/>
  <c r="S131" i="2"/>
  <c r="K109" i="1"/>
  <c r="K79" i="1"/>
  <c r="K111" i="1"/>
  <c r="S136" i="2"/>
  <c r="N136" i="2"/>
  <c r="N129" i="2"/>
  <c r="S129" i="2"/>
  <c r="S25" i="2"/>
  <c r="N25" i="2"/>
  <c r="S21" i="2"/>
  <c r="N21" i="2"/>
  <c r="S13" i="2"/>
  <c r="N13" i="2"/>
  <c r="S78" i="2"/>
  <c r="N78" i="2"/>
  <c r="N81" i="2"/>
  <c r="S81" i="2"/>
  <c r="S84" i="2"/>
  <c r="N84" i="2"/>
  <c r="N70" i="2"/>
  <c r="S70" i="2"/>
  <c r="S100" i="2"/>
  <c r="N100" i="2"/>
  <c r="S108" i="2"/>
  <c r="N108" i="2"/>
  <c r="S51" i="2"/>
  <c r="N51" i="2"/>
  <c r="S53" i="2"/>
  <c r="N53" i="2"/>
  <c r="N46" i="2"/>
  <c r="S46" i="2"/>
  <c r="N38" i="2"/>
  <c r="S38" i="2"/>
  <c r="S59" i="2"/>
  <c r="N59" i="2"/>
  <c r="N58" i="2"/>
  <c r="S58" i="2"/>
  <c r="S47" i="2"/>
  <c r="N47" i="2"/>
  <c r="N18" i="2"/>
  <c r="S18" i="2"/>
  <c r="N105" i="2"/>
  <c r="S105" i="2"/>
  <c r="S20" i="2"/>
  <c r="N20" i="2"/>
  <c r="Q20" i="2"/>
  <c r="N83" i="2"/>
  <c r="S83" i="2"/>
  <c r="Q83" i="2"/>
  <c r="K64" i="2"/>
  <c r="K60" i="2"/>
  <c r="K56" i="2"/>
  <c r="K62" i="2"/>
  <c r="K65" i="2"/>
  <c r="K61" i="2"/>
  <c r="K57" i="2"/>
  <c r="K24" i="2"/>
  <c r="K22" i="2"/>
  <c r="K23" i="2"/>
  <c r="N101" i="2"/>
  <c r="S101" i="2"/>
  <c r="S72" i="2"/>
  <c r="N72" i="2"/>
  <c r="K135" i="2"/>
  <c r="K137" i="2"/>
  <c r="D49" i="2"/>
  <c r="K92" i="2"/>
  <c r="K110" i="2"/>
  <c r="Q130" i="2"/>
  <c r="K94" i="2"/>
  <c r="Q75" i="2"/>
  <c r="M104" i="2"/>
  <c r="K86" i="2"/>
  <c r="Q104" i="2"/>
  <c r="U96" i="3"/>
  <c r="M96" i="3"/>
  <c r="N96" i="3"/>
  <c r="U78" i="3"/>
  <c r="Q78" i="3"/>
  <c r="N78" i="3"/>
  <c r="Q17" i="3"/>
  <c r="S17" i="3"/>
  <c r="U17" i="3"/>
  <c r="N17" i="3"/>
  <c r="K103" i="2"/>
  <c r="N102" i="2"/>
  <c r="N98" i="2"/>
  <c r="N82" i="2"/>
  <c r="N31" i="2"/>
  <c r="N11" i="2"/>
  <c r="N7" i="2"/>
  <c r="S91" i="2"/>
  <c r="S75" i="2"/>
  <c r="S52" i="2"/>
  <c r="S40" i="2"/>
  <c r="S28" i="2"/>
  <c r="N134" i="3"/>
  <c r="U134" i="3"/>
  <c r="S134" i="3"/>
  <c r="Q134" i="3"/>
  <c r="V130" i="3"/>
  <c r="O130" i="3"/>
  <c r="N105" i="3"/>
  <c r="U105" i="3"/>
  <c r="S105" i="3"/>
  <c r="Q105" i="3"/>
  <c r="M105" i="3"/>
  <c r="K95" i="2"/>
  <c r="U66" i="3"/>
  <c r="M66" i="3"/>
  <c r="N66" i="3"/>
  <c r="N130" i="2"/>
  <c r="N104" i="2"/>
  <c r="N80" i="2"/>
  <c r="N76" i="2"/>
  <c r="N37" i="2"/>
  <c r="N9" i="2"/>
  <c r="S121" i="2"/>
  <c r="S109" i="2"/>
  <c r="S89" i="2"/>
  <c r="S54" i="2"/>
  <c r="N79" i="3"/>
  <c r="U79" i="3"/>
  <c r="K139" i="3"/>
  <c r="K137" i="3"/>
  <c r="K85" i="3"/>
  <c r="K83" i="3"/>
  <c r="K81" i="3"/>
  <c r="K55" i="3"/>
  <c r="K18" i="3"/>
  <c r="E51" i="3"/>
  <c r="K70" i="3"/>
  <c r="K68" i="3"/>
  <c r="K22" i="3"/>
  <c r="K24" i="3"/>
  <c r="K33" i="3"/>
  <c r="K35" i="3"/>
  <c r="K38" i="3"/>
  <c r="K42" i="3"/>
  <c r="N33" i="3" l="1"/>
  <c r="U33" i="3"/>
  <c r="S33" i="3"/>
  <c r="Q33" i="3"/>
  <c r="M33" i="3"/>
  <c r="N70" i="3"/>
  <c r="U70" i="3"/>
  <c r="M70" i="3"/>
  <c r="Q70" i="3"/>
  <c r="S70" i="3"/>
  <c r="N81" i="3"/>
  <c r="U81" i="3"/>
  <c r="S81" i="3"/>
  <c r="M81" i="3"/>
  <c r="Q81" i="3"/>
  <c r="N139" i="3"/>
  <c r="U139" i="3"/>
  <c r="M139" i="3"/>
  <c r="Q139" i="3"/>
  <c r="S139" i="3"/>
  <c r="V79" i="3"/>
  <c r="O79" i="3"/>
  <c r="O80" i="2"/>
  <c r="U80" i="2"/>
  <c r="N95" i="2"/>
  <c r="Q95" i="2"/>
  <c r="M95" i="2"/>
  <c r="S95" i="2"/>
  <c r="O11" i="2"/>
  <c r="U11" i="2"/>
  <c r="U82" i="2"/>
  <c r="O82" i="2"/>
  <c r="O102" i="2"/>
  <c r="U102" i="2"/>
  <c r="S94" i="2"/>
  <c r="M94" i="2"/>
  <c r="N94" i="2"/>
  <c r="Q94" i="2"/>
  <c r="N42" i="3"/>
  <c r="U42" i="3"/>
  <c r="S42" i="3"/>
  <c r="Q42" i="3"/>
  <c r="M42" i="3"/>
  <c r="N35" i="3"/>
  <c r="U35" i="3"/>
  <c r="S35" i="3"/>
  <c r="Q35" i="3"/>
  <c r="M35" i="3"/>
  <c r="N24" i="3"/>
  <c r="U24" i="3"/>
  <c r="S24" i="3"/>
  <c r="Q24" i="3"/>
  <c r="M24" i="3"/>
  <c r="N68" i="3"/>
  <c r="U68" i="3"/>
  <c r="S68" i="3"/>
  <c r="Q68" i="3"/>
  <c r="M68" i="3"/>
  <c r="K73" i="3"/>
  <c r="K74" i="3"/>
  <c r="K72" i="3"/>
  <c r="U55" i="3"/>
  <c r="S55" i="3"/>
  <c r="M55" i="3"/>
  <c r="Q55" i="3"/>
  <c r="N55" i="3"/>
  <c r="N83" i="3"/>
  <c r="U83" i="3"/>
  <c r="Q83" i="3"/>
  <c r="M83" i="3"/>
  <c r="S83" i="3"/>
  <c r="N137" i="3"/>
  <c r="U137" i="3"/>
  <c r="S137" i="3"/>
  <c r="Q137" i="3"/>
  <c r="M137" i="3"/>
  <c r="O9" i="2"/>
  <c r="U9" i="2"/>
  <c r="O76" i="2"/>
  <c r="U76" i="2"/>
  <c r="O104" i="2"/>
  <c r="U104" i="2"/>
  <c r="V66" i="3"/>
  <c r="O66" i="3"/>
  <c r="V105" i="3"/>
  <c r="O105" i="3"/>
  <c r="V134" i="3"/>
  <c r="O134" i="3"/>
  <c r="O7" i="2"/>
  <c r="U7" i="2"/>
  <c r="O31" i="2"/>
  <c r="U31" i="2"/>
  <c r="O98" i="2"/>
  <c r="U98" i="2"/>
  <c r="N103" i="2"/>
  <c r="M103" i="2"/>
  <c r="Q103" i="2"/>
  <c r="S103" i="2"/>
  <c r="V96" i="3"/>
  <c r="O96" i="3"/>
  <c r="S86" i="2"/>
  <c r="Q86" i="2"/>
  <c r="M86" i="2"/>
  <c r="N86" i="2"/>
  <c r="S92" i="2"/>
  <c r="N92" i="2"/>
  <c r="Q92" i="2"/>
  <c r="M92" i="2"/>
  <c r="N137" i="2"/>
  <c r="S137" i="2"/>
  <c r="Q137" i="2"/>
  <c r="M137" i="2"/>
  <c r="O72" i="2"/>
  <c r="U72" i="2"/>
  <c r="S23" i="2"/>
  <c r="N23" i="2"/>
  <c r="M23" i="2"/>
  <c r="Q23" i="2"/>
  <c r="N24" i="2"/>
  <c r="S24" i="2"/>
  <c r="Q24" i="2"/>
  <c r="M24" i="2"/>
  <c r="S61" i="2"/>
  <c r="N61" i="2"/>
  <c r="Q61" i="2"/>
  <c r="M61" i="2"/>
  <c r="N62" i="2"/>
  <c r="S62" i="2"/>
  <c r="M62" i="2"/>
  <c r="Q62" i="2"/>
  <c r="N60" i="2"/>
  <c r="S60" i="2"/>
  <c r="Q60" i="2"/>
  <c r="M60" i="2"/>
  <c r="O83" i="2"/>
  <c r="U83" i="2"/>
  <c r="O20" i="2"/>
  <c r="U20" i="2"/>
  <c r="U47" i="2"/>
  <c r="O47" i="2"/>
  <c r="O59" i="2"/>
  <c r="U59" i="2"/>
  <c r="O53" i="2"/>
  <c r="U53" i="2"/>
  <c r="U51" i="2"/>
  <c r="O51" i="2"/>
  <c r="O108" i="2"/>
  <c r="U108" i="2"/>
  <c r="O100" i="2"/>
  <c r="U100" i="2"/>
  <c r="O84" i="2"/>
  <c r="U84" i="2"/>
  <c r="U78" i="2"/>
  <c r="O78" i="2"/>
  <c r="O13" i="2"/>
  <c r="U13" i="2"/>
  <c r="O21" i="2"/>
  <c r="U21" i="2"/>
  <c r="U25" i="2"/>
  <c r="O25" i="2"/>
  <c r="O136" i="2"/>
  <c r="U136" i="2"/>
  <c r="N111" i="1"/>
  <c r="S111" i="1"/>
  <c r="M111" i="1"/>
  <c r="N109" i="1"/>
  <c r="S109" i="1"/>
  <c r="M109" i="1"/>
  <c r="O131" i="2"/>
  <c r="U131" i="2"/>
  <c r="O139" i="2"/>
  <c r="U139" i="2"/>
  <c r="N97" i="2"/>
  <c r="S97" i="2"/>
  <c r="Q97" i="2"/>
  <c r="M97" i="2"/>
  <c r="O15" i="2"/>
  <c r="U15" i="2"/>
  <c r="N32" i="2"/>
  <c r="S32" i="2"/>
  <c r="Q32" i="2"/>
  <c r="M32" i="2"/>
  <c r="S112" i="2"/>
  <c r="N112" i="2"/>
  <c r="Q112" i="2"/>
  <c r="M112" i="2"/>
  <c r="S67" i="2"/>
  <c r="N67" i="2"/>
  <c r="Q67" i="2"/>
  <c r="M67" i="2"/>
  <c r="S19" i="2"/>
  <c r="N19" i="2"/>
  <c r="M19" i="2"/>
  <c r="Q19" i="2"/>
  <c r="S43" i="2"/>
  <c r="N43" i="2"/>
  <c r="M43" i="2"/>
  <c r="Q43" i="2"/>
  <c r="N14" i="2"/>
  <c r="S14" i="2"/>
  <c r="Q14" i="2"/>
  <c r="M14" i="2"/>
  <c r="S8" i="2"/>
  <c r="N8" i="2"/>
  <c r="Q8" i="2"/>
  <c r="M8" i="2"/>
  <c r="N48" i="2"/>
  <c r="S48" i="2"/>
  <c r="Q48" i="2"/>
  <c r="M48" i="2"/>
  <c r="N50" i="2"/>
  <c r="S50" i="2"/>
  <c r="Q50" i="2"/>
  <c r="M50" i="2"/>
  <c r="O77" i="2"/>
  <c r="U77" i="2"/>
  <c r="O42" i="2"/>
  <c r="U42" i="2"/>
  <c r="U34" i="2"/>
  <c r="O34" i="2"/>
  <c r="O93" i="2"/>
  <c r="U93" i="2"/>
  <c r="O63" i="2"/>
  <c r="U63" i="2"/>
  <c r="S55" i="2"/>
  <c r="N55" i="2"/>
  <c r="M55" i="2"/>
  <c r="Q55" i="2"/>
  <c r="O36" i="2"/>
  <c r="U36" i="2"/>
  <c r="O111" i="2"/>
  <c r="U111" i="2"/>
  <c r="O107" i="2"/>
  <c r="U107" i="2"/>
  <c r="O99" i="2"/>
  <c r="U99" i="2"/>
  <c r="U26" i="2"/>
  <c r="O26" i="2"/>
  <c r="O30" i="2"/>
  <c r="U30" i="2"/>
  <c r="N133" i="1"/>
  <c r="S133" i="1"/>
  <c r="M133" i="1"/>
  <c r="N137" i="1"/>
  <c r="S137" i="1"/>
  <c r="M137" i="1"/>
  <c r="N124" i="1"/>
  <c r="S124" i="1"/>
  <c r="M124" i="1"/>
  <c r="N27" i="1"/>
  <c r="M27" i="1"/>
  <c r="S27" i="1"/>
  <c r="N96" i="1"/>
  <c r="S96" i="1"/>
  <c r="M96" i="1"/>
  <c r="N89" i="1"/>
  <c r="S89" i="1"/>
  <c r="M89" i="1"/>
  <c r="N87" i="1"/>
  <c r="S87" i="1"/>
  <c r="M87" i="1"/>
  <c r="N84" i="1"/>
  <c r="S84" i="1"/>
  <c r="M84" i="1"/>
  <c r="N81" i="1"/>
  <c r="S81" i="1"/>
  <c r="M81" i="1"/>
  <c r="N77" i="1"/>
  <c r="S77" i="1"/>
  <c r="M77" i="1"/>
  <c r="N71" i="1"/>
  <c r="S71" i="1"/>
  <c r="M71" i="1"/>
  <c r="N67" i="1"/>
  <c r="S67" i="1"/>
  <c r="M67" i="1"/>
  <c r="N10" i="1"/>
  <c r="S10" i="1"/>
  <c r="M10" i="1"/>
  <c r="N47" i="1"/>
  <c r="S47" i="1"/>
  <c r="M47" i="1"/>
  <c r="T130" i="1"/>
  <c r="O130" i="1"/>
  <c r="N105" i="1"/>
  <c r="S105" i="1"/>
  <c r="M105" i="1"/>
  <c r="N100" i="1"/>
  <c r="S100" i="1"/>
  <c r="M100" i="1"/>
  <c r="N98" i="1"/>
  <c r="S98" i="1"/>
  <c r="M98" i="1"/>
  <c r="S3" i="1"/>
  <c r="N3" i="1"/>
  <c r="M3" i="1"/>
  <c r="N60" i="1"/>
  <c r="S60" i="1"/>
  <c r="M60" i="1"/>
  <c r="N97" i="1"/>
  <c r="S97" i="1"/>
  <c r="M97" i="1"/>
  <c r="T65" i="1"/>
  <c r="O65" i="1"/>
  <c r="S42" i="1"/>
  <c r="N42" i="1"/>
  <c r="M42" i="1"/>
  <c r="S45" i="1"/>
  <c r="N45" i="1"/>
  <c r="M45" i="1"/>
  <c r="N13" i="1"/>
  <c r="S13" i="1"/>
  <c r="M13" i="1"/>
  <c r="N17" i="1"/>
  <c r="S17" i="1"/>
  <c r="M17" i="1"/>
  <c r="N59" i="1"/>
  <c r="S59" i="1"/>
  <c r="M59" i="1"/>
  <c r="O4" i="2"/>
  <c r="U4" i="2"/>
  <c r="O17" i="2"/>
  <c r="U17" i="2"/>
  <c r="N41" i="1"/>
  <c r="S41" i="1"/>
  <c r="M41" i="1"/>
  <c r="N40" i="1"/>
  <c r="S40" i="1"/>
  <c r="M40" i="1"/>
  <c r="N24" i="1"/>
  <c r="S24" i="1"/>
  <c r="M24" i="1"/>
  <c r="N22" i="1"/>
  <c r="M22" i="1"/>
  <c r="S22" i="1"/>
  <c r="T44" i="1"/>
  <c r="O44" i="1"/>
  <c r="N14" i="1"/>
  <c r="S14" i="1"/>
  <c r="M14" i="1"/>
  <c r="O106" i="2"/>
  <c r="U106" i="2"/>
  <c r="O96" i="2"/>
  <c r="U96" i="2"/>
  <c r="U5" i="2"/>
  <c r="O5" i="2"/>
  <c r="T39" i="1"/>
  <c r="O39" i="1"/>
  <c r="T58" i="1"/>
  <c r="O58" i="1"/>
  <c r="N38" i="3"/>
  <c r="S38" i="3"/>
  <c r="U38" i="3"/>
  <c r="Q38" i="3"/>
  <c r="M38" i="3"/>
  <c r="N22" i="3"/>
  <c r="U22" i="3"/>
  <c r="S22" i="3"/>
  <c r="Q22" i="3"/>
  <c r="M22" i="3"/>
  <c r="S18" i="3"/>
  <c r="U18" i="3"/>
  <c r="N18" i="3"/>
  <c r="Q18" i="3"/>
  <c r="M18" i="3"/>
  <c r="N85" i="3"/>
  <c r="U85" i="3"/>
  <c r="S85" i="3"/>
  <c r="Q85" i="3"/>
  <c r="M85" i="3"/>
  <c r="O37" i="2"/>
  <c r="U37" i="2"/>
  <c r="O130" i="2"/>
  <c r="U130" i="2"/>
  <c r="O17" i="3"/>
  <c r="V17" i="3"/>
  <c r="V78" i="3"/>
  <c r="O78" i="3"/>
  <c r="S110" i="2"/>
  <c r="N110" i="2"/>
  <c r="Q110" i="2"/>
  <c r="M110" i="2"/>
  <c r="N135" i="2"/>
  <c r="S135" i="2"/>
  <c r="Q135" i="2"/>
  <c r="M135" i="2"/>
  <c r="O101" i="2"/>
  <c r="U101" i="2"/>
  <c r="N22" i="2"/>
  <c r="S22" i="2"/>
  <c r="M22" i="2"/>
  <c r="Q22" i="2"/>
  <c r="S57" i="2"/>
  <c r="N57" i="2"/>
  <c r="Q57" i="2"/>
  <c r="M57" i="2"/>
  <c r="S65" i="2"/>
  <c r="N65" i="2"/>
  <c r="Q65" i="2"/>
  <c r="M65" i="2"/>
  <c r="N56" i="2"/>
  <c r="S56" i="2"/>
  <c r="Q56" i="2"/>
  <c r="M56" i="2"/>
  <c r="N64" i="2"/>
  <c r="S64" i="2"/>
  <c r="Q64" i="2"/>
  <c r="M64" i="2"/>
  <c r="U105" i="2"/>
  <c r="O105" i="2"/>
  <c r="O18" i="2"/>
  <c r="U18" i="2"/>
  <c r="O58" i="2"/>
  <c r="U58" i="2"/>
  <c r="O38" i="2"/>
  <c r="U38" i="2"/>
  <c r="O46" i="2"/>
  <c r="U46" i="2"/>
  <c r="O70" i="2"/>
  <c r="U70" i="2"/>
  <c r="O81" i="2"/>
  <c r="U81" i="2"/>
  <c r="U129" i="2"/>
  <c r="O129" i="2"/>
  <c r="N79" i="1"/>
  <c r="S79" i="1"/>
  <c r="M79" i="1"/>
  <c r="N79" i="2"/>
  <c r="S79" i="2"/>
  <c r="Q79" i="2"/>
  <c r="M79" i="2"/>
  <c r="S88" i="2"/>
  <c r="N88" i="2"/>
  <c r="Q88" i="2"/>
  <c r="M88" i="2"/>
  <c r="O35" i="2"/>
  <c r="U35" i="2"/>
  <c r="S39" i="2"/>
  <c r="N39" i="2"/>
  <c r="Q39" i="2"/>
  <c r="M39" i="2"/>
  <c r="S29" i="2"/>
  <c r="N29" i="2"/>
  <c r="Q29" i="2"/>
  <c r="M29" i="2"/>
  <c r="N85" i="2"/>
  <c r="S85" i="2"/>
  <c r="M85" i="2"/>
  <c r="Q85" i="2"/>
  <c r="N68" i="2"/>
  <c r="S68" i="2"/>
  <c r="Q68" i="2"/>
  <c r="M68" i="2"/>
  <c r="N44" i="2"/>
  <c r="S44" i="2"/>
  <c r="Q44" i="2"/>
  <c r="M44" i="2"/>
  <c r="S45" i="2"/>
  <c r="N45" i="2"/>
  <c r="Q45" i="2"/>
  <c r="M45" i="2"/>
  <c r="S12" i="2"/>
  <c r="N12" i="2"/>
  <c r="Q12" i="2"/>
  <c r="M12" i="2"/>
  <c r="N6" i="2"/>
  <c r="S6" i="2"/>
  <c r="M6" i="2"/>
  <c r="Q6" i="2"/>
  <c r="N10" i="2"/>
  <c r="S10" i="2"/>
  <c r="Q10" i="2"/>
  <c r="M10" i="2"/>
  <c r="O49" i="2"/>
  <c r="U49" i="2"/>
  <c r="O90" i="2"/>
  <c r="U90" i="2"/>
  <c r="N87" i="2"/>
  <c r="S87" i="2"/>
  <c r="M87" i="2"/>
  <c r="Q87" i="2"/>
  <c r="O41" i="2"/>
  <c r="U41" i="2"/>
  <c r="O16" i="2"/>
  <c r="U16" i="2"/>
  <c r="O69" i="2"/>
  <c r="U69" i="2"/>
  <c r="O33" i="2"/>
  <c r="U33" i="2"/>
  <c r="O27" i="2"/>
  <c r="U27" i="2"/>
  <c r="O122" i="2"/>
  <c r="U122" i="2"/>
  <c r="U138" i="2"/>
  <c r="O138" i="2"/>
  <c r="U134" i="2"/>
  <c r="O134" i="2"/>
  <c r="N136" i="1"/>
  <c r="S136" i="1"/>
  <c r="M136" i="1"/>
  <c r="N128" i="1"/>
  <c r="S128" i="1"/>
  <c r="M128" i="1"/>
  <c r="N135" i="1"/>
  <c r="S135" i="1"/>
  <c r="M135" i="1"/>
  <c r="N108" i="1"/>
  <c r="S108" i="1"/>
  <c r="M108" i="1"/>
  <c r="N92" i="1"/>
  <c r="S92" i="1"/>
  <c r="M92" i="1"/>
  <c r="N85" i="1"/>
  <c r="S85" i="1"/>
  <c r="M85" i="1"/>
  <c r="N83" i="1"/>
  <c r="S83" i="1"/>
  <c r="M83" i="1"/>
  <c r="N80" i="1"/>
  <c r="S80" i="1"/>
  <c r="M80" i="1"/>
  <c r="N75" i="1"/>
  <c r="S75" i="1"/>
  <c r="M75" i="1"/>
  <c r="N69" i="1"/>
  <c r="S69" i="1"/>
  <c r="M69" i="1"/>
  <c r="N51" i="1"/>
  <c r="M51" i="1"/>
  <c r="S51" i="1"/>
  <c r="N49" i="1"/>
  <c r="S49" i="1"/>
  <c r="M49" i="1"/>
  <c r="T101" i="1"/>
  <c r="O101" i="1"/>
  <c r="T123" i="1"/>
  <c r="O123" i="1"/>
  <c r="T104" i="1"/>
  <c r="O104" i="1"/>
  <c r="N99" i="1"/>
  <c r="S99" i="1"/>
  <c r="M99" i="1"/>
  <c r="T94" i="1"/>
  <c r="O94" i="1"/>
  <c r="N28" i="1"/>
  <c r="S28" i="1"/>
  <c r="M28" i="1"/>
  <c r="N74" i="1"/>
  <c r="S74" i="1"/>
  <c r="M74" i="1"/>
  <c r="T90" i="1"/>
  <c r="O90" i="1"/>
  <c r="T73" i="1"/>
  <c r="O73" i="1"/>
  <c r="N38" i="1"/>
  <c r="M38" i="1"/>
  <c r="S38" i="1"/>
  <c r="S19" i="1"/>
  <c r="N19" i="1"/>
  <c r="M19" i="1"/>
  <c r="N15" i="1"/>
  <c r="S15" i="1"/>
  <c r="M15" i="1"/>
  <c r="N57" i="1"/>
  <c r="S57" i="1"/>
  <c r="M57" i="1"/>
  <c r="O46" i="1"/>
  <c r="T46" i="1"/>
  <c r="T37" i="1"/>
  <c r="O37" i="1"/>
  <c r="O8" i="1"/>
  <c r="T8" i="1"/>
  <c r="T9" i="1"/>
  <c r="O9" i="1"/>
  <c r="U66" i="2"/>
  <c r="O66" i="2"/>
  <c r="O34" i="1"/>
  <c r="T34" i="1"/>
  <c r="T32" i="1"/>
  <c r="O32" i="1"/>
  <c r="T30" i="1"/>
  <c r="O30" i="1"/>
  <c r="N21" i="1"/>
  <c r="S21" i="1"/>
  <c r="M21" i="1"/>
  <c r="N25" i="1"/>
  <c r="S25" i="1"/>
  <c r="M25" i="1"/>
  <c r="N23" i="1"/>
  <c r="S23" i="1"/>
  <c r="M23" i="1"/>
  <c r="N18" i="1"/>
  <c r="S18" i="1"/>
  <c r="M18" i="1"/>
  <c r="N36" i="1"/>
  <c r="S36" i="1"/>
  <c r="M36" i="1"/>
  <c r="U71" i="2"/>
  <c r="O71" i="2"/>
  <c r="T36" i="1" l="1"/>
  <c r="O36" i="1"/>
  <c r="T23" i="1"/>
  <c r="O23" i="1"/>
  <c r="T15" i="1"/>
  <c r="O15" i="1"/>
  <c r="O38" i="1"/>
  <c r="T38" i="1"/>
  <c r="T28" i="1"/>
  <c r="O28" i="1"/>
  <c r="O49" i="1"/>
  <c r="T49" i="1"/>
  <c r="T69" i="1"/>
  <c r="O69" i="1"/>
  <c r="T80" i="1"/>
  <c r="O80" i="1"/>
  <c r="T85" i="1"/>
  <c r="O85" i="1"/>
  <c r="T108" i="1"/>
  <c r="O108" i="1"/>
  <c r="T128" i="1"/>
  <c r="O128" i="1"/>
  <c r="O12" i="2"/>
  <c r="U12" i="2"/>
  <c r="U45" i="2"/>
  <c r="O45" i="2"/>
  <c r="O88" i="2"/>
  <c r="U88" i="2"/>
  <c r="U56" i="2"/>
  <c r="O56" i="2"/>
  <c r="O22" i="2"/>
  <c r="U22" i="2"/>
  <c r="U135" i="2"/>
  <c r="O135" i="2"/>
  <c r="V18" i="3"/>
  <c r="O18" i="3"/>
  <c r="O38" i="3"/>
  <c r="V38" i="3"/>
  <c r="O22" i="1"/>
  <c r="T22" i="1"/>
  <c r="O59" i="1"/>
  <c r="T59" i="1"/>
  <c r="T18" i="1"/>
  <c r="O18" i="1"/>
  <c r="T25" i="1"/>
  <c r="O25" i="1"/>
  <c r="T57" i="1"/>
  <c r="O57" i="1"/>
  <c r="T74" i="1"/>
  <c r="O74" i="1"/>
  <c r="T99" i="1"/>
  <c r="O99" i="1"/>
  <c r="T51" i="1"/>
  <c r="O51" i="1"/>
  <c r="T75" i="1"/>
  <c r="O75" i="1"/>
  <c r="T83" i="1"/>
  <c r="O83" i="1"/>
  <c r="T92" i="1"/>
  <c r="O92" i="1"/>
  <c r="T135" i="1"/>
  <c r="O135" i="1"/>
  <c r="T136" i="1"/>
  <c r="O136" i="1"/>
  <c r="O87" i="2"/>
  <c r="U87" i="2"/>
  <c r="O10" i="2"/>
  <c r="U10" i="2"/>
  <c r="O6" i="2"/>
  <c r="U6" i="2"/>
  <c r="O44" i="2"/>
  <c r="U44" i="2"/>
  <c r="O68" i="2"/>
  <c r="U68" i="2"/>
  <c r="U85" i="2"/>
  <c r="O85" i="2"/>
  <c r="O79" i="2"/>
  <c r="U79" i="2"/>
  <c r="O65" i="2"/>
  <c r="U65" i="2"/>
  <c r="O57" i="2"/>
  <c r="U57" i="2"/>
  <c r="O110" i="2"/>
  <c r="U110" i="2"/>
  <c r="V85" i="3"/>
  <c r="O85" i="3"/>
  <c r="V22" i="3"/>
  <c r="O22" i="3"/>
  <c r="T14" i="1"/>
  <c r="O14" i="1"/>
  <c r="O24" i="1"/>
  <c r="T24" i="1"/>
  <c r="O41" i="1"/>
  <c r="T41" i="1"/>
  <c r="T17" i="1"/>
  <c r="O17" i="1"/>
  <c r="T42" i="1"/>
  <c r="O42" i="1"/>
  <c r="T97" i="1"/>
  <c r="O97" i="1"/>
  <c r="T100" i="1"/>
  <c r="O100" i="1"/>
  <c r="T47" i="1"/>
  <c r="O47" i="1"/>
  <c r="T67" i="1"/>
  <c r="O67" i="1"/>
  <c r="T77" i="1"/>
  <c r="O77" i="1"/>
  <c r="T84" i="1"/>
  <c r="O84" i="1"/>
  <c r="T89" i="1"/>
  <c r="O89" i="1"/>
  <c r="T27" i="1"/>
  <c r="O27" i="1"/>
  <c r="T137" i="1"/>
  <c r="O137" i="1"/>
  <c r="O55" i="2"/>
  <c r="U55" i="2"/>
  <c r="U8" i="2"/>
  <c r="O8" i="2"/>
  <c r="O43" i="2"/>
  <c r="U43" i="2"/>
  <c r="O19" i="2"/>
  <c r="U19" i="2"/>
  <c r="O67" i="2"/>
  <c r="U67" i="2"/>
  <c r="O112" i="2"/>
  <c r="U112" i="2"/>
  <c r="T109" i="1"/>
  <c r="O109" i="1"/>
  <c r="O61" i="2"/>
  <c r="U61" i="2"/>
  <c r="O23" i="2"/>
  <c r="U23" i="2"/>
  <c r="O92" i="2"/>
  <c r="U92" i="2"/>
  <c r="O86" i="2"/>
  <c r="U86" i="2"/>
  <c r="V137" i="3"/>
  <c r="O137" i="3"/>
  <c r="V55" i="3"/>
  <c r="O55" i="3"/>
  <c r="N74" i="3"/>
  <c r="U74" i="3"/>
  <c r="M74" i="3"/>
  <c r="S74" i="3"/>
  <c r="Q74" i="3"/>
  <c r="V68" i="3"/>
  <c r="O68" i="3"/>
  <c r="V35" i="3"/>
  <c r="O35" i="3"/>
  <c r="V139" i="3"/>
  <c r="O139" i="3"/>
  <c r="V70" i="3"/>
  <c r="O70" i="3"/>
  <c r="T21" i="1"/>
  <c r="O21" i="1"/>
  <c r="T19" i="1"/>
  <c r="O19" i="1"/>
  <c r="U29" i="2"/>
  <c r="O29" i="2"/>
  <c r="O39" i="2"/>
  <c r="U39" i="2"/>
  <c r="T79" i="1"/>
  <c r="O79" i="1"/>
  <c r="O64" i="2"/>
  <c r="U64" i="2"/>
  <c r="T40" i="1"/>
  <c r="O40" i="1"/>
  <c r="T13" i="1"/>
  <c r="O13" i="1"/>
  <c r="T45" i="1"/>
  <c r="O45" i="1"/>
  <c r="O60" i="1"/>
  <c r="T60" i="1"/>
  <c r="T3" i="1"/>
  <c r="O3" i="1"/>
  <c r="T98" i="1"/>
  <c r="O98" i="1"/>
  <c r="T105" i="1"/>
  <c r="O105" i="1"/>
  <c r="T10" i="1"/>
  <c r="O10" i="1"/>
  <c r="T71" i="1"/>
  <c r="O71" i="1"/>
  <c r="T81" i="1"/>
  <c r="O81" i="1"/>
  <c r="T87" i="1"/>
  <c r="O87" i="1"/>
  <c r="T96" i="1"/>
  <c r="O96" i="1"/>
  <c r="T124" i="1"/>
  <c r="O124" i="1"/>
  <c r="T133" i="1"/>
  <c r="O133" i="1"/>
  <c r="O50" i="2"/>
  <c r="U50" i="2"/>
  <c r="U48" i="2"/>
  <c r="O48" i="2"/>
  <c r="O14" i="2"/>
  <c r="U14" i="2"/>
  <c r="U32" i="2"/>
  <c r="O32" i="2"/>
  <c r="O97" i="2"/>
  <c r="U97" i="2"/>
  <c r="T111" i="1"/>
  <c r="O111" i="1"/>
  <c r="O60" i="2"/>
  <c r="U60" i="2"/>
  <c r="O62" i="2"/>
  <c r="U62" i="2"/>
  <c r="O24" i="2"/>
  <c r="U24" i="2"/>
  <c r="O137" i="2"/>
  <c r="U137" i="2"/>
  <c r="U103" i="2"/>
  <c r="O103" i="2"/>
  <c r="V83" i="3"/>
  <c r="O83" i="3"/>
  <c r="N72" i="3"/>
  <c r="U72" i="3"/>
  <c r="M72" i="3"/>
  <c r="Q72" i="3"/>
  <c r="S72" i="3"/>
  <c r="N73" i="3"/>
  <c r="U73" i="3"/>
  <c r="S73" i="3"/>
  <c r="Q73" i="3"/>
  <c r="M73" i="3"/>
  <c r="V24" i="3"/>
  <c r="O24" i="3"/>
  <c r="V42" i="3"/>
  <c r="O42" i="3"/>
  <c r="U94" i="2"/>
  <c r="O94" i="2"/>
  <c r="O95" i="2"/>
  <c r="U95" i="2"/>
  <c r="V81" i="3"/>
  <c r="O81" i="3"/>
  <c r="V33" i="3"/>
  <c r="O33" i="3"/>
  <c r="V73" i="3" l="1"/>
  <c r="O73" i="3"/>
  <c r="V74" i="3"/>
  <c r="O74" i="3"/>
  <c r="V72" i="3"/>
  <c r="O72" i="3"/>
</calcChain>
</file>

<file path=xl/comments1.xml><?xml version="1.0" encoding="utf-8"?>
<comments xmlns="http://schemas.openxmlformats.org/spreadsheetml/2006/main">
  <authors>
    <author>Almacen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señora vero. Paquetes de 1/2 kilo a 9 pesos
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pepe. Paquetes de kilo. Pesa aprox 20 grs.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taco de cena, se compra en sta tere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 es la misma que el vampiro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la pieza pesa 600 grs en promedio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considero 30 grs por torta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no incluir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4 onzas = 114 gramos
5 onzas =141 gramos
10 onzas=282 gramos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se considera 3.5 onzas la copa de vino. Equivale a 7 copas.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una botella de 2.5 litros  para  cada clamato equivale a 17 porciones de 5 onzas = 147.8 ml</t>
        </r>
      </text>
    </comment>
  </commentList>
</comments>
</file>

<file path=xl/comments2.xml><?xml version="1.0" encoding="utf-8"?>
<comments xmlns="http://schemas.openxmlformats.org/spreadsheetml/2006/main">
  <authors>
    <author>Almacen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señora vero. Paquetes de 1/2 kilo a 9 pesos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pepe. Paquetes de kilo. Pesa aprox 20 grs.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taco de cena, se compra en sta tere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 es la misma que el vampiro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la pieza pesa 600 grs en promedio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considero 30 grs por torta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en abril costaba 76 y en mayo subio a 78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no incluir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checar si los 10 kg son 50 piezas de manita.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4 onzas = 114 gramos
5 onzas =141 gramos
10 onzas=282 gramos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kilo nos cuesta 66 pesos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34 pesos el kilo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SI SALEN 20 POZOLES POR DIA. 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se considera 3.5 onzas la copa de vino. Equivale a 7 copas.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una botella de 2.5 litros  para  cada clamato equivale a 17 porciones de 5 onzas = 147.8 ml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Almacen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señora vero. Paquetes de 1/2 kilo a 9 pesos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pepe. Paquetes de kilo. Pesa aprox 22 grs.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logramos conseguirlo a .70 centavos pero no hago ajuste.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Almacen: enero 2018
conseguimos mejorar precio en 1.24, pero no hago el ajuste.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se consigue en 1.35 pesos.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comparativa vs choripan. La diferencia es el aguacate.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taco de cena, se compra en sta tere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deje el precio de 215 que fue el mas alto del 2017. el mas bajo fue 188 entero.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estamo considerando que por la merma 1 kilo de camaron nos de entre 12 y 13 porciones de 60grs.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la pieza pesa 600 grs en promedio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precio a enero del 2018 es de 48 pesos.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calculo esta hecho en porciones de 60 grs, y salen 10 porciones de cada pieza de panela. NO MOVERE EL PRECIO DE PANELA PARA 2018.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considero 30 grs por torta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subio en diciembre a 185 pesos el kilo.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 marlin de 5kg crudo ya guisado se vuelve a 7.5kg eso equivale 1.25 veces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porciones de 60grs. Cuando la revision con buba se establecio entre 14 y 16 tacos.  Tome 14 de forma conservadora.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 a 24 pesos en enero 2018. no muevo el costo.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en abril costaba 76 y en mayo subio a 78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estoy considerando 300 grs por papa+proteina y de 1kg = 3.3 papas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no incluir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1kilo es 4 manitas de 250 gramos.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enero 2018 la tenemos a 4.70 pesos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5 cervezas x 355ml= 1,775 ml entre 60grs o medidas resulta 30 porciones.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18 pesos lo tenemos en 2018.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4 onzas = 114 gramos
5 onzas =141 gramos
10 onzas=282 gramos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kilo nos cuesta 66 pesos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24 pesos el kilo, en enero 2018. asi lo mantengo.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SI SALEN 20 POZOLES POR DIA. 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precios con la gorda.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se considera 3.5 onzas la copa de vino. Equivale a 7 copas.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una botella de 2.5 litros  para  cada clamato equivale a 17 porciones de 5 onzas = 147.8 ml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6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revision precios micheladas y cervezas.</t>
        </r>
      </text>
    </comment>
  </commentList>
</comments>
</file>

<file path=xl/comments4.xml><?xml version="1.0" encoding="utf-8"?>
<comments xmlns="http://schemas.openxmlformats.org/spreadsheetml/2006/main">
  <authors>
    <author>Almacen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señora vero. Paquetes de 1/2 kilo a 9 pesos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pepe. Paquetes de kilo. Pesa aprox 22 grs.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logramos conseguirlo a .70 centavos pero no hago ajuste.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Almacen: enero 2018
conseguimos mejorar precio en 1.24, pero no hago el ajuste.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se consigue en 1.35 pesos.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comparativa vs choripan. La diferencia es el aguacate.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taco de cena, se compra en sta tere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deje el precio de 215 que fue el mas alto del 2017. el mas bajo fue 188 entero.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estamo considerando que por la merma 1 kilo de camaron nos de entre 12 y 13 porciones de 60grs.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la pieza pesa 600 grs en promedio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precio a enero del 2018 es de 48 pesos.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calculo esta hecho en porciones de 60 grs, y salen 10 porciones de cada pieza de panela. NO MOVERE EL PRECIO DE PANELA PARA 2018.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considero 30 grs por torta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subio en diciembre a 185 pesos el kilo.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 marlin de 5kg crudo ya guisado se vuelve a 7.5kg eso equivale 1.25 veces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porciones de 60grs. Cuando la revision con buba se establecio entre 14 y 16 tacos.  Tome 14 de forma conservadora.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 a 24 pesos en enero 2018. no muevo el costo.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en abril costaba 76 y en mayo subio a 78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estoy considerando 300 grs por papa+proteina y de 1kg = 3.3 papas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no incluir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1kilo es 4 manitas de 250 gramos.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enero 2018 la tenemos a 4.70 pesos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5 cervezas x 355ml= 1,775 ml entre 60grs o medidas resulta 30 porciones.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18 pesos lo tenemos en 2018.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4 onzas = 114 gramos
5 onzas =141 gramos
10 onzas=282 gramos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kilo nos cuesta 66 pesos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24 pesos el kilo, en enero 2018. asi lo mantengo.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SI SALEN 20 POZOLES POR DIA.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quitar papa con carne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precios con la gorda.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se considera 3.5 onzas la copa de vino. Equivale a 7 copas.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una botella de 2.5 litros  para  cada clamato equivale a 17 porciones de 5 onzas = 147.8 ml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revision precios micheladas y cervezas.</t>
        </r>
      </text>
    </comment>
    <comment ref="J1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revision precios micheladas y cervezas.</t>
        </r>
      </text>
    </comment>
  </commentList>
</comments>
</file>

<file path=xl/comments5.xml><?xml version="1.0" encoding="utf-8"?>
<comments xmlns="http://schemas.openxmlformats.org/spreadsheetml/2006/main">
  <authors>
    <author>Almacen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señora vero. Paquetes de 1/2 kilo a 9 pesos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proveedor pepe. Paquetes de kilo. Pesa aprox 22 grs.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logramos conseguirlo a .70 centavos pero no hago ajuste.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Almacen: enero 2018
conseguimos mejorar precio en 1.24, pero no hago el ajuste.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Almacen: enero 2018</t>
        </r>
        <r>
          <rPr>
            <sz val="9"/>
            <color indexed="81"/>
            <rFont val="Tahoma"/>
            <family val="2"/>
          </rPr>
          <t xml:space="preserve">
se consigue en 1.35 pesos.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comparativa vs choripan. La diferencia es el aguacate.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taco de cena, se compra en sta tere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deje el precio de 215 que fue el mas alto del 2017. el mas bajo fue 188 entero.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estamo considerando que por la merma 1 kilo de camaron nos de entre 12 y 13 porciones de 60grs.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la pieza pesa 600 grs en promedio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precio a enero del 2018 es de 48 pesos.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calculo esta hecho en porciones de 60 grs, y salen 10 porciones de cada pieza de panela. NO MOVERE EL PRECIO DE PANELA PARA 2018.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considero 30 grs por torta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subio en diciembre a 185 pesos el kilo.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 marlin de 5kg crudo ya guisado se vuelve a 7.5kg eso equivale 1.25 veces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porciones de 60grs. Cuando la revision con buba se establecio entre 14 y 16 tacos.  Tome 14 de forma conservadora.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esta a 24 pesos en enero 2018. no muevo el costo.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en abril costaba 76 y en mayo subio a 78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estoy considerando 300 grs por papa+proteina y de 1kg = 3.3 papas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no incluir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1kilo es 4 manitas de 250 gramos.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enero 2018 la tenemos a 4.70 pesos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5 cervezas x 355ml= 1,775 ml entre 60grs o medidas resulta 30 porciones.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a 18 pesos lo tenemos en 2018.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4 onzas = 114 gramos
5 onzas =141 gramos
10 onzas=282 gramos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el kilo nos cuesta 66 pesos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24 pesos el kilo, en enero 2018. asi lo mantengo.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SI SALEN 20 POZOLES POR DIA.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quitar papa con carne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 precios con la gorda.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se considera 3.5 onzas la copa de vino. Equivale a 7 copas.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una botella de 2.5 litros  para  cada clamato equivale a 17 porciones de 5 onzas = 147.8 ml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revisar</t>
        </r>
      </text>
    </comment>
    <comment ref="Q103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8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revision precios micheladas y cervezas.</t>
        </r>
      </text>
    </comment>
    <comment ref="J139" authorId="0">
      <text>
        <r>
          <rPr>
            <b/>
            <sz val="9"/>
            <color indexed="81"/>
            <rFont val="Tahoma"/>
            <family val="2"/>
          </rPr>
          <t>Almacen:</t>
        </r>
        <r>
          <rPr>
            <sz val="9"/>
            <color indexed="81"/>
            <rFont val="Tahoma"/>
            <family val="2"/>
          </rPr>
          <t xml:space="preserve">
revision precios micheladas y cervezas.</t>
        </r>
      </text>
    </comment>
  </commentList>
</comments>
</file>

<file path=xl/sharedStrings.xml><?xml version="1.0" encoding="utf-8"?>
<sst xmlns="http://schemas.openxmlformats.org/spreadsheetml/2006/main" count="2388" uniqueCount="455">
  <si>
    <t>bollilo</t>
  </si>
  <si>
    <t>pitufo</t>
  </si>
  <si>
    <t>taco dorado</t>
  </si>
  <si>
    <t>tortilla de harina mediana</t>
  </si>
  <si>
    <t xml:space="preserve">tostada </t>
  </si>
  <si>
    <t>sope</t>
  </si>
  <si>
    <t>flauta</t>
  </si>
  <si>
    <t>enchilada</t>
  </si>
  <si>
    <t>carnitas</t>
  </si>
  <si>
    <t xml:space="preserve">panela </t>
  </si>
  <si>
    <t>marlin</t>
  </si>
  <si>
    <t>camaron para gober</t>
  </si>
  <si>
    <t>camaron para torta y capeado</t>
  </si>
  <si>
    <t>diezmillo</t>
  </si>
  <si>
    <t>arrachera</t>
  </si>
  <si>
    <t>queso fundir</t>
  </si>
  <si>
    <t>kg</t>
  </si>
  <si>
    <t>paquete 25</t>
  </si>
  <si>
    <t>paquete 10</t>
  </si>
  <si>
    <t>unidad</t>
  </si>
  <si>
    <t>tortilla para taco dorado especial</t>
  </si>
  <si>
    <t>paquete 100</t>
  </si>
  <si>
    <t>kg 35 a 40</t>
  </si>
  <si>
    <t>kg porcion 60gr</t>
  </si>
  <si>
    <t xml:space="preserve">kg 65 camarones </t>
  </si>
  <si>
    <t>producto</t>
  </si>
  <si>
    <t xml:space="preserve">harina </t>
  </si>
  <si>
    <t xml:space="preserve">costo </t>
  </si>
  <si>
    <t xml:space="preserve">costo por porcion </t>
  </si>
  <si>
    <t xml:space="preserve">torta carnitas </t>
  </si>
  <si>
    <t>pitufo carnitas</t>
  </si>
  <si>
    <t>torta camaron</t>
  </si>
  <si>
    <t>torta marlin</t>
  </si>
  <si>
    <t>torta asada</t>
  </si>
  <si>
    <t>torta chorizo</t>
  </si>
  <si>
    <t>pitufo camaron</t>
  </si>
  <si>
    <t>pitufo marlin</t>
  </si>
  <si>
    <t>pitufo asada</t>
  </si>
  <si>
    <t>pitufo chorizo</t>
  </si>
  <si>
    <t xml:space="preserve">pitufo arrachera </t>
  </si>
  <si>
    <t>torta panela</t>
  </si>
  <si>
    <t xml:space="preserve">pitufo panela </t>
  </si>
  <si>
    <t xml:space="preserve">proteina </t>
  </si>
  <si>
    <t>gober camaron</t>
  </si>
  <si>
    <t>gober marlin</t>
  </si>
  <si>
    <t>gringa carnitas</t>
  </si>
  <si>
    <t>gringa asada</t>
  </si>
  <si>
    <t>gringa chorizo</t>
  </si>
  <si>
    <t xml:space="preserve">gringa arrachera </t>
  </si>
  <si>
    <t>precio</t>
  </si>
  <si>
    <t>%</t>
  </si>
  <si>
    <t>taco carnitas</t>
  </si>
  <si>
    <t>taco capeado</t>
  </si>
  <si>
    <t>taco asada</t>
  </si>
  <si>
    <t>taco arrachera</t>
  </si>
  <si>
    <t>taco dorado sencillo</t>
  </si>
  <si>
    <t>vampiro asada</t>
  </si>
  <si>
    <t>vampiro chorizo</t>
  </si>
  <si>
    <t>vampiro arrachera</t>
  </si>
  <si>
    <t>precio ideal</t>
  </si>
  <si>
    <t>diferencia</t>
  </si>
  <si>
    <t>gober cam chico</t>
  </si>
  <si>
    <t>kg 50 gr cocido</t>
  </si>
  <si>
    <t>marzo</t>
  </si>
  <si>
    <t>julio</t>
  </si>
  <si>
    <t>% a julio</t>
  </si>
  <si>
    <t>dif vs ideal</t>
  </si>
  <si>
    <t>iner</t>
  </si>
  <si>
    <t>buche</t>
  </si>
  <si>
    <t>lengua</t>
  </si>
  <si>
    <t>panza</t>
  </si>
  <si>
    <t>taco chorizo</t>
  </si>
  <si>
    <t>torta arrachera</t>
  </si>
  <si>
    <t>menu</t>
  </si>
  <si>
    <t>tortilla de maiz (vampiro- pepe)</t>
  </si>
  <si>
    <t>tortilla maiz grande (mano)</t>
  </si>
  <si>
    <t>paquete 50</t>
  </si>
  <si>
    <t>tortilla de harina gde</t>
  </si>
  <si>
    <t>cabeza para pozole</t>
  </si>
  <si>
    <t>pieza</t>
  </si>
  <si>
    <t>pierna para pozole</t>
  </si>
  <si>
    <t>total carnitas</t>
  </si>
  <si>
    <t>chorizo</t>
  </si>
  <si>
    <t>philadelfia</t>
  </si>
  <si>
    <t>190gr</t>
  </si>
  <si>
    <t>ahogadas</t>
  </si>
  <si>
    <t>choripan</t>
  </si>
  <si>
    <t>del mar</t>
  </si>
  <si>
    <t>sushitorta</t>
  </si>
  <si>
    <t>portobello</t>
  </si>
  <si>
    <t>vegetariana</t>
  </si>
  <si>
    <t>torta portobello</t>
  </si>
  <si>
    <t>pitufo portobello</t>
  </si>
  <si>
    <t>taco dorado con carne</t>
  </si>
  <si>
    <t>dorados</t>
  </si>
  <si>
    <t>blanditos</t>
  </si>
  <si>
    <t>capeado</t>
  </si>
  <si>
    <t>gobernador</t>
  </si>
  <si>
    <t>gober marlin chico</t>
  </si>
  <si>
    <t>tortilla dorado noche (sta tere)</t>
  </si>
  <si>
    <t>notas:</t>
  </si>
  <si>
    <t>percepcion del marlin mas barato que el camaron</t>
  </si>
  <si>
    <t>dorado ESP</t>
  </si>
  <si>
    <t>dorado esp  camaron</t>
  </si>
  <si>
    <t>dorado esp marlin</t>
  </si>
  <si>
    <t>quesadilla</t>
  </si>
  <si>
    <t>taco portobello</t>
  </si>
  <si>
    <t>gringa</t>
  </si>
  <si>
    <t>vampiro</t>
  </si>
  <si>
    <t>papas</t>
  </si>
  <si>
    <t>gringa carnitas no viene en el menu</t>
  </si>
  <si>
    <t>vampiros= portobello mas caro que asada??</t>
  </si>
  <si>
    <t>vampiro portobello</t>
  </si>
  <si>
    <t>gringa portobello</t>
  </si>
  <si>
    <t>papa asada</t>
  </si>
  <si>
    <t>papa chorizo</t>
  </si>
  <si>
    <t>papa portobello</t>
  </si>
  <si>
    <t>papa arrachera</t>
  </si>
  <si>
    <t>papa camaron</t>
  </si>
  <si>
    <t>papa marlin</t>
  </si>
  <si>
    <t>papa 1 kg</t>
  </si>
  <si>
    <t>harina 2kg</t>
  </si>
  <si>
    <t>cerveza 4</t>
  </si>
  <si>
    <t>8 huevo</t>
  </si>
  <si>
    <t>10 cucharas mostaza</t>
  </si>
  <si>
    <t>4 cucharas sal de ajo</t>
  </si>
  <si>
    <t>2 knor suiza</t>
  </si>
  <si>
    <t>4 scucharas azucar</t>
  </si>
  <si>
    <t>4 royal</t>
  </si>
  <si>
    <t>mezcla capeado</t>
  </si>
  <si>
    <t>ingredientes</t>
  </si>
  <si>
    <t>choripan asada</t>
  </si>
  <si>
    <t>choripan chorizo</t>
  </si>
  <si>
    <t>choripan portobello</t>
  </si>
  <si>
    <t>choripan arrachera</t>
  </si>
  <si>
    <t>pitufo arrachera</t>
  </si>
  <si>
    <t>quesadilla harina</t>
  </si>
  <si>
    <t>taco panela</t>
  </si>
  <si>
    <t>parrilla</t>
  </si>
  <si>
    <t>sopes</t>
  </si>
  <si>
    <t>pierna</t>
  </si>
  <si>
    <t>pollo</t>
  </si>
  <si>
    <t>requeson</t>
  </si>
  <si>
    <t>rajas</t>
  </si>
  <si>
    <t>papa</t>
  </si>
  <si>
    <t>carne con papa</t>
  </si>
  <si>
    <t>frijol</t>
  </si>
  <si>
    <t>falda de res se compra unicamente para papa con carne y cuesta 124 el kilo.</t>
  </si>
  <si>
    <t>x</t>
  </si>
  <si>
    <t>CAPEADO mezcla preparacion capeado</t>
  </si>
  <si>
    <t>falda de res</t>
  </si>
  <si>
    <t>enchiladas</t>
  </si>
  <si>
    <t>tacos</t>
  </si>
  <si>
    <t>flautas</t>
  </si>
  <si>
    <t>camaron</t>
  </si>
  <si>
    <t>FLAUTA de arrachera y portobelo - CUESTAN LO MISMO????</t>
  </si>
  <si>
    <t>tostadas</t>
  </si>
  <si>
    <t>pata deshuesada</t>
  </si>
  <si>
    <t>panela</t>
  </si>
  <si>
    <t>surtido</t>
  </si>
  <si>
    <t>pozole</t>
  </si>
  <si>
    <t>pozole chico</t>
  </si>
  <si>
    <t>pozole mediano</t>
  </si>
  <si>
    <t>pozole grande</t>
  </si>
  <si>
    <t>manitas</t>
  </si>
  <si>
    <t>verduras asadas</t>
  </si>
  <si>
    <t>doraditas</t>
  </si>
  <si>
    <t>panela asada</t>
  </si>
  <si>
    <t>verduras</t>
  </si>
  <si>
    <t>postres</t>
  </si>
  <si>
    <t>jericalla</t>
  </si>
  <si>
    <t>flan</t>
  </si>
  <si>
    <t>brownie</t>
  </si>
  <si>
    <t>galleta</t>
  </si>
  <si>
    <t>café</t>
  </si>
  <si>
    <t>espresso</t>
  </si>
  <si>
    <t>latte</t>
  </si>
  <si>
    <t>capuchino</t>
  </si>
  <si>
    <t>aguas</t>
  </si>
  <si>
    <t>jugo</t>
  </si>
  <si>
    <t>boing</t>
  </si>
  <si>
    <t>refresco</t>
  </si>
  <si>
    <t>vino tinto</t>
  </si>
  <si>
    <t>cerveza</t>
  </si>
  <si>
    <t>rusas</t>
  </si>
  <si>
    <t>micheladas</t>
  </si>
  <si>
    <t>frescas</t>
  </si>
  <si>
    <t>coco</t>
  </si>
  <si>
    <t>naranja</t>
  </si>
  <si>
    <t>mango-fresa-guayaba</t>
  </si>
  <si>
    <t>copa</t>
  </si>
  <si>
    <t>botella</t>
  </si>
  <si>
    <t>sangria</t>
  </si>
  <si>
    <t>pata deshuesada (trompa)</t>
  </si>
  <si>
    <t>POZOLE</t>
  </si>
  <si>
    <t>maiz (CH 60gr- MED 90gr- GDE 120gr)</t>
  </si>
  <si>
    <t>cabeza (1 mitad 2.5 kg)</t>
  </si>
  <si>
    <t>chile para pozole (20 onzas)</t>
  </si>
  <si>
    <t>1 taza de consome</t>
  </si>
  <si>
    <t>3 cucharas de sal</t>
  </si>
  <si>
    <t>cabeza ajo</t>
  </si>
  <si>
    <t>cebolla</t>
  </si>
  <si>
    <t>mitad de agua de la olla</t>
  </si>
  <si>
    <t>pierna (CH 5 oz - MED 7.5 oz - GDE 10 oz)</t>
  </si>
  <si>
    <t>manitas UNA</t>
  </si>
  <si>
    <t>manitas DOS</t>
  </si>
  <si>
    <t>manitas CUATRO</t>
  </si>
  <si>
    <t>calabacita</t>
  </si>
  <si>
    <t>zanahoria</t>
  </si>
  <si>
    <t xml:space="preserve">salsa soya </t>
  </si>
  <si>
    <t>lts</t>
  </si>
  <si>
    <t>nopales</t>
  </si>
  <si>
    <t>600 gramos</t>
  </si>
  <si>
    <t>americano</t>
  </si>
  <si>
    <t>lata</t>
  </si>
  <si>
    <t>agua natural</t>
  </si>
  <si>
    <t>naranja - vaso</t>
  </si>
  <si>
    <t>naranja - litro</t>
  </si>
  <si>
    <t>cervezas</t>
  </si>
  <si>
    <t>negra modelo &amp; especial</t>
  </si>
  <si>
    <t>botella de vino tinto 750 ml</t>
  </si>
  <si>
    <t>cerveza negra -  modelo  - especial</t>
  </si>
  <si>
    <t>355 ml</t>
  </si>
  <si>
    <t>clamato botella de 2.54 litros</t>
  </si>
  <si>
    <t>2540 ml</t>
  </si>
  <si>
    <t>con clamato - litro</t>
  </si>
  <si>
    <t>sin clamato - litro</t>
  </si>
  <si>
    <t>con clamato - vaso</t>
  </si>
  <si>
    <t>sin clamato - vaso</t>
  </si>
  <si>
    <t>limon + sal + maggui</t>
  </si>
  <si>
    <t>rusa vaso</t>
  </si>
  <si>
    <t>rusa litro</t>
  </si>
  <si>
    <t>torta sushi camaron</t>
  </si>
  <si>
    <t>pitufo sushi camaron</t>
  </si>
  <si>
    <t>menu no tiene gringa de carnitas</t>
  </si>
  <si>
    <t>enero</t>
  </si>
  <si>
    <t>verduras asadas (200 gramos por cada verdura)</t>
  </si>
  <si>
    <t>iner pierna</t>
  </si>
  <si>
    <t>% margen vs dic 2016</t>
  </si>
  <si>
    <t>costo abr 2017</t>
  </si>
  <si>
    <t>precio dic-2016</t>
  </si>
  <si>
    <t>ABR</t>
  </si>
  <si>
    <t>queso fundir (granulado/manchego)</t>
  </si>
  <si>
    <t xml:space="preserve">cabeza para pozole  </t>
  </si>
  <si>
    <t>abril</t>
  </si>
  <si>
    <t>falda de res (ya no  desde feb 2017)</t>
  </si>
  <si>
    <t>DORADOS</t>
  </si>
  <si>
    <t>gober camaron GRANDE HARINA</t>
  </si>
  <si>
    <t>gober marlin GRANDE HARINA</t>
  </si>
  <si>
    <t>CAPEADO</t>
  </si>
  <si>
    <t>QUESADILLA</t>
  </si>
  <si>
    <t>CHORIPAN</t>
  </si>
  <si>
    <t>asada</t>
  </si>
  <si>
    <t>VERDURAS ASADAS</t>
  </si>
  <si>
    <t>PANELA</t>
  </si>
  <si>
    <t>CAFÉ</t>
  </si>
  <si>
    <t>COCO</t>
  </si>
  <si>
    <t>AGUA NATURAL</t>
  </si>
  <si>
    <t>JUN 2017 vs ideal</t>
  </si>
  <si>
    <t>DIC 2016 vs ideal</t>
  </si>
  <si>
    <t>3.4 precio ideal</t>
  </si>
  <si>
    <t xml:space="preserve">% INCR vs Feb 2017 </t>
  </si>
  <si>
    <t>BLANDITOS *</t>
  </si>
  <si>
    <t>Gobernador *</t>
  </si>
  <si>
    <t>refresco *</t>
  </si>
  <si>
    <t>aguas *</t>
  </si>
  <si>
    <t>cerveza *</t>
  </si>
  <si>
    <t>papas *</t>
  </si>
  <si>
    <t>jugo *</t>
  </si>
  <si>
    <t>% margen ganancia vs feb 2017</t>
  </si>
  <si>
    <t>TORTAS CLASICAS</t>
  </si>
  <si>
    <t>TORTAS DEL MAR</t>
  </si>
  <si>
    <t>TORTAS SUSHITORTA</t>
  </si>
  <si>
    <t>TORTAS VEGETARIANA</t>
  </si>
  <si>
    <t>torta sushi camaron-marlin</t>
  </si>
  <si>
    <t>pitufo sushi camaron-marlin</t>
  </si>
  <si>
    <t>dorado ESPECIAL</t>
  </si>
  <si>
    <t>kg 60 gr cocido</t>
  </si>
  <si>
    <t>manitas (una cubeta de 10 kg) cada manita pesa en promedio 200 gr.</t>
  </si>
  <si>
    <t>costo ABR 2017</t>
  </si>
  <si>
    <t xml:space="preserve">gober camaron chico </t>
  </si>
  <si>
    <t>GOBERNADOR GRANDE *</t>
  </si>
  <si>
    <t xml:space="preserve">costo por porción </t>
  </si>
  <si>
    <t>feb 2017: 1er ajuste de precio</t>
  </si>
  <si>
    <t>julio 2017: margenes de 50% subir, buscando nivelar a 60%</t>
  </si>
  <si>
    <t>% margen ganancia vs jun 2017</t>
  </si>
  <si>
    <t>pierna (CH 4 oz - MED 7.5 oz - GDE 10 oz)</t>
  </si>
  <si>
    <t>costo ene 2018</t>
  </si>
  <si>
    <t xml:space="preserve">julio 2018: segundo ajuste de precios </t>
  </si>
  <si>
    <t>% margen ganancia vs ene 2018</t>
  </si>
  <si>
    <t>Ene 2018 vs ideal</t>
  </si>
  <si>
    <t>objetivo minimo: 60% de margen</t>
  </si>
  <si>
    <t>café americano</t>
  </si>
  <si>
    <t>café espresso</t>
  </si>
  <si>
    <t>café latte</t>
  </si>
  <si>
    <t>café capuchino</t>
  </si>
  <si>
    <t>jugo naranja - vaso</t>
  </si>
  <si>
    <t>jugo naranja - litro</t>
  </si>
  <si>
    <t>agua frescas</t>
  </si>
  <si>
    <t>agua COCO</t>
  </si>
  <si>
    <t>boing mango-fresa-guayaba</t>
  </si>
  <si>
    <t>refresco botella</t>
  </si>
  <si>
    <t>refresco lata</t>
  </si>
  <si>
    <t>vino copa</t>
  </si>
  <si>
    <t>vino botella</t>
  </si>
  <si>
    <t>cerveza rusa vaso</t>
  </si>
  <si>
    <t>cerveza rusa litro</t>
  </si>
  <si>
    <t>miche con clamato - vaso</t>
  </si>
  <si>
    <t>miche sin clamato - vaso</t>
  </si>
  <si>
    <t>miche con clamato - litro</t>
  </si>
  <si>
    <t>miche sin clamato - litro</t>
  </si>
  <si>
    <t>bebidas</t>
  </si>
  <si>
    <t>botella de vino tinto 750 ml (25 onzas)</t>
  </si>
  <si>
    <t>cervezas corona &amp; light y victoria</t>
  </si>
  <si>
    <t xml:space="preserve">cerveza ambas modelos &amp; pacifico </t>
  </si>
  <si>
    <t>3.0 precio ideal</t>
  </si>
  <si>
    <t>sangria (vino)</t>
  </si>
  <si>
    <t>costo al  15 ene 2018</t>
  </si>
  <si>
    <t xml:space="preserve">Costo por porción </t>
  </si>
  <si>
    <t>CONCEPTO</t>
  </si>
  <si>
    <t>UNIDAD DE MEDIDA</t>
  </si>
  <si>
    <t>% Venta</t>
  </si>
  <si>
    <t>tortilla de maiz (vampiro &amp; doraditas).</t>
  </si>
  <si>
    <t>tortilla de harina chica</t>
  </si>
  <si>
    <t>50 piezas</t>
  </si>
  <si>
    <t>tortilla para taco (cena)</t>
  </si>
  <si>
    <t>kilo (20 piezas)</t>
  </si>
  <si>
    <t>kilo (45 piezas)</t>
  </si>
  <si>
    <t>rajas (chile poblano)</t>
  </si>
  <si>
    <t>cantidad</t>
  </si>
  <si>
    <t>8 huevo piezas (cartera tiene 30 huevos)</t>
  </si>
  <si>
    <t>4  cucharas de  azucar</t>
  </si>
  <si>
    <t>cerveza 5 piezas</t>
  </si>
  <si>
    <t>tortilla maiz grande - mano. Sra Vero.</t>
  </si>
  <si>
    <t>TOTAL CARNITAS DE CERDO</t>
  </si>
  <si>
    <t>PROTEINAS, LACTEOS &amp; OTROS</t>
  </si>
  <si>
    <t>PORCIONES</t>
  </si>
  <si>
    <t xml:space="preserve">Precio Febrero 2018 </t>
  </si>
  <si>
    <t>taco</t>
  </si>
  <si>
    <t>productos</t>
  </si>
  <si>
    <t>TOTAL</t>
  </si>
  <si>
    <t xml:space="preserve"> 4T - 2016</t>
  </si>
  <si>
    <t>agua</t>
  </si>
  <si>
    <t>BEBIDAS</t>
  </si>
  <si>
    <t>CARBON</t>
  </si>
  <si>
    <t>CENA</t>
  </si>
  <si>
    <t>POSTRE</t>
  </si>
  <si>
    <t>TACO</t>
  </si>
  <si>
    <t>TORTA</t>
  </si>
  <si>
    <t>variantes</t>
  </si>
  <si>
    <t>coca, coca light, sprite, coca sin azucar, coca lata, manzana, agua mineral, sprite zero, fanta, coca ligh lata, fresca, sprite lata</t>
  </si>
  <si>
    <t>9 sabores en 12 variantes</t>
  </si>
  <si>
    <t>corona, corona light, pacifico, victoria, modelo especial, negra modelo, corona ligh lata</t>
  </si>
  <si>
    <t>6 sabores en 8 variantes</t>
  </si>
  <si>
    <t>8 sabores + natural</t>
  </si>
  <si>
    <t>horchata, jamaica,coco, limon, guayaba,tamarindo, cebada, te de jazmin y natural</t>
  </si>
  <si>
    <t>otros</t>
  </si>
  <si>
    <t>boing, jugo naranja, café, clamato, sangria y vino</t>
  </si>
  <si>
    <t>varios</t>
  </si>
  <si>
    <t>gringa y premium</t>
  </si>
  <si>
    <t>taco al carbon (maiz y harina)</t>
  </si>
  <si>
    <t>papa y papa premiun</t>
  </si>
  <si>
    <t>vampiro y vampiro premiun</t>
  </si>
  <si>
    <t>choripan y pitufo</t>
  </si>
  <si>
    <t>doradita</t>
  </si>
  <si>
    <t>doradita y premiun</t>
  </si>
  <si>
    <t>enchilada, a la plancha o especial.</t>
  </si>
  <si>
    <t>flauta y especial</t>
  </si>
  <si>
    <t>manita</t>
  </si>
  <si>
    <t>1, 2 y 4 piezas</t>
  </si>
  <si>
    <t>mediano, chico y grande</t>
  </si>
  <si>
    <t>taco cena</t>
  </si>
  <si>
    <t>galleta de avena</t>
  </si>
  <si>
    <t>grande, chico, harina y maiz</t>
  </si>
  <si>
    <t>dorado</t>
  </si>
  <si>
    <t>sencillo - frijol, papa y requeson</t>
  </si>
  <si>
    <t>dorado c/carne</t>
  </si>
  <si>
    <t>dorado + carnitas</t>
  </si>
  <si>
    <t>dorado marisco</t>
  </si>
  <si>
    <t>camaron y marlin</t>
  </si>
  <si>
    <t>quesadillas</t>
  </si>
  <si>
    <t>mariscos y carne</t>
  </si>
  <si>
    <t>blando</t>
  </si>
  <si>
    <t>blando con carne</t>
  </si>
  <si>
    <t>blando con marlin</t>
  </si>
  <si>
    <t>torta carne</t>
  </si>
  <si>
    <t>pierna, buche, panza y lengua</t>
  </si>
  <si>
    <t>tortaP -carne</t>
  </si>
  <si>
    <t>tortaP -mariscos</t>
  </si>
  <si>
    <t>tortaP -panela</t>
  </si>
  <si>
    <t>tortaP -pollo</t>
  </si>
  <si>
    <t>tortaP -portobello</t>
  </si>
  <si>
    <t>tortaP -SUSHI</t>
  </si>
  <si>
    <t>carne, mariscos</t>
  </si>
  <si>
    <t>kilo &amp; orden</t>
  </si>
  <si>
    <t>cuota envio</t>
  </si>
  <si>
    <t>servicio a domicilio</t>
  </si>
  <si>
    <t xml:space="preserve"> 4T - 2017</t>
  </si>
  <si>
    <t>tortas toño</t>
  </si>
  <si>
    <t>taco sencillo</t>
  </si>
  <si>
    <t>taco C carne</t>
  </si>
  <si>
    <t>las famosas</t>
  </si>
  <si>
    <t>na</t>
  </si>
  <si>
    <t>LAS RO</t>
  </si>
  <si>
    <t>DATOS:  INGLATERRA</t>
  </si>
  <si>
    <t>torta toño</t>
  </si>
  <si>
    <t>GOBERNADOR GDE *</t>
  </si>
  <si>
    <t>GOBERNADOR CH</t>
  </si>
  <si>
    <t xml:space="preserve">papas </t>
  </si>
  <si>
    <t>quitar</t>
  </si>
  <si>
    <t>tacos parrilla</t>
  </si>
  <si>
    <t>feb</t>
  </si>
  <si>
    <t>jitomate picado (1kg)</t>
  </si>
  <si>
    <t>cebolla picado (1kg)</t>
  </si>
  <si>
    <t>1/2 licuadora chipotle molido</t>
  </si>
  <si>
    <t>pure de tomates 1 litro</t>
  </si>
  <si>
    <t>1/4 zanahoria</t>
  </si>
  <si>
    <t>marlin asado (1kg)</t>
  </si>
  <si>
    <t>marlin asado (receta 5 kg)</t>
  </si>
  <si>
    <t>CHILE YAHUALICA (ARBOL) 3.5 kg</t>
  </si>
  <si>
    <t>SAL DE GRANO 300 grs</t>
  </si>
  <si>
    <t>VINAGRE 1.5 lts</t>
  </si>
  <si>
    <t>AJO - 360 grs</t>
  </si>
  <si>
    <t>JITOMATE 15 kg</t>
  </si>
  <si>
    <t>AJO 80grs</t>
  </si>
  <si>
    <t>SAL 100 grs</t>
  </si>
  <si>
    <t>MEJORANA 30 grs</t>
  </si>
  <si>
    <t>AJO 80 grs</t>
  </si>
  <si>
    <t>JITOMATE 13 kg</t>
  </si>
  <si>
    <t>salsa para torta 19 LITROS completa</t>
  </si>
  <si>
    <t>salsa chipotle 19 LITROS completa</t>
  </si>
  <si>
    <t>salsa picante para torta 19 litros completa</t>
  </si>
  <si>
    <t>CLAVO  50grs</t>
  </si>
  <si>
    <t>COMINO  90 grs</t>
  </si>
  <si>
    <t>PIMIENTA ENTERA NEGRA   80grs</t>
  </si>
  <si>
    <t>CREMA  750 grs</t>
  </si>
  <si>
    <t>MAYONESA  3kg</t>
  </si>
  <si>
    <t>CHIPOTLE  1.1 kg</t>
  </si>
  <si>
    <t>SAL  100 grs</t>
  </si>
  <si>
    <t>feb 2018:  1er ajuste de precio</t>
  </si>
  <si>
    <t xml:space="preserve">Precio JUNIO MUNDIAL 2018 </t>
  </si>
  <si>
    <t>cerveza rusa vaso - modelo espe y negra y pacifico</t>
  </si>
  <si>
    <t>miche con clamato - vaso-esp y pacifico</t>
  </si>
  <si>
    <t>miche con clamato - litro especiales</t>
  </si>
  <si>
    <t>miche sin clamato - litro - especiales</t>
  </si>
  <si>
    <t>cerveza rusa litro - modelo special y pacifico</t>
  </si>
  <si>
    <t>torta carne 2019</t>
  </si>
  <si>
    <t>torta camaron 2019</t>
  </si>
  <si>
    <t>taco sencillo 2019</t>
  </si>
  <si>
    <t>taco sencillo c/c</t>
  </si>
  <si>
    <t>taco sencillo c/c 2019</t>
  </si>
  <si>
    <t>enero 2019:  1er ajuste de precio</t>
  </si>
  <si>
    <t>torta toño 2018</t>
  </si>
  <si>
    <t>torta toño 2019</t>
  </si>
  <si>
    <t>Precio ENERO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</si>
</sst>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&quot;$&quot;#,##0"/>
    <numFmt numFmtId="166" formatCode="&quot;$&quot;#,##0;[Red]&quot;$&quot;#,##0"/>
    <numFmt numFmtId="167" formatCode="#,##0_ ;[Red]\-#,##0\ "/>
    <numFmt numFmtId="168" formatCode="0.0"/>
    <numFmt numFmtId="169" formatCode="0.0%"/>
    <numFmt numFmtId="170" formatCode="0.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26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sz val="12"/>
      <color rgb="FF9933FF"/>
      <name val="Calibri"/>
      <family val="2"/>
      <scheme val="minor"/>
    </font>
    <font>
      <b/>
      <sz val="12"/>
      <color rgb="FF9933FF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00B050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medium">
        <color rgb="FF00B050"/>
      </right>
      <top style="medium">
        <color rgb="FF00B050"/>
      </top>
      <bottom style="thin">
        <color auto="1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B050"/>
      </right>
      <top style="thin">
        <color auto="1"/>
      </top>
      <bottom style="thin">
        <color auto="1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thin">
        <color auto="1"/>
      </left>
      <right style="medium">
        <color rgb="FF00B050"/>
      </right>
      <top style="thin">
        <color auto="1"/>
      </top>
      <bottom style="medium">
        <color rgb="FF00B050"/>
      </bottom>
      <diagonal/>
    </border>
    <border>
      <left style="medium">
        <color rgb="FF00B05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B05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 tint="-0.249977111117893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59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164" fontId="0" fillId="0" borderId="0" xfId="0" applyNumberFormat="1"/>
    <xf numFmtId="0" fontId="2" fillId="0" borderId="1" xfId="0" applyFont="1" applyFill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10" fontId="0" fillId="0" borderId="1" xfId="0" applyNumberFormat="1" applyBorder="1"/>
    <xf numFmtId="164" fontId="2" fillId="0" borderId="1" xfId="0" applyNumberFormat="1" applyFont="1" applyBorder="1"/>
    <xf numFmtId="167" fontId="0" fillId="0" borderId="1" xfId="0" applyNumberFormat="1" applyBorder="1"/>
    <xf numFmtId="9" fontId="0" fillId="0" borderId="0" xfId="11" applyFo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9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2" fontId="0" fillId="2" borderId="1" xfId="0" applyNumberFormat="1" applyFill="1" applyBorder="1"/>
    <xf numFmtId="0" fontId="10" fillId="0" borderId="0" xfId="0" applyFont="1"/>
    <xf numFmtId="0" fontId="8" fillId="0" borderId="0" xfId="0" applyFont="1" applyAlignment="1">
      <alignment horizontal="right"/>
    </xf>
    <xf numFmtId="0" fontId="8" fillId="2" borderId="1" xfId="0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2" fontId="0" fillId="0" borderId="1" xfId="0" applyNumberFormat="1" applyFill="1" applyBorder="1"/>
    <xf numFmtId="0" fontId="0" fillId="2" borderId="2" xfId="0" applyFill="1" applyBorder="1"/>
    <xf numFmtId="0" fontId="0" fillId="2" borderId="0" xfId="0" applyFill="1" applyBorder="1"/>
    <xf numFmtId="0" fontId="8" fillId="2" borderId="3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2" fontId="0" fillId="0" borderId="1" xfId="0" applyNumberFormat="1" applyBorder="1"/>
    <xf numFmtId="168" fontId="0" fillId="0" borderId="1" xfId="0" applyNumberFormat="1" applyBorder="1"/>
    <xf numFmtId="0" fontId="2" fillId="5" borderId="0" xfId="0" applyFont="1" applyFill="1"/>
    <xf numFmtId="0" fontId="9" fillId="5" borderId="0" xfId="0" applyFont="1" applyFill="1" applyAlignment="1">
      <alignment horizontal="right"/>
    </xf>
    <xf numFmtId="168" fontId="2" fillId="5" borderId="0" xfId="0" applyNumberFormat="1" applyFont="1" applyFill="1"/>
    <xf numFmtId="9" fontId="0" fillId="0" borderId="1" xfId="11" applyFont="1" applyFill="1" applyBorder="1"/>
    <xf numFmtId="0" fontId="0" fillId="5" borderId="1" xfId="0" applyFon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9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164" fontId="2" fillId="4" borderId="1" xfId="0" applyNumberFormat="1" applyFont="1" applyFill="1" applyBorder="1"/>
    <xf numFmtId="10" fontId="0" fillId="4" borderId="1" xfId="0" applyNumberFormat="1" applyFill="1" applyBorder="1"/>
    <xf numFmtId="167" fontId="0" fillId="4" borderId="1" xfId="0" applyNumberFormat="1" applyFill="1" applyBorder="1"/>
    <xf numFmtId="166" fontId="11" fillId="4" borderId="1" xfId="0" applyNumberFormat="1" applyFont="1" applyFill="1" applyBorder="1"/>
    <xf numFmtId="164" fontId="0" fillId="2" borderId="1" xfId="0" applyNumberFormat="1" applyFill="1" applyBorder="1"/>
    <xf numFmtId="164" fontId="12" fillId="0" borderId="1" xfId="0" applyNumberFormat="1" applyFont="1" applyBorder="1"/>
    <xf numFmtId="0" fontId="0" fillId="6" borderId="1" xfId="0" applyFill="1" applyBorder="1"/>
    <xf numFmtId="164" fontId="0" fillId="6" borderId="1" xfId="0" applyNumberFormat="1" applyFill="1" applyBorder="1"/>
    <xf numFmtId="9" fontId="0" fillId="6" borderId="1" xfId="0" applyNumberFormat="1" applyFill="1" applyBorder="1"/>
    <xf numFmtId="165" fontId="0" fillId="6" borderId="1" xfId="0" applyNumberFormat="1" applyFill="1" applyBorder="1"/>
    <xf numFmtId="166" fontId="0" fillId="6" borderId="1" xfId="0" applyNumberFormat="1" applyFill="1" applyBorder="1"/>
    <xf numFmtId="164" fontId="2" fillId="6" borderId="1" xfId="0" applyNumberFormat="1" applyFont="1" applyFill="1" applyBorder="1"/>
    <xf numFmtId="10" fontId="0" fillId="6" borderId="1" xfId="0" applyNumberFormat="1" applyFill="1" applyBorder="1"/>
    <xf numFmtId="167" fontId="0" fillId="6" borderId="1" xfId="0" applyNumberFormat="1" applyFill="1" applyBorder="1"/>
    <xf numFmtId="164" fontId="12" fillId="6" borderId="1" xfId="0" applyNumberFormat="1" applyFont="1" applyFill="1" applyBorder="1"/>
    <xf numFmtId="164" fontId="12" fillId="0" borderId="1" xfId="0" applyNumberFormat="1" applyFont="1" applyFill="1" applyBorder="1"/>
    <xf numFmtId="164" fontId="2" fillId="0" borderId="1" xfId="0" applyNumberFormat="1" applyFont="1" applyFill="1" applyBorder="1"/>
    <xf numFmtId="167" fontId="0" fillId="0" borderId="1" xfId="0" applyNumberFormat="1" applyFill="1" applyBorder="1"/>
    <xf numFmtId="0" fontId="2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9" fontId="0" fillId="0" borderId="1" xfId="0" applyNumberFormat="1" applyFont="1" applyFill="1" applyBorder="1" applyAlignment="1">
      <alignment horizontal="center"/>
    </xf>
    <xf numFmtId="167" fontId="0" fillId="0" borderId="1" xfId="0" applyNumberFormat="1" applyFont="1" applyFill="1" applyBorder="1"/>
    <xf numFmtId="164" fontId="0" fillId="9" borderId="1" xfId="0" applyNumberFormat="1" applyFont="1" applyFill="1" applyBorder="1" applyAlignment="1">
      <alignment horizontal="center"/>
    </xf>
    <xf numFmtId="17" fontId="2" fillId="9" borderId="1" xfId="0" applyNumberFormat="1" applyFont="1" applyFill="1" applyBorder="1" applyAlignment="1">
      <alignment horizontal="center"/>
    </xf>
    <xf numFmtId="17" fontId="12" fillId="5" borderId="1" xfId="0" applyNumberFormat="1" applyFont="1" applyFill="1" applyBorder="1" applyAlignment="1">
      <alignment horizontal="right"/>
    </xf>
    <xf numFmtId="0" fontId="13" fillId="5" borderId="0" xfId="0" applyFont="1" applyFill="1" applyAlignment="1">
      <alignment horizontal="right"/>
    </xf>
    <xf numFmtId="0" fontId="0" fillId="10" borderId="1" xfId="0" applyFont="1" applyFill="1" applyBorder="1"/>
    <xf numFmtId="164" fontId="0" fillId="10" borderId="1" xfId="0" applyNumberFormat="1" applyFont="1" applyFill="1" applyBorder="1"/>
    <xf numFmtId="9" fontId="0" fillId="10" borderId="1" xfId="0" applyNumberFormat="1" applyFont="1" applyFill="1" applyBorder="1" applyAlignment="1">
      <alignment horizontal="center"/>
    </xf>
    <xf numFmtId="167" fontId="0" fillId="10" borderId="1" xfId="0" applyNumberFormat="1" applyFont="1" applyFill="1" applyBorder="1"/>
    <xf numFmtId="0" fontId="11" fillId="0" borderId="1" xfId="0" applyFont="1" applyFill="1" applyBorder="1"/>
    <xf numFmtId="0" fontId="12" fillId="0" borderId="0" xfId="0" applyFont="1" applyFill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169" fontId="0" fillId="0" borderId="1" xfId="0" applyNumberFormat="1" applyFont="1" applyFill="1" applyBorder="1"/>
    <xf numFmtId="169" fontId="0" fillId="10" borderId="1" xfId="0" applyNumberFormat="1" applyFont="1" applyFill="1" applyBorder="1"/>
    <xf numFmtId="0" fontId="13" fillId="5" borderId="1" xfId="0" applyFont="1" applyFill="1" applyBorder="1" applyAlignment="1">
      <alignment horizontal="center" wrapText="1"/>
    </xf>
    <xf numFmtId="165" fontId="12" fillId="0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168" fontId="0" fillId="0" borderId="1" xfId="0" applyNumberFormat="1" applyFill="1" applyBorder="1"/>
    <xf numFmtId="9" fontId="5" fillId="2" borderId="1" xfId="11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wrapText="1"/>
    </xf>
    <xf numFmtId="164" fontId="0" fillId="0" borderId="9" xfId="0" applyNumberFormat="1" applyBorder="1"/>
    <xf numFmtId="0" fontId="0" fillId="2" borderId="7" xfId="0" applyFill="1" applyBorder="1"/>
    <xf numFmtId="0" fontId="14" fillId="0" borderId="0" xfId="0" applyFont="1" applyFill="1"/>
    <xf numFmtId="0" fontId="15" fillId="8" borderId="1" xfId="0" applyFont="1" applyFill="1" applyBorder="1" applyAlignment="1">
      <alignment horizontal="center" wrapText="1"/>
    </xf>
    <xf numFmtId="164" fontId="14" fillId="0" borderId="1" xfId="0" applyNumberFormat="1" applyFont="1" applyFill="1" applyBorder="1"/>
    <xf numFmtId="164" fontId="14" fillId="10" borderId="1" xfId="0" applyNumberFormat="1" applyFont="1" applyFill="1" applyBorder="1"/>
    <xf numFmtId="0" fontId="0" fillId="11" borderId="1" xfId="0" applyFont="1" applyFill="1" applyBorder="1"/>
    <xf numFmtId="164" fontId="0" fillId="11" borderId="1" xfId="0" applyNumberFormat="1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9" fontId="5" fillId="2" borderId="0" xfId="11" applyFont="1" applyFill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9" fontId="5" fillId="9" borderId="1" xfId="1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9" fontId="0" fillId="2" borderId="1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9" fontId="0" fillId="0" borderId="10" xfId="0" applyNumberFormat="1" applyFont="1" applyFill="1" applyBorder="1"/>
    <xf numFmtId="0" fontId="0" fillId="0" borderId="11" xfId="0" applyFont="1" applyFill="1" applyBorder="1"/>
    <xf numFmtId="164" fontId="14" fillId="0" borderId="11" xfId="0" applyNumberFormat="1" applyFont="1" applyFill="1" applyBorder="1"/>
    <xf numFmtId="164" fontId="0" fillId="0" borderId="11" xfId="0" applyNumberFormat="1" applyFont="1" applyFill="1" applyBorder="1"/>
    <xf numFmtId="9" fontId="0" fillId="0" borderId="11" xfId="0" applyNumberFormat="1" applyFont="1" applyFill="1" applyBorder="1" applyAlignment="1">
      <alignment horizontal="center"/>
    </xf>
    <xf numFmtId="165" fontId="12" fillId="5" borderId="11" xfId="0" applyNumberFormat="1" applyFont="1" applyFill="1" applyBorder="1" applyAlignment="1">
      <alignment horizontal="center"/>
    </xf>
    <xf numFmtId="167" fontId="0" fillId="0" borderId="11" xfId="0" applyNumberFormat="1" applyFont="1" applyFill="1" applyBorder="1"/>
    <xf numFmtId="164" fontId="0" fillId="2" borderId="11" xfId="0" applyNumberFormat="1" applyFont="1" applyFill="1" applyBorder="1" applyAlignment="1">
      <alignment horizontal="center"/>
    </xf>
    <xf numFmtId="9" fontId="5" fillId="2" borderId="11" xfId="11" applyFont="1" applyFill="1" applyBorder="1" applyAlignment="1">
      <alignment horizontal="center"/>
    </xf>
    <xf numFmtId="164" fontId="0" fillId="9" borderId="11" xfId="0" applyNumberFormat="1" applyFont="1" applyFill="1" applyBorder="1" applyAlignment="1">
      <alignment horizontal="center"/>
    </xf>
    <xf numFmtId="9" fontId="5" fillId="9" borderId="11" xfId="11" applyFont="1" applyFill="1" applyBorder="1" applyAlignment="1">
      <alignment horizontal="center"/>
    </xf>
    <xf numFmtId="0" fontId="0" fillId="0" borderId="9" xfId="0" applyFont="1" applyFill="1" applyBorder="1"/>
    <xf numFmtId="164" fontId="14" fillId="0" borderId="9" xfId="0" applyNumberFormat="1" applyFont="1" applyFill="1" applyBorder="1"/>
    <xf numFmtId="164" fontId="0" fillId="0" borderId="9" xfId="0" applyNumberFormat="1" applyFont="1" applyFill="1" applyBorder="1"/>
    <xf numFmtId="9" fontId="0" fillId="0" borderId="9" xfId="0" applyNumberFormat="1" applyFont="1" applyFill="1" applyBorder="1" applyAlignment="1">
      <alignment horizontal="center"/>
    </xf>
    <xf numFmtId="165" fontId="12" fillId="5" borderId="9" xfId="0" applyNumberFormat="1" applyFont="1" applyFill="1" applyBorder="1" applyAlignment="1">
      <alignment horizontal="center"/>
    </xf>
    <xf numFmtId="167" fontId="0" fillId="0" borderId="9" xfId="0" applyNumberFormat="1" applyFont="1" applyFill="1" applyBorder="1"/>
    <xf numFmtId="164" fontId="0" fillId="2" borderId="9" xfId="0" applyNumberFormat="1" applyFont="1" applyFill="1" applyBorder="1" applyAlignment="1">
      <alignment horizontal="center"/>
    </xf>
    <xf numFmtId="9" fontId="5" fillId="2" borderId="9" xfId="11" applyFont="1" applyFill="1" applyBorder="1" applyAlignment="1">
      <alignment horizontal="center"/>
    </xf>
    <xf numFmtId="164" fontId="0" fillId="9" borderId="9" xfId="0" applyNumberFormat="1" applyFont="1" applyFill="1" applyBorder="1" applyAlignment="1">
      <alignment horizontal="center"/>
    </xf>
    <xf numFmtId="9" fontId="5" fillId="9" borderId="9" xfId="11" applyFont="1" applyFill="1" applyBorder="1" applyAlignment="1">
      <alignment horizontal="center"/>
    </xf>
    <xf numFmtId="0" fontId="0" fillId="11" borderId="13" xfId="0" applyFont="1" applyFill="1" applyBorder="1"/>
    <xf numFmtId="164" fontId="14" fillId="0" borderId="13" xfId="0" applyNumberFormat="1" applyFont="1" applyFill="1" applyBorder="1"/>
    <xf numFmtId="164" fontId="0" fillId="0" borderId="13" xfId="0" applyNumberFormat="1" applyFont="1" applyFill="1" applyBorder="1"/>
    <xf numFmtId="9" fontId="0" fillId="0" borderId="13" xfId="0" applyNumberFormat="1" applyFont="1" applyFill="1" applyBorder="1" applyAlignment="1">
      <alignment horizontal="center"/>
    </xf>
    <xf numFmtId="165" fontId="12" fillId="5" borderId="13" xfId="0" applyNumberFormat="1" applyFont="1" applyFill="1" applyBorder="1" applyAlignment="1">
      <alignment horizontal="center"/>
    </xf>
    <xf numFmtId="167" fontId="0" fillId="0" borderId="13" xfId="0" applyNumberFormat="1" applyFont="1" applyFill="1" applyBorder="1"/>
    <xf numFmtId="164" fontId="0" fillId="2" borderId="13" xfId="0" applyNumberFormat="1" applyFont="1" applyFill="1" applyBorder="1" applyAlignment="1">
      <alignment horizontal="center"/>
    </xf>
    <xf numFmtId="9" fontId="5" fillId="2" borderId="13" xfId="11" applyFont="1" applyFill="1" applyBorder="1" applyAlignment="1">
      <alignment horizontal="center"/>
    </xf>
    <xf numFmtId="164" fontId="0" fillId="9" borderId="13" xfId="0" applyNumberFormat="1" applyFont="1" applyFill="1" applyBorder="1" applyAlignment="1">
      <alignment horizontal="center"/>
    </xf>
    <xf numFmtId="9" fontId="5" fillId="9" borderId="14" xfId="11" applyFont="1" applyFill="1" applyBorder="1" applyAlignment="1">
      <alignment horizontal="center"/>
    </xf>
    <xf numFmtId="0" fontId="0" fillId="11" borderId="16" xfId="0" applyFont="1" applyFill="1" applyBorder="1"/>
    <xf numFmtId="164" fontId="14" fillId="0" borderId="16" xfId="0" applyNumberFormat="1" applyFont="1" applyFill="1" applyBorder="1"/>
    <xf numFmtId="164" fontId="0" fillId="0" borderId="16" xfId="0" applyNumberFormat="1" applyFont="1" applyFill="1" applyBorder="1"/>
    <xf numFmtId="9" fontId="0" fillId="0" borderId="16" xfId="0" applyNumberFormat="1" applyFont="1" applyFill="1" applyBorder="1" applyAlignment="1">
      <alignment horizontal="center"/>
    </xf>
    <xf numFmtId="165" fontId="12" fillId="5" borderId="16" xfId="0" applyNumberFormat="1" applyFont="1" applyFill="1" applyBorder="1" applyAlignment="1">
      <alignment horizontal="center"/>
    </xf>
    <xf numFmtId="167" fontId="0" fillId="0" borderId="16" xfId="0" applyNumberFormat="1" applyFont="1" applyFill="1" applyBorder="1"/>
    <xf numFmtId="164" fontId="0" fillId="2" borderId="16" xfId="0" applyNumberFormat="1" applyFont="1" applyFill="1" applyBorder="1" applyAlignment="1">
      <alignment horizontal="center"/>
    </xf>
    <xf numFmtId="9" fontId="5" fillId="2" borderId="16" xfId="11" applyFont="1" applyFill="1" applyBorder="1" applyAlignment="1">
      <alignment horizontal="center"/>
    </xf>
    <xf numFmtId="0" fontId="0" fillId="10" borderId="11" xfId="0" applyFont="1" applyFill="1" applyBorder="1"/>
    <xf numFmtId="164" fontId="14" fillId="10" borderId="11" xfId="0" applyNumberFormat="1" applyFont="1" applyFill="1" applyBorder="1"/>
    <xf numFmtId="164" fontId="0" fillId="10" borderId="11" xfId="0" applyNumberFormat="1" applyFont="1" applyFill="1" applyBorder="1"/>
    <xf numFmtId="9" fontId="0" fillId="10" borderId="11" xfId="0" applyNumberFormat="1" applyFont="1" applyFill="1" applyBorder="1" applyAlignment="1">
      <alignment horizontal="center"/>
    </xf>
    <xf numFmtId="167" fontId="0" fillId="10" borderId="11" xfId="0" applyNumberFormat="1" applyFont="1" applyFill="1" applyBorder="1"/>
    <xf numFmtId="0" fontId="0" fillId="11" borderId="12" xfId="0" applyFont="1" applyFill="1" applyBorder="1"/>
    <xf numFmtId="0" fontId="0" fillId="11" borderId="15" xfId="0" applyFont="1" applyFill="1" applyBorder="1"/>
    <xf numFmtId="0" fontId="0" fillId="0" borderId="8" xfId="0" applyFont="1" applyFill="1" applyBorder="1" applyAlignment="1">
      <alignment horizontal="center"/>
    </xf>
    <xf numFmtId="164" fontId="0" fillId="11" borderId="13" xfId="0" applyNumberFormat="1" applyFont="1" applyFill="1" applyBorder="1" applyAlignment="1">
      <alignment horizontal="center"/>
    </xf>
    <xf numFmtId="9" fontId="5" fillId="11" borderId="14" xfId="11" applyFont="1" applyFill="1" applyBorder="1" applyAlignment="1">
      <alignment horizontal="center"/>
    </xf>
    <xf numFmtId="164" fontId="0" fillId="11" borderId="16" xfId="0" applyNumberFormat="1" applyFont="1" applyFill="1" applyBorder="1" applyAlignment="1">
      <alignment horizontal="center"/>
    </xf>
    <xf numFmtId="9" fontId="5" fillId="11" borderId="17" xfId="11" applyFont="1" applyFill="1" applyBorder="1" applyAlignment="1">
      <alignment horizontal="center"/>
    </xf>
    <xf numFmtId="0" fontId="0" fillId="11" borderId="18" xfId="0" applyFont="1" applyFill="1" applyBorder="1"/>
    <xf numFmtId="9" fontId="5" fillId="11" borderId="19" xfId="11" applyFont="1" applyFill="1" applyBorder="1" applyAlignment="1">
      <alignment horizontal="center"/>
    </xf>
    <xf numFmtId="164" fontId="14" fillId="0" borderId="21" xfId="0" applyNumberFormat="1" applyFont="1" applyFill="1" applyBorder="1"/>
    <xf numFmtId="164" fontId="0" fillId="0" borderId="21" xfId="0" applyNumberFormat="1" applyFont="1" applyFill="1" applyBorder="1"/>
    <xf numFmtId="9" fontId="0" fillId="0" borderId="21" xfId="0" applyNumberFormat="1" applyFont="1" applyFill="1" applyBorder="1" applyAlignment="1">
      <alignment horizontal="center"/>
    </xf>
    <xf numFmtId="165" fontId="12" fillId="5" borderId="21" xfId="0" applyNumberFormat="1" applyFont="1" applyFill="1" applyBorder="1" applyAlignment="1">
      <alignment horizontal="center"/>
    </xf>
    <xf numFmtId="167" fontId="0" fillId="0" borderId="21" xfId="0" applyNumberFormat="1" applyFont="1" applyFill="1" applyBorder="1"/>
    <xf numFmtId="164" fontId="0" fillId="2" borderId="21" xfId="0" applyNumberFormat="1" applyFont="1" applyFill="1" applyBorder="1" applyAlignment="1">
      <alignment horizontal="center"/>
    </xf>
    <xf numFmtId="9" fontId="5" fillId="2" borderId="21" xfId="11" applyFont="1" applyFill="1" applyBorder="1" applyAlignment="1">
      <alignment horizontal="center"/>
    </xf>
    <xf numFmtId="0" fontId="0" fillId="11" borderId="20" xfId="0" applyFont="1" applyFill="1" applyBorder="1"/>
    <xf numFmtId="0" fontId="0" fillId="11" borderId="21" xfId="0" applyFont="1" applyFill="1" applyBorder="1"/>
    <xf numFmtId="164" fontId="0" fillId="11" borderId="21" xfId="0" applyNumberFormat="1" applyFont="1" applyFill="1" applyBorder="1" applyAlignment="1">
      <alignment horizontal="center"/>
    </xf>
    <xf numFmtId="9" fontId="5" fillId="11" borderId="22" xfId="11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2" fontId="2" fillId="5" borderId="0" xfId="0" applyNumberFormat="1" applyFont="1" applyFill="1"/>
    <xf numFmtId="0" fontId="0" fillId="11" borderId="18" xfId="0" applyFont="1" applyFill="1" applyBorder="1" applyAlignment="1">
      <alignment horizontal="left"/>
    </xf>
    <xf numFmtId="0" fontId="0" fillId="11" borderId="15" xfId="0" applyFont="1" applyFill="1" applyBorder="1" applyAlignment="1">
      <alignment horizontal="left"/>
    </xf>
    <xf numFmtId="0" fontId="0" fillId="9" borderId="12" xfId="0" applyFont="1" applyFill="1" applyBorder="1" applyAlignment="1">
      <alignment horizontal="left"/>
    </xf>
    <xf numFmtId="0" fontId="0" fillId="9" borderId="13" xfId="0" applyFont="1" applyFill="1" applyBorder="1"/>
    <xf numFmtId="0" fontId="0" fillId="11" borderId="23" xfId="0" applyFont="1" applyFill="1" applyBorder="1"/>
    <xf numFmtId="0" fontId="0" fillId="11" borderId="24" xfId="0" applyFont="1" applyFill="1" applyBorder="1"/>
    <xf numFmtId="164" fontId="14" fillId="2" borderId="1" xfId="0" applyNumberFormat="1" applyFont="1" applyFill="1" applyBorder="1"/>
    <xf numFmtId="9" fontId="5" fillId="0" borderId="0" xfId="1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9" fontId="5" fillId="0" borderId="1" xfId="11" applyFont="1" applyFill="1" applyBorder="1" applyAlignment="1">
      <alignment horizontal="center"/>
    </xf>
    <xf numFmtId="0" fontId="2" fillId="0" borderId="0" xfId="0" applyFont="1" applyFill="1"/>
    <xf numFmtId="165" fontId="0" fillId="0" borderId="1" xfId="0" applyNumberFormat="1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25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168" fontId="0" fillId="2" borderId="2" xfId="0" applyNumberFormat="1" applyFill="1" applyBorder="1"/>
    <xf numFmtId="0" fontId="8" fillId="0" borderId="0" xfId="0" applyFont="1"/>
    <xf numFmtId="0" fontId="8" fillId="0" borderId="9" xfId="0" applyFont="1" applyBorder="1"/>
    <xf numFmtId="164" fontId="8" fillId="0" borderId="9" xfId="0" applyNumberFormat="1" applyFont="1" applyBorder="1"/>
    <xf numFmtId="0" fontId="8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/>
    <xf numFmtId="0" fontId="8" fillId="0" borderId="0" xfId="0" applyFont="1" applyFill="1" applyBorder="1"/>
    <xf numFmtId="164" fontId="8" fillId="0" borderId="0" xfId="0" applyNumberFormat="1" applyFont="1" applyFill="1" applyBorder="1"/>
    <xf numFmtId="164" fontId="8" fillId="0" borderId="1" xfId="0" applyNumberFormat="1" applyFont="1" applyFill="1" applyBorder="1"/>
    <xf numFmtId="9" fontId="8" fillId="0" borderId="1" xfId="1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5" xfId="0" applyFont="1" applyFill="1" applyBorder="1"/>
    <xf numFmtId="168" fontId="8" fillId="0" borderId="26" xfId="0" applyNumberFormat="1" applyFont="1" applyFill="1" applyBorder="1"/>
    <xf numFmtId="2" fontId="8" fillId="0" borderId="0" xfId="0" applyNumberFormat="1" applyFont="1" applyFill="1" applyBorder="1" applyAlignment="1">
      <alignment horizontal="right"/>
    </xf>
    <xf numFmtId="168" fontId="8" fillId="0" borderId="3" xfId="0" applyNumberFormat="1" applyFont="1" applyFill="1" applyBorder="1"/>
    <xf numFmtId="170" fontId="8" fillId="0" borderId="0" xfId="0" applyNumberFormat="1" applyFont="1" applyFill="1" applyBorder="1"/>
    <xf numFmtId="168" fontId="8" fillId="0" borderId="0" xfId="0" applyNumberFormat="1" applyFont="1" applyFill="1" applyBorder="1" applyAlignment="1">
      <alignment horizontal="right"/>
    </xf>
    <xf numFmtId="0" fontId="8" fillId="0" borderId="4" xfId="0" applyFont="1" applyBorder="1"/>
    <xf numFmtId="2" fontId="8" fillId="0" borderId="5" xfId="0" applyNumberFormat="1" applyFont="1" applyFill="1" applyBorder="1"/>
    <xf numFmtId="0" fontId="9" fillId="0" borderId="0" xfId="0" applyFont="1"/>
    <xf numFmtId="0" fontId="8" fillId="0" borderId="28" xfId="0" applyFont="1" applyFill="1" applyBorder="1"/>
    <xf numFmtId="0" fontId="8" fillId="0" borderId="2" xfId="0" applyFont="1" applyFill="1" applyBorder="1"/>
    <xf numFmtId="0" fontId="8" fillId="0" borderId="29" xfId="0" applyFont="1" applyFill="1" applyBorder="1"/>
    <xf numFmtId="170" fontId="8" fillId="0" borderId="30" xfId="0" applyNumberFormat="1" applyFont="1" applyFill="1" applyBorder="1"/>
    <xf numFmtId="0" fontId="8" fillId="0" borderId="30" xfId="0" applyFont="1" applyFill="1" applyBorder="1" applyAlignment="1">
      <alignment horizontal="right"/>
    </xf>
    <xf numFmtId="168" fontId="8" fillId="0" borderId="31" xfId="0" applyNumberFormat="1" applyFont="1" applyFill="1" applyBorder="1"/>
    <xf numFmtId="164" fontId="8" fillId="0" borderId="9" xfId="0" applyNumberFormat="1" applyFont="1" applyFill="1" applyBorder="1" applyAlignment="1">
      <alignment horizontal="right"/>
    </xf>
    <xf numFmtId="0" fontId="8" fillId="0" borderId="18" xfId="0" applyFont="1" applyBorder="1"/>
    <xf numFmtId="168" fontId="8" fillId="0" borderId="19" xfId="0" applyNumberFormat="1" applyFont="1" applyBorder="1"/>
    <xf numFmtId="168" fontId="8" fillId="0" borderId="19" xfId="0" applyNumberFormat="1" applyFont="1" applyFill="1" applyBorder="1"/>
    <xf numFmtId="0" fontId="8" fillId="0" borderId="18" xfId="0" applyFont="1" applyFill="1" applyBorder="1"/>
    <xf numFmtId="0" fontId="8" fillId="0" borderId="19" xfId="0" applyFont="1" applyBorder="1"/>
    <xf numFmtId="0" fontId="8" fillId="0" borderId="15" xfId="0" applyFont="1" applyFill="1" applyBorder="1"/>
    <xf numFmtId="0" fontId="8" fillId="0" borderId="16" xfId="0" applyFont="1" applyBorder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0" borderId="32" xfId="0" applyFont="1" applyBorder="1"/>
    <xf numFmtId="168" fontId="8" fillId="0" borderId="33" xfId="0" applyNumberFormat="1" applyFont="1" applyBorder="1"/>
    <xf numFmtId="2" fontId="8" fillId="0" borderId="19" xfId="0" applyNumberFormat="1" applyFont="1" applyFill="1" applyBorder="1"/>
    <xf numFmtId="9" fontId="8" fillId="0" borderId="16" xfId="11" applyFont="1" applyFill="1" applyBorder="1" applyAlignment="1">
      <alignment horizontal="center"/>
    </xf>
    <xf numFmtId="0" fontId="8" fillId="0" borderId="16" xfId="0" applyFont="1" applyFill="1" applyBorder="1" applyAlignment="1">
      <alignment horizontal="right"/>
    </xf>
    <xf numFmtId="2" fontId="8" fillId="0" borderId="17" xfId="0" applyNumberFormat="1" applyFont="1" applyFill="1" applyBorder="1"/>
    <xf numFmtId="0" fontId="8" fillId="0" borderId="32" xfId="0" applyFont="1" applyFill="1" applyBorder="1"/>
    <xf numFmtId="9" fontId="8" fillId="0" borderId="9" xfId="11" applyFont="1" applyFill="1" applyBorder="1" applyAlignment="1">
      <alignment horizontal="center"/>
    </xf>
    <xf numFmtId="0" fontId="8" fillId="0" borderId="9" xfId="0" applyFont="1" applyFill="1" applyBorder="1" applyAlignment="1">
      <alignment horizontal="right"/>
    </xf>
    <xf numFmtId="2" fontId="8" fillId="0" borderId="33" xfId="0" applyNumberFormat="1" applyFont="1" applyFill="1" applyBorder="1"/>
    <xf numFmtId="164" fontId="8" fillId="0" borderId="33" xfId="0" applyNumberFormat="1" applyFont="1" applyBorder="1"/>
    <xf numFmtId="164" fontId="8" fillId="0" borderId="19" xfId="0" applyNumberFormat="1" applyFont="1" applyBorder="1"/>
    <xf numFmtId="164" fontId="8" fillId="0" borderId="19" xfId="0" applyNumberFormat="1" applyFont="1" applyFill="1" applyBorder="1"/>
    <xf numFmtId="2" fontId="8" fillId="0" borderId="19" xfId="0" applyNumberFormat="1" applyFont="1" applyBorder="1"/>
    <xf numFmtId="0" fontId="8" fillId="0" borderId="16" xfId="0" applyFont="1" applyFill="1" applyBorder="1"/>
    <xf numFmtId="16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Border="1"/>
    <xf numFmtId="168" fontId="8" fillId="0" borderId="17" xfId="0" applyNumberFormat="1" applyFont="1" applyBorder="1"/>
    <xf numFmtId="0" fontId="8" fillId="0" borderId="12" xfId="0" applyFont="1" applyBorder="1"/>
    <xf numFmtId="0" fontId="8" fillId="0" borderId="13" xfId="0" applyFont="1" applyBorder="1"/>
    <xf numFmtId="168" fontId="8" fillId="0" borderId="14" xfId="0" applyNumberFormat="1" applyFont="1" applyBorder="1"/>
    <xf numFmtId="164" fontId="8" fillId="0" borderId="13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65" fontId="15" fillId="12" borderId="1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0" fontId="13" fillId="5" borderId="20" xfId="0" applyFont="1" applyFill="1" applyBorder="1"/>
    <xf numFmtId="0" fontId="13" fillId="5" borderId="21" xfId="0" applyFont="1" applyFill="1" applyBorder="1" applyAlignment="1">
      <alignment horizontal="center"/>
    </xf>
    <xf numFmtId="168" fontId="12" fillId="5" borderId="7" xfId="0" applyNumberFormat="1" applyFont="1" applyFill="1" applyBorder="1"/>
    <xf numFmtId="0" fontId="13" fillId="5" borderId="4" xfId="0" applyFont="1" applyFill="1" applyBorder="1"/>
    <xf numFmtId="0" fontId="13" fillId="5" borderId="5" xfId="0" applyFont="1" applyFill="1" applyBorder="1"/>
    <xf numFmtId="17" fontId="13" fillId="5" borderId="21" xfId="0" applyNumberFormat="1" applyFont="1" applyFill="1" applyBorder="1" applyAlignment="1">
      <alignment horizontal="center"/>
    </xf>
    <xf numFmtId="168" fontId="13" fillId="5" borderId="6" xfId="0" applyNumberFormat="1" applyFont="1" applyFill="1" applyBorder="1"/>
    <xf numFmtId="0" fontId="13" fillId="14" borderId="4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center"/>
    </xf>
    <xf numFmtId="17" fontId="13" fillId="14" borderId="21" xfId="0" applyNumberFormat="1" applyFont="1" applyFill="1" applyBorder="1" applyAlignment="1">
      <alignment horizontal="center"/>
    </xf>
    <xf numFmtId="1" fontId="13" fillId="14" borderId="6" xfId="0" applyNumberFormat="1" applyFont="1" applyFill="1" applyBorder="1" applyAlignment="1">
      <alignment horizontal="center"/>
    </xf>
    <xf numFmtId="1" fontId="13" fillId="5" borderId="22" xfId="0" applyNumberFormat="1" applyFont="1" applyFill="1" applyBorder="1"/>
    <xf numFmtId="0" fontId="13" fillId="2" borderId="20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17" fontId="13" fillId="2" borderId="21" xfId="0" applyNumberFormat="1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13" borderId="20" xfId="0" applyFont="1" applyFill="1" applyBorder="1" applyAlignment="1">
      <alignment horizontal="center"/>
    </xf>
    <xf numFmtId="0" fontId="13" fillId="13" borderId="27" xfId="0" applyFont="1" applyFill="1" applyBorder="1" applyAlignment="1">
      <alignment horizontal="center" wrapText="1"/>
    </xf>
    <xf numFmtId="0" fontId="13" fillId="13" borderId="7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2" borderId="0" xfId="0" applyFill="1"/>
    <xf numFmtId="168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14" borderId="20" xfId="0" applyFill="1" applyBorder="1"/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168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8" fontId="0" fillId="0" borderId="0" xfId="0" applyNumberForma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right"/>
    </xf>
    <xf numFmtId="168" fontId="11" fillId="0" borderId="0" xfId="0" applyNumberFormat="1" applyFont="1" applyAlignment="1">
      <alignment horizontal="right"/>
    </xf>
    <xf numFmtId="0" fontId="11" fillId="0" borderId="0" xfId="0" applyFont="1" applyFill="1"/>
    <xf numFmtId="0" fontId="11" fillId="0" borderId="0" xfId="0" applyFont="1"/>
    <xf numFmtId="0" fontId="11" fillId="0" borderId="0" xfId="0" applyFont="1" applyFill="1" applyAlignment="1">
      <alignment horizontal="right"/>
    </xf>
    <xf numFmtId="168" fontId="11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 vertical="center"/>
    </xf>
    <xf numFmtId="0" fontId="17" fillId="0" borderId="0" xfId="0" applyFont="1"/>
    <xf numFmtId="2" fontId="18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17" fontId="2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 wrapText="1"/>
    </xf>
    <xf numFmtId="17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wrapText="1"/>
    </xf>
    <xf numFmtId="165" fontId="12" fillId="0" borderId="9" xfId="0" applyNumberFormat="1" applyFont="1" applyFill="1" applyBorder="1" applyAlignment="1">
      <alignment horizontal="center"/>
    </xf>
    <xf numFmtId="165" fontId="0" fillId="0" borderId="9" xfId="0" applyNumberFormat="1" applyFont="1" applyFill="1" applyBorder="1" applyAlignment="1">
      <alignment horizontal="center"/>
    </xf>
    <xf numFmtId="9" fontId="5" fillId="0" borderId="9" xfId="11" applyFont="1" applyFill="1" applyBorder="1" applyAlignment="1">
      <alignment horizontal="center"/>
    </xf>
    <xf numFmtId="165" fontId="15" fillId="0" borderId="9" xfId="0" applyNumberFormat="1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3" xfId="0" applyFont="1" applyFill="1" applyBorder="1"/>
    <xf numFmtId="165" fontId="12" fillId="0" borderId="13" xfId="0" applyNumberFormat="1" applyFont="1" applyFill="1" applyBorder="1" applyAlignment="1">
      <alignment horizontal="center"/>
    </xf>
    <xf numFmtId="165" fontId="0" fillId="0" borderId="13" xfId="0" applyNumberFormat="1" applyFont="1" applyFill="1" applyBorder="1" applyAlignment="1">
      <alignment horizontal="center"/>
    </xf>
    <xf numFmtId="9" fontId="5" fillId="0" borderId="13" xfId="11" applyFont="1" applyFill="1" applyBorder="1" applyAlignment="1">
      <alignment horizontal="center"/>
    </xf>
    <xf numFmtId="165" fontId="15" fillId="0" borderId="13" xfId="0" applyNumberFormat="1" applyFont="1" applyFill="1" applyBorder="1" applyAlignment="1">
      <alignment horizontal="center"/>
    </xf>
    <xf numFmtId="167" fontId="0" fillId="0" borderId="14" xfId="0" applyNumberFormat="1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165" fontId="12" fillId="0" borderId="16" xfId="0" applyNumberFormat="1" applyFont="1" applyFill="1" applyBorder="1" applyAlignment="1">
      <alignment horizontal="center"/>
    </xf>
    <xf numFmtId="165" fontId="0" fillId="0" borderId="16" xfId="0" applyNumberFormat="1" applyFont="1" applyFill="1" applyBorder="1" applyAlignment="1">
      <alignment horizontal="center"/>
    </xf>
    <xf numFmtId="9" fontId="5" fillId="0" borderId="16" xfId="11" applyFont="1" applyFill="1" applyBorder="1" applyAlignment="1">
      <alignment horizontal="center"/>
    </xf>
    <xf numFmtId="165" fontId="15" fillId="0" borderId="16" xfId="0" applyNumberFormat="1" applyFont="1" applyFill="1" applyBorder="1" applyAlignment="1">
      <alignment horizontal="center"/>
    </xf>
    <xf numFmtId="167" fontId="0" fillId="0" borderId="17" xfId="0" applyNumberFormat="1" applyFont="1" applyFill="1" applyBorder="1"/>
    <xf numFmtId="164" fontId="0" fillId="0" borderId="9" xfId="0" applyNumberFormat="1" applyFont="1" applyFill="1" applyBorder="1" applyAlignment="1">
      <alignment horizontal="center"/>
    </xf>
    <xf numFmtId="0" fontId="0" fillId="0" borderId="18" xfId="0" applyFont="1" applyFill="1" applyBorder="1"/>
    <xf numFmtId="167" fontId="0" fillId="0" borderId="19" xfId="0" applyNumberFormat="1" applyFont="1" applyFill="1" applyBorder="1"/>
    <xf numFmtId="164" fontId="0" fillId="0" borderId="13" xfId="0" applyNumberFormat="1" applyFont="1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0" fontId="0" fillId="12" borderId="12" xfId="0" applyFont="1" applyFill="1" applyBorder="1"/>
    <xf numFmtId="0" fontId="0" fillId="12" borderId="13" xfId="0" applyFont="1" applyFill="1" applyBorder="1"/>
    <xf numFmtId="164" fontId="14" fillId="12" borderId="13" xfId="0" applyNumberFormat="1" applyFont="1" applyFill="1" applyBorder="1"/>
    <xf numFmtId="164" fontId="0" fillId="12" borderId="13" xfId="0" applyNumberFormat="1" applyFont="1" applyFill="1" applyBorder="1"/>
    <xf numFmtId="9" fontId="0" fillId="12" borderId="13" xfId="0" applyNumberFormat="1" applyFont="1" applyFill="1" applyBorder="1" applyAlignment="1">
      <alignment horizontal="center"/>
    </xf>
    <xf numFmtId="165" fontId="12" fillId="12" borderId="13" xfId="0" applyNumberFormat="1" applyFont="1" applyFill="1" applyBorder="1" applyAlignment="1">
      <alignment horizontal="center"/>
    </xf>
    <xf numFmtId="167" fontId="0" fillId="12" borderId="13" xfId="0" applyNumberFormat="1" applyFont="1" applyFill="1" applyBorder="1"/>
    <xf numFmtId="164" fontId="0" fillId="12" borderId="13" xfId="0" applyNumberFormat="1" applyFont="1" applyFill="1" applyBorder="1" applyAlignment="1">
      <alignment horizontal="center"/>
    </xf>
    <xf numFmtId="9" fontId="5" fillId="12" borderId="13" xfId="11" applyFont="1" applyFill="1" applyBorder="1" applyAlignment="1">
      <alignment horizontal="center"/>
    </xf>
    <xf numFmtId="165" fontId="0" fillId="12" borderId="13" xfId="0" applyNumberFormat="1" applyFont="1" applyFill="1" applyBorder="1" applyAlignment="1">
      <alignment horizontal="center"/>
    </xf>
    <xf numFmtId="165" fontId="15" fillId="12" borderId="13" xfId="0" applyNumberFormat="1" applyFont="1" applyFill="1" applyBorder="1" applyAlignment="1">
      <alignment horizontal="center"/>
    </xf>
    <xf numFmtId="167" fontId="0" fillId="12" borderId="14" xfId="0" applyNumberFormat="1" applyFont="1" applyFill="1" applyBorder="1"/>
    <xf numFmtId="0" fontId="0" fillId="12" borderId="15" xfId="0" applyFont="1" applyFill="1" applyBorder="1"/>
    <xf numFmtId="0" fontId="0" fillId="12" borderId="16" xfId="0" applyFont="1" applyFill="1" applyBorder="1"/>
    <xf numFmtId="164" fontId="14" fillId="12" borderId="16" xfId="0" applyNumberFormat="1" applyFont="1" applyFill="1" applyBorder="1"/>
    <xf numFmtId="164" fontId="0" fillId="12" borderId="16" xfId="0" applyNumberFormat="1" applyFont="1" applyFill="1" applyBorder="1"/>
    <xf numFmtId="9" fontId="0" fillId="12" borderId="16" xfId="0" applyNumberFormat="1" applyFont="1" applyFill="1" applyBorder="1" applyAlignment="1">
      <alignment horizontal="center"/>
    </xf>
    <xf numFmtId="165" fontId="12" fillId="12" borderId="16" xfId="0" applyNumberFormat="1" applyFont="1" applyFill="1" applyBorder="1" applyAlignment="1">
      <alignment horizontal="center"/>
    </xf>
    <xf numFmtId="167" fontId="0" fillId="12" borderId="16" xfId="0" applyNumberFormat="1" applyFont="1" applyFill="1" applyBorder="1"/>
    <xf numFmtId="164" fontId="0" fillId="12" borderId="16" xfId="0" applyNumberFormat="1" applyFont="1" applyFill="1" applyBorder="1" applyAlignment="1">
      <alignment horizontal="center"/>
    </xf>
    <xf numFmtId="9" fontId="5" fillId="12" borderId="16" xfId="11" applyFont="1" applyFill="1" applyBorder="1" applyAlignment="1">
      <alignment horizontal="center"/>
    </xf>
    <xf numFmtId="165" fontId="0" fillId="12" borderId="16" xfId="0" applyNumberFormat="1" applyFont="1" applyFill="1" applyBorder="1" applyAlignment="1">
      <alignment horizontal="center"/>
    </xf>
    <xf numFmtId="165" fontId="15" fillId="12" borderId="16" xfId="0" applyNumberFormat="1" applyFont="1" applyFill="1" applyBorder="1" applyAlignment="1">
      <alignment horizontal="center"/>
    </xf>
    <xf numFmtId="167" fontId="0" fillId="12" borderId="17" xfId="0" applyNumberFormat="1" applyFont="1" applyFill="1" applyBorder="1"/>
    <xf numFmtId="0" fontId="0" fillId="12" borderId="18" xfId="0" applyFont="1" applyFill="1" applyBorder="1"/>
    <xf numFmtId="0" fontId="0" fillId="12" borderId="1" xfId="0" applyFont="1" applyFill="1" applyBorder="1"/>
    <xf numFmtId="164" fontId="14" fillId="12" borderId="1" xfId="0" applyNumberFormat="1" applyFont="1" applyFill="1" applyBorder="1"/>
    <xf numFmtId="164" fontId="0" fillId="12" borderId="1" xfId="0" applyNumberFormat="1" applyFont="1" applyFill="1" applyBorder="1"/>
    <xf numFmtId="9" fontId="0" fillId="12" borderId="1" xfId="0" applyNumberFormat="1" applyFont="1" applyFill="1" applyBorder="1" applyAlignment="1">
      <alignment horizontal="center"/>
    </xf>
    <xf numFmtId="165" fontId="12" fillId="12" borderId="1" xfId="0" applyNumberFormat="1" applyFont="1" applyFill="1" applyBorder="1" applyAlignment="1">
      <alignment horizontal="center"/>
    </xf>
    <xf numFmtId="167" fontId="0" fillId="12" borderId="1" xfId="0" applyNumberFormat="1" applyFont="1" applyFill="1" applyBorder="1"/>
    <xf numFmtId="164" fontId="0" fillId="12" borderId="1" xfId="0" applyNumberFormat="1" applyFont="1" applyFill="1" applyBorder="1" applyAlignment="1">
      <alignment horizontal="center"/>
    </xf>
    <xf numFmtId="9" fontId="5" fillId="12" borderId="1" xfId="11" applyFont="1" applyFill="1" applyBorder="1" applyAlignment="1">
      <alignment horizontal="center"/>
    </xf>
    <xf numFmtId="165" fontId="0" fillId="12" borderId="1" xfId="0" applyNumberFormat="1" applyFont="1" applyFill="1" applyBorder="1" applyAlignment="1">
      <alignment horizontal="center"/>
    </xf>
    <xf numFmtId="167" fontId="0" fillId="12" borderId="19" xfId="0" applyNumberFormat="1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164" fontId="14" fillId="4" borderId="13" xfId="0" applyNumberFormat="1" applyFont="1" applyFill="1" applyBorder="1"/>
    <xf numFmtId="164" fontId="0" fillId="4" borderId="13" xfId="0" applyNumberFormat="1" applyFont="1" applyFill="1" applyBorder="1"/>
    <xf numFmtId="9" fontId="0" fillId="4" borderId="13" xfId="0" applyNumberFormat="1" applyFont="1" applyFill="1" applyBorder="1" applyAlignment="1">
      <alignment horizontal="center"/>
    </xf>
    <xf numFmtId="165" fontId="12" fillId="4" borderId="13" xfId="0" applyNumberFormat="1" applyFont="1" applyFill="1" applyBorder="1" applyAlignment="1">
      <alignment horizontal="center"/>
    </xf>
    <xf numFmtId="167" fontId="0" fillId="4" borderId="13" xfId="0" applyNumberFormat="1" applyFont="1" applyFill="1" applyBorder="1"/>
    <xf numFmtId="164" fontId="0" fillId="4" borderId="13" xfId="0" applyNumberFormat="1" applyFont="1" applyFill="1" applyBorder="1" applyAlignment="1">
      <alignment horizontal="center"/>
    </xf>
    <xf numFmtId="9" fontId="5" fillId="4" borderId="13" xfId="11" applyFont="1" applyFill="1" applyBorder="1" applyAlignment="1">
      <alignment horizontal="center"/>
    </xf>
    <xf numFmtId="165" fontId="0" fillId="4" borderId="13" xfId="0" applyNumberFormat="1" applyFont="1" applyFill="1" applyBorder="1" applyAlignment="1">
      <alignment horizontal="center"/>
    </xf>
    <xf numFmtId="165" fontId="15" fillId="4" borderId="13" xfId="0" applyNumberFormat="1" applyFont="1" applyFill="1" applyBorder="1" applyAlignment="1">
      <alignment horizontal="center"/>
    </xf>
    <xf numFmtId="167" fontId="0" fillId="4" borderId="14" xfId="0" applyNumberFormat="1" applyFont="1" applyFill="1" applyBorder="1"/>
    <xf numFmtId="0" fontId="0" fillId="4" borderId="1" xfId="0" applyFont="1" applyFill="1" applyBorder="1"/>
    <xf numFmtId="164" fontId="14" fillId="4" borderId="1" xfId="0" applyNumberFormat="1" applyFont="1" applyFill="1" applyBorder="1"/>
    <xf numFmtId="164" fontId="0" fillId="4" borderId="1" xfId="0" applyNumberFormat="1" applyFont="1" applyFill="1" applyBorder="1"/>
    <xf numFmtId="9" fontId="0" fillId="4" borderId="1" xfId="0" applyNumberFormat="1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167" fontId="0" fillId="4" borderId="1" xfId="0" applyNumberFormat="1" applyFont="1" applyFill="1" applyBorder="1"/>
    <xf numFmtId="164" fontId="0" fillId="4" borderId="1" xfId="0" applyNumberFormat="1" applyFont="1" applyFill="1" applyBorder="1" applyAlignment="1">
      <alignment horizontal="center"/>
    </xf>
    <xf numFmtId="9" fontId="5" fillId="4" borderId="1" xfId="1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0" fontId="0" fillId="4" borderId="15" xfId="0" applyFont="1" applyFill="1" applyBorder="1"/>
    <xf numFmtId="0" fontId="0" fillId="4" borderId="16" xfId="0" applyFont="1" applyFill="1" applyBorder="1"/>
    <xf numFmtId="164" fontId="14" fillId="4" borderId="16" xfId="0" applyNumberFormat="1" applyFont="1" applyFill="1" applyBorder="1"/>
    <xf numFmtId="164" fontId="0" fillId="4" borderId="16" xfId="0" applyNumberFormat="1" applyFont="1" applyFill="1" applyBorder="1"/>
    <xf numFmtId="9" fontId="0" fillId="4" borderId="16" xfId="0" applyNumberFormat="1" applyFont="1" applyFill="1" applyBorder="1" applyAlignment="1">
      <alignment horizontal="center"/>
    </xf>
    <xf numFmtId="165" fontId="12" fillId="4" borderId="16" xfId="0" applyNumberFormat="1" applyFont="1" applyFill="1" applyBorder="1" applyAlignment="1">
      <alignment horizontal="center"/>
    </xf>
    <xf numFmtId="167" fontId="0" fillId="4" borderId="16" xfId="0" applyNumberFormat="1" applyFont="1" applyFill="1" applyBorder="1"/>
    <xf numFmtId="164" fontId="0" fillId="4" borderId="16" xfId="0" applyNumberFormat="1" applyFont="1" applyFill="1" applyBorder="1" applyAlignment="1">
      <alignment horizontal="center"/>
    </xf>
    <xf numFmtId="9" fontId="5" fillId="4" borderId="16" xfId="11" applyFont="1" applyFill="1" applyBorder="1" applyAlignment="1">
      <alignment horizontal="center"/>
    </xf>
    <xf numFmtId="165" fontId="0" fillId="4" borderId="16" xfId="0" applyNumberFormat="1" applyFont="1" applyFill="1" applyBorder="1" applyAlignment="1">
      <alignment horizontal="center"/>
    </xf>
    <xf numFmtId="165" fontId="15" fillId="4" borderId="16" xfId="0" applyNumberFormat="1" applyFont="1" applyFill="1" applyBorder="1" applyAlignment="1">
      <alignment horizontal="center"/>
    </xf>
    <xf numFmtId="167" fontId="0" fillId="4" borderId="17" xfId="0" applyNumberFormat="1" applyFont="1" applyFill="1" applyBorder="1"/>
    <xf numFmtId="164" fontId="0" fillId="2" borderId="1" xfId="0" applyNumberFormat="1" applyFont="1" applyFill="1" applyBorder="1"/>
    <xf numFmtId="165" fontId="12" fillId="2" borderId="1" xfId="0" applyNumberFormat="1" applyFont="1" applyFill="1" applyBorder="1" applyAlignment="1">
      <alignment horizontal="center"/>
    </xf>
    <xf numFmtId="167" fontId="0" fillId="2" borderId="1" xfId="0" applyNumberFormat="1" applyFont="1" applyFill="1" applyBorder="1"/>
    <xf numFmtId="165" fontId="0" fillId="2" borderId="1" xfId="0" applyNumberFormat="1" applyFont="1" applyFill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/>
    </xf>
    <xf numFmtId="0" fontId="0" fillId="4" borderId="9" xfId="0" applyFont="1" applyFill="1" applyBorder="1"/>
    <xf numFmtId="164" fontId="14" fillId="4" borderId="9" xfId="0" applyNumberFormat="1" applyFont="1" applyFill="1" applyBorder="1"/>
    <xf numFmtId="164" fontId="0" fillId="4" borderId="9" xfId="0" applyNumberFormat="1" applyFont="1" applyFill="1" applyBorder="1"/>
    <xf numFmtId="9" fontId="0" fillId="4" borderId="9" xfId="0" applyNumberFormat="1" applyFont="1" applyFill="1" applyBorder="1" applyAlignment="1">
      <alignment horizontal="center"/>
    </xf>
    <xf numFmtId="165" fontId="12" fillId="4" borderId="9" xfId="0" applyNumberFormat="1" applyFont="1" applyFill="1" applyBorder="1" applyAlignment="1">
      <alignment horizontal="center"/>
    </xf>
    <xf numFmtId="167" fontId="0" fillId="4" borderId="9" xfId="0" applyNumberFormat="1" applyFont="1" applyFill="1" applyBorder="1"/>
    <xf numFmtId="164" fontId="0" fillId="4" borderId="9" xfId="0" applyNumberFormat="1" applyFont="1" applyFill="1" applyBorder="1" applyAlignment="1">
      <alignment horizontal="center"/>
    </xf>
    <xf numFmtId="9" fontId="5" fillId="4" borderId="9" xfId="11" applyFont="1" applyFill="1" applyBorder="1" applyAlignment="1">
      <alignment horizontal="center"/>
    </xf>
    <xf numFmtId="165" fontId="0" fillId="4" borderId="9" xfId="0" applyNumberFormat="1" applyFont="1" applyFill="1" applyBorder="1" applyAlignment="1">
      <alignment horizontal="center"/>
    </xf>
    <xf numFmtId="165" fontId="15" fillId="4" borderId="9" xfId="0" applyNumberFormat="1" applyFont="1" applyFill="1" applyBorder="1" applyAlignment="1">
      <alignment horizontal="center"/>
    </xf>
    <xf numFmtId="164" fontId="14" fillId="7" borderId="1" xfId="0" applyNumberFormat="1" applyFont="1" applyFill="1" applyBorder="1"/>
    <xf numFmtId="164" fontId="0" fillId="7" borderId="1" xfId="0" applyNumberFormat="1" applyFont="1" applyFill="1" applyBorder="1"/>
    <xf numFmtId="9" fontId="0" fillId="7" borderId="1" xfId="0" applyNumberFormat="1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167" fontId="0" fillId="7" borderId="1" xfId="0" applyNumberFormat="1" applyFont="1" applyFill="1" applyBorder="1"/>
    <xf numFmtId="164" fontId="0" fillId="7" borderId="1" xfId="0" applyNumberFormat="1" applyFont="1" applyFill="1" applyBorder="1" applyAlignment="1">
      <alignment horizontal="center"/>
    </xf>
    <xf numFmtId="9" fontId="5" fillId="7" borderId="1" xfId="11" applyFont="1" applyFill="1" applyBorder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165" fontId="15" fillId="7" borderId="1" xfId="0" applyNumberFormat="1" applyFont="1" applyFill="1" applyBorder="1" applyAlignment="1">
      <alignment horizontal="center"/>
    </xf>
    <xf numFmtId="165" fontId="12" fillId="0" borderId="11" xfId="0" applyNumberFormat="1" applyFont="1" applyFill="1" applyBorder="1" applyAlignment="1">
      <alignment horizontal="center"/>
    </xf>
    <xf numFmtId="165" fontId="0" fillId="0" borderId="11" xfId="0" applyNumberFormat="1" applyFont="1" applyFill="1" applyBorder="1" applyAlignment="1">
      <alignment horizontal="center"/>
    </xf>
    <xf numFmtId="9" fontId="5" fillId="0" borderId="11" xfId="1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0" fontId="0" fillId="4" borderId="34" xfId="0" applyFont="1" applyFill="1" applyBorder="1"/>
    <xf numFmtId="0" fontId="0" fillId="4" borderId="35" xfId="0" applyFont="1" applyFill="1" applyBorder="1"/>
    <xf numFmtId="164" fontId="14" fillId="4" borderId="35" xfId="0" applyNumberFormat="1" applyFont="1" applyFill="1" applyBorder="1"/>
    <xf numFmtId="164" fontId="0" fillId="4" borderId="35" xfId="0" applyNumberFormat="1" applyFont="1" applyFill="1" applyBorder="1"/>
    <xf numFmtId="9" fontId="0" fillId="4" borderId="35" xfId="0" applyNumberFormat="1" applyFont="1" applyFill="1" applyBorder="1" applyAlignment="1">
      <alignment horizontal="center"/>
    </xf>
    <xf numFmtId="165" fontId="12" fillId="4" borderId="35" xfId="0" applyNumberFormat="1" applyFont="1" applyFill="1" applyBorder="1" applyAlignment="1">
      <alignment horizontal="center"/>
    </xf>
    <xf numFmtId="167" fontId="0" fillId="4" borderId="35" xfId="0" applyNumberFormat="1" applyFont="1" applyFill="1" applyBorder="1"/>
    <xf numFmtId="164" fontId="0" fillId="4" borderId="35" xfId="0" applyNumberFormat="1" applyFont="1" applyFill="1" applyBorder="1" applyAlignment="1">
      <alignment horizontal="center"/>
    </xf>
    <xf numFmtId="9" fontId="5" fillId="4" borderId="35" xfId="11" applyFont="1" applyFill="1" applyBorder="1" applyAlignment="1">
      <alignment horizontal="center"/>
    </xf>
    <xf numFmtId="165" fontId="0" fillId="4" borderId="35" xfId="0" applyNumberFormat="1" applyFont="1" applyFill="1" applyBorder="1" applyAlignment="1">
      <alignment horizontal="center"/>
    </xf>
    <xf numFmtId="165" fontId="15" fillId="4" borderId="35" xfId="0" applyNumberFormat="1" applyFont="1" applyFill="1" applyBorder="1" applyAlignment="1">
      <alignment horizontal="center"/>
    </xf>
    <xf numFmtId="167" fontId="0" fillId="4" borderId="36" xfId="0" applyNumberFormat="1" applyFont="1" applyFill="1" applyBorder="1"/>
    <xf numFmtId="0" fontId="0" fillId="4" borderId="37" xfId="0" applyFont="1" applyFill="1" applyBorder="1"/>
    <xf numFmtId="167" fontId="0" fillId="4" borderId="38" xfId="0" applyNumberFormat="1" applyFont="1" applyFill="1" applyBorder="1"/>
    <xf numFmtId="0" fontId="0" fillId="4" borderId="39" xfId="0" applyFont="1" applyFill="1" applyBorder="1"/>
    <xf numFmtId="0" fontId="0" fillId="4" borderId="40" xfId="0" applyFont="1" applyFill="1" applyBorder="1"/>
    <xf numFmtId="164" fontId="14" fillId="4" borderId="40" xfId="0" applyNumberFormat="1" applyFont="1" applyFill="1" applyBorder="1"/>
    <xf numFmtId="164" fontId="0" fillId="4" borderId="40" xfId="0" applyNumberFormat="1" applyFont="1" applyFill="1" applyBorder="1"/>
    <xf numFmtId="9" fontId="0" fillId="4" borderId="40" xfId="0" applyNumberFormat="1" applyFont="1" applyFill="1" applyBorder="1" applyAlignment="1">
      <alignment horizontal="center"/>
    </xf>
    <xf numFmtId="165" fontId="12" fillId="4" borderId="40" xfId="0" applyNumberFormat="1" applyFont="1" applyFill="1" applyBorder="1" applyAlignment="1">
      <alignment horizontal="center"/>
    </xf>
    <xf numFmtId="167" fontId="0" fillId="4" borderId="40" xfId="0" applyNumberFormat="1" applyFont="1" applyFill="1" applyBorder="1"/>
    <xf numFmtId="164" fontId="0" fillId="4" borderId="40" xfId="0" applyNumberFormat="1" applyFont="1" applyFill="1" applyBorder="1" applyAlignment="1">
      <alignment horizontal="center"/>
    </xf>
    <xf numFmtId="9" fontId="5" fillId="4" borderId="40" xfId="11" applyFont="1" applyFill="1" applyBorder="1" applyAlignment="1">
      <alignment horizontal="center"/>
    </xf>
    <xf numFmtId="165" fontId="0" fillId="4" borderId="40" xfId="0" applyNumberFormat="1" applyFont="1" applyFill="1" applyBorder="1" applyAlignment="1">
      <alignment horizontal="center"/>
    </xf>
    <xf numFmtId="165" fontId="15" fillId="4" borderId="40" xfId="0" applyNumberFormat="1" applyFont="1" applyFill="1" applyBorder="1" applyAlignment="1">
      <alignment horizontal="center"/>
    </xf>
    <xf numFmtId="167" fontId="0" fillId="4" borderId="41" xfId="0" applyNumberFormat="1" applyFont="1" applyFill="1" applyBorder="1"/>
    <xf numFmtId="0" fontId="0" fillId="4" borderId="42" xfId="0" applyFont="1" applyFill="1" applyBorder="1"/>
    <xf numFmtId="167" fontId="0" fillId="4" borderId="43" xfId="0" applyNumberFormat="1" applyFont="1" applyFill="1" applyBorder="1"/>
    <xf numFmtId="0" fontId="0" fillId="4" borderId="1" xfId="0" applyFont="1" applyFill="1" applyBorder="1" applyAlignment="1">
      <alignment horizontal="left"/>
    </xf>
    <xf numFmtId="0" fontId="0" fillId="15" borderId="1" xfId="0" applyFont="1" applyFill="1" applyBorder="1"/>
    <xf numFmtId="0" fontId="0" fillId="16" borderId="1" xfId="0" applyFont="1" applyFill="1" applyBorder="1"/>
    <xf numFmtId="0" fontId="12" fillId="0" borderId="0" xfId="0" applyFont="1" applyFill="1"/>
    <xf numFmtId="1" fontId="0" fillId="0" borderId="0" xfId="0" applyNumberFormat="1" applyFill="1"/>
    <xf numFmtId="0" fontId="17" fillId="0" borderId="0" xfId="0" applyFont="1" applyFill="1"/>
    <xf numFmtId="164" fontId="14" fillId="15" borderId="1" xfId="0" applyNumberFormat="1" applyFont="1" applyFill="1" applyBorder="1"/>
    <xf numFmtId="164" fontId="0" fillId="15" borderId="1" xfId="0" applyNumberFormat="1" applyFont="1" applyFill="1" applyBorder="1"/>
    <xf numFmtId="9" fontId="0" fillId="15" borderId="1" xfId="0" applyNumberFormat="1" applyFont="1" applyFill="1" applyBorder="1" applyAlignment="1">
      <alignment horizontal="center"/>
    </xf>
    <xf numFmtId="165" fontId="12" fillId="15" borderId="1" xfId="0" applyNumberFormat="1" applyFont="1" applyFill="1" applyBorder="1" applyAlignment="1">
      <alignment horizontal="center"/>
    </xf>
    <xf numFmtId="167" fontId="0" fillId="15" borderId="1" xfId="0" applyNumberFormat="1" applyFont="1" applyFill="1" applyBorder="1"/>
    <xf numFmtId="164" fontId="0" fillId="15" borderId="1" xfId="0" applyNumberFormat="1" applyFont="1" applyFill="1" applyBorder="1" applyAlignment="1">
      <alignment horizontal="center"/>
    </xf>
    <xf numFmtId="9" fontId="5" fillId="15" borderId="1" xfId="11" applyFont="1" applyFill="1" applyBorder="1" applyAlignment="1">
      <alignment horizontal="center"/>
    </xf>
    <xf numFmtId="165" fontId="0" fillId="15" borderId="1" xfId="0" applyNumberFormat="1" applyFont="1" applyFill="1" applyBorder="1" applyAlignment="1">
      <alignment horizontal="center"/>
    </xf>
    <xf numFmtId="165" fontId="15" fillId="15" borderId="1" xfId="0" applyNumberFormat="1" applyFont="1" applyFill="1" applyBorder="1" applyAlignment="1">
      <alignment horizontal="center"/>
    </xf>
    <xf numFmtId="0" fontId="8" fillId="15" borderId="0" xfId="0" applyFont="1" applyFill="1"/>
    <xf numFmtId="0" fontId="8" fillId="15" borderId="0" xfId="0" applyFont="1" applyFill="1" applyAlignment="1">
      <alignment horizontal="right"/>
    </xf>
    <xf numFmtId="0" fontId="0" fillId="15" borderId="0" xfId="0" applyFill="1"/>
    <xf numFmtId="0" fontId="0" fillId="15" borderId="1" xfId="0" applyFont="1" applyFill="1" applyBorder="1" applyAlignment="1">
      <alignment horizontal="center"/>
    </xf>
    <xf numFmtId="1" fontId="0" fillId="15" borderId="0" xfId="0" applyNumberFormat="1" applyFill="1"/>
    <xf numFmtId="0" fontId="17" fillId="15" borderId="0" xfId="0" applyFont="1" applyFill="1"/>
    <xf numFmtId="9" fontId="2" fillId="0" borderId="1" xfId="11" applyFont="1" applyFill="1" applyBorder="1" applyAlignment="1">
      <alignment horizontal="center"/>
    </xf>
    <xf numFmtId="9" fontId="13" fillId="0" borderId="1" xfId="11" applyFont="1" applyFill="1" applyBorder="1" applyAlignment="1">
      <alignment horizontal="center"/>
    </xf>
    <xf numFmtId="9" fontId="12" fillId="0" borderId="1" xfId="11" applyFont="1" applyFill="1" applyBorder="1" applyAlignment="1">
      <alignment horizontal="center"/>
    </xf>
    <xf numFmtId="0" fontId="13" fillId="2" borderId="20" xfId="0" applyFont="1" applyFill="1" applyBorder="1"/>
    <xf numFmtId="17" fontId="13" fillId="2" borderId="22" xfId="0" applyNumberFormat="1" applyFont="1" applyFill="1" applyBorder="1" applyAlignment="1">
      <alignment horizontal="center"/>
    </xf>
    <xf numFmtId="0" fontId="8" fillId="0" borderId="0" xfId="0" applyFont="1" applyBorder="1"/>
    <xf numFmtId="168" fontId="8" fillId="0" borderId="0" xfId="0" applyNumberFormat="1" applyFont="1" applyBorder="1"/>
    <xf numFmtId="0" fontId="13" fillId="5" borderId="28" xfId="0" applyFont="1" applyFill="1" applyBorder="1"/>
    <xf numFmtId="0" fontId="13" fillId="5" borderId="25" xfId="0" applyFont="1" applyFill="1" applyBorder="1"/>
    <xf numFmtId="17" fontId="13" fillId="5" borderId="44" xfId="0" applyNumberFormat="1" applyFont="1" applyFill="1" applyBorder="1" applyAlignment="1">
      <alignment horizontal="center"/>
    </xf>
    <xf numFmtId="0" fontId="13" fillId="2" borderId="28" xfId="0" applyFont="1" applyFill="1" applyBorder="1"/>
    <xf numFmtId="0" fontId="13" fillId="2" borderId="25" xfId="0" applyFont="1" applyFill="1" applyBorder="1"/>
    <xf numFmtId="17" fontId="13" fillId="2" borderId="44" xfId="0" applyNumberFormat="1" applyFont="1" applyFill="1" applyBorder="1" applyAlignment="1">
      <alignment horizontal="center"/>
    </xf>
    <xf numFmtId="168" fontId="13" fillId="2" borderId="26" xfId="0" applyNumberFormat="1" applyFont="1" applyFill="1" applyBorder="1"/>
    <xf numFmtId="0" fontId="13" fillId="8" borderId="28" xfId="0" applyFont="1" applyFill="1" applyBorder="1"/>
    <xf numFmtId="17" fontId="13" fillId="8" borderId="44" xfId="0" applyNumberFormat="1" applyFont="1" applyFill="1" applyBorder="1" applyAlignment="1">
      <alignment horizontal="center"/>
    </xf>
    <xf numFmtId="168" fontId="13" fillId="8" borderId="26" xfId="0" applyNumberFormat="1" applyFont="1" applyFill="1" applyBorder="1"/>
    <xf numFmtId="0" fontId="19" fillId="0" borderId="12" xfId="12" applyFont="1" applyFill="1" applyBorder="1" applyAlignment="1">
      <alignment horizontal="left"/>
    </xf>
    <xf numFmtId="0" fontId="19" fillId="0" borderId="18" xfId="12" applyFont="1" applyFill="1" applyBorder="1"/>
    <xf numFmtId="0" fontId="19" fillId="0" borderId="15" xfId="12" applyFont="1" applyFill="1" applyBorder="1"/>
    <xf numFmtId="170" fontId="0" fillId="0" borderId="0" xfId="0" applyNumberFormat="1" applyFont="1" applyBorder="1" applyAlignment="1"/>
    <xf numFmtId="170" fontId="20" fillId="0" borderId="0" xfId="0" applyNumberFormat="1" applyFont="1" applyBorder="1" applyAlignment="1"/>
    <xf numFmtId="0" fontId="13" fillId="8" borderId="13" xfId="0" applyFont="1" applyFill="1" applyBorder="1"/>
    <xf numFmtId="0" fontId="19" fillId="0" borderId="18" xfId="12" applyFont="1" applyFill="1" applyBorder="1" applyAlignment="1">
      <alignment horizontal="left"/>
    </xf>
    <xf numFmtId="0" fontId="19" fillId="0" borderId="0" xfId="12" applyFont="1" applyFill="1" applyBorder="1"/>
    <xf numFmtId="0" fontId="13" fillId="8" borderId="44" xfId="0" applyFont="1" applyFill="1" applyBorder="1"/>
    <xf numFmtId="1" fontId="13" fillId="8" borderId="26" xfId="0" applyNumberFormat="1" applyFont="1" applyFill="1" applyBorder="1"/>
    <xf numFmtId="1" fontId="13" fillId="5" borderId="26" xfId="0" applyNumberFormat="1" applyFont="1" applyFill="1" applyBorder="1"/>
    <xf numFmtId="0" fontId="17" fillId="0" borderId="11" xfId="0" applyFont="1" applyFill="1" applyBorder="1" applyAlignment="1">
      <alignment horizontal="center" wrapText="1"/>
    </xf>
    <xf numFmtId="165" fontId="15" fillId="14" borderId="13" xfId="0" applyNumberFormat="1" applyFont="1" applyFill="1" applyBorder="1" applyAlignment="1">
      <alignment horizontal="center"/>
    </xf>
    <xf numFmtId="165" fontId="15" fillId="14" borderId="1" xfId="0" applyNumberFormat="1" applyFont="1" applyFill="1" applyBorder="1" applyAlignment="1">
      <alignment horizontal="center"/>
    </xf>
    <xf numFmtId="165" fontId="15" fillId="14" borderId="16" xfId="0" applyNumberFormat="1" applyFont="1" applyFill="1" applyBorder="1" applyAlignment="1">
      <alignment horizontal="center"/>
    </xf>
    <xf numFmtId="165" fontId="15" fillId="14" borderId="40" xfId="0" applyNumberFormat="1" applyFont="1" applyFill="1" applyBorder="1" applyAlignment="1">
      <alignment horizontal="center"/>
    </xf>
    <xf numFmtId="0" fontId="0" fillId="17" borderId="1" xfId="0" applyFont="1" applyFill="1" applyBorder="1"/>
    <xf numFmtId="165" fontId="15" fillId="14" borderId="11" xfId="0" applyNumberFormat="1" applyFont="1" applyFill="1" applyBorder="1" applyAlignment="1">
      <alignment horizontal="center"/>
    </xf>
    <xf numFmtId="165" fontId="15" fillId="14" borderId="9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15" fillId="0" borderId="1" xfId="0" applyNumberFormat="1" applyFont="1" applyFill="1" applyBorder="1"/>
    <xf numFmtId="9" fontId="2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9" fontId="2" fillId="2" borderId="1" xfId="1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0" borderId="9" xfId="0" applyFont="1" applyFill="1" applyBorder="1"/>
    <xf numFmtId="164" fontId="15" fillId="0" borderId="9" xfId="0" applyNumberFormat="1" applyFont="1" applyFill="1" applyBorder="1"/>
    <xf numFmtId="164" fontId="2" fillId="0" borderId="9" xfId="0" applyNumberFormat="1" applyFont="1" applyFill="1" applyBorder="1"/>
    <xf numFmtId="9" fontId="2" fillId="0" borderId="9" xfId="0" applyNumberFormat="1" applyFont="1" applyFill="1" applyBorder="1" applyAlignment="1">
      <alignment horizontal="center"/>
    </xf>
    <xf numFmtId="165" fontId="13" fillId="0" borderId="9" xfId="0" applyNumberFormat="1" applyFont="1" applyFill="1" applyBorder="1" applyAlignment="1">
      <alignment horizontal="center"/>
    </xf>
    <xf numFmtId="167" fontId="2" fillId="0" borderId="9" xfId="0" applyNumberFormat="1" applyFont="1" applyFill="1" applyBorder="1"/>
    <xf numFmtId="164" fontId="2" fillId="2" borderId="9" xfId="0" applyNumberFormat="1" applyFont="1" applyFill="1" applyBorder="1" applyAlignment="1">
      <alignment horizontal="center"/>
    </xf>
    <xf numFmtId="9" fontId="2" fillId="2" borderId="9" xfId="1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9" fontId="2" fillId="0" borderId="9" xfId="11" applyFont="1" applyFill="1" applyBorder="1" applyAlignment="1">
      <alignment horizontal="center"/>
    </xf>
    <xf numFmtId="0" fontId="21" fillId="0" borderId="12" xfId="0" applyFont="1" applyFill="1" applyBorder="1"/>
    <xf numFmtId="0" fontId="21" fillId="0" borderId="13" xfId="0" applyFont="1" applyFill="1" applyBorder="1"/>
    <xf numFmtId="164" fontId="21" fillId="0" borderId="13" xfId="0" applyNumberFormat="1" applyFont="1" applyFill="1" applyBorder="1"/>
    <xf numFmtId="9" fontId="21" fillId="0" borderId="13" xfId="0" applyNumberFormat="1" applyFont="1" applyFill="1" applyBorder="1" applyAlignment="1">
      <alignment horizontal="center"/>
    </xf>
    <xf numFmtId="165" fontId="21" fillId="0" borderId="13" xfId="0" applyNumberFormat="1" applyFont="1" applyFill="1" applyBorder="1" applyAlignment="1">
      <alignment horizontal="center"/>
    </xf>
    <xf numFmtId="167" fontId="21" fillId="0" borderId="13" xfId="0" applyNumberFormat="1" applyFont="1" applyFill="1" applyBorder="1"/>
    <xf numFmtId="164" fontId="21" fillId="2" borderId="13" xfId="0" applyNumberFormat="1" applyFont="1" applyFill="1" applyBorder="1" applyAlignment="1">
      <alignment horizontal="center"/>
    </xf>
    <xf numFmtId="9" fontId="21" fillId="2" borderId="13" xfId="11" applyFont="1" applyFill="1" applyBorder="1" applyAlignment="1">
      <alignment horizontal="center"/>
    </xf>
    <xf numFmtId="9" fontId="21" fillId="0" borderId="13" xfId="11" applyFont="1" applyFill="1" applyBorder="1" applyAlignment="1">
      <alignment horizontal="center"/>
    </xf>
    <xf numFmtId="165" fontId="22" fillId="14" borderId="13" xfId="0" applyNumberFormat="1" applyFont="1" applyFill="1" applyBorder="1" applyAlignment="1">
      <alignment horizontal="center"/>
    </xf>
    <xf numFmtId="0" fontId="21" fillId="0" borderId="18" xfId="0" applyFont="1" applyFill="1" applyBorder="1"/>
    <xf numFmtId="0" fontId="21" fillId="0" borderId="1" xfId="0" applyFont="1" applyFill="1" applyBorder="1"/>
    <xf numFmtId="164" fontId="21" fillId="14" borderId="1" xfId="0" applyNumberFormat="1" applyFont="1" applyFill="1" applyBorder="1"/>
    <xf numFmtId="164" fontId="21" fillId="0" borderId="1" xfId="0" applyNumberFormat="1" applyFont="1" applyFill="1" applyBorder="1"/>
    <xf numFmtId="9" fontId="21" fillId="0" borderId="1" xfId="0" applyNumberFormat="1" applyFont="1" applyFill="1" applyBorder="1" applyAlignment="1">
      <alignment horizontal="center"/>
    </xf>
    <xf numFmtId="165" fontId="21" fillId="0" borderId="1" xfId="0" applyNumberFormat="1" applyFont="1" applyFill="1" applyBorder="1" applyAlignment="1">
      <alignment horizontal="center"/>
    </xf>
    <xf numFmtId="167" fontId="21" fillId="0" borderId="1" xfId="0" applyNumberFormat="1" applyFont="1" applyFill="1" applyBorder="1"/>
    <xf numFmtId="164" fontId="21" fillId="2" borderId="1" xfId="0" applyNumberFormat="1" applyFont="1" applyFill="1" applyBorder="1" applyAlignment="1">
      <alignment horizontal="center"/>
    </xf>
    <xf numFmtId="9" fontId="21" fillId="2" borderId="1" xfId="11" applyFont="1" applyFill="1" applyBorder="1" applyAlignment="1">
      <alignment horizontal="center"/>
    </xf>
    <xf numFmtId="165" fontId="21" fillId="0" borderId="45" xfId="0" applyNumberFormat="1" applyFont="1" applyFill="1" applyBorder="1" applyAlignment="1">
      <alignment horizontal="center"/>
    </xf>
    <xf numFmtId="9" fontId="21" fillId="0" borderId="1" xfId="11" applyFont="1" applyFill="1" applyBorder="1" applyAlignment="1">
      <alignment horizontal="center"/>
    </xf>
    <xf numFmtId="165" fontId="22" fillId="14" borderId="1" xfId="0" applyNumberFormat="1" applyFont="1" applyFill="1" applyBorder="1" applyAlignment="1">
      <alignment horizontal="center"/>
    </xf>
    <xf numFmtId="165" fontId="21" fillId="0" borderId="9" xfId="0" applyNumberFormat="1" applyFont="1" applyFill="1" applyBorder="1" applyAlignment="1">
      <alignment horizontal="center"/>
    </xf>
    <xf numFmtId="0" fontId="21" fillId="0" borderId="15" xfId="0" applyFont="1" applyFill="1" applyBorder="1"/>
    <xf numFmtId="0" fontId="21" fillId="0" borderId="16" xfId="0" applyFont="1" applyFill="1" applyBorder="1"/>
    <xf numFmtId="164" fontId="21" fillId="0" borderId="16" xfId="0" applyNumberFormat="1" applyFont="1" applyFill="1" applyBorder="1"/>
    <xf numFmtId="9" fontId="21" fillId="0" borderId="16" xfId="0" applyNumberFormat="1" applyFont="1" applyFill="1" applyBorder="1" applyAlignment="1">
      <alignment horizontal="center"/>
    </xf>
    <xf numFmtId="165" fontId="21" fillId="0" borderId="16" xfId="0" applyNumberFormat="1" applyFont="1" applyFill="1" applyBorder="1" applyAlignment="1">
      <alignment horizontal="center"/>
    </xf>
    <xf numFmtId="167" fontId="21" fillId="0" borderId="16" xfId="0" applyNumberFormat="1" applyFont="1" applyFill="1" applyBorder="1"/>
    <xf numFmtId="164" fontId="21" fillId="2" borderId="16" xfId="0" applyNumberFormat="1" applyFont="1" applyFill="1" applyBorder="1" applyAlignment="1">
      <alignment horizontal="center"/>
    </xf>
    <xf numFmtId="9" fontId="21" fillId="2" borderId="16" xfId="11" applyFont="1" applyFill="1" applyBorder="1" applyAlignment="1">
      <alignment horizontal="center"/>
    </xf>
    <xf numFmtId="9" fontId="21" fillId="0" borderId="16" xfId="11" applyFont="1" applyFill="1" applyBorder="1" applyAlignment="1">
      <alignment horizontal="center"/>
    </xf>
    <xf numFmtId="165" fontId="22" fillId="14" borderId="16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 vertical="center" wrapText="1"/>
    </xf>
    <xf numFmtId="9" fontId="17" fillId="0" borderId="0" xfId="11" applyFont="1"/>
    <xf numFmtId="164" fontId="14" fillId="0" borderId="35" xfId="0" applyNumberFormat="1" applyFont="1" applyFill="1" applyBorder="1"/>
    <xf numFmtId="164" fontId="14" fillId="0" borderId="40" xfId="0" applyNumberFormat="1" applyFont="1" applyFill="1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  <cellStyle name="Normal 2" xfId="12"/>
    <cellStyle name="Porcentaje" xfId="11" builtinId="5"/>
  </cellStyles>
  <dxfs count="0"/>
  <tableStyles count="0" defaultTableStyle="TableStyleMedium9" defaultPivotStyle="PivotStyleMedium4"/>
  <colors>
    <mruColors>
      <color rgb="FF00FF00"/>
      <color rgb="FF9933FF"/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38"/>
  <sheetViews>
    <sheetView topLeftCell="D1" zoomScale="80" zoomScaleNormal="80" workbookViewId="0">
      <pane ySplit="2" topLeftCell="A3" activePane="bottomLeft" state="frozen"/>
      <selection activeCell="C1" sqref="C1"/>
      <selection pane="bottomLeft" activeCell="P3" sqref="P3"/>
    </sheetView>
  </sheetViews>
  <sheetFormatPr baseColWidth="10" defaultRowHeight="15.75" x14ac:dyDescent="0.25"/>
  <cols>
    <col min="1" max="1" width="3.25" customWidth="1"/>
    <col min="2" max="2" width="33.25" customWidth="1"/>
    <col min="3" max="3" width="15.375" bestFit="1" customWidth="1"/>
    <col min="4" max="4" width="7.875" style="31" bestFit="1" customWidth="1"/>
    <col min="5" max="5" width="16" bestFit="1" customWidth="1"/>
    <col min="6" max="6" width="6.625" customWidth="1"/>
    <col min="7" max="7" width="6" customWidth="1"/>
    <col min="9" max="9" width="11" style="26"/>
    <col min="10" max="10" width="20.5" customWidth="1"/>
    <col min="11" max="14" width="11" customWidth="1"/>
  </cols>
  <sheetData>
    <row r="1" spans="1:20" x14ac:dyDescent="0.25">
      <c r="L1" s="15"/>
      <c r="P1" s="14"/>
    </row>
    <row r="2" spans="1:20" x14ac:dyDescent="0.25">
      <c r="B2" s="4" t="s">
        <v>26</v>
      </c>
      <c r="C2" s="3"/>
      <c r="D2" s="32" t="s">
        <v>27</v>
      </c>
      <c r="E2" s="3" t="s">
        <v>28</v>
      </c>
      <c r="H2" s="1"/>
      <c r="I2" s="8" t="s">
        <v>73</v>
      </c>
      <c r="J2" s="5" t="s">
        <v>25</v>
      </c>
      <c r="K2" s="8" t="s">
        <v>27</v>
      </c>
      <c r="L2" s="8" t="s">
        <v>49</v>
      </c>
      <c r="M2" s="8" t="s">
        <v>50</v>
      </c>
      <c r="N2" s="8" t="s">
        <v>59</v>
      </c>
      <c r="O2" s="8" t="s">
        <v>60</v>
      </c>
      <c r="P2" s="75" t="s">
        <v>235</v>
      </c>
      <c r="Q2" s="8" t="s">
        <v>63</v>
      </c>
      <c r="R2" s="8" t="s">
        <v>64</v>
      </c>
      <c r="S2" s="8" t="s">
        <v>65</v>
      </c>
      <c r="T2" s="8" t="s">
        <v>66</v>
      </c>
    </row>
    <row r="3" spans="1:20" x14ac:dyDescent="0.25">
      <c r="B3" s="1" t="s">
        <v>0</v>
      </c>
      <c r="C3" s="1" t="s">
        <v>19</v>
      </c>
      <c r="D3" s="33">
        <v>3.5</v>
      </c>
      <c r="E3" s="2">
        <f>D3</f>
        <v>3.5</v>
      </c>
      <c r="H3" s="19">
        <v>1</v>
      </c>
      <c r="I3" s="20" t="s">
        <v>85</v>
      </c>
      <c r="J3" s="19" t="s">
        <v>29</v>
      </c>
      <c r="K3" s="53">
        <f>E3+(E18*2)</f>
        <v>17.1128</v>
      </c>
      <c r="L3" s="61">
        <v>45</v>
      </c>
      <c r="M3" s="54">
        <f t="shared" ref="M3:M34" si="0">K3/L3</f>
        <v>0.38028444444444442</v>
      </c>
      <c r="N3" s="55">
        <f t="shared" ref="N3:N34" si="1">K3*3.4</f>
        <v>58.183520000000001</v>
      </c>
      <c r="O3" s="56">
        <f t="shared" ref="O3:O34" si="2">L3-N3</f>
        <v>-13.183520000000001</v>
      </c>
      <c r="P3" s="76">
        <v>48</v>
      </c>
      <c r="Q3" s="53">
        <v>50</v>
      </c>
      <c r="R3" s="57">
        <v>55</v>
      </c>
      <c r="S3" s="58">
        <f t="shared" ref="S3:S34" si="3">K3/R3</f>
        <v>0.31114181818181819</v>
      </c>
      <c r="T3" s="59">
        <f t="shared" ref="T3:T34" si="4">R3-N3</f>
        <v>-3.1835200000000015</v>
      </c>
    </row>
    <row r="4" spans="1:20" x14ac:dyDescent="0.25">
      <c r="B4" s="1" t="s">
        <v>1</v>
      </c>
      <c r="C4" s="1" t="s">
        <v>19</v>
      </c>
      <c r="D4" s="33">
        <v>2.5</v>
      </c>
      <c r="E4" s="2">
        <f>D4</f>
        <v>2.5</v>
      </c>
      <c r="H4" s="19">
        <v>2</v>
      </c>
      <c r="I4" s="20" t="s">
        <v>87</v>
      </c>
      <c r="J4" s="19" t="s">
        <v>31</v>
      </c>
      <c r="K4" s="53">
        <f>E3+(E19*6)</f>
        <v>22.700000000000003</v>
      </c>
      <c r="L4" s="61">
        <v>55</v>
      </c>
      <c r="M4" s="54">
        <f t="shared" si="0"/>
        <v>0.41272727272727278</v>
      </c>
      <c r="N4" s="55">
        <f t="shared" si="1"/>
        <v>77.180000000000007</v>
      </c>
      <c r="O4" s="56">
        <f t="shared" si="2"/>
        <v>-22.180000000000007</v>
      </c>
      <c r="P4" s="76">
        <v>58</v>
      </c>
      <c r="Q4" s="53">
        <v>65</v>
      </c>
      <c r="R4" s="57">
        <v>75</v>
      </c>
      <c r="S4" s="58">
        <f t="shared" si="3"/>
        <v>0.30266666666666669</v>
      </c>
      <c r="T4" s="59">
        <f t="shared" si="4"/>
        <v>-2.1800000000000068</v>
      </c>
    </row>
    <row r="5" spans="1:20" x14ac:dyDescent="0.25">
      <c r="B5" s="1" t="s">
        <v>2</v>
      </c>
      <c r="C5" s="1" t="s">
        <v>19</v>
      </c>
      <c r="D5" s="33">
        <v>2</v>
      </c>
      <c r="E5" s="2">
        <f>D5</f>
        <v>2</v>
      </c>
      <c r="H5" s="19">
        <v>3</v>
      </c>
      <c r="I5" s="20" t="s">
        <v>87</v>
      </c>
      <c r="J5" s="19" t="s">
        <v>32</v>
      </c>
      <c r="K5" s="53">
        <f>E3+(E23*2)</f>
        <v>18</v>
      </c>
      <c r="L5" s="61">
        <v>55</v>
      </c>
      <c r="M5" s="54">
        <f t="shared" si="0"/>
        <v>0.32727272727272727</v>
      </c>
      <c r="N5" s="55">
        <f t="shared" si="1"/>
        <v>61.199999999999996</v>
      </c>
      <c r="O5" s="56">
        <f t="shared" si="2"/>
        <v>-6.1999999999999957</v>
      </c>
      <c r="P5" s="76">
        <v>58</v>
      </c>
      <c r="Q5" s="53">
        <v>60</v>
      </c>
      <c r="R5" s="57">
        <v>65</v>
      </c>
      <c r="S5" s="58">
        <f t="shared" si="3"/>
        <v>0.27692307692307694</v>
      </c>
      <c r="T5" s="59">
        <f t="shared" si="4"/>
        <v>3.8000000000000043</v>
      </c>
    </row>
    <row r="6" spans="1:20" x14ac:dyDescent="0.25">
      <c r="B6" s="16" t="s">
        <v>75</v>
      </c>
      <c r="C6" s="1" t="s">
        <v>18</v>
      </c>
      <c r="D6" s="34">
        <v>18</v>
      </c>
      <c r="E6" s="2">
        <f>D6/10</f>
        <v>1.8</v>
      </c>
      <c r="H6" s="19">
        <v>4</v>
      </c>
      <c r="I6" s="20" t="s">
        <v>86</v>
      </c>
      <c r="J6" s="19" t="s">
        <v>33</v>
      </c>
      <c r="K6" s="53">
        <f>E3+(E24*2)</f>
        <v>20.928571428571427</v>
      </c>
      <c r="L6" s="61">
        <v>45</v>
      </c>
      <c r="M6" s="54">
        <f t="shared" si="0"/>
        <v>0.46507936507936504</v>
      </c>
      <c r="N6" s="55">
        <f t="shared" si="1"/>
        <v>71.157142857142844</v>
      </c>
      <c r="O6" s="56">
        <f t="shared" si="2"/>
        <v>-26.157142857142844</v>
      </c>
      <c r="P6" s="76">
        <v>58</v>
      </c>
      <c r="Q6" s="53">
        <v>55</v>
      </c>
      <c r="R6" s="57">
        <v>69</v>
      </c>
      <c r="S6" s="58">
        <f t="shared" si="3"/>
        <v>0.30331262939958592</v>
      </c>
      <c r="T6" s="59">
        <f t="shared" si="4"/>
        <v>-2.1571428571428442</v>
      </c>
    </row>
    <row r="7" spans="1:20" x14ac:dyDescent="0.25">
      <c r="A7" s="18"/>
      <c r="B7" s="16" t="s">
        <v>74</v>
      </c>
      <c r="C7" s="1" t="s">
        <v>76</v>
      </c>
      <c r="D7" s="34">
        <v>12</v>
      </c>
      <c r="E7" s="2">
        <f>D7/14</f>
        <v>0.8571428571428571</v>
      </c>
      <c r="H7" s="19">
        <v>5</v>
      </c>
      <c r="I7" s="19" t="s">
        <v>86</v>
      </c>
      <c r="J7" s="19" t="s">
        <v>34</v>
      </c>
      <c r="K7" s="53">
        <f>E3+(E25*2)</f>
        <v>14.642857142857142</v>
      </c>
      <c r="L7" s="61">
        <v>45</v>
      </c>
      <c r="M7" s="54">
        <f t="shared" si="0"/>
        <v>0.32539682539682541</v>
      </c>
      <c r="N7" s="55">
        <f t="shared" si="1"/>
        <v>49.785714285714285</v>
      </c>
      <c r="O7" s="60">
        <f t="shared" si="2"/>
        <v>-4.7857142857142847</v>
      </c>
      <c r="P7" s="53">
        <v>60</v>
      </c>
      <c r="Q7" s="53">
        <v>50</v>
      </c>
      <c r="R7" s="57">
        <v>53</v>
      </c>
      <c r="S7" s="58">
        <f t="shared" si="3"/>
        <v>0.27628032345013476</v>
      </c>
      <c r="T7" s="59">
        <f t="shared" si="4"/>
        <v>3.2142857142857153</v>
      </c>
    </row>
    <row r="8" spans="1:20" x14ac:dyDescent="0.25">
      <c r="B8" s="16" t="s">
        <v>77</v>
      </c>
      <c r="C8" s="1" t="s">
        <v>18</v>
      </c>
      <c r="D8" s="34">
        <v>16.5</v>
      </c>
      <c r="E8" s="2">
        <f>D8/10</f>
        <v>1.65</v>
      </c>
      <c r="H8" s="19">
        <v>6</v>
      </c>
      <c r="I8" s="19" t="s">
        <v>85</v>
      </c>
      <c r="J8" s="19" t="s">
        <v>72</v>
      </c>
      <c r="K8" s="53">
        <f>E3+(E26*2)</f>
        <v>24.214285714285715</v>
      </c>
      <c r="L8" s="61">
        <v>75</v>
      </c>
      <c r="M8" s="54">
        <f t="shared" si="0"/>
        <v>0.3228571428571429</v>
      </c>
      <c r="N8" s="55">
        <f t="shared" si="1"/>
        <v>82.328571428571436</v>
      </c>
      <c r="O8" s="56">
        <f t="shared" si="2"/>
        <v>-7.3285714285714363</v>
      </c>
      <c r="P8" s="53">
        <v>65</v>
      </c>
      <c r="Q8" s="53">
        <v>75</v>
      </c>
      <c r="R8" s="57">
        <v>80</v>
      </c>
      <c r="S8" s="58">
        <f t="shared" si="3"/>
        <v>0.30267857142857146</v>
      </c>
      <c r="T8" s="59">
        <f t="shared" si="4"/>
        <v>-2.3285714285714363</v>
      </c>
    </row>
    <row r="9" spans="1:20" x14ac:dyDescent="0.25">
      <c r="B9" s="16" t="s">
        <v>3</v>
      </c>
      <c r="C9" s="1" t="s">
        <v>18</v>
      </c>
      <c r="D9" s="34">
        <v>13.5</v>
      </c>
      <c r="E9" s="2">
        <f>D9/10</f>
        <v>1.35</v>
      </c>
      <c r="H9" s="19">
        <v>7</v>
      </c>
      <c r="I9" s="20" t="s">
        <v>90</v>
      </c>
      <c r="J9" s="19" t="s">
        <v>40</v>
      </c>
      <c r="K9" s="53">
        <f>E3+(E21*2)</f>
        <v>17.149999999999999</v>
      </c>
      <c r="L9" s="61">
        <v>45</v>
      </c>
      <c r="M9" s="54">
        <f t="shared" si="0"/>
        <v>0.38111111111111107</v>
      </c>
      <c r="N9" s="55">
        <f t="shared" si="1"/>
        <v>58.309999999999995</v>
      </c>
      <c r="O9" s="56">
        <f t="shared" si="2"/>
        <v>-13.309999999999995</v>
      </c>
      <c r="P9" s="76">
        <v>48</v>
      </c>
      <c r="Q9" s="53">
        <v>50</v>
      </c>
      <c r="R9" s="57">
        <v>55</v>
      </c>
      <c r="S9" s="58">
        <f t="shared" si="3"/>
        <v>0.31181818181818177</v>
      </c>
      <c r="T9" s="59">
        <f t="shared" si="4"/>
        <v>-3.3099999999999952</v>
      </c>
    </row>
    <row r="10" spans="1:20" x14ac:dyDescent="0.25">
      <c r="B10" s="1" t="s">
        <v>4</v>
      </c>
      <c r="C10" s="1" t="s">
        <v>21</v>
      </c>
      <c r="D10" s="33">
        <v>100</v>
      </c>
      <c r="E10" s="2">
        <f>D10/100</f>
        <v>1</v>
      </c>
      <c r="H10" s="19">
        <v>8</v>
      </c>
      <c r="I10" s="20" t="s">
        <v>88</v>
      </c>
      <c r="J10" s="19" t="s">
        <v>232</v>
      </c>
      <c r="K10" s="53">
        <f>E3+(E19*6)+E22</f>
        <v>28.950000000000003</v>
      </c>
      <c r="L10" s="53">
        <v>60</v>
      </c>
      <c r="M10" s="54">
        <f t="shared" si="0"/>
        <v>0.48250000000000004</v>
      </c>
      <c r="N10" s="55">
        <f t="shared" si="1"/>
        <v>98.43</v>
      </c>
      <c r="O10" s="56">
        <f t="shared" si="2"/>
        <v>-38.430000000000007</v>
      </c>
      <c r="P10" s="76">
        <v>60</v>
      </c>
      <c r="Q10" s="53">
        <v>65</v>
      </c>
      <c r="R10" s="57">
        <v>75</v>
      </c>
      <c r="S10" s="58">
        <f t="shared" si="3"/>
        <v>0.38600000000000007</v>
      </c>
      <c r="T10" s="59">
        <f t="shared" si="4"/>
        <v>-23.430000000000007</v>
      </c>
    </row>
    <row r="11" spans="1:20" x14ac:dyDescent="0.25">
      <c r="B11" s="1" t="s">
        <v>7</v>
      </c>
      <c r="C11" s="1" t="s">
        <v>21</v>
      </c>
      <c r="D11" s="33">
        <v>85</v>
      </c>
      <c r="E11" s="2">
        <f>D11/100</f>
        <v>0.85</v>
      </c>
      <c r="H11" s="19">
        <v>9</v>
      </c>
      <c r="I11" s="20" t="s">
        <v>90</v>
      </c>
      <c r="J11" s="19" t="s">
        <v>91</v>
      </c>
      <c r="K11" s="53">
        <f>E3+(E27*2)</f>
        <v>15.346153846153847</v>
      </c>
      <c r="L11" s="53">
        <v>48</v>
      </c>
      <c r="M11" s="54">
        <f t="shared" si="0"/>
        <v>0.31971153846153849</v>
      </c>
      <c r="N11" s="55">
        <f t="shared" si="1"/>
        <v>52.176923076923075</v>
      </c>
      <c r="O11" s="56">
        <f t="shared" si="2"/>
        <v>-4.1769230769230745</v>
      </c>
      <c r="P11" s="76">
        <v>48</v>
      </c>
      <c r="Q11" s="53">
        <v>50</v>
      </c>
      <c r="R11" s="57">
        <v>55</v>
      </c>
      <c r="S11" s="58">
        <f t="shared" si="3"/>
        <v>0.27902097902097905</v>
      </c>
      <c r="T11" s="59">
        <f t="shared" si="4"/>
        <v>2.8230769230769255</v>
      </c>
    </row>
    <row r="12" spans="1:20" x14ac:dyDescent="0.25">
      <c r="B12" s="1" t="s">
        <v>5</v>
      </c>
      <c r="C12" s="1" t="s">
        <v>17</v>
      </c>
      <c r="D12" s="33">
        <v>35</v>
      </c>
      <c r="E12" s="2">
        <f>D12/25</f>
        <v>1.4</v>
      </c>
      <c r="H12" s="63">
        <v>10</v>
      </c>
      <c r="I12" s="20" t="s">
        <v>85</v>
      </c>
      <c r="J12" s="63" t="s">
        <v>30</v>
      </c>
      <c r="K12" s="64">
        <f>E4+E18</f>
        <v>9.3064</v>
      </c>
      <c r="L12" s="61">
        <v>26</v>
      </c>
      <c r="M12" s="65">
        <f t="shared" si="0"/>
        <v>0.35793846153846154</v>
      </c>
      <c r="N12" s="66">
        <f t="shared" si="1"/>
        <v>31.641759999999998</v>
      </c>
      <c r="O12" s="67">
        <f t="shared" si="2"/>
        <v>-5.6417599999999979</v>
      </c>
      <c r="P12" s="76">
        <v>27</v>
      </c>
      <c r="Q12" s="64">
        <v>28</v>
      </c>
      <c r="R12" s="68">
        <v>30</v>
      </c>
      <c r="S12" s="69">
        <f t="shared" si="3"/>
        <v>0.31021333333333334</v>
      </c>
      <c r="T12" s="70">
        <f t="shared" si="4"/>
        <v>-1.6417599999999979</v>
      </c>
    </row>
    <row r="13" spans="1:20" x14ac:dyDescent="0.25">
      <c r="B13" s="1" t="s">
        <v>6</v>
      </c>
      <c r="C13" s="1" t="s">
        <v>17</v>
      </c>
      <c r="D13" s="33">
        <v>45</v>
      </c>
      <c r="E13" s="2">
        <f>D13/25</f>
        <v>1.8</v>
      </c>
      <c r="H13" s="63">
        <v>11</v>
      </c>
      <c r="I13" s="20" t="s">
        <v>87</v>
      </c>
      <c r="J13" s="63" t="s">
        <v>35</v>
      </c>
      <c r="K13" s="64">
        <f>E4+(E19*3)</f>
        <v>12.100000000000001</v>
      </c>
      <c r="L13" s="61">
        <v>31</v>
      </c>
      <c r="M13" s="65">
        <f t="shared" si="0"/>
        <v>0.39032258064516134</v>
      </c>
      <c r="N13" s="66">
        <f t="shared" si="1"/>
        <v>41.14</v>
      </c>
      <c r="O13" s="67">
        <f t="shared" si="2"/>
        <v>-10.14</v>
      </c>
      <c r="P13" s="76">
        <v>32</v>
      </c>
      <c r="Q13" s="64">
        <v>35</v>
      </c>
      <c r="R13" s="68">
        <v>39</v>
      </c>
      <c r="S13" s="69">
        <f t="shared" si="3"/>
        <v>0.31025641025641032</v>
      </c>
      <c r="T13" s="70">
        <f t="shared" si="4"/>
        <v>-2.1400000000000006</v>
      </c>
    </row>
    <row r="14" spans="1:20" x14ac:dyDescent="0.25">
      <c r="B14" s="1" t="s">
        <v>99</v>
      </c>
      <c r="C14" s="1" t="s">
        <v>21</v>
      </c>
      <c r="D14" s="33">
        <v>50</v>
      </c>
      <c r="E14" s="2">
        <f>D14/100</f>
        <v>0.5</v>
      </c>
      <c r="H14" s="63">
        <v>12</v>
      </c>
      <c r="I14" s="20" t="s">
        <v>87</v>
      </c>
      <c r="J14" s="63" t="s">
        <v>36</v>
      </c>
      <c r="K14" s="64">
        <f>E4+E23</f>
        <v>9.75</v>
      </c>
      <c r="L14" s="61">
        <v>31</v>
      </c>
      <c r="M14" s="65">
        <f t="shared" si="0"/>
        <v>0.31451612903225806</v>
      </c>
      <c r="N14" s="66">
        <f t="shared" si="1"/>
        <v>33.15</v>
      </c>
      <c r="O14" s="67">
        <f t="shared" si="2"/>
        <v>-2.1499999999999986</v>
      </c>
      <c r="P14" s="76">
        <v>32</v>
      </c>
      <c r="Q14" s="64">
        <v>33</v>
      </c>
      <c r="R14" s="68">
        <v>35</v>
      </c>
      <c r="S14" s="69">
        <f t="shared" si="3"/>
        <v>0.27857142857142858</v>
      </c>
      <c r="T14" s="70">
        <f t="shared" si="4"/>
        <v>1.8500000000000014</v>
      </c>
    </row>
    <row r="15" spans="1:20" x14ac:dyDescent="0.25">
      <c r="A15" s="18"/>
      <c r="B15" s="1" t="s">
        <v>20</v>
      </c>
      <c r="C15" s="1" t="s">
        <v>22</v>
      </c>
      <c r="D15" s="34">
        <v>12</v>
      </c>
      <c r="E15" s="2">
        <f>D15/35</f>
        <v>0.34285714285714286</v>
      </c>
      <c r="H15" s="63">
        <v>13</v>
      </c>
      <c r="I15" s="20" t="s">
        <v>85</v>
      </c>
      <c r="J15" s="63" t="s">
        <v>37</v>
      </c>
      <c r="K15" s="64">
        <f>E4+E24</f>
        <v>11.214285714285714</v>
      </c>
      <c r="L15" s="61">
        <v>26</v>
      </c>
      <c r="M15" s="65">
        <f t="shared" si="0"/>
        <v>0.43131868131868129</v>
      </c>
      <c r="N15" s="66">
        <f t="shared" si="1"/>
        <v>38.128571428571426</v>
      </c>
      <c r="O15" s="67">
        <f t="shared" si="2"/>
        <v>-12.128571428571426</v>
      </c>
      <c r="P15" s="76">
        <v>35</v>
      </c>
      <c r="Q15" s="64">
        <v>35</v>
      </c>
      <c r="R15" s="68">
        <v>37</v>
      </c>
      <c r="S15" s="69">
        <f t="shared" si="3"/>
        <v>0.30308880308880309</v>
      </c>
      <c r="T15" s="70">
        <f t="shared" si="4"/>
        <v>-1.1285714285714263</v>
      </c>
    </row>
    <row r="16" spans="1:20" x14ac:dyDescent="0.25">
      <c r="H16" s="63">
        <v>14</v>
      </c>
      <c r="I16" s="63" t="s">
        <v>86</v>
      </c>
      <c r="J16" s="63" t="s">
        <v>38</v>
      </c>
      <c r="K16" s="64">
        <f>E4+E25</f>
        <v>8.0714285714285712</v>
      </c>
      <c r="L16" s="61">
        <v>26</v>
      </c>
      <c r="M16" s="65">
        <f t="shared" si="0"/>
        <v>0.31043956043956045</v>
      </c>
      <c r="N16" s="66">
        <f t="shared" si="1"/>
        <v>27.44285714285714</v>
      </c>
      <c r="O16" s="67">
        <f t="shared" si="2"/>
        <v>-1.4428571428571395</v>
      </c>
      <c r="P16" s="64">
        <v>30</v>
      </c>
      <c r="Q16" s="64">
        <v>30</v>
      </c>
      <c r="R16" s="68">
        <v>30</v>
      </c>
      <c r="S16" s="69">
        <f t="shared" si="3"/>
        <v>0.26904761904761904</v>
      </c>
      <c r="T16" s="70">
        <f t="shared" si="4"/>
        <v>2.5571428571428605</v>
      </c>
    </row>
    <row r="17" spans="2:20" x14ac:dyDescent="0.25">
      <c r="B17" s="4" t="s">
        <v>42</v>
      </c>
      <c r="C17" s="4"/>
      <c r="D17" s="35"/>
      <c r="E17" s="4"/>
      <c r="H17" s="63">
        <v>15</v>
      </c>
      <c r="I17" s="63" t="s">
        <v>85</v>
      </c>
      <c r="J17" s="63" t="s">
        <v>39</v>
      </c>
      <c r="K17" s="64">
        <f>E4+E26</f>
        <v>12.857142857142858</v>
      </c>
      <c r="L17" s="61">
        <v>31</v>
      </c>
      <c r="M17" s="65">
        <f t="shared" si="0"/>
        <v>0.41474654377880188</v>
      </c>
      <c r="N17" s="66">
        <f t="shared" si="1"/>
        <v>43.714285714285715</v>
      </c>
      <c r="O17" s="67">
        <f t="shared" si="2"/>
        <v>-12.714285714285715</v>
      </c>
      <c r="P17" s="64">
        <v>35</v>
      </c>
      <c r="Q17" s="64">
        <v>38</v>
      </c>
      <c r="R17" s="68">
        <v>42</v>
      </c>
      <c r="S17" s="69">
        <f t="shared" si="3"/>
        <v>0.30612244897959184</v>
      </c>
      <c r="T17" s="70">
        <f t="shared" si="4"/>
        <v>-1.7142857142857153</v>
      </c>
    </row>
    <row r="18" spans="2:20" x14ac:dyDescent="0.25">
      <c r="B18" s="1" t="s">
        <v>8</v>
      </c>
      <c r="C18" s="1" t="s">
        <v>23</v>
      </c>
      <c r="D18" s="33">
        <f>+E42</f>
        <v>113.44</v>
      </c>
      <c r="E18" s="2">
        <f>D18*0.06</f>
        <v>6.8064</v>
      </c>
      <c r="H18" s="63">
        <v>16</v>
      </c>
      <c r="I18" s="20" t="s">
        <v>90</v>
      </c>
      <c r="J18" s="63" t="s">
        <v>41</v>
      </c>
      <c r="K18" s="64">
        <f>E4+E21</f>
        <v>9.3249999999999993</v>
      </c>
      <c r="L18" s="61">
        <v>26</v>
      </c>
      <c r="M18" s="65">
        <f t="shared" si="0"/>
        <v>0.3586538461538461</v>
      </c>
      <c r="N18" s="66">
        <f t="shared" si="1"/>
        <v>31.704999999999998</v>
      </c>
      <c r="O18" s="67">
        <f t="shared" si="2"/>
        <v>-5.7049999999999983</v>
      </c>
      <c r="P18" s="76">
        <v>27</v>
      </c>
      <c r="Q18" s="64">
        <v>30</v>
      </c>
      <c r="R18" s="68">
        <v>30</v>
      </c>
      <c r="S18" s="69">
        <f t="shared" si="3"/>
        <v>0.31083333333333329</v>
      </c>
      <c r="T18" s="70">
        <f t="shared" si="4"/>
        <v>-1.7049999999999983</v>
      </c>
    </row>
    <row r="19" spans="2:20" x14ac:dyDescent="0.25">
      <c r="B19" s="1" t="s">
        <v>12</v>
      </c>
      <c r="C19" s="1" t="s">
        <v>24</v>
      </c>
      <c r="D19" s="33">
        <v>208</v>
      </c>
      <c r="E19" s="2">
        <f>D19/65</f>
        <v>3.2</v>
      </c>
      <c r="F19" s="7"/>
      <c r="H19" s="63">
        <v>17</v>
      </c>
      <c r="I19" s="20" t="s">
        <v>88</v>
      </c>
      <c r="J19" s="63" t="s">
        <v>233</v>
      </c>
      <c r="K19" s="64">
        <f>E4+(E19*3)+E22</f>
        <v>18.350000000000001</v>
      </c>
      <c r="L19" s="64">
        <v>33</v>
      </c>
      <c r="M19" s="65">
        <f t="shared" si="0"/>
        <v>0.55606060606060614</v>
      </c>
      <c r="N19" s="66">
        <f t="shared" si="1"/>
        <v>62.39</v>
      </c>
      <c r="O19" s="67">
        <f t="shared" si="2"/>
        <v>-29.39</v>
      </c>
      <c r="P19" s="76">
        <v>33</v>
      </c>
      <c r="Q19" s="64">
        <v>35</v>
      </c>
      <c r="R19" s="68">
        <v>39</v>
      </c>
      <c r="S19" s="69">
        <f t="shared" si="3"/>
        <v>0.47051282051282056</v>
      </c>
      <c r="T19" s="70">
        <f t="shared" si="4"/>
        <v>-23.39</v>
      </c>
    </row>
    <row r="20" spans="2:20" x14ac:dyDescent="0.25">
      <c r="B20" s="1" t="s">
        <v>11</v>
      </c>
      <c r="C20" s="1" t="s">
        <v>62</v>
      </c>
      <c r="D20" s="34">
        <v>208</v>
      </c>
      <c r="E20" s="2">
        <f>D20/12</f>
        <v>17.333333333333332</v>
      </c>
      <c r="F20" s="7"/>
      <c r="H20" s="63">
        <v>18</v>
      </c>
      <c r="I20" s="20" t="s">
        <v>90</v>
      </c>
      <c r="J20" s="63" t="s">
        <v>92</v>
      </c>
      <c r="K20" s="64">
        <f>E4+E27</f>
        <v>8.4230769230769234</v>
      </c>
      <c r="L20" s="64">
        <v>27</v>
      </c>
      <c r="M20" s="65">
        <f t="shared" si="0"/>
        <v>0.31196581196581197</v>
      </c>
      <c r="N20" s="66">
        <f t="shared" si="1"/>
        <v>28.638461538461538</v>
      </c>
      <c r="O20" s="67">
        <f t="shared" si="2"/>
        <v>-1.638461538461538</v>
      </c>
      <c r="P20" s="76">
        <v>27</v>
      </c>
      <c r="Q20" s="64">
        <v>30</v>
      </c>
      <c r="R20" s="68">
        <v>30</v>
      </c>
      <c r="S20" s="69">
        <f t="shared" si="3"/>
        <v>0.28076923076923077</v>
      </c>
      <c r="T20" s="70">
        <f t="shared" si="4"/>
        <v>1.361538461538462</v>
      </c>
    </row>
    <row r="21" spans="2:20" x14ac:dyDescent="0.25">
      <c r="B21" s="1" t="s">
        <v>9</v>
      </c>
      <c r="C21" s="1" t="s">
        <v>212</v>
      </c>
      <c r="D21" s="34">
        <v>68.25</v>
      </c>
      <c r="E21" s="2">
        <f>D21/10</f>
        <v>6.8250000000000002</v>
      </c>
      <c r="H21" s="1">
        <v>19</v>
      </c>
      <c r="I21" s="20" t="s">
        <v>97</v>
      </c>
      <c r="J21" s="1" t="s">
        <v>43</v>
      </c>
      <c r="K21" s="22">
        <f>E8+E20+E28</f>
        <v>24.743333333333332</v>
      </c>
      <c r="L21" s="61">
        <v>45</v>
      </c>
      <c r="M21" s="6">
        <f t="shared" si="0"/>
        <v>0.54985185185185181</v>
      </c>
      <c r="N21" s="9">
        <f t="shared" si="1"/>
        <v>84.127333333333326</v>
      </c>
      <c r="O21" s="10">
        <f t="shared" si="2"/>
        <v>-39.127333333333326</v>
      </c>
      <c r="P21" s="76">
        <v>65</v>
      </c>
      <c r="Q21" s="2">
        <v>65</v>
      </c>
      <c r="R21" s="12">
        <v>69</v>
      </c>
      <c r="S21" s="11">
        <f t="shared" si="3"/>
        <v>0.35859903381642511</v>
      </c>
      <c r="T21" s="13">
        <f t="shared" si="4"/>
        <v>-15.127333333333326</v>
      </c>
    </row>
    <row r="22" spans="2:20" x14ac:dyDescent="0.25">
      <c r="B22" s="1" t="s">
        <v>83</v>
      </c>
      <c r="C22" s="1" t="s">
        <v>84</v>
      </c>
      <c r="D22" s="34">
        <v>37.5</v>
      </c>
      <c r="E22" s="2">
        <f>D22/6</f>
        <v>6.25</v>
      </c>
      <c r="H22" s="1">
        <v>20</v>
      </c>
      <c r="I22" s="20" t="s">
        <v>97</v>
      </c>
      <c r="J22" s="1" t="s">
        <v>44</v>
      </c>
      <c r="K22" s="2">
        <f>E8+E28+E23</f>
        <v>14.66</v>
      </c>
      <c r="L22" s="61">
        <v>45</v>
      </c>
      <c r="M22" s="6">
        <f t="shared" si="0"/>
        <v>0.32577777777777778</v>
      </c>
      <c r="N22" s="9">
        <f t="shared" si="1"/>
        <v>49.844000000000001</v>
      </c>
      <c r="O22" s="10">
        <f t="shared" si="2"/>
        <v>-4.8440000000000012</v>
      </c>
      <c r="P22" s="76">
        <v>65</v>
      </c>
      <c r="Q22" s="2">
        <v>65</v>
      </c>
      <c r="R22" s="12">
        <v>65</v>
      </c>
      <c r="S22" s="11">
        <f t="shared" si="3"/>
        <v>0.22553846153846155</v>
      </c>
      <c r="T22" s="13">
        <f t="shared" si="4"/>
        <v>15.155999999999999</v>
      </c>
    </row>
    <row r="23" spans="2:20" x14ac:dyDescent="0.25">
      <c r="B23" s="1" t="s">
        <v>10</v>
      </c>
      <c r="C23" s="1" t="s">
        <v>16</v>
      </c>
      <c r="D23" s="34">
        <v>145</v>
      </c>
      <c r="E23" s="2">
        <f>D23/20</f>
        <v>7.25</v>
      </c>
      <c r="H23" s="63">
        <v>21</v>
      </c>
      <c r="I23" s="20" t="s">
        <v>107</v>
      </c>
      <c r="J23" s="63" t="s">
        <v>45</v>
      </c>
      <c r="K23" s="64">
        <f>E8+E28+E18</f>
        <v>14.2164</v>
      </c>
      <c r="L23" s="61">
        <v>45</v>
      </c>
      <c r="M23" s="65">
        <f t="shared" si="0"/>
        <v>0.31591999999999998</v>
      </c>
      <c r="N23" s="66">
        <f t="shared" si="1"/>
        <v>48.335760000000001</v>
      </c>
      <c r="O23" s="67">
        <f t="shared" si="2"/>
        <v>-3.3357600000000005</v>
      </c>
      <c r="P23" s="77">
        <v>45</v>
      </c>
      <c r="Q23" s="64">
        <v>47</v>
      </c>
      <c r="R23" s="68">
        <v>50</v>
      </c>
      <c r="S23" s="69">
        <f t="shared" si="3"/>
        <v>0.28432800000000003</v>
      </c>
      <c r="T23" s="70">
        <f t="shared" si="4"/>
        <v>1.6642399999999995</v>
      </c>
    </row>
    <row r="24" spans="2:20" x14ac:dyDescent="0.25">
      <c r="B24" s="1" t="s">
        <v>13</v>
      </c>
      <c r="C24" s="1" t="s">
        <v>16</v>
      </c>
      <c r="D24" s="33">
        <v>122</v>
      </c>
      <c r="E24" s="2">
        <f>D24/14</f>
        <v>8.7142857142857135</v>
      </c>
      <c r="H24" s="63">
        <v>22</v>
      </c>
      <c r="I24" s="20" t="s">
        <v>107</v>
      </c>
      <c r="J24" s="63" t="s">
        <v>46</v>
      </c>
      <c r="K24" s="64">
        <f>E8+E24+E28</f>
        <v>16.124285714285712</v>
      </c>
      <c r="L24" s="61">
        <v>42</v>
      </c>
      <c r="M24" s="65">
        <f t="shared" si="0"/>
        <v>0.3839115646258503</v>
      </c>
      <c r="N24" s="66">
        <f t="shared" si="1"/>
        <v>54.822571428571422</v>
      </c>
      <c r="O24" s="67">
        <f t="shared" si="2"/>
        <v>-12.822571428571422</v>
      </c>
      <c r="P24" s="76">
        <v>50</v>
      </c>
      <c r="Q24" s="64">
        <v>47</v>
      </c>
      <c r="R24" s="68">
        <v>53</v>
      </c>
      <c r="S24" s="69">
        <f t="shared" si="3"/>
        <v>0.30423180592991911</v>
      </c>
      <c r="T24" s="70">
        <f t="shared" si="4"/>
        <v>-1.8225714285714218</v>
      </c>
    </row>
    <row r="25" spans="2:20" x14ac:dyDescent="0.25">
      <c r="B25" s="1" t="s">
        <v>82</v>
      </c>
      <c r="C25" s="1" t="s">
        <v>16</v>
      </c>
      <c r="D25" s="33">
        <v>78</v>
      </c>
      <c r="E25" s="2">
        <f>D25/14</f>
        <v>5.5714285714285712</v>
      </c>
      <c r="H25" s="63">
        <v>23</v>
      </c>
      <c r="I25" s="20" t="s">
        <v>107</v>
      </c>
      <c r="J25" s="63" t="s">
        <v>47</v>
      </c>
      <c r="K25" s="64">
        <f>E8+E28+E25</f>
        <v>12.981428571428571</v>
      </c>
      <c r="L25" s="61">
        <v>42</v>
      </c>
      <c r="M25" s="65">
        <f t="shared" si="0"/>
        <v>0.30908163265306121</v>
      </c>
      <c r="N25" s="66">
        <f t="shared" si="1"/>
        <v>44.136857142857139</v>
      </c>
      <c r="O25" s="67">
        <f t="shared" si="2"/>
        <v>-2.1368571428571386</v>
      </c>
      <c r="P25" s="76">
        <v>50</v>
      </c>
      <c r="Q25" s="64">
        <v>47</v>
      </c>
      <c r="R25" s="68">
        <v>50</v>
      </c>
      <c r="S25" s="69">
        <f t="shared" si="3"/>
        <v>0.25962857142857143</v>
      </c>
      <c r="T25" s="70">
        <f t="shared" si="4"/>
        <v>5.8631428571428614</v>
      </c>
    </row>
    <row r="26" spans="2:20" x14ac:dyDescent="0.25">
      <c r="B26" s="1" t="s">
        <v>14</v>
      </c>
      <c r="C26" s="1" t="s">
        <v>16</v>
      </c>
      <c r="D26" s="33">
        <v>145</v>
      </c>
      <c r="E26" s="2">
        <f>D26/14</f>
        <v>10.357142857142858</v>
      </c>
      <c r="H26" s="63">
        <v>24</v>
      </c>
      <c r="I26" s="20" t="s">
        <v>107</v>
      </c>
      <c r="J26" s="63" t="s">
        <v>48</v>
      </c>
      <c r="K26" s="64">
        <f>E26+E28+E8</f>
        <v>17.767142857142858</v>
      </c>
      <c r="L26" s="61">
        <v>45</v>
      </c>
      <c r="M26" s="65">
        <f t="shared" si="0"/>
        <v>0.39482539682539686</v>
      </c>
      <c r="N26" s="66">
        <f t="shared" si="1"/>
        <v>60.408285714285718</v>
      </c>
      <c r="O26" s="67">
        <f t="shared" si="2"/>
        <v>-15.408285714285718</v>
      </c>
      <c r="P26" s="76">
        <v>60</v>
      </c>
      <c r="Q26" s="64">
        <v>55</v>
      </c>
      <c r="R26" s="68">
        <v>60</v>
      </c>
      <c r="S26" s="69">
        <f t="shared" si="3"/>
        <v>0.29611904761904762</v>
      </c>
      <c r="T26" s="70">
        <f t="shared" si="4"/>
        <v>-0.40828571428571792</v>
      </c>
    </row>
    <row r="27" spans="2:20" x14ac:dyDescent="0.25">
      <c r="B27" s="1" t="s">
        <v>89</v>
      </c>
      <c r="C27" s="1" t="s">
        <v>16</v>
      </c>
      <c r="D27" s="33">
        <v>77</v>
      </c>
      <c r="E27" s="2">
        <f>D27/13</f>
        <v>5.9230769230769234</v>
      </c>
      <c r="H27" s="63">
        <v>25</v>
      </c>
      <c r="I27" s="20" t="s">
        <v>107</v>
      </c>
      <c r="J27" s="63" t="s">
        <v>113</v>
      </c>
      <c r="K27" s="64">
        <f>E27+E28+E8</f>
        <v>13.333076923076923</v>
      </c>
      <c r="L27" s="2">
        <v>50</v>
      </c>
      <c r="M27" s="65">
        <f t="shared" si="0"/>
        <v>0.26666153846153845</v>
      </c>
      <c r="N27" s="66">
        <f t="shared" si="1"/>
        <v>45.332461538461537</v>
      </c>
      <c r="O27" s="67">
        <f t="shared" si="2"/>
        <v>4.667538461538463</v>
      </c>
      <c r="P27" s="76">
        <v>50</v>
      </c>
      <c r="Q27" s="64">
        <v>55</v>
      </c>
      <c r="R27" s="68">
        <v>60</v>
      </c>
      <c r="S27" s="69">
        <f t="shared" si="3"/>
        <v>0.22221794871794873</v>
      </c>
      <c r="T27" s="70">
        <f t="shared" si="4"/>
        <v>14.667538461538463</v>
      </c>
    </row>
    <row r="28" spans="2:20" x14ac:dyDescent="0.25">
      <c r="B28" s="1" t="s">
        <v>15</v>
      </c>
      <c r="C28" s="1" t="s">
        <v>16</v>
      </c>
      <c r="D28" s="34">
        <v>96</v>
      </c>
      <c r="E28" s="2">
        <f>(D28/1000)*60</f>
        <v>5.76</v>
      </c>
      <c r="H28" s="1">
        <v>26</v>
      </c>
      <c r="I28" s="20" t="s">
        <v>95</v>
      </c>
      <c r="J28" s="1" t="s">
        <v>51</v>
      </c>
      <c r="K28" s="2">
        <f>E6+E18</f>
        <v>8.6064000000000007</v>
      </c>
      <c r="L28" s="61">
        <v>24</v>
      </c>
      <c r="M28" s="6">
        <f t="shared" si="0"/>
        <v>0.35860000000000003</v>
      </c>
      <c r="N28" s="9">
        <f t="shared" si="1"/>
        <v>29.261760000000002</v>
      </c>
      <c r="O28" s="10">
        <f t="shared" si="2"/>
        <v>-5.2617600000000024</v>
      </c>
      <c r="P28" s="76">
        <v>25</v>
      </c>
      <c r="Q28" s="2">
        <v>24</v>
      </c>
      <c r="R28" s="12">
        <v>25</v>
      </c>
      <c r="S28" s="11">
        <f t="shared" si="3"/>
        <v>0.34425600000000001</v>
      </c>
      <c r="T28" s="13">
        <f t="shared" si="4"/>
        <v>-4.2617600000000024</v>
      </c>
    </row>
    <row r="29" spans="2:20" x14ac:dyDescent="0.25">
      <c r="B29" s="16" t="s">
        <v>78</v>
      </c>
      <c r="C29" s="16" t="s">
        <v>79</v>
      </c>
      <c r="D29" s="34">
        <v>110</v>
      </c>
      <c r="E29" s="16"/>
      <c r="H29" s="1">
        <v>27</v>
      </c>
      <c r="I29" s="20" t="s">
        <v>96</v>
      </c>
      <c r="J29" s="1" t="s">
        <v>52</v>
      </c>
      <c r="K29" s="2">
        <f>E7+E19+E19</f>
        <v>7.2571428571428571</v>
      </c>
      <c r="L29" s="61">
        <v>24</v>
      </c>
      <c r="M29" s="6">
        <f t="shared" si="0"/>
        <v>0.30238095238095236</v>
      </c>
      <c r="N29" s="9">
        <f t="shared" si="1"/>
        <v>24.674285714285713</v>
      </c>
      <c r="O29" s="10">
        <f t="shared" si="2"/>
        <v>-0.6742857142857126</v>
      </c>
      <c r="P29" s="76">
        <v>25</v>
      </c>
      <c r="Q29" s="2">
        <v>24</v>
      </c>
      <c r="R29" s="12">
        <v>25</v>
      </c>
      <c r="S29" s="11">
        <f t="shared" si="3"/>
        <v>0.29028571428571426</v>
      </c>
      <c r="T29" s="13">
        <f t="shared" si="4"/>
        <v>0.3257142857142874</v>
      </c>
    </row>
    <row r="30" spans="2:20" x14ac:dyDescent="0.25">
      <c r="B30" s="16" t="s">
        <v>80</v>
      </c>
      <c r="C30" s="16" t="s">
        <v>16</v>
      </c>
      <c r="D30" s="34">
        <v>66</v>
      </c>
      <c r="E30" s="16"/>
      <c r="H30" s="63">
        <v>28</v>
      </c>
      <c r="I30" s="20" t="s">
        <v>138</v>
      </c>
      <c r="J30" s="63" t="s">
        <v>53</v>
      </c>
      <c r="K30" s="64">
        <f>E6+E24</f>
        <v>10.514285714285714</v>
      </c>
      <c r="L30" s="61">
        <v>24</v>
      </c>
      <c r="M30" s="65">
        <f t="shared" si="0"/>
        <v>0.43809523809523809</v>
      </c>
      <c r="N30" s="66">
        <f t="shared" si="1"/>
        <v>35.748571428571431</v>
      </c>
      <c r="O30" s="67">
        <f t="shared" si="2"/>
        <v>-11.748571428571431</v>
      </c>
      <c r="P30" s="76">
        <v>25</v>
      </c>
      <c r="Q30" s="64">
        <v>27</v>
      </c>
      <c r="R30" s="68">
        <v>32</v>
      </c>
      <c r="S30" s="69">
        <f t="shared" si="3"/>
        <v>0.32857142857142857</v>
      </c>
      <c r="T30" s="70">
        <f t="shared" si="4"/>
        <v>-3.7485714285714309</v>
      </c>
    </row>
    <row r="31" spans="2:20" x14ac:dyDescent="0.25">
      <c r="B31" s="16" t="s">
        <v>141</v>
      </c>
      <c r="C31" s="16" t="s">
        <v>16</v>
      </c>
      <c r="D31" s="34">
        <v>74</v>
      </c>
      <c r="E31" s="22">
        <f>+D31/12</f>
        <v>6.166666666666667</v>
      </c>
      <c r="F31" s="26"/>
      <c r="G31" s="26"/>
      <c r="H31" s="63">
        <v>29</v>
      </c>
      <c r="I31" s="20" t="s">
        <v>138</v>
      </c>
      <c r="J31" s="63" t="s">
        <v>71</v>
      </c>
      <c r="K31" s="64">
        <f>E6+E25</f>
        <v>7.371428571428571</v>
      </c>
      <c r="L31" s="61">
        <v>24</v>
      </c>
      <c r="M31" s="65">
        <f t="shared" si="0"/>
        <v>0.30714285714285711</v>
      </c>
      <c r="N31" s="66">
        <f t="shared" si="1"/>
        <v>25.062857142857141</v>
      </c>
      <c r="O31" s="67">
        <f t="shared" si="2"/>
        <v>-1.0628571428571405</v>
      </c>
      <c r="P31" s="76">
        <v>25</v>
      </c>
      <c r="Q31" s="64">
        <v>27</v>
      </c>
      <c r="R31" s="68">
        <v>30</v>
      </c>
      <c r="S31" s="69">
        <f t="shared" si="3"/>
        <v>0.24571428571428569</v>
      </c>
      <c r="T31" s="70">
        <f t="shared" si="4"/>
        <v>4.9371428571428595</v>
      </c>
    </row>
    <row r="32" spans="2:20" x14ac:dyDescent="0.25">
      <c r="B32" s="16" t="s">
        <v>142</v>
      </c>
      <c r="C32" s="16" t="s">
        <v>16</v>
      </c>
      <c r="D32" s="34">
        <v>43</v>
      </c>
      <c r="E32" s="22">
        <f>+D32/16.6</f>
        <v>2.5903614457831323</v>
      </c>
      <c r="F32" s="26"/>
      <c r="G32" s="26"/>
      <c r="H32" s="63">
        <v>30</v>
      </c>
      <c r="I32" s="20" t="s">
        <v>138</v>
      </c>
      <c r="J32" s="63" t="s">
        <v>54</v>
      </c>
      <c r="K32" s="64">
        <f>E6+E26</f>
        <v>12.157142857142858</v>
      </c>
      <c r="L32" s="61">
        <v>28</v>
      </c>
      <c r="M32" s="65">
        <f t="shared" si="0"/>
        <v>0.4341836734693878</v>
      </c>
      <c r="N32" s="66">
        <f t="shared" si="1"/>
        <v>41.33428571428572</v>
      </c>
      <c r="O32" s="67">
        <f t="shared" si="2"/>
        <v>-13.33428571428572</v>
      </c>
      <c r="P32" s="76">
        <v>33</v>
      </c>
      <c r="Q32" s="64">
        <v>33</v>
      </c>
      <c r="R32" s="68">
        <v>37</v>
      </c>
      <c r="S32" s="69">
        <f t="shared" si="3"/>
        <v>0.32857142857142863</v>
      </c>
      <c r="T32" s="70">
        <f t="shared" si="4"/>
        <v>-4.3342857142857198</v>
      </c>
    </row>
    <row r="33" spans="2:20" x14ac:dyDescent="0.25">
      <c r="B33" s="16" t="s">
        <v>143</v>
      </c>
      <c r="C33" s="16" t="s">
        <v>16</v>
      </c>
      <c r="D33" s="34">
        <v>15.6</v>
      </c>
      <c r="E33" s="22">
        <f>+D33/16.6</f>
        <v>0.93975903614457823</v>
      </c>
      <c r="H33" s="63">
        <v>31</v>
      </c>
      <c r="I33" s="20" t="s">
        <v>138</v>
      </c>
      <c r="J33" s="63" t="s">
        <v>137</v>
      </c>
      <c r="K33" s="64">
        <f>E6+E21</f>
        <v>8.625</v>
      </c>
      <c r="L33" s="2">
        <v>25</v>
      </c>
      <c r="M33" s="65">
        <f t="shared" si="0"/>
        <v>0.34499999999999997</v>
      </c>
      <c r="N33" s="66">
        <f t="shared" si="1"/>
        <v>29.324999999999999</v>
      </c>
      <c r="O33" s="67">
        <f t="shared" si="2"/>
        <v>-4.3249999999999993</v>
      </c>
      <c r="P33" s="76">
        <v>25</v>
      </c>
      <c r="Q33" s="64">
        <v>33</v>
      </c>
      <c r="R33" s="68">
        <v>37</v>
      </c>
      <c r="S33" s="69">
        <f t="shared" si="3"/>
        <v>0.23310810810810811</v>
      </c>
      <c r="T33" s="70">
        <f t="shared" si="4"/>
        <v>7.6750000000000007</v>
      </c>
    </row>
    <row r="34" spans="2:20" x14ac:dyDescent="0.25">
      <c r="B34" s="1" t="s">
        <v>120</v>
      </c>
      <c r="C34" s="1" t="s">
        <v>16</v>
      </c>
      <c r="D34" s="34">
        <v>10</v>
      </c>
      <c r="E34" s="2">
        <f>+D34/5</f>
        <v>2</v>
      </c>
      <c r="H34" s="63">
        <v>32</v>
      </c>
      <c r="I34" s="20" t="s">
        <v>138</v>
      </c>
      <c r="J34" s="63" t="s">
        <v>106</v>
      </c>
      <c r="K34" s="64">
        <f>E6+E27</f>
        <v>7.7230769230769232</v>
      </c>
      <c r="L34" s="2">
        <v>25</v>
      </c>
      <c r="M34" s="65">
        <f t="shared" si="0"/>
        <v>0.30892307692307691</v>
      </c>
      <c r="N34" s="66">
        <f t="shared" si="1"/>
        <v>26.258461538461539</v>
      </c>
      <c r="O34" s="67">
        <f t="shared" si="2"/>
        <v>-1.258461538461539</v>
      </c>
      <c r="P34" s="76">
        <v>25</v>
      </c>
      <c r="Q34" s="64">
        <v>33</v>
      </c>
      <c r="R34" s="68">
        <v>37</v>
      </c>
      <c r="S34" s="69">
        <f t="shared" si="3"/>
        <v>0.20873180873180874</v>
      </c>
      <c r="T34" s="70">
        <f t="shared" si="4"/>
        <v>10.741538461538461</v>
      </c>
    </row>
    <row r="35" spans="2:20" x14ac:dyDescent="0.25">
      <c r="B35" s="16" t="s">
        <v>150</v>
      </c>
      <c r="C35" s="16" t="s">
        <v>16</v>
      </c>
      <c r="D35" s="34">
        <v>124</v>
      </c>
      <c r="E35" s="2">
        <f>D35/14</f>
        <v>8.8571428571428577</v>
      </c>
      <c r="H35" s="1">
        <v>33</v>
      </c>
      <c r="I35" s="20" t="s">
        <v>94</v>
      </c>
      <c r="J35" s="1" t="s">
        <v>55</v>
      </c>
      <c r="K35" s="2">
        <f>E5</f>
        <v>2</v>
      </c>
      <c r="L35" s="61">
        <v>11</v>
      </c>
      <c r="M35" s="6">
        <f t="shared" ref="M35:M66" si="5">K35/L35</f>
        <v>0.18181818181818182</v>
      </c>
      <c r="N35" s="9">
        <f t="shared" ref="N35:N66" si="6">K35*3.4</f>
        <v>6.8</v>
      </c>
      <c r="O35" s="10">
        <f t="shared" ref="O35:O66" si="7">L35-N35</f>
        <v>4.2</v>
      </c>
      <c r="P35" s="76">
        <v>11</v>
      </c>
      <c r="Q35" s="2">
        <v>12</v>
      </c>
      <c r="R35" s="12">
        <v>12</v>
      </c>
      <c r="S35" s="11">
        <f t="shared" ref="S35:S66" si="8">K35/R35</f>
        <v>0.16666666666666666</v>
      </c>
      <c r="T35" s="13">
        <f t="shared" ref="T35:T66" si="9">R35-N35</f>
        <v>5.2</v>
      </c>
    </row>
    <row r="36" spans="2:20" x14ac:dyDescent="0.25">
      <c r="B36" s="16" t="s">
        <v>146</v>
      </c>
      <c r="C36" s="16" t="s">
        <v>16</v>
      </c>
      <c r="D36" s="34">
        <v>38.5</v>
      </c>
      <c r="E36" s="22">
        <f>+D36/16.6</f>
        <v>2.3192771084337349</v>
      </c>
      <c r="H36" s="1">
        <v>34</v>
      </c>
      <c r="I36" s="20" t="s">
        <v>94</v>
      </c>
      <c r="J36" s="1" t="s">
        <v>93</v>
      </c>
      <c r="K36" s="2">
        <f>E5+E18</f>
        <v>8.8064</v>
      </c>
      <c r="L36" s="2">
        <v>24</v>
      </c>
      <c r="M36" s="6">
        <f t="shared" si="5"/>
        <v>0.36693333333333333</v>
      </c>
      <c r="N36" s="9">
        <f t="shared" si="6"/>
        <v>29.941759999999999</v>
      </c>
      <c r="O36" s="10">
        <f t="shared" si="7"/>
        <v>-5.9417599999999986</v>
      </c>
      <c r="P36" s="76">
        <v>25</v>
      </c>
      <c r="Q36" s="2">
        <v>12</v>
      </c>
      <c r="R36" s="12">
        <v>12</v>
      </c>
      <c r="S36" s="11">
        <f t="shared" si="8"/>
        <v>0.73386666666666667</v>
      </c>
      <c r="T36" s="13">
        <f t="shared" si="9"/>
        <v>-17.941759999999999</v>
      </c>
    </row>
    <row r="37" spans="2:20" x14ac:dyDescent="0.25">
      <c r="B37" s="16" t="s">
        <v>193</v>
      </c>
      <c r="C37" s="16" t="s">
        <v>16</v>
      </c>
      <c r="D37" s="34">
        <v>65</v>
      </c>
      <c r="E37" s="40">
        <f>+D37/16</f>
        <v>4.0625</v>
      </c>
      <c r="H37" s="63">
        <v>35</v>
      </c>
      <c r="I37" s="20" t="s">
        <v>108</v>
      </c>
      <c r="J37" s="63" t="s">
        <v>56</v>
      </c>
      <c r="K37" s="64">
        <f>E7+E24+E28</f>
        <v>15.331428571428571</v>
      </c>
      <c r="L37" s="61">
        <v>38</v>
      </c>
      <c r="M37" s="65">
        <f t="shared" si="5"/>
        <v>0.40345864661654135</v>
      </c>
      <c r="N37" s="66">
        <f t="shared" si="6"/>
        <v>52.126857142857141</v>
      </c>
      <c r="O37" s="67">
        <f t="shared" si="7"/>
        <v>-14.126857142857141</v>
      </c>
      <c r="P37" s="76">
        <v>40</v>
      </c>
      <c r="Q37" s="64">
        <v>44</v>
      </c>
      <c r="R37" s="68">
        <v>50</v>
      </c>
      <c r="S37" s="69">
        <f t="shared" si="8"/>
        <v>0.30662857142857142</v>
      </c>
      <c r="T37" s="70">
        <f t="shared" si="9"/>
        <v>-2.1268571428571406</v>
      </c>
    </row>
    <row r="38" spans="2:20" x14ac:dyDescent="0.25">
      <c r="B38" s="16" t="s">
        <v>164</v>
      </c>
      <c r="C38" s="1" t="s">
        <v>16</v>
      </c>
      <c r="D38" s="34">
        <v>55</v>
      </c>
      <c r="E38" s="45">
        <f>+D38/6.6</f>
        <v>8.3333333333333339</v>
      </c>
      <c r="H38" s="63">
        <v>36</v>
      </c>
      <c r="I38" s="20" t="s">
        <v>108</v>
      </c>
      <c r="J38" s="63" t="s">
        <v>57</v>
      </c>
      <c r="K38" s="64">
        <f>E25+E28+E7</f>
        <v>12.188571428571429</v>
      </c>
      <c r="L38" s="61">
        <v>38</v>
      </c>
      <c r="M38" s="65">
        <f t="shared" si="5"/>
        <v>0.32075187969924812</v>
      </c>
      <c r="N38" s="66">
        <f t="shared" si="6"/>
        <v>41.441142857142857</v>
      </c>
      <c r="O38" s="67">
        <f t="shared" si="7"/>
        <v>-3.4411428571428573</v>
      </c>
      <c r="P38" s="76">
        <v>40</v>
      </c>
      <c r="Q38" s="64">
        <v>44</v>
      </c>
      <c r="R38" s="68">
        <v>46</v>
      </c>
      <c r="S38" s="69">
        <f t="shared" si="8"/>
        <v>0.26496894409937888</v>
      </c>
      <c r="T38" s="70">
        <f t="shared" si="9"/>
        <v>4.5588571428571427</v>
      </c>
    </row>
    <row r="39" spans="2:20" x14ac:dyDescent="0.25">
      <c r="B39" s="16" t="s">
        <v>211</v>
      </c>
      <c r="C39" s="1" t="s">
        <v>16</v>
      </c>
      <c r="D39" s="34">
        <v>17.600000000000001</v>
      </c>
      <c r="E39" s="45">
        <f>+D39/6.6</f>
        <v>2.666666666666667</v>
      </c>
      <c r="H39" s="63">
        <v>37</v>
      </c>
      <c r="I39" s="20" t="s">
        <v>108</v>
      </c>
      <c r="J39" s="63" t="s">
        <v>58</v>
      </c>
      <c r="K39" s="64">
        <f>E7+E28+E26</f>
        <v>16.974285714285713</v>
      </c>
      <c r="L39" s="61">
        <v>45</v>
      </c>
      <c r="M39" s="65">
        <f t="shared" si="5"/>
        <v>0.37720634920634921</v>
      </c>
      <c r="N39" s="66">
        <f t="shared" si="6"/>
        <v>57.712571428571422</v>
      </c>
      <c r="O39" s="67">
        <f t="shared" si="7"/>
        <v>-12.712571428571422</v>
      </c>
      <c r="P39" s="76">
        <v>50</v>
      </c>
      <c r="Q39" s="64">
        <v>48</v>
      </c>
      <c r="R39" s="68">
        <v>55</v>
      </c>
      <c r="S39" s="69">
        <f t="shared" si="8"/>
        <v>0.30862337662337663</v>
      </c>
      <c r="T39" s="70">
        <f t="shared" si="9"/>
        <v>-2.7125714285714224</v>
      </c>
    </row>
    <row r="40" spans="2:20" x14ac:dyDescent="0.25">
      <c r="B40" s="16" t="s">
        <v>188</v>
      </c>
      <c r="C40" s="16" t="s">
        <v>16</v>
      </c>
      <c r="D40" s="34">
        <v>5.8</v>
      </c>
      <c r="E40" s="2">
        <f>+D40</f>
        <v>5.8</v>
      </c>
      <c r="H40" s="63">
        <v>38</v>
      </c>
      <c r="I40" s="20" t="s">
        <v>108</v>
      </c>
      <c r="J40" s="63" t="s">
        <v>112</v>
      </c>
      <c r="K40" s="64">
        <f>E7+E28+E27</f>
        <v>12.540219780219779</v>
      </c>
      <c r="L40" s="64">
        <v>40</v>
      </c>
      <c r="M40" s="65">
        <f t="shared" si="5"/>
        <v>0.31350549450549448</v>
      </c>
      <c r="N40" s="66">
        <f t="shared" si="6"/>
        <v>42.636747252747249</v>
      </c>
      <c r="O40" s="67">
        <f t="shared" si="7"/>
        <v>-2.6367472527472486</v>
      </c>
      <c r="P40" s="76">
        <v>40</v>
      </c>
      <c r="Q40" s="64">
        <v>48</v>
      </c>
      <c r="R40" s="68">
        <v>55</v>
      </c>
      <c r="S40" s="69">
        <f t="shared" si="8"/>
        <v>0.22800399600399598</v>
      </c>
      <c r="T40" s="70">
        <f t="shared" si="9"/>
        <v>12.363252747252751</v>
      </c>
    </row>
    <row r="41" spans="2:20" x14ac:dyDescent="0.25">
      <c r="H41" s="1">
        <v>39</v>
      </c>
      <c r="I41" s="20" t="s">
        <v>97</v>
      </c>
      <c r="J41" s="16" t="s">
        <v>61</v>
      </c>
      <c r="K41" s="72">
        <f>(E20/2)+E28+E9</f>
        <v>15.776666666666666</v>
      </c>
      <c r="L41" s="61">
        <v>40</v>
      </c>
      <c r="M41" s="23">
        <f t="shared" si="5"/>
        <v>0.39441666666666664</v>
      </c>
      <c r="N41" s="24">
        <f t="shared" si="6"/>
        <v>53.640666666666661</v>
      </c>
      <c r="O41" s="25">
        <f t="shared" si="7"/>
        <v>-13.640666666666661</v>
      </c>
      <c r="P41" s="76">
        <v>40</v>
      </c>
      <c r="Q41" s="2">
        <v>35</v>
      </c>
      <c r="R41" s="12">
        <v>45</v>
      </c>
      <c r="S41" s="11">
        <f t="shared" si="8"/>
        <v>0.35059259259259257</v>
      </c>
      <c r="T41" s="13">
        <f t="shared" si="9"/>
        <v>-8.6406666666666609</v>
      </c>
    </row>
    <row r="42" spans="2:20" x14ac:dyDescent="0.25">
      <c r="B42" s="51" t="s">
        <v>81</v>
      </c>
      <c r="C42" s="20"/>
      <c r="D42" s="44"/>
      <c r="E42" s="52">
        <f>SUM(E43:E46)</f>
        <v>113.44</v>
      </c>
      <c r="H42" s="1">
        <v>40</v>
      </c>
      <c r="I42" s="20" t="s">
        <v>97</v>
      </c>
      <c r="J42" s="16" t="s">
        <v>98</v>
      </c>
      <c r="K42" s="22">
        <f>(E23*2)+E28+E9</f>
        <v>21.61</v>
      </c>
      <c r="L42" s="22">
        <v>35</v>
      </c>
      <c r="M42" s="23">
        <f t="shared" si="5"/>
        <v>0.61742857142857144</v>
      </c>
      <c r="N42" s="24">
        <f t="shared" si="6"/>
        <v>73.47399999999999</v>
      </c>
      <c r="O42" s="25">
        <f t="shared" si="7"/>
        <v>-38.47399999999999</v>
      </c>
      <c r="P42" s="76">
        <v>40</v>
      </c>
      <c r="Q42" s="2">
        <v>35</v>
      </c>
      <c r="R42" s="12">
        <v>65</v>
      </c>
      <c r="S42" s="11">
        <f t="shared" si="8"/>
        <v>0.33246153846153847</v>
      </c>
      <c r="T42" s="13">
        <f t="shared" si="9"/>
        <v>-8.4739999999999895</v>
      </c>
    </row>
    <row r="43" spans="2:20" x14ac:dyDescent="0.25">
      <c r="B43" s="17" t="s">
        <v>67</v>
      </c>
      <c r="C43" s="50">
        <v>0.5955555555555555</v>
      </c>
      <c r="D43" s="39">
        <v>104</v>
      </c>
      <c r="E43" s="40">
        <f>+C43*D43</f>
        <v>61.937777777777775</v>
      </c>
      <c r="H43" s="1">
        <v>41</v>
      </c>
      <c r="I43" s="20" t="s">
        <v>102</v>
      </c>
      <c r="J43" s="16" t="s">
        <v>103</v>
      </c>
      <c r="K43" s="22">
        <f>(E20)+E14</f>
        <v>17.833333333333332</v>
      </c>
      <c r="L43" s="22">
        <v>24</v>
      </c>
      <c r="M43" s="23">
        <f t="shared" si="5"/>
        <v>0.74305555555555547</v>
      </c>
      <c r="N43" s="24">
        <f t="shared" si="6"/>
        <v>60.633333333333326</v>
      </c>
      <c r="O43" s="25">
        <f t="shared" si="7"/>
        <v>-36.633333333333326</v>
      </c>
      <c r="P43" s="76">
        <v>25</v>
      </c>
      <c r="Q43" s="2">
        <v>35</v>
      </c>
      <c r="R43" s="12">
        <v>55</v>
      </c>
      <c r="S43" s="11">
        <f t="shared" si="8"/>
        <v>0.32424242424242422</v>
      </c>
      <c r="T43" s="13">
        <f t="shared" si="9"/>
        <v>-5.6333333333333258</v>
      </c>
    </row>
    <row r="44" spans="2:20" x14ac:dyDescent="0.25">
      <c r="B44" s="17" t="s">
        <v>68</v>
      </c>
      <c r="C44" s="50">
        <v>0.17777777777777778</v>
      </c>
      <c r="D44" s="39">
        <v>140</v>
      </c>
      <c r="E44" s="40">
        <f t="shared" ref="E44:E46" si="10">+C44*D44</f>
        <v>24.888888888888889</v>
      </c>
      <c r="H44" s="1">
        <v>42</v>
      </c>
      <c r="I44" s="20" t="s">
        <v>102</v>
      </c>
      <c r="J44" s="1" t="s">
        <v>104</v>
      </c>
      <c r="K44" s="22">
        <f>(E23)+E14</f>
        <v>7.75</v>
      </c>
      <c r="L44" s="22">
        <v>24</v>
      </c>
      <c r="M44" s="23">
        <f t="shared" si="5"/>
        <v>0.32291666666666669</v>
      </c>
      <c r="N44" s="24">
        <f t="shared" si="6"/>
        <v>26.349999999999998</v>
      </c>
      <c r="O44" s="25">
        <f t="shared" si="7"/>
        <v>-2.3499999999999979</v>
      </c>
      <c r="P44" s="76">
        <v>25</v>
      </c>
      <c r="Q44" s="2">
        <v>35</v>
      </c>
      <c r="R44" s="12">
        <v>25</v>
      </c>
      <c r="S44" s="11">
        <f t="shared" si="8"/>
        <v>0.31</v>
      </c>
      <c r="T44" s="13">
        <f t="shared" si="9"/>
        <v>-1.3499999999999979</v>
      </c>
    </row>
    <row r="45" spans="2:20" x14ac:dyDescent="0.25">
      <c r="B45" s="17" t="s">
        <v>69</v>
      </c>
      <c r="C45" s="50">
        <v>0.12</v>
      </c>
      <c r="D45" s="39">
        <v>124</v>
      </c>
      <c r="E45" s="40">
        <f t="shared" si="10"/>
        <v>14.879999999999999</v>
      </c>
      <c r="H45" s="1">
        <v>43</v>
      </c>
      <c r="I45" s="20" t="s">
        <v>105</v>
      </c>
      <c r="J45" s="1" t="s">
        <v>136</v>
      </c>
      <c r="K45" s="2">
        <f>E6+E28</f>
        <v>7.56</v>
      </c>
      <c r="L45" s="2">
        <v>23</v>
      </c>
      <c r="M45" s="6">
        <f t="shared" si="5"/>
        <v>0.328695652173913</v>
      </c>
      <c r="N45" s="9">
        <f t="shared" si="6"/>
        <v>25.703999999999997</v>
      </c>
      <c r="O45" s="10">
        <f t="shared" si="7"/>
        <v>-2.7039999999999971</v>
      </c>
      <c r="P45" s="76">
        <v>24</v>
      </c>
      <c r="Q45" s="2">
        <v>24</v>
      </c>
      <c r="R45" s="12">
        <v>25</v>
      </c>
      <c r="S45" s="11">
        <f t="shared" si="8"/>
        <v>0.3024</v>
      </c>
      <c r="T45" s="13">
        <f t="shared" si="9"/>
        <v>-0.70399999999999707</v>
      </c>
    </row>
    <row r="46" spans="2:20" x14ac:dyDescent="0.25">
      <c r="B46" s="17" t="s">
        <v>70</v>
      </c>
      <c r="C46" s="50">
        <v>0.10666666666666667</v>
      </c>
      <c r="D46" s="39">
        <v>110</v>
      </c>
      <c r="E46" s="40">
        <f t="shared" si="10"/>
        <v>11.733333333333334</v>
      </c>
      <c r="H46" s="1">
        <v>44</v>
      </c>
      <c r="I46" s="20" t="s">
        <v>109</v>
      </c>
      <c r="J46" s="1" t="s">
        <v>114</v>
      </c>
      <c r="K46" s="2">
        <f>E24+E34</f>
        <v>10.714285714285714</v>
      </c>
      <c r="L46" s="2">
        <v>65</v>
      </c>
      <c r="M46" s="6">
        <f t="shared" si="5"/>
        <v>0.16483516483516483</v>
      </c>
      <c r="N46" s="9">
        <f t="shared" si="6"/>
        <v>36.428571428571423</v>
      </c>
      <c r="O46" s="10">
        <f t="shared" si="7"/>
        <v>28.571428571428577</v>
      </c>
      <c r="P46" s="76">
        <v>65</v>
      </c>
      <c r="Q46" s="2">
        <v>27</v>
      </c>
      <c r="R46" s="12">
        <v>32</v>
      </c>
      <c r="S46" s="11">
        <f t="shared" si="8"/>
        <v>0.33482142857142855</v>
      </c>
      <c r="T46" s="13">
        <f t="shared" si="9"/>
        <v>-4.4285714285714235</v>
      </c>
    </row>
    <row r="47" spans="2:20" x14ac:dyDescent="0.25">
      <c r="H47" s="1">
        <v>45</v>
      </c>
      <c r="I47" s="20" t="s">
        <v>109</v>
      </c>
      <c r="J47" s="1" t="s">
        <v>115</v>
      </c>
      <c r="K47" s="2">
        <f>E25+E34</f>
        <v>7.5714285714285712</v>
      </c>
      <c r="L47" s="2">
        <v>65</v>
      </c>
      <c r="M47" s="6">
        <f t="shared" si="5"/>
        <v>0.11648351648351649</v>
      </c>
      <c r="N47" s="9">
        <f t="shared" si="6"/>
        <v>25.74285714285714</v>
      </c>
      <c r="O47" s="10">
        <f t="shared" si="7"/>
        <v>39.25714285714286</v>
      </c>
      <c r="P47" s="76">
        <v>65</v>
      </c>
      <c r="Q47" s="2">
        <v>27</v>
      </c>
      <c r="R47" s="12">
        <v>25</v>
      </c>
      <c r="S47" s="11">
        <f t="shared" si="8"/>
        <v>0.30285714285714282</v>
      </c>
      <c r="T47" s="13">
        <f t="shared" si="9"/>
        <v>-0.74285714285714022</v>
      </c>
    </row>
    <row r="48" spans="2:20" x14ac:dyDescent="0.25">
      <c r="B48" s="1" t="s">
        <v>149</v>
      </c>
      <c r="C48" s="38"/>
      <c r="D48" s="36">
        <f>+B70</f>
        <v>68.56</v>
      </c>
      <c r="E48" s="2">
        <f>+C70</f>
        <v>1.3712</v>
      </c>
      <c r="H48" s="1">
        <v>46</v>
      </c>
      <c r="I48" s="20" t="s">
        <v>109</v>
      </c>
      <c r="J48" s="1" t="s">
        <v>116</v>
      </c>
      <c r="K48" s="2">
        <f>E27+E34</f>
        <v>7.9230769230769234</v>
      </c>
      <c r="L48" s="2">
        <v>65</v>
      </c>
      <c r="M48" s="6">
        <f t="shared" si="5"/>
        <v>0.12189349112426036</v>
      </c>
      <c r="N48" s="9">
        <f t="shared" si="6"/>
        <v>26.938461538461539</v>
      </c>
      <c r="O48" s="10">
        <f t="shared" si="7"/>
        <v>38.061538461538461</v>
      </c>
      <c r="P48" s="76">
        <v>65</v>
      </c>
      <c r="Q48" s="2">
        <v>27</v>
      </c>
      <c r="R48" s="12">
        <v>25</v>
      </c>
      <c r="S48" s="11">
        <f t="shared" si="8"/>
        <v>0.31692307692307692</v>
      </c>
      <c r="T48" s="13">
        <f t="shared" si="9"/>
        <v>-1.9384615384615387</v>
      </c>
    </row>
    <row r="49" spans="2:20" x14ac:dyDescent="0.25">
      <c r="H49" s="1">
        <v>47</v>
      </c>
      <c r="I49" s="20" t="s">
        <v>109</v>
      </c>
      <c r="J49" s="1" t="s">
        <v>117</v>
      </c>
      <c r="K49" s="2">
        <f>E26+E34</f>
        <v>12.357142857142858</v>
      </c>
      <c r="L49" s="2">
        <v>75</v>
      </c>
      <c r="M49" s="6">
        <f t="shared" si="5"/>
        <v>0.16476190476190478</v>
      </c>
      <c r="N49" s="9">
        <f t="shared" si="6"/>
        <v>42.014285714285712</v>
      </c>
      <c r="O49" s="10">
        <f t="shared" si="7"/>
        <v>32.985714285714288</v>
      </c>
      <c r="P49" s="76">
        <v>75</v>
      </c>
      <c r="Q49" s="2">
        <v>27</v>
      </c>
      <c r="R49" s="12">
        <v>40</v>
      </c>
      <c r="S49" s="11">
        <f t="shared" si="8"/>
        <v>0.30892857142857144</v>
      </c>
      <c r="T49" s="13">
        <f t="shared" si="9"/>
        <v>-2.0142857142857125</v>
      </c>
    </row>
    <row r="50" spans="2:20" x14ac:dyDescent="0.25">
      <c r="B50" s="47" t="s">
        <v>194</v>
      </c>
      <c r="C50" s="47"/>
      <c r="D50" s="48"/>
      <c r="E50" s="49">
        <f>SUM(E51:E59)</f>
        <v>28.116358942262558</v>
      </c>
      <c r="H50" s="1">
        <v>48</v>
      </c>
      <c r="I50" s="20" t="s">
        <v>109</v>
      </c>
      <c r="J50" s="1" t="s">
        <v>118</v>
      </c>
      <c r="K50" s="2">
        <f>E20+E34</f>
        <v>19.333333333333332</v>
      </c>
      <c r="L50" s="2">
        <v>75</v>
      </c>
      <c r="M50" s="6">
        <f t="shared" si="5"/>
        <v>0.25777777777777777</v>
      </c>
      <c r="N50" s="9">
        <f t="shared" si="6"/>
        <v>65.733333333333334</v>
      </c>
      <c r="O50" s="10">
        <f t="shared" si="7"/>
        <v>9.2666666666666657</v>
      </c>
      <c r="P50" s="76">
        <v>75</v>
      </c>
      <c r="Q50" s="2">
        <v>27</v>
      </c>
      <c r="R50" s="12">
        <v>60</v>
      </c>
      <c r="S50" s="11">
        <f t="shared" si="8"/>
        <v>0.32222222222222219</v>
      </c>
      <c r="T50" s="13">
        <f t="shared" si="9"/>
        <v>-5.7333333333333343</v>
      </c>
    </row>
    <row r="51" spans="2:20" x14ac:dyDescent="0.25">
      <c r="B51" s="1" t="s">
        <v>195</v>
      </c>
      <c r="C51" s="1" t="s">
        <v>16</v>
      </c>
      <c r="D51" s="34">
        <v>21</v>
      </c>
      <c r="E51" s="46">
        <f>+D51/16.6</f>
        <v>1.2650602409638554</v>
      </c>
      <c r="H51" s="1">
        <v>49</v>
      </c>
      <c r="I51" s="20" t="s">
        <v>109</v>
      </c>
      <c r="J51" s="1" t="s">
        <v>119</v>
      </c>
      <c r="K51" s="2">
        <f>E23+E34</f>
        <v>9.25</v>
      </c>
      <c r="L51" s="2">
        <v>75</v>
      </c>
      <c r="M51" s="6">
        <f t="shared" si="5"/>
        <v>0.12333333333333334</v>
      </c>
      <c r="N51" s="9">
        <f t="shared" si="6"/>
        <v>31.45</v>
      </c>
      <c r="O51" s="10">
        <f t="shared" si="7"/>
        <v>43.55</v>
      </c>
      <c r="P51" s="76">
        <v>75</v>
      </c>
      <c r="Q51" s="2">
        <v>27</v>
      </c>
      <c r="R51" s="12">
        <v>30</v>
      </c>
      <c r="S51" s="11">
        <f t="shared" si="8"/>
        <v>0.30833333333333335</v>
      </c>
      <c r="T51" s="13">
        <f t="shared" si="9"/>
        <v>-1.4499999999999993</v>
      </c>
    </row>
    <row r="52" spans="2:20" x14ac:dyDescent="0.25">
      <c r="B52" s="1" t="s">
        <v>203</v>
      </c>
      <c r="C52" s="1" t="s">
        <v>16</v>
      </c>
      <c r="D52" s="34">
        <v>66</v>
      </c>
      <c r="E52" s="46">
        <f>+D52/7</f>
        <v>9.4285714285714288</v>
      </c>
      <c r="H52" s="63">
        <v>50</v>
      </c>
      <c r="I52" s="20" t="s">
        <v>86</v>
      </c>
      <c r="J52" s="63" t="s">
        <v>131</v>
      </c>
      <c r="K52" s="64">
        <f>E3+E24</f>
        <v>12.214285714285714</v>
      </c>
      <c r="L52" s="64">
        <v>58</v>
      </c>
      <c r="M52" s="65">
        <f t="shared" si="5"/>
        <v>0.2105911330049261</v>
      </c>
      <c r="N52" s="66">
        <f t="shared" si="6"/>
        <v>41.528571428571425</v>
      </c>
      <c r="O52" s="67">
        <f t="shared" si="7"/>
        <v>16.471428571428575</v>
      </c>
      <c r="P52" s="76">
        <v>58</v>
      </c>
      <c r="Q52" s="64">
        <v>27</v>
      </c>
      <c r="R52" s="68">
        <v>40</v>
      </c>
      <c r="S52" s="69">
        <f t="shared" si="8"/>
        <v>0.30535714285714283</v>
      </c>
      <c r="T52" s="70">
        <f t="shared" si="9"/>
        <v>-1.5285714285714249</v>
      </c>
    </row>
    <row r="53" spans="2:20" x14ac:dyDescent="0.25">
      <c r="B53" s="1" t="s">
        <v>196</v>
      </c>
      <c r="C53" s="1" t="s">
        <v>16</v>
      </c>
      <c r="D53" s="34">
        <v>34</v>
      </c>
      <c r="E53" s="46">
        <f>(+D53*2.5)/11</f>
        <v>7.7272727272727275</v>
      </c>
      <c r="H53" s="63">
        <v>51</v>
      </c>
      <c r="I53" s="20" t="s">
        <v>86</v>
      </c>
      <c r="J53" s="63" t="s">
        <v>132</v>
      </c>
      <c r="K53" s="64">
        <f>E3+E25</f>
        <v>9.0714285714285712</v>
      </c>
      <c r="L53" s="64">
        <v>58</v>
      </c>
      <c r="M53" s="65">
        <f t="shared" si="5"/>
        <v>0.15640394088669951</v>
      </c>
      <c r="N53" s="66">
        <f t="shared" si="6"/>
        <v>30.842857142857142</v>
      </c>
      <c r="O53" s="67">
        <f t="shared" si="7"/>
        <v>27.157142857142858</v>
      </c>
      <c r="P53" s="76">
        <v>58</v>
      </c>
      <c r="Q53" s="64">
        <v>27</v>
      </c>
      <c r="R53" s="68">
        <v>30</v>
      </c>
      <c r="S53" s="69">
        <f t="shared" si="8"/>
        <v>0.30238095238095236</v>
      </c>
      <c r="T53" s="70">
        <f t="shared" si="9"/>
        <v>-0.84285714285714164</v>
      </c>
    </row>
    <row r="54" spans="2:20" x14ac:dyDescent="0.25">
      <c r="B54" s="16" t="s">
        <v>197</v>
      </c>
      <c r="C54" s="1"/>
      <c r="D54" s="34">
        <v>77</v>
      </c>
      <c r="E54" s="46">
        <f>+D54/20</f>
        <v>3.85</v>
      </c>
      <c r="H54" s="63">
        <v>52</v>
      </c>
      <c r="I54" s="20" t="s">
        <v>86</v>
      </c>
      <c r="J54" s="63" t="s">
        <v>133</v>
      </c>
      <c r="K54" s="64">
        <f>E3+E27</f>
        <v>9.4230769230769234</v>
      </c>
      <c r="L54" s="64">
        <v>58</v>
      </c>
      <c r="M54" s="65">
        <f t="shared" si="5"/>
        <v>0.16246684350132626</v>
      </c>
      <c r="N54" s="66">
        <f t="shared" si="6"/>
        <v>32.03846153846154</v>
      </c>
      <c r="O54" s="67">
        <f t="shared" si="7"/>
        <v>25.96153846153846</v>
      </c>
      <c r="P54" s="76">
        <v>58</v>
      </c>
      <c r="Q54" s="64">
        <v>27</v>
      </c>
      <c r="R54" s="68">
        <v>30</v>
      </c>
      <c r="S54" s="69">
        <f t="shared" si="8"/>
        <v>0.3141025641025641</v>
      </c>
      <c r="T54" s="70">
        <f t="shared" si="9"/>
        <v>-2.0384615384615401</v>
      </c>
    </row>
    <row r="55" spans="2:20" x14ac:dyDescent="0.25">
      <c r="B55" s="16" t="s">
        <v>198</v>
      </c>
      <c r="C55" s="1"/>
      <c r="D55" s="34">
        <v>47.8</v>
      </c>
      <c r="E55" s="46">
        <f>+D55/11</f>
        <v>4.3454545454545448</v>
      </c>
      <c r="H55" s="63">
        <v>53</v>
      </c>
      <c r="I55" s="20" t="s">
        <v>86</v>
      </c>
      <c r="J55" s="63" t="s">
        <v>134</v>
      </c>
      <c r="K55" s="64">
        <f>E3+E26</f>
        <v>13.857142857142858</v>
      </c>
      <c r="L55" s="64">
        <v>60</v>
      </c>
      <c r="M55" s="65">
        <f t="shared" si="5"/>
        <v>0.23095238095238096</v>
      </c>
      <c r="N55" s="66">
        <f t="shared" si="6"/>
        <v>47.114285714285714</v>
      </c>
      <c r="O55" s="67">
        <f t="shared" si="7"/>
        <v>12.885714285714286</v>
      </c>
      <c r="P55" s="76">
        <v>65</v>
      </c>
      <c r="Q55" s="64">
        <v>27</v>
      </c>
      <c r="R55" s="68">
        <v>40</v>
      </c>
      <c r="S55" s="69">
        <f t="shared" si="8"/>
        <v>0.34642857142857142</v>
      </c>
      <c r="T55" s="70">
        <f t="shared" si="9"/>
        <v>-7.1142857142857139</v>
      </c>
    </row>
    <row r="56" spans="2:20" x14ac:dyDescent="0.25">
      <c r="B56" s="16" t="s">
        <v>199</v>
      </c>
      <c r="C56" s="1"/>
      <c r="D56" s="36"/>
      <c r="E56" s="1">
        <v>0.5</v>
      </c>
      <c r="H56" s="63">
        <v>54</v>
      </c>
      <c r="I56" s="20" t="s">
        <v>86</v>
      </c>
      <c r="J56" s="63" t="s">
        <v>37</v>
      </c>
      <c r="K56" s="64">
        <f>E4+E24</f>
        <v>11.214285714285714</v>
      </c>
      <c r="L56" s="64">
        <v>32</v>
      </c>
      <c r="M56" s="65">
        <f t="shared" si="5"/>
        <v>0.35044642857142855</v>
      </c>
      <c r="N56" s="66">
        <f t="shared" si="6"/>
        <v>38.128571428571426</v>
      </c>
      <c r="O56" s="67">
        <f t="shared" si="7"/>
        <v>-6.1285714285714263</v>
      </c>
      <c r="P56" s="76">
        <v>32</v>
      </c>
      <c r="Q56" s="64">
        <v>27</v>
      </c>
      <c r="R56" s="68">
        <v>32</v>
      </c>
      <c r="S56" s="69">
        <f t="shared" si="8"/>
        <v>0.35044642857142855</v>
      </c>
      <c r="T56" s="70">
        <f t="shared" si="9"/>
        <v>-6.1285714285714263</v>
      </c>
    </row>
    <row r="57" spans="2:20" x14ac:dyDescent="0.25">
      <c r="B57" s="16" t="s">
        <v>200</v>
      </c>
      <c r="C57" s="1"/>
      <c r="D57" s="36"/>
      <c r="E57" s="1">
        <v>0.5</v>
      </c>
      <c r="H57" s="63">
        <v>55</v>
      </c>
      <c r="I57" s="20" t="s">
        <v>86</v>
      </c>
      <c r="J57" s="63" t="s">
        <v>38</v>
      </c>
      <c r="K57" s="64">
        <f>E4+E25</f>
        <v>8.0714285714285712</v>
      </c>
      <c r="L57" s="64">
        <v>32</v>
      </c>
      <c r="M57" s="65">
        <f t="shared" si="5"/>
        <v>0.25223214285714285</v>
      </c>
      <c r="N57" s="66">
        <f t="shared" si="6"/>
        <v>27.44285714285714</v>
      </c>
      <c r="O57" s="67">
        <f t="shared" si="7"/>
        <v>4.5571428571428605</v>
      </c>
      <c r="P57" s="76">
        <v>32</v>
      </c>
      <c r="Q57" s="64">
        <v>27</v>
      </c>
      <c r="R57" s="68">
        <v>32</v>
      </c>
      <c r="S57" s="69">
        <f t="shared" si="8"/>
        <v>0.25223214285714285</v>
      </c>
      <c r="T57" s="70">
        <f t="shared" si="9"/>
        <v>4.5571428571428605</v>
      </c>
    </row>
    <row r="58" spans="2:20" x14ac:dyDescent="0.25">
      <c r="B58" s="16" t="s">
        <v>201</v>
      </c>
      <c r="C58" s="1"/>
      <c r="D58" s="36"/>
      <c r="E58" s="1">
        <v>0.5</v>
      </c>
      <c r="H58" s="63">
        <v>56</v>
      </c>
      <c r="I58" s="20" t="s">
        <v>86</v>
      </c>
      <c r="J58" s="63" t="s">
        <v>92</v>
      </c>
      <c r="K58" s="64">
        <f>E4+E27</f>
        <v>8.4230769230769234</v>
      </c>
      <c r="L58" s="64">
        <v>32</v>
      </c>
      <c r="M58" s="65">
        <f t="shared" si="5"/>
        <v>0.26322115384615385</v>
      </c>
      <c r="N58" s="66">
        <f t="shared" si="6"/>
        <v>28.638461538461538</v>
      </c>
      <c r="O58" s="67">
        <f t="shared" si="7"/>
        <v>3.361538461538462</v>
      </c>
      <c r="P58" s="76">
        <v>32</v>
      </c>
      <c r="Q58" s="64">
        <v>27</v>
      </c>
      <c r="R58" s="68">
        <v>32</v>
      </c>
      <c r="S58" s="69">
        <f t="shared" si="8"/>
        <v>0.26322115384615385</v>
      </c>
      <c r="T58" s="70">
        <f t="shared" si="9"/>
        <v>3.361538461538462</v>
      </c>
    </row>
    <row r="59" spans="2:20" x14ac:dyDescent="0.25">
      <c r="B59" s="16" t="s">
        <v>202</v>
      </c>
      <c r="C59" s="1"/>
      <c r="D59" s="36"/>
      <c r="E59" s="1">
        <v>0</v>
      </c>
      <c r="H59" s="63">
        <v>57</v>
      </c>
      <c r="I59" s="20" t="s">
        <v>86</v>
      </c>
      <c r="J59" s="63" t="s">
        <v>135</v>
      </c>
      <c r="K59" s="64">
        <f>E4+E26</f>
        <v>12.857142857142858</v>
      </c>
      <c r="L59" s="64">
        <v>34</v>
      </c>
      <c r="M59" s="65">
        <f t="shared" si="5"/>
        <v>0.37815126050420167</v>
      </c>
      <c r="N59" s="66">
        <f t="shared" si="6"/>
        <v>43.714285714285715</v>
      </c>
      <c r="O59" s="67">
        <f t="shared" si="7"/>
        <v>-9.7142857142857153</v>
      </c>
      <c r="P59" s="76">
        <v>35</v>
      </c>
      <c r="Q59" s="64">
        <v>27</v>
      </c>
      <c r="R59" s="68">
        <v>35</v>
      </c>
      <c r="S59" s="69">
        <f t="shared" si="8"/>
        <v>0.36734693877551022</v>
      </c>
      <c r="T59" s="70">
        <f t="shared" si="9"/>
        <v>-8.7142857142857153</v>
      </c>
    </row>
    <row r="60" spans="2:20" ht="16.5" thickBot="1" x14ac:dyDescent="0.3">
      <c r="H60" s="1">
        <v>58</v>
      </c>
      <c r="I60" s="20" t="s">
        <v>139</v>
      </c>
      <c r="J60" s="16" t="s">
        <v>140</v>
      </c>
      <c r="K60" s="2">
        <f>E12+(E18/2)</f>
        <v>4.8032000000000004</v>
      </c>
      <c r="L60" s="2">
        <v>13</v>
      </c>
      <c r="M60" s="6">
        <f t="shared" si="5"/>
        <v>0.36947692307692309</v>
      </c>
      <c r="N60" s="9">
        <f t="shared" si="6"/>
        <v>16.330880000000001</v>
      </c>
      <c r="O60" s="10">
        <f t="shared" si="7"/>
        <v>-3.3308800000000005</v>
      </c>
      <c r="P60" s="76">
        <v>15</v>
      </c>
      <c r="Q60" s="2">
        <v>27</v>
      </c>
      <c r="R60" s="12">
        <v>32</v>
      </c>
      <c r="S60" s="11">
        <f t="shared" si="8"/>
        <v>0.15010000000000001</v>
      </c>
      <c r="T60" s="13">
        <f t="shared" si="9"/>
        <v>15.669119999999999</v>
      </c>
    </row>
    <row r="61" spans="2:20" ht="16.5" thickBot="1" x14ac:dyDescent="0.3">
      <c r="B61" s="27" t="s">
        <v>129</v>
      </c>
      <c r="C61" s="28" t="s">
        <v>130</v>
      </c>
      <c r="D61" s="37"/>
      <c r="H61" s="1">
        <v>59</v>
      </c>
      <c r="I61" s="20" t="s">
        <v>139</v>
      </c>
      <c r="J61" s="16" t="s">
        <v>141</v>
      </c>
      <c r="K61" s="2">
        <f>E12+(E31/2)</f>
        <v>4.4833333333333334</v>
      </c>
      <c r="L61" s="2">
        <v>13</v>
      </c>
      <c r="M61" s="6">
        <f t="shared" si="5"/>
        <v>0.34487179487179487</v>
      </c>
      <c r="N61" s="9">
        <f t="shared" si="6"/>
        <v>15.243333333333332</v>
      </c>
      <c r="O61" s="10">
        <f t="shared" si="7"/>
        <v>-2.2433333333333323</v>
      </c>
      <c r="P61" s="76">
        <v>15</v>
      </c>
      <c r="Q61" s="2">
        <v>27</v>
      </c>
      <c r="R61" s="12">
        <v>32</v>
      </c>
      <c r="S61" s="11">
        <f t="shared" si="8"/>
        <v>0.14010416666666667</v>
      </c>
      <c r="T61" s="13">
        <f t="shared" si="9"/>
        <v>16.756666666666668</v>
      </c>
    </row>
    <row r="62" spans="2:20" x14ac:dyDescent="0.25">
      <c r="B62" s="41">
        <v>18.920000000000002</v>
      </c>
      <c r="C62" s="42" t="s">
        <v>121</v>
      </c>
      <c r="D62" s="43"/>
      <c r="H62" s="1">
        <v>60</v>
      </c>
      <c r="I62" s="20" t="s">
        <v>139</v>
      </c>
      <c r="J62" s="16" t="s">
        <v>142</v>
      </c>
      <c r="K62" s="2">
        <f>E12+E32</f>
        <v>3.9903614457831322</v>
      </c>
      <c r="L62" s="2">
        <v>13</v>
      </c>
      <c r="M62" s="6">
        <f t="shared" si="5"/>
        <v>0.3069508804448563</v>
      </c>
      <c r="N62" s="9">
        <f t="shared" si="6"/>
        <v>13.56722891566265</v>
      </c>
      <c r="O62" s="10">
        <f t="shared" si="7"/>
        <v>-0.56722891566264977</v>
      </c>
      <c r="P62" s="76">
        <v>15</v>
      </c>
      <c r="Q62" s="2">
        <v>27</v>
      </c>
      <c r="R62" s="12">
        <v>32</v>
      </c>
      <c r="S62" s="11">
        <f t="shared" si="8"/>
        <v>0.12469879518072288</v>
      </c>
      <c r="T62" s="13">
        <f t="shared" si="9"/>
        <v>18.43277108433735</v>
      </c>
    </row>
    <row r="63" spans="2:20" x14ac:dyDescent="0.25">
      <c r="B63" s="41">
        <v>33.64</v>
      </c>
      <c r="C63" s="42" t="s">
        <v>122</v>
      </c>
      <c r="D63" s="43"/>
      <c r="H63" s="1">
        <v>61</v>
      </c>
      <c r="I63" s="20" t="s">
        <v>139</v>
      </c>
      <c r="J63" s="16" t="s">
        <v>143</v>
      </c>
      <c r="K63" s="2">
        <f>E12+E33</f>
        <v>2.3397590361445779</v>
      </c>
      <c r="L63" s="2">
        <v>13</v>
      </c>
      <c r="M63" s="6">
        <f t="shared" si="5"/>
        <v>0.17998146431881368</v>
      </c>
      <c r="N63" s="9">
        <f t="shared" si="6"/>
        <v>7.9551807228915647</v>
      </c>
      <c r="O63" s="10">
        <f t="shared" si="7"/>
        <v>5.0448192771084353</v>
      </c>
      <c r="P63" s="76">
        <v>15</v>
      </c>
      <c r="Q63" s="2">
        <v>27</v>
      </c>
      <c r="R63" s="12">
        <v>32</v>
      </c>
      <c r="S63" s="11">
        <f t="shared" si="8"/>
        <v>7.311746987951806E-2</v>
      </c>
      <c r="T63" s="13">
        <f t="shared" si="9"/>
        <v>24.044819277108434</v>
      </c>
    </row>
    <row r="64" spans="2:20" x14ac:dyDescent="0.25">
      <c r="B64" s="41">
        <v>12</v>
      </c>
      <c r="C64" s="42" t="s">
        <v>123</v>
      </c>
      <c r="D64" s="43"/>
      <c r="H64" s="1">
        <v>62</v>
      </c>
      <c r="I64" s="20" t="s">
        <v>139</v>
      </c>
      <c r="J64" s="16" t="s">
        <v>144</v>
      </c>
      <c r="K64" s="2">
        <f>E12+E34</f>
        <v>3.4</v>
      </c>
      <c r="L64" s="2">
        <v>13</v>
      </c>
      <c r="M64" s="6">
        <f t="shared" si="5"/>
        <v>0.26153846153846155</v>
      </c>
      <c r="N64" s="9">
        <f t="shared" si="6"/>
        <v>11.559999999999999</v>
      </c>
      <c r="O64" s="10">
        <f t="shared" si="7"/>
        <v>1.4400000000000013</v>
      </c>
      <c r="P64" s="76">
        <v>15</v>
      </c>
      <c r="Q64" s="2">
        <v>27</v>
      </c>
      <c r="R64" s="12">
        <v>32</v>
      </c>
      <c r="S64" s="11">
        <f t="shared" si="8"/>
        <v>0.10625</v>
      </c>
      <c r="T64" s="13">
        <f t="shared" si="9"/>
        <v>20.440000000000001</v>
      </c>
    </row>
    <row r="65" spans="1:20" x14ac:dyDescent="0.25">
      <c r="B65" s="41">
        <v>2</v>
      </c>
      <c r="C65" s="42" t="s">
        <v>124</v>
      </c>
      <c r="D65" s="43"/>
      <c r="H65" s="1">
        <v>63</v>
      </c>
      <c r="I65" s="20" t="s">
        <v>139</v>
      </c>
      <c r="J65" s="16" t="s">
        <v>145</v>
      </c>
      <c r="K65" s="2">
        <f>E12+E34+(E35/2)</f>
        <v>7.8285714285714292</v>
      </c>
      <c r="L65" s="2">
        <v>13</v>
      </c>
      <c r="M65" s="6">
        <f t="shared" si="5"/>
        <v>0.60219780219780228</v>
      </c>
      <c r="N65" s="9">
        <f t="shared" si="6"/>
        <v>26.617142857142859</v>
      </c>
      <c r="O65" s="10">
        <f t="shared" si="7"/>
        <v>-13.617142857142859</v>
      </c>
      <c r="P65" s="76">
        <v>15</v>
      </c>
      <c r="Q65" s="2">
        <v>27</v>
      </c>
      <c r="R65" s="12">
        <v>32</v>
      </c>
      <c r="S65" s="11">
        <f t="shared" si="8"/>
        <v>0.24464285714285716</v>
      </c>
      <c r="T65" s="13">
        <f t="shared" si="9"/>
        <v>5.3828571428571408</v>
      </c>
    </row>
    <row r="66" spans="1:20" x14ac:dyDescent="0.25">
      <c r="B66" s="41">
        <v>0.5</v>
      </c>
      <c r="C66" s="42" t="s">
        <v>125</v>
      </c>
      <c r="D66" s="43"/>
      <c r="H66" s="1">
        <v>64</v>
      </c>
      <c r="I66" s="20" t="s">
        <v>139</v>
      </c>
      <c r="J66" s="16" t="s">
        <v>146</v>
      </c>
      <c r="K66" s="2">
        <f>E12+E36</f>
        <v>3.7192771084337348</v>
      </c>
      <c r="L66" s="2">
        <v>13</v>
      </c>
      <c r="M66" s="6">
        <f t="shared" si="5"/>
        <v>0.28609823911028731</v>
      </c>
      <c r="N66" s="9">
        <f t="shared" si="6"/>
        <v>12.645542168674698</v>
      </c>
      <c r="O66" s="10">
        <f t="shared" si="7"/>
        <v>0.35445783132530195</v>
      </c>
      <c r="P66" s="76">
        <v>15</v>
      </c>
      <c r="Q66" s="2">
        <v>27</v>
      </c>
      <c r="R66" s="12">
        <v>32</v>
      </c>
      <c r="S66" s="11">
        <f t="shared" si="8"/>
        <v>0.11622740963855421</v>
      </c>
      <c r="T66" s="13">
        <f t="shared" si="9"/>
        <v>19.354457831325302</v>
      </c>
    </row>
    <row r="67" spans="1:20" x14ac:dyDescent="0.25">
      <c r="B67" s="41">
        <v>0.5</v>
      </c>
      <c r="C67" s="42" t="s">
        <v>126</v>
      </c>
      <c r="D67" s="43"/>
      <c r="H67" s="63">
        <v>65</v>
      </c>
      <c r="I67" s="20" t="s">
        <v>151</v>
      </c>
      <c r="J67" s="63" t="s">
        <v>140</v>
      </c>
      <c r="K67" s="64">
        <f>E11+(E18/2)</f>
        <v>4.2531999999999996</v>
      </c>
      <c r="L67" s="64">
        <v>13</v>
      </c>
      <c r="M67" s="65">
        <f t="shared" ref="M67:M98" si="11">K67/L67</f>
        <v>0.32716923076923077</v>
      </c>
      <c r="N67" s="66">
        <f t="shared" ref="N67:N98" si="12">K67*3.4</f>
        <v>14.460879999999998</v>
      </c>
      <c r="O67" s="67">
        <f t="shared" ref="O67:O98" si="13">L67-N67</f>
        <v>-1.4608799999999977</v>
      </c>
      <c r="P67" s="76">
        <v>15</v>
      </c>
      <c r="Q67" s="64">
        <v>27</v>
      </c>
      <c r="R67" s="68">
        <v>32</v>
      </c>
      <c r="S67" s="69">
        <f t="shared" ref="S67:S98" si="14">K67/R67</f>
        <v>0.13291249999999999</v>
      </c>
      <c r="T67" s="70">
        <f t="shared" ref="T67:T98" si="15">R67-N67</f>
        <v>17.539120000000004</v>
      </c>
    </row>
    <row r="68" spans="1:20" x14ac:dyDescent="0.25">
      <c r="A68" s="15" t="s">
        <v>148</v>
      </c>
      <c r="B68" s="41">
        <v>0.5</v>
      </c>
      <c r="C68" s="42" t="s">
        <v>127</v>
      </c>
      <c r="D68" s="43"/>
      <c r="H68" s="63">
        <v>66</v>
      </c>
      <c r="I68" s="20" t="s">
        <v>151</v>
      </c>
      <c r="J68" s="63" t="s">
        <v>141</v>
      </c>
      <c r="K68" s="64">
        <f>E11+(E31/2)</f>
        <v>3.9333333333333336</v>
      </c>
      <c r="L68" s="64">
        <v>13</v>
      </c>
      <c r="M68" s="65">
        <f t="shared" si="11"/>
        <v>0.3025641025641026</v>
      </c>
      <c r="N68" s="66">
        <f t="shared" si="12"/>
        <v>13.373333333333333</v>
      </c>
      <c r="O68" s="67">
        <f t="shared" si="13"/>
        <v>-0.37333333333333307</v>
      </c>
      <c r="P68" s="76">
        <v>15</v>
      </c>
      <c r="Q68" s="64">
        <v>27</v>
      </c>
      <c r="R68" s="68">
        <v>32</v>
      </c>
      <c r="S68" s="69">
        <f t="shared" si="14"/>
        <v>0.12291666666666667</v>
      </c>
      <c r="T68" s="70">
        <f t="shared" si="15"/>
        <v>18.626666666666665</v>
      </c>
    </row>
    <row r="69" spans="1:20" x14ac:dyDescent="0.25">
      <c r="B69" s="41">
        <v>0.5</v>
      </c>
      <c r="C69" s="42" t="s">
        <v>128</v>
      </c>
      <c r="D69" s="43"/>
      <c r="H69" s="63">
        <v>67</v>
      </c>
      <c r="I69" s="20" t="s">
        <v>151</v>
      </c>
      <c r="J69" s="63" t="s">
        <v>142</v>
      </c>
      <c r="K69" s="64">
        <f>E11+E32</f>
        <v>3.4403614457831324</v>
      </c>
      <c r="L69" s="64">
        <v>13</v>
      </c>
      <c r="M69" s="65">
        <f t="shared" si="11"/>
        <v>0.26464318813716403</v>
      </c>
      <c r="N69" s="66">
        <f t="shared" si="12"/>
        <v>11.697228915662651</v>
      </c>
      <c r="O69" s="67">
        <f t="shared" si="13"/>
        <v>1.3027710843373494</v>
      </c>
      <c r="P69" s="76">
        <v>15</v>
      </c>
      <c r="Q69" s="64">
        <v>27</v>
      </c>
      <c r="R69" s="68">
        <v>32</v>
      </c>
      <c r="S69" s="69">
        <f t="shared" si="14"/>
        <v>0.10751129518072289</v>
      </c>
      <c r="T69" s="70">
        <f t="shared" si="15"/>
        <v>20.302771084337351</v>
      </c>
    </row>
    <row r="70" spans="1:20" x14ac:dyDescent="0.25">
      <c r="B70" s="3">
        <f>SUM(B62:B69)</f>
        <v>68.56</v>
      </c>
      <c r="C70" s="29">
        <f>+B70/50</f>
        <v>1.3712</v>
      </c>
      <c r="D70" s="32"/>
      <c r="H70" s="63">
        <v>68</v>
      </c>
      <c r="I70" s="20" t="s">
        <v>151</v>
      </c>
      <c r="J70" s="63" t="s">
        <v>143</v>
      </c>
      <c r="K70" s="64">
        <f>E11+E33</f>
        <v>1.7897590361445781</v>
      </c>
      <c r="L70" s="64">
        <v>13</v>
      </c>
      <c r="M70" s="65">
        <f t="shared" si="11"/>
        <v>0.13767377201112138</v>
      </c>
      <c r="N70" s="66">
        <f t="shared" si="12"/>
        <v>6.0851807228915655</v>
      </c>
      <c r="O70" s="67">
        <f t="shared" si="13"/>
        <v>6.9148192771084345</v>
      </c>
      <c r="P70" s="76">
        <v>15</v>
      </c>
      <c r="Q70" s="64">
        <v>27</v>
      </c>
      <c r="R70" s="68">
        <v>32</v>
      </c>
      <c r="S70" s="69">
        <f t="shared" si="14"/>
        <v>5.5929969879518066E-2</v>
      </c>
      <c r="T70" s="70">
        <f t="shared" si="15"/>
        <v>25.914819277108435</v>
      </c>
    </row>
    <row r="71" spans="1:20" x14ac:dyDescent="0.25">
      <c r="H71" s="63">
        <v>69</v>
      </c>
      <c r="I71" s="20" t="s">
        <v>151</v>
      </c>
      <c r="J71" s="63" t="s">
        <v>144</v>
      </c>
      <c r="K71" s="64">
        <f>E11+E34</f>
        <v>2.85</v>
      </c>
      <c r="L71" s="64">
        <v>13</v>
      </c>
      <c r="M71" s="65">
        <f t="shared" si="11"/>
        <v>0.21923076923076923</v>
      </c>
      <c r="N71" s="66">
        <f t="shared" si="12"/>
        <v>9.69</v>
      </c>
      <c r="O71" s="67">
        <f t="shared" si="13"/>
        <v>3.3100000000000005</v>
      </c>
      <c r="P71" s="76">
        <v>15</v>
      </c>
      <c r="Q71" s="64">
        <v>27</v>
      </c>
      <c r="R71" s="68">
        <v>32</v>
      </c>
      <c r="S71" s="69">
        <f t="shared" si="14"/>
        <v>8.9062500000000003E-2</v>
      </c>
      <c r="T71" s="70">
        <f t="shared" si="15"/>
        <v>22.310000000000002</v>
      </c>
    </row>
    <row r="72" spans="1:20" x14ac:dyDescent="0.25">
      <c r="B72" s="47" t="s">
        <v>236</v>
      </c>
      <c r="C72" s="47"/>
      <c r="D72" s="48"/>
      <c r="E72" s="49">
        <f>SUM(E73:E76)</f>
        <v>17.951333333333331</v>
      </c>
      <c r="H72" s="63">
        <v>70</v>
      </c>
      <c r="I72" s="20" t="s">
        <v>151</v>
      </c>
      <c r="J72" s="63" t="s">
        <v>145</v>
      </c>
      <c r="K72" s="64">
        <f>E11+E34+(E35/2)</f>
        <v>7.2785714285714285</v>
      </c>
      <c r="L72" s="64">
        <v>13</v>
      </c>
      <c r="M72" s="65">
        <f t="shared" si="11"/>
        <v>0.5598901098901099</v>
      </c>
      <c r="N72" s="66">
        <f t="shared" si="12"/>
        <v>24.747142857142855</v>
      </c>
      <c r="O72" s="67">
        <f t="shared" si="13"/>
        <v>-11.747142857142855</v>
      </c>
      <c r="P72" s="76">
        <v>15</v>
      </c>
      <c r="Q72" s="64">
        <v>27</v>
      </c>
      <c r="R72" s="68">
        <v>32</v>
      </c>
      <c r="S72" s="69">
        <f t="shared" si="14"/>
        <v>0.22745535714285714</v>
      </c>
      <c r="T72" s="70">
        <f t="shared" si="15"/>
        <v>7.2528571428571453</v>
      </c>
    </row>
    <row r="73" spans="1:20" x14ac:dyDescent="0.25">
      <c r="B73" s="1" t="s">
        <v>207</v>
      </c>
      <c r="C73" s="1" t="s">
        <v>16</v>
      </c>
      <c r="D73" s="34">
        <v>11.5</v>
      </c>
      <c r="E73" s="46">
        <f>+D73/5</f>
        <v>2.2999999999999998</v>
      </c>
      <c r="H73" s="63">
        <v>71</v>
      </c>
      <c r="I73" s="20" t="s">
        <v>151</v>
      </c>
      <c r="J73" s="63" t="s">
        <v>146</v>
      </c>
      <c r="K73" s="64">
        <f>E11+E36</f>
        <v>3.169277108433735</v>
      </c>
      <c r="L73" s="64">
        <v>13</v>
      </c>
      <c r="M73" s="65">
        <f t="shared" si="11"/>
        <v>0.24379054680259499</v>
      </c>
      <c r="N73" s="66">
        <f t="shared" si="12"/>
        <v>10.775542168674699</v>
      </c>
      <c r="O73" s="67">
        <f t="shared" si="13"/>
        <v>2.2244578313253012</v>
      </c>
      <c r="P73" s="76">
        <v>15</v>
      </c>
      <c r="Q73" s="64">
        <v>27</v>
      </c>
      <c r="R73" s="68">
        <v>32</v>
      </c>
      <c r="S73" s="69">
        <f t="shared" si="14"/>
        <v>9.9039909638554219E-2</v>
      </c>
      <c r="T73" s="70">
        <f t="shared" si="15"/>
        <v>21.224457831325303</v>
      </c>
    </row>
    <row r="74" spans="1:20" x14ac:dyDescent="0.25">
      <c r="B74" s="1" t="s">
        <v>208</v>
      </c>
      <c r="C74" s="1" t="s">
        <v>16</v>
      </c>
      <c r="D74" s="34">
        <v>7.7</v>
      </c>
      <c r="E74" s="46">
        <f>+D74/5</f>
        <v>1.54</v>
      </c>
      <c r="H74" s="1">
        <v>72</v>
      </c>
      <c r="I74" s="20" t="s">
        <v>152</v>
      </c>
      <c r="J74" s="16" t="s">
        <v>140</v>
      </c>
      <c r="K74" s="2">
        <f>E6+(E18/2)</f>
        <v>5.2031999999999998</v>
      </c>
      <c r="L74" s="2">
        <v>13</v>
      </c>
      <c r="M74" s="6">
        <f t="shared" si="11"/>
        <v>0.40024615384615381</v>
      </c>
      <c r="N74" s="9">
        <f t="shared" si="12"/>
        <v>17.69088</v>
      </c>
      <c r="O74" s="10">
        <f t="shared" si="13"/>
        <v>-4.6908799999999999</v>
      </c>
      <c r="P74" s="76">
        <v>15</v>
      </c>
      <c r="Q74" s="2">
        <v>27</v>
      </c>
      <c r="R74" s="12">
        <v>32</v>
      </c>
      <c r="S74" s="11">
        <f t="shared" si="14"/>
        <v>0.16259999999999999</v>
      </c>
      <c r="T74" s="13">
        <f t="shared" si="15"/>
        <v>14.30912</v>
      </c>
    </row>
    <row r="75" spans="1:20" x14ac:dyDescent="0.25">
      <c r="B75" s="1" t="s">
        <v>89</v>
      </c>
      <c r="C75" s="1" t="s">
        <v>16</v>
      </c>
      <c r="D75" s="34">
        <v>77</v>
      </c>
      <c r="E75" s="46">
        <f>(+D75)/6</f>
        <v>12.833333333333334</v>
      </c>
      <c r="H75" s="1">
        <v>73</v>
      </c>
      <c r="I75" s="20" t="s">
        <v>152</v>
      </c>
      <c r="J75" s="16" t="s">
        <v>141</v>
      </c>
      <c r="K75" s="2">
        <f>E6+(E31/2)</f>
        <v>4.8833333333333337</v>
      </c>
      <c r="L75" s="2">
        <v>13</v>
      </c>
      <c r="M75" s="6">
        <f t="shared" si="11"/>
        <v>0.37564102564102569</v>
      </c>
      <c r="N75" s="9">
        <f t="shared" si="12"/>
        <v>16.603333333333335</v>
      </c>
      <c r="O75" s="10">
        <f t="shared" si="13"/>
        <v>-3.6033333333333353</v>
      </c>
      <c r="P75" s="76">
        <v>15</v>
      </c>
      <c r="Q75" s="2">
        <v>27</v>
      </c>
      <c r="R75" s="12">
        <v>32</v>
      </c>
      <c r="S75" s="11">
        <f t="shared" si="14"/>
        <v>0.15260416666666668</v>
      </c>
      <c r="T75" s="13">
        <f t="shared" si="15"/>
        <v>15.396666666666665</v>
      </c>
    </row>
    <row r="76" spans="1:20" x14ac:dyDescent="0.25">
      <c r="B76" s="16" t="s">
        <v>209</v>
      </c>
      <c r="C76" s="16" t="s">
        <v>210</v>
      </c>
      <c r="D76" s="34">
        <v>12.78</v>
      </c>
      <c r="E76" s="46">
        <f>+D76/10</f>
        <v>1.278</v>
      </c>
      <c r="H76" s="1">
        <v>74</v>
      </c>
      <c r="I76" s="20" t="s">
        <v>152</v>
      </c>
      <c r="J76" s="16" t="s">
        <v>142</v>
      </c>
      <c r="K76" s="2">
        <f>E6+E32</f>
        <v>4.3903614457831326</v>
      </c>
      <c r="L76" s="2">
        <v>13</v>
      </c>
      <c r="M76" s="6">
        <f t="shared" si="11"/>
        <v>0.33772011121408713</v>
      </c>
      <c r="N76" s="9">
        <f t="shared" si="12"/>
        <v>14.927228915662651</v>
      </c>
      <c r="O76" s="10">
        <f t="shared" si="13"/>
        <v>-1.927228915662651</v>
      </c>
      <c r="P76" s="76">
        <v>15</v>
      </c>
      <c r="Q76" s="2">
        <v>27</v>
      </c>
      <c r="R76" s="12">
        <v>32</v>
      </c>
      <c r="S76" s="11">
        <f t="shared" si="14"/>
        <v>0.13719879518072289</v>
      </c>
      <c r="T76" s="13">
        <f t="shared" si="15"/>
        <v>17.072771084337347</v>
      </c>
    </row>
    <row r="77" spans="1:20" x14ac:dyDescent="0.25">
      <c r="H77" s="1">
        <v>75</v>
      </c>
      <c r="I77" s="20" t="s">
        <v>152</v>
      </c>
      <c r="J77" s="16" t="s">
        <v>143</v>
      </c>
      <c r="K77" s="2">
        <f>E6+E33</f>
        <v>2.7397590361445783</v>
      </c>
      <c r="L77" s="2">
        <v>13</v>
      </c>
      <c r="M77" s="6">
        <f t="shared" si="11"/>
        <v>0.21075069508804448</v>
      </c>
      <c r="N77" s="9">
        <f t="shared" si="12"/>
        <v>9.3151807228915651</v>
      </c>
      <c r="O77" s="10">
        <f t="shared" si="13"/>
        <v>3.6848192771084349</v>
      </c>
      <c r="P77" s="76">
        <v>15</v>
      </c>
      <c r="Q77" s="2">
        <v>27</v>
      </c>
      <c r="R77" s="12">
        <v>32</v>
      </c>
      <c r="S77" s="11">
        <f t="shared" si="14"/>
        <v>8.5617469879518071E-2</v>
      </c>
      <c r="T77" s="13">
        <f t="shared" si="15"/>
        <v>22.684819277108435</v>
      </c>
    </row>
    <row r="78" spans="1:20" x14ac:dyDescent="0.25">
      <c r="B78" s="1" t="s">
        <v>220</v>
      </c>
      <c r="C78" s="1" t="s">
        <v>210</v>
      </c>
      <c r="D78" s="34">
        <v>166.51</v>
      </c>
      <c r="E78" s="46">
        <f>+D78/7</f>
        <v>23.787142857142857</v>
      </c>
      <c r="H78" s="1">
        <v>76</v>
      </c>
      <c r="I78" s="20" t="s">
        <v>152</v>
      </c>
      <c r="J78" s="16" t="s">
        <v>144</v>
      </c>
      <c r="K78" s="2">
        <f>E6+E34</f>
        <v>3.8</v>
      </c>
      <c r="L78" s="2">
        <v>13</v>
      </c>
      <c r="M78" s="6">
        <f t="shared" si="11"/>
        <v>0.29230769230769227</v>
      </c>
      <c r="N78" s="9">
        <f t="shared" si="12"/>
        <v>12.92</v>
      </c>
      <c r="O78" s="10">
        <f t="shared" si="13"/>
        <v>8.0000000000000071E-2</v>
      </c>
      <c r="P78" s="76">
        <v>15</v>
      </c>
      <c r="Q78" s="2">
        <v>27</v>
      </c>
      <c r="R78" s="12">
        <v>32</v>
      </c>
      <c r="S78" s="11">
        <f t="shared" si="14"/>
        <v>0.11874999999999999</v>
      </c>
      <c r="T78" s="13">
        <f t="shared" si="15"/>
        <v>19.079999999999998</v>
      </c>
    </row>
    <row r="79" spans="1:20" x14ac:dyDescent="0.25">
      <c r="B79" s="16" t="s">
        <v>183</v>
      </c>
      <c r="C79" s="1" t="s">
        <v>222</v>
      </c>
      <c r="D79" s="34">
        <v>9.75</v>
      </c>
      <c r="E79" s="2">
        <f>+D79</f>
        <v>9.75</v>
      </c>
      <c r="H79" s="1">
        <v>77</v>
      </c>
      <c r="I79" s="20" t="s">
        <v>152</v>
      </c>
      <c r="J79" s="16" t="s">
        <v>145</v>
      </c>
      <c r="K79" s="2">
        <f>E6+E34+(E35/2)</f>
        <v>8.2285714285714278</v>
      </c>
      <c r="L79" s="2">
        <v>13</v>
      </c>
      <c r="M79" s="6">
        <f t="shared" si="11"/>
        <v>0.63296703296703294</v>
      </c>
      <c r="N79" s="9">
        <f t="shared" si="12"/>
        <v>27.977142857142855</v>
      </c>
      <c r="O79" s="10">
        <f t="shared" si="13"/>
        <v>-14.977142857142855</v>
      </c>
      <c r="P79" s="76">
        <v>15</v>
      </c>
      <c r="Q79" s="2">
        <v>27</v>
      </c>
      <c r="R79" s="12">
        <v>32</v>
      </c>
      <c r="S79" s="11">
        <f t="shared" si="14"/>
        <v>0.25714285714285712</v>
      </c>
      <c r="T79" s="13">
        <f t="shared" si="15"/>
        <v>4.0228571428571449</v>
      </c>
    </row>
    <row r="80" spans="1:20" x14ac:dyDescent="0.25">
      <c r="B80" s="16" t="s">
        <v>221</v>
      </c>
      <c r="C80" s="1" t="s">
        <v>222</v>
      </c>
      <c r="D80" s="34">
        <v>10.49</v>
      </c>
      <c r="E80" s="2">
        <f>+D80</f>
        <v>10.49</v>
      </c>
      <c r="H80" s="1">
        <v>78</v>
      </c>
      <c r="I80" s="20" t="s">
        <v>152</v>
      </c>
      <c r="J80" s="16" t="s">
        <v>146</v>
      </c>
      <c r="K80" s="2">
        <f>E6+E36</f>
        <v>4.1192771084337352</v>
      </c>
      <c r="L80" s="2">
        <v>13</v>
      </c>
      <c r="M80" s="6">
        <f t="shared" si="11"/>
        <v>0.31686746987951808</v>
      </c>
      <c r="N80" s="9">
        <f t="shared" si="12"/>
        <v>14.005542168674699</v>
      </c>
      <c r="O80" s="10">
        <f t="shared" si="13"/>
        <v>-1.0055421686746993</v>
      </c>
      <c r="P80" s="76">
        <v>15</v>
      </c>
      <c r="Q80" s="2">
        <v>27</v>
      </c>
      <c r="R80" s="12">
        <v>32</v>
      </c>
      <c r="S80" s="11">
        <f t="shared" si="14"/>
        <v>0.12872740963855422</v>
      </c>
      <c r="T80" s="13">
        <f t="shared" si="15"/>
        <v>17.994457831325299</v>
      </c>
    </row>
    <row r="81" spans="2:20" x14ac:dyDescent="0.25">
      <c r="B81" s="16" t="s">
        <v>181</v>
      </c>
      <c r="C81" s="1" t="s">
        <v>222</v>
      </c>
      <c r="D81" s="34">
        <v>5.45</v>
      </c>
      <c r="E81" s="2">
        <f>+D81</f>
        <v>5.45</v>
      </c>
      <c r="H81" s="63">
        <v>79</v>
      </c>
      <c r="I81" s="20" t="s">
        <v>153</v>
      </c>
      <c r="J81" s="63" t="s">
        <v>140</v>
      </c>
      <c r="K81" s="64">
        <f>E13+(E18/2)</f>
        <v>5.2031999999999998</v>
      </c>
      <c r="L81" s="64">
        <v>16</v>
      </c>
      <c r="M81" s="65">
        <f t="shared" si="11"/>
        <v>0.32519999999999999</v>
      </c>
      <c r="N81" s="66">
        <f t="shared" si="12"/>
        <v>17.69088</v>
      </c>
      <c r="O81" s="67">
        <f t="shared" si="13"/>
        <v>-1.6908799999999999</v>
      </c>
      <c r="P81" s="76">
        <v>18</v>
      </c>
      <c r="Q81" s="64">
        <v>27</v>
      </c>
      <c r="R81" s="68">
        <v>32</v>
      </c>
      <c r="S81" s="69">
        <f t="shared" si="14"/>
        <v>0.16259999999999999</v>
      </c>
      <c r="T81" s="70">
        <f t="shared" si="15"/>
        <v>14.30912</v>
      </c>
    </row>
    <row r="82" spans="2:20" x14ac:dyDescent="0.25">
      <c r="B82" s="16" t="s">
        <v>223</v>
      </c>
      <c r="C82" s="1" t="s">
        <v>224</v>
      </c>
      <c r="D82" s="34">
        <v>56.26</v>
      </c>
      <c r="E82" s="45">
        <f>+D82/17</f>
        <v>3.3094117647058821</v>
      </c>
      <c r="H82" s="63">
        <v>80</v>
      </c>
      <c r="I82" s="20" t="s">
        <v>153</v>
      </c>
      <c r="J82" s="63" t="s">
        <v>141</v>
      </c>
      <c r="K82" s="64">
        <f>E13+(E31/2)</f>
        <v>4.8833333333333337</v>
      </c>
      <c r="L82" s="64">
        <v>16</v>
      </c>
      <c r="M82" s="65">
        <f t="shared" si="11"/>
        <v>0.30520833333333336</v>
      </c>
      <c r="N82" s="66">
        <f t="shared" si="12"/>
        <v>16.603333333333335</v>
      </c>
      <c r="O82" s="67">
        <f t="shared" si="13"/>
        <v>-0.60333333333333528</v>
      </c>
      <c r="P82" s="76">
        <v>18</v>
      </c>
      <c r="Q82" s="64">
        <v>27</v>
      </c>
      <c r="R82" s="68">
        <v>32</v>
      </c>
      <c r="S82" s="69">
        <f t="shared" si="14"/>
        <v>0.15260416666666668</v>
      </c>
      <c r="T82" s="70">
        <f t="shared" si="15"/>
        <v>15.396666666666665</v>
      </c>
    </row>
    <row r="83" spans="2:20" x14ac:dyDescent="0.25">
      <c r="B83" s="16" t="s">
        <v>229</v>
      </c>
      <c r="C83" s="1"/>
      <c r="D83" s="34">
        <v>2</v>
      </c>
      <c r="E83" s="1">
        <f>+D83</f>
        <v>2</v>
      </c>
      <c r="H83" s="63">
        <v>81</v>
      </c>
      <c r="I83" s="20" t="s">
        <v>153</v>
      </c>
      <c r="J83" s="63" t="s">
        <v>142</v>
      </c>
      <c r="K83" s="64">
        <f>E13+E32</f>
        <v>4.3903614457831326</v>
      </c>
      <c r="L83" s="64">
        <v>16</v>
      </c>
      <c r="M83" s="65">
        <f t="shared" si="11"/>
        <v>0.27439759036144579</v>
      </c>
      <c r="N83" s="66">
        <f t="shared" si="12"/>
        <v>14.927228915662651</v>
      </c>
      <c r="O83" s="67">
        <f t="shared" si="13"/>
        <v>1.072771084337349</v>
      </c>
      <c r="P83" s="76">
        <v>18</v>
      </c>
      <c r="Q83" s="64">
        <v>27</v>
      </c>
      <c r="R83" s="68">
        <v>32</v>
      </c>
      <c r="S83" s="69">
        <f t="shared" si="14"/>
        <v>0.13719879518072289</v>
      </c>
      <c r="T83" s="70">
        <f t="shared" si="15"/>
        <v>17.072771084337347</v>
      </c>
    </row>
    <row r="84" spans="2:20" x14ac:dyDescent="0.25">
      <c r="H84" s="63">
        <v>82</v>
      </c>
      <c r="I84" s="20" t="s">
        <v>153</v>
      </c>
      <c r="J84" s="63" t="s">
        <v>143</v>
      </c>
      <c r="K84" s="64">
        <f>E13+E33</f>
        <v>2.7397590361445783</v>
      </c>
      <c r="L84" s="64">
        <v>16</v>
      </c>
      <c r="M84" s="65">
        <f t="shared" si="11"/>
        <v>0.17123493975903614</v>
      </c>
      <c r="N84" s="66">
        <f t="shared" si="12"/>
        <v>9.3151807228915651</v>
      </c>
      <c r="O84" s="67">
        <f t="shared" si="13"/>
        <v>6.6848192771084349</v>
      </c>
      <c r="P84" s="76">
        <v>18</v>
      </c>
      <c r="Q84" s="64">
        <v>27</v>
      </c>
      <c r="R84" s="68">
        <v>32</v>
      </c>
      <c r="S84" s="69">
        <f t="shared" si="14"/>
        <v>8.5617469879518071E-2</v>
      </c>
      <c r="T84" s="70">
        <f t="shared" si="15"/>
        <v>22.684819277108435</v>
      </c>
    </row>
    <row r="85" spans="2:20" x14ac:dyDescent="0.25">
      <c r="H85" s="63">
        <v>83</v>
      </c>
      <c r="I85" s="20" t="s">
        <v>153</v>
      </c>
      <c r="J85" s="63" t="s">
        <v>144</v>
      </c>
      <c r="K85" s="64">
        <f>E13+E34</f>
        <v>3.8</v>
      </c>
      <c r="L85" s="64">
        <v>16</v>
      </c>
      <c r="M85" s="65">
        <f t="shared" si="11"/>
        <v>0.23749999999999999</v>
      </c>
      <c r="N85" s="66">
        <f t="shared" si="12"/>
        <v>12.92</v>
      </c>
      <c r="O85" s="67">
        <f t="shared" si="13"/>
        <v>3.08</v>
      </c>
      <c r="P85" s="76">
        <v>18</v>
      </c>
      <c r="Q85" s="64">
        <v>27</v>
      </c>
      <c r="R85" s="68">
        <v>32</v>
      </c>
      <c r="S85" s="69">
        <f t="shared" si="14"/>
        <v>0.11874999999999999</v>
      </c>
      <c r="T85" s="70">
        <f t="shared" si="15"/>
        <v>19.079999999999998</v>
      </c>
    </row>
    <row r="86" spans="2:20" x14ac:dyDescent="0.25">
      <c r="H86" s="63">
        <v>84</v>
      </c>
      <c r="I86" s="20" t="s">
        <v>153</v>
      </c>
      <c r="J86" s="63" t="s">
        <v>145</v>
      </c>
      <c r="K86" s="64">
        <f>E13+E34+(E35/2)</f>
        <v>8.2285714285714278</v>
      </c>
      <c r="L86" s="64">
        <v>16</v>
      </c>
      <c r="M86" s="65">
        <f t="shared" si="11"/>
        <v>0.51428571428571423</v>
      </c>
      <c r="N86" s="66">
        <f t="shared" si="12"/>
        <v>27.977142857142855</v>
      </c>
      <c r="O86" s="67">
        <f t="shared" si="13"/>
        <v>-11.977142857142855</v>
      </c>
      <c r="P86" s="76">
        <v>18</v>
      </c>
      <c r="Q86" s="64">
        <v>27</v>
      </c>
      <c r="R86" s="68">
        <v>32</v>
      </c>
      <c r="S86" s="69">
        <f t="shared" si="14"/>
        <v>0.25714285714285712</v>
      </c>
      <c r="T86" s="70">
        <f t="shared" si="15"/>
        <v>4.0228571428571449</v>
      </c>
    </row>
    <row r="87" spans="2:20" x14ac:dyDescent="0.25">
      <c r="B87" t="s">
        <v>100</v>
      </c>
      <c r="H87" s="63">
        <v>85</v>
      </c>
      <c r="I87" s="20" t="s">
        <v>153</v>
      </c>
      <c r="J87" s="63" t="s">
        <v>146</v>
      </c>
      <c r="K87" s="64">
        <f>E13+E36</f>
        <v>4.1192771084337352</v>
      </c>
      <c r="L87" s="64">
        <v>16</v>
      </c>
      <c r="M87" s="65">
        <f t="shared" si="11"/>
        <v>0.25745481927710845</v>
      </c>
      <c r="N87" s="66">
        <f t="shared" si="12"/>
        <v>14.005542168674699</v>
      </c>
      <c r="O87" s="67">
        <f t="shared" si="13"/>
        <v>1.9944578313253007</v>
      </c>
      <c r="P87" s="76">
        <v>18</v>
      </c>
      <c r="Q87" s="64">
        <v>27</v>
      </c>
      <c r="R87" s="68">
        <v>32</v>
      </c>
      <c r="S87" s="69">
        <f t="shared" si="14"/>
        <v>0.12872740963855422</v>
      </c>
      <c r="T87" s="70">
        <f t="shared" si="15"/>
        <v>17.994457831325299</v>
      </c>
    </row>
    <row r="88" spans="2:20" x14ac:dyDescent="0.25">
      <c r="B88" t="s">
        <v>101</v>
      </c>
      <c r="H88" s="63">
        <v>86</v>
      </c>
      <c r="I88" s="20" t="s">
        <v>153</v>
      </c>
      <c r="J88" s="63" t="s">
        <v>14</v>
      </c>
      <c r="K88" s="64">
        <f>E13+E26</f>
        <v>12.157142857142858</v>
      </c>
      <c r="L88" s="64">
        <v>24</v>
      </c>
      <c r="M88" s="65">
        <f t="shared" si="11"/>
        <v>0.50654761904761914</v>
      </c>
      <c r="N88" s="66">
        <f t="shared" si="12"/>
        <v>41.33428571428572</v>
      </c>
      <c r="O88" s="67">
        <f t="shared" si="13"/>
        <v>-17.33428571428572</v>
      </c>
      <c r="P88" s="77">
        <v>25</v>
      </c>
      <c r="Q88" s="64">
        <v>27</v>
      </c>
      <c r="R88" s="68">
        <v>32</v>
      </c>
      <c r="S88" s="69">
        <f t="shared" si="14"/>
        <v>0.37991071428571432</v>
      </c>
      <c r="T88" s="70">
        <f t="shared" si="15"/>
        <v>-9.3342857142857198</v>
      </c>
    </row>
    <row r="89" spans="2:20" x14ac:dyDescent="0.25">
      <c r="B89" t="s">
        <v>110</v>
      </c>
      <c r="H89" s="63">
        <v>87</v>
      </c>
      <c r="I89" s="20" t="s">
        <v>153</v>
      </c>
      <c r="J89" s="63" t="s">
        <v>89</v>
      </c>
      <c r="K89" s="64">
        <f>E13+E27</f>
        <v>7.7230769230769232</v>
      </c>
      <c r="L89" s="64">
        <v>24</v>
      </c>
      <c r="M89" s="65">
        <f t="shared" si="11"/>
        <v>0.32179487179487182</v>
      </c>
      <c r="N89" s="66">
        <f t="shared" si="12"/>
        <v>26.258461538461539</v>
      </c>
      <c r="O89" s="67">
        <f t="shared" si="13"/>
        <v>-2.258461538461539</v>
      </c>
      <c r="P89" s="77">
        <v>25</v>
      </c>
      <c r="Q89" s="64">
        <v>27</v>
      </c>
      <c r="R89" s="68">
        <v>32</v>
      </c>
      <c r="S89" s="69">
        <f t="shared" si="14"/>
        <v>0.24134615384615385</v>
      </c>
      <c r="T89" s="70">
        <f t="shared" si="15"/>
        <v>5.741538461538461</v>
      </c>
    </row>
    <row r="90" spans="2:20" x14ac:dyDescent="0.25">
      <c r="H90" s="63">
        <v>88</v>
      </c>
      <c r="I90" s="20" t="s">
        <v>153</v>
      </c>
      <c r="J90" s="63" t="s">
        <v>154</v>
      </c>
      <c r="K90" s="64">
        <f>E13+E20</f>
        <v>19.133333333333333</v>
      </c>
      <c r="L90" s="64">
        <v>24</v>
      </c>
      <c r="M90" s="65">
        <f t="shared" si="11"/>
        <v>0.79722222222222217</v>
      </c>
      <c r="N90" s="66">
        <f t="shared" si="12"/>
        <v>65.053333333333327</v>
      </c>
      <c r="O90" s="67">
        <f t="shared" si="13"/>
        <v>-41.053333333333327</v>
      </c>
      <c r="P90" s="76">
        <v>25</v>
      </c>
      <c r="Q90" s="64">
        <v>27</v>
      </c>
      <c r="R90" s="68">
        <v>32</v>
      </c>
      <c r="S90" s="69">
        <f t="shared" si="14"/>
        <v>0.59791666666666665</v>
      </c>
      <c r="T90" s="70">
        <f t="shared" si="15"/>
        <v>-33.053333333333327</v>
      </c>
    </row>
    <row r="91" spans="2:20" x14ac:dyDescent="0.25">
      <c r="B91" t="s">
        <v>111</v>
      </c>
      <c r="H91" s="63">
        <v>89</v>
      </c>
      <c r="I91" s="20" t="s">
        <v>153</v>
      </c>
      <c r="J91" s="63" t="s">
        <v>10</v>
      </c>
      <c r="K91" s="64">
        <f>E13+E23</f>
        <v>9.0500000000000007</v>
      </c>
      <c r="L91" s="64">
        <v>24</v>
      </c>
      <c r="M91" s="65">
        <f t="shared" si="11"/>
        <v>0.37708333333333338</v>
      </c>
      <c r="N91" s="66">
        <f t="shared" si="12"/>
        <v>30.770000000000003</v>
      </c>
      <c r="O91" s="67">
        <f t="shared" si="13"/>
        <v>-6.7700000000000031</v>
      </c>
      <c r="P91" s="76">
        <v>25</v>
      </c>
      <c r="Q91" s="64">
        <v>27</v>
      </c>
      <c r="R91" s="68">
        <v>32</v>
      </c>
      <c r="S91" s="69">
        <f t="shared" si="14"/>
        <v>0.28281250000000002</v>
      </c>
      <c r="T91" s="70">
        <f t="shared" si="15"/>
        <v>1.2299999999999969</v>
      </c>
    </row>
    <row r="92" spans="2:20" x14ac:dyDescent="0.25">
      <c r="B92" s="30" t="s">
        <v>147</v>
      </c>
      <c r="H92" s="1">
        <v>90</v>
      </c>
      <c r="I92" s="20" t="s">
        <v>156</v>
      </c>
      <c r="J92" s="16" t="s">
        <v>140</v>
      </c>
      <c r="K92" s="2">
        <f>E10+(E18/2)</f>
        <v>4.4032</v>
      </c>
      <c r="L92" s="2">
        <v>40</v>
      </c>
      <c r="M92" s="6">
        <f t="shared" si="11"/>
        <v>0.11008</v>
      </c>
      <c r="N92" s="9">
        <f t="shared" si="12"/>
        <v>14.970879999999999</v>
      </c>
      <c r="O92" s="10">
        <f t="shared" si="13"/>
        <v>25.029119999999999</v>
      </c>
      <c r="P92" s="76">
        <v>40</v>
      </c>
      <c r="Q92" s="2">
        <v>27</v>
      </c>
      <c r="R92" s="12">
        <v>32</v>
      </c>
      <c r="S92" s="11">
        <f t="shared" si="14"/>
        <v>0.1376</v>
      </c>
      <c r="T92" s="13">
        <f t="shared" si="15"/>
        <v>17.029119999999999</v>
      </c>
    </row>
    <row r="93" spans="2:20" x14ac:dyDescent="0.25">
      <c r="B93" t="s">
        <v>155</v>
      </c>
      <c r="H93" s="1">
        <v>91</v>
      </c>
      <c r="I93" s="20" t="s">
        <v>156</v>
      </c>
      <c r="J93" s="16" t="s">
        <v>141</v>
      </c>
      <c r="K93" s="2">
        <f>E10+(E31/2)</f>
        <v>4.0833333333333339</v>
      </c>
      <c r="L93" s="2">
        <v>40</v>
      </c>
      <c r="M93" s="6">
        <f t="shared" si="11"/>
        <v>0.10208333333333335</v>
      </c>
      <c r="N93" s="9">
        <f t="shared" si="12"/>
        <v>13.883333333333335</v>
      </c>
      <c r="O93" s="10">
        <f t="shared" si="13"/>
        <v>26.116666666666667</v>
      </c>
      <c r="P93" s="76">
        <v>40</v>
      </c>
      <c r="Q93" s="2">
        <v>27</v>
      </c>
      <c r="R93" s="12">
        <v>32</v>
      </c>
      <c r="S93" s="11">
        <f t="shared" si="14"/>
        <v>0.12760416666666669</v>
      </c>
      <c r="T93" s="13">
        <f t="shared" si="15"/>
        <v>18.116666666666667</v>
      </c>
    </row>
    <row r="94" spans="2:20" x14ac:dyDescent="0.25">
      <c r="B94" t="s">
        <v>165</v>
      </c>
      <c r="H94" s="1">
        <v>92</v>
      </c>
      <c r="I94" s="20" t="s">
        <v>156</v>
      </c>
      <c r="J94" s="16" t="s">
        <v>157</v>
      </c>
      <c r="K94" s="2">
        <f>E10+E37</f>
        <v>5.0625</v>
      </c>
      <c r="L94" s="2">
        <v>40</v>
      </c>
      <c r="M94" s="6">
        <f t="shared" si="11"/>
        <v>0.12656249999999999</v>
      </c>
      <c r="N94" s="9">
        <f t="shared" si="12"/>
        <v>17.212499999999999</v>
      </c>
      <c r="O94" s="10">
        <f t="shared" si="13"/>
        <v>22.787500000000001</v>
      </c>
      <c r="P94" s="76">
        <v>40</v>
      </c>
      <c r="Q94" s="2">
        <v>27</v>
      </c>
      <c r="R94" s="12">
        <v>32</v>
      </c>
      <c r="S94" s="11">
        <f t="shared" si="14"/>
        <v>0.158203125</v>
      </c>
      <c r="T94" s="13">
        <f t="shared" si="15"/>
        <v>14.787500000000001</v>
      </c>
    </row>
    <row r="95" spans="2:20" x14ac:dyDescent="0.25">
      <c r="B95" t="s">
        <v>234</v>
      </c>
      <c r="H95" s="1">
        <v>93</v>
      </c>
      <c r="I95" s="20" t="s">
        <v>156</v>
      </c>
      <c r="J95" s="16" t="s">
        <v>158</v>
      </c>
      <c r="K95" s="2">
        <f>E10+E21</f>
        <v>7.8250000000000002</v>
      </c>
      <c r="L95" s="2">
        <v>40</v>
      </c>
      <c r="M95" s="6">
        <f t="shared" si="11"/>
        <v>0.19562499999999999</v>
      </c>
      <c r="N95" s="9">
        <f t="shared" si="12"/>
        <v>26.605</v>
      </c>
      <c r="O95" s="10">
        <f t="shared" si="13"/>
        <v>13.395</v>
      </c>
      <c r="P95" s="76">
        <v>40</v>
      </c>
      <c r="Q95" s="2">
        <v>27</v>
      </c>
      <c r="R95" s="12">
        <v>32</v>
      </c>
      <c r="S95" s="11">
        <f t="shared" si="14"/>
        <v>0.24453125000000001</v>
      </c>
      <c r="T95" s="13">
        <f t="shared" si="15"/>
        <v>5.3949999999999996</v>
      </c>
    </row>
    <row r="96" spans="2:20" x14ac:dyDescent="0.25">
      <c r="H96" s="1">
        <v>94</v>
      </c>
      <c r="I96" s="20" t="s">
        <v>156</v>
      </c>
      <c r="J96" s="16" t="s">
        <v>10</v>
      </c>
      <c r="K96" s="2">
        <f>E10+E23</f>
        <v>8.25</v>
      </c>
      <c r="L96" s="2">
        <v>40</v>
      </c>
      <c r="M96" s="6">
        <f t="shared" si="11"/>
        <v>0.20624999999999999</v>
      </c>
      <c r="N96" s="9">
        <f t="shared" si="12"/>
        <v>28.05</v>
      </c>
      <c r="O96" s="10">
        <f t="shared" si="13"/>
        <v>11.95</v>
      </c>
      <c r="P96" s="76">
        <v>40</v>
      </c>
      <c r="Q96" s="2">
        <v>27</v>
      </c>
      <c r="R96" s="12">
        <v>32</v>
      </c>
      <c r="S96" s="11">
        <f t="shared" si="14"/>
        <v>0.2578125</v>
      </c>
      <c r="T96" s="13">
        <f t="shared" si="15"/>
        <v>3.9499999999999993</v>
      </c>
    </row>
    <row r="97" spans="8:20" customFormat="1" x14ac:dyDescent="0.25">
      <c r="H97" s="1">
        <v>95</v>
      </c>
      <c r="I97" s="20" t="s">
        <v>156</v>
      </c>
      <c r="J97" s="16" t="s">
        <v>159</v>
      </c>
      <c r="K97" s="2">
        <f>E10+E18</f>
        <v>7.8064</v>
      </c>
      <c r="L97" s="2">
        <v>40</v>
      </c>
      <c r="M97" s="6">
        <f t="shared" si="11"/>
        <v>0.19516</v>
      </c>
      <c r="N97" s="9">
        <f t="shared" si="12"/>
        <v>26.54176</v>
      </c>
      <c r="O97" s="10">
        <f t="shared" si="13"/>
        <v>13.45824</v>
      </c>
      <c r="P97" s="76">
        <v>40</v>
      </c>
      <c r="Q97" s="2">
        <v>27</v>
      </c>
      <c r="R97" s="12">
        <v>32</v>
      </c>
      <c r="S97" s="11">
        <f t="shared" si="14"/>
        <v>0.24395</v>
      </c>
      <c r="T97" s="13">
        <f t="shared" si="15"/>
        <v>5.45824</v>
      </c>
    </row>
    <row r="98" spans="8:20" customFormat="1" x14ac:dyDescent="0.25">
      <c r="H98" s="63">
        <v>96</v>
      </c>
      <c r="I98" s="20" t="s">
        <v>160</v>
      </c>
      <c r="J98" s="63" t="s">
        <v>161</v>
      </c>
      <c r="K98" s="64">
        <f>E50</f>
        <v>28.116358942262558</v>
      </c>
      <c r="L98" s="64">
        <v>50</v>
      </c>
      <c r="M98" s="65">
        <f t="shared" si="11"/>
        <v>0.56232717884525119</v>
      </c>
      <c r="N98" s="66">
        <f t="shared" si="12"/>
        <v>95.595620403692692</v>
      </c>
      <c r="O98" s="67">
        <f t="shared" si="13"/>
        <v>-45.595620403692692</v>
      </c>
      <c r="P98" s="76">
        <v>50</v>
      </c>
      <c r="Q98" s="64">
        <v>27</v>
      </c>
      <c r="R98" s="68">
        <v>80</v>
      </c>
      <c r="S98" s="69">
        <f t="shared" si="14"/>
        <v>0.35145448677828195</v>
      </c>
      <c r="T98" s="70">
        <f t="shared" si="15"/>
        <v>-15.595620403692692</v>
      </c>
    </row>
    <row r="99" spans="8:20" customFormat="1" x14ac:dyDescent="0.25">
      <c r="H99" s="63">
        <v>97</v>
      </c>
      <c r="I99" s="20" t="s">
        <v>160</v>
      </c>
      <c r="J99" s="63" t="s">
        <v>162</v>
      </c>
      <c r="K99" s="64">
        <f>+E50*1.5</f>
        <v>42.174538413393833</v>
      </c>
      <c r="L99" s="64">
        <v>60</v>
      </c>
      <c r="M99" s="65">
        <f t="shared" ref="M99:M111" si="16">K99/L99</f>
        <v>0.7029089735565639</v>
      </c>
      <c r="N99" s="66">
        <f t="shared" ref="N99:N111" si="17">K99*3.4</f>
        <v>143.39343060553904</v>
      </c>
      <c r="O99" s="67">
        <f t="shared" ref="O99:O111" si="18">L99-N99</f>
        <v>-83.393430605539038</v>
      </c>
      <c r="P99" s="76">
        <v>60</v>
      </c>
      <c r="Q99" s="64">
        <v>27</v>
      </c>
      <c r="R99" s="68">
        <v>85</v>
      </c>
      <c r="S99" s="69">
        <f t="shared" ref="S99:S111" si="19">K99/R99</f>
        <v>0.49617104015757452</v>
      </c>
      <c r="T99" s="70">
        <f t="shared" ref="T99:T111" si="20">R99-N99</f>
        <v>-58.393430605539038</v>
      </c>
    </row>
    <row r="100" spans="8:20" customFormat="1" x14ac:dyDescent="0.25">
      <c r="H100" s="63">
        <v>98</v>
      </c>
      <c r="I100" s="20" t="s">
        <v>160</v>
      </c>
      <c r="J100" s="63" t="s">
        <v>163</v>
      </c>
      <c r="K100" s="64">
        <f>+E50*2</f>
        <v>56.232717884525115</v>
      </c>
      <c r="L100" s="64">
        <v>70</v>
      </c>
      <c r="M100" s="65">
        <f t="shared" si="16"/>
        <v>0.80332454120750163</v>
      </c>
      <c r="N100" s="66">
        <f t="shared" si="17"/>
        <v>191.19124080738538</v>
      </c>
      <c r="O100" s="67">
        <f t="shared" si="18"/>
        <v>-121.19124080738538</v>
      </c>
      <c r="P100" s="76">
        <v>70</v>
      </c>
      <c r="Q100" s="64">
        <v>27</v>
      </c>
      <c r="R100" s="68">
        <v>90</v>
      </c>
      <c r="S100" s="69">
        <f t="shared" si="19"/>
        <v>0.62480797649472353</v>
      </c>
      <c r="T100" s="70">
        <f t="shared" si="20"/>
        <v>-101.19124080738538</v>
      </c>
    </row>
    <row r="101" spans="8:20" customFormat="1" x14ac:dyDescent="0.25">
      <c r="H101" s="1">
        <v>99</v>
      </c>
      <c r="I101" s="20" t="s">
        <v>164</v>
      </c>
      <c r="J101" s="16" t="s">
        <v>204</v>
      </c>
      <c r="K101" s="2">
        <f>E38</f>
        <v>8.3333333333333339</v>
      </c>
      <c r="L101" s="2">
        <v>20</v>
      </c>
      <c r="M101" s="6">
        <f t="shared" si="16"/>
        <v>0.41666666666666669</v>
      </c>
      <c r="N101" s="9">
        <f t="shared" si="17"/>
        <v>28.333333333333336</v>
      </c>
      <c r="O101" s="10">
        <f t="shared" si="18"/>
        <v>-8.3333333333333357</v>
      </c>
      <c r="P101" s="76">
        <v>20</v>
      </c>
      <c r="Q101" s="2">
        <v>27</v>
      </c>
      <c r="R101" s="12">
        <v>25</v>
      </c>
      <c r="S101" s="11">
        <f t="shared" si="19"/>
        <v>0.33333333333333337</v>
      </c>
      <c r="T101" s="13">
        <f t="shared" si="20"/>
        <v>-3.3333333333333357</v>
      </c>
    </row>
    <row r="102" spans="8:20" customFormat="1" x14ac:dyDescent="0.25">
      <c r="H102" s="1">
        <v>100</v>
      </c>
      <c r="I102" s="20" t="s">
        <v>164</v>
      </c>
      <c r="J102" s="16" t="s">
        <v>205</v>
      </c>
      <c r="K102" s="2">
        <f>E38*2</f>
        <v>16.666666666666668</v>
      </c>
      <c r="L102" s="2">
        <v>30</v>
      </c>
      <c r="M102" s="6">
        <f t="shared" si="16"/>
        <v>0.55555555555555558</v>
      </c>
      <c r="N102" s="9">
        <f t="shared" si="17"/>
        <v>56.666666666666671</v>
      </c>
      <c r="O102" s="10">
        <f t="shared" si="18"/>
        <v>-26.666666666666671</v>
      </c>
      <c r="P102" s="76">
        <v>35</v>
      </c>
      <c r="Q102" s="2">
        <v>27</v>
      </c>
      <c r="R102" s="12">
        <v>35</v>
      </c>
      <c r="S102" s="11">
        <f t="shared" si="19"/>
        <v>0.47619047619047622</v>
      </c>
      <c r="T102" s="13">
        <f t="shared" si="20"/>
        <v>-21.666666666666671</v>
      </c>
    </row>
    <row r="103" spans="8:20" customFormat="1" x14ac:dyDescent="0.25">
      <c r="H103" s="1">
        <v>101</v>
      </c>
      <c r="I103" s="20" t="s">
        <v>164</v>
      </c>
      <c r="J103" s="16" t="s">
        <v>206</v>
      </c>
      <c r="K103" s="2">
        <f>E38*4</f>
        <v>33.333333333333336</v>
      </c>
      <c r="L103" s="2">
        <v>50</v>
      </c>
      <c r="M103" s="6">
        <f t="shared" si="16"/>
        <v>0.66666666666666674</v>
      </c>
      <c r="N103" s="9">
        <f t="shared" si="17"/>
        <v>113.33333333333334</v>
      </c>
      <c r="O103" s="10">
        <f t="shared" si="18"/>
        <v>-63.333333333333343</v>
      </c>
      <c r="P103" s="76">
        <v>60</v>
      </c>
      <c r="Q103" s="2">
        <v>27</v>
      </c>
      <c r="R103" s="12">
        <v>55</v>
      </c>
      <c r="S103" s="11">
        <f t="shared" si="19"/>
        <v>0.60606060606060608</v>
      </c>
      <c r="T103" s="13">
        <f t="shared" si="20"/>
        <v>-58.333333333333343</v>
      </c>
    </row>
    <row r="104" spans="8:20" customFormat="1" x14ac:dyDescent="0.25">
      <c r="H104" s="1">
        <v>102</v>
      </c>
      <c r="I104" s="20" t="s">
        <v>168</v>
      </c>
      <c r="J104" s="16" t="s">
        <v>165</v>
      </c>
      <c r="K104" s="2">
        <f>E72</f>
        <v>17.951333333333331</v>
      </c>
      <c r="L104" s="2">
        <v>60</v>
      </c>
      <c r="M104" s="6">
        <f t="shared" si="16"/>
        <v>0.29918888888888884</v>
      </c>
      <c r="N104" s="9">
        <f t="shared" si="17"/>
        <v>61.034533333333322</v>
      </c>
      <c r="O104" s="10">
        <f t="shared" si="18"/>
        <v>-1.0345333333333215</v>
      </c>
      <c r="P104" s="76">
        <v>70</v>
      </c>
      <c r="Q104" s="2">
        <v>27</v>
      </c>
      <c r="R104" s="12">
        <v>65</v>
      </c>
      <c r="S104" s="11">
        <f t="shared" si="19"/>
        <v>0.27617435897435894</v>
      </c>
      <c r="T104" s="13">
        <f t="shared" si="20"/>
        <v>3.9654666666666785</v>
      </c>
    </row>
    <row r="105" spans="8:20" customFormat="1" x14ac:dyDescent="0.25">
      <c r="H105" s="63">
        <v>103</v>
      </c>
      <c r="I105" s="20" t="s">
        <v>166</v>
      </c>
      <c r="J105" s="63" t="s">
        <v>165</v>
      </c>
      <c r="K105" s="71">
        <f>+E6+(E72/2)</f>
        <v>10.775666666666666</v>
      </c>
      <c r="L105" s="64">
        <v>30</v>
      </c>
      <c r="M105" s="65">
        <f t="shared" si="16"/>
        <v>0.35918888888888889</v>
      </c>
      <c r="N105" s="66">
        <f t="shared" si="17"/>
        <v>36.637266666666662</v>
      </c>
      <c r="O105" s="67">
        <f t="shared" si="18"/>
        <v>-6.6372666666666618</v>
      </c>
      <c r="P105" s="76">
        <v>25</v>
      </c>
      <c r="Q105" s="64">
        <v>27</v>
      </c>
      <c r="R105" s="68">
        <v>30</v>
      </c>
      <c r="S105" s="69">
        <f t="shared" si="19"/>
        <v>0.35918888888888889</v>
      </c>
      <c r="T105" s="70">
        <f t="shared" si="20"/>
        <v>-6.6372666666666618</v>
      </c>
    </row>
    <row r="106" spans="8:20" customFormat="1" x14ac:dyDescent="0.25">
      <c r="H106" s="63">
        <v>104</v>
      </c>
      <c r="I106" s="20" t="s">
        <v>166</v>
      </c>
      <c r="J106" s="63" t="s">
        <v>89</v>
      </c>
      <c r="K106" s="64">
        <f>+E6+E27</f>
        <v>7.7230769230769232</v>
      </c>
      <c r="L106" s="64">
        <v>30</v>
      </c>
      <c r="M106" s="65">
        <f t="shared" si="16"/>
        <v>0.25743589743589745</v>
      </c>
      <c r="N106" s="66">
        <f t="shared" si="17"/>
        <v>26.258461538461539</v>
      </c>
      <c r="O106" s="67">
        <f t="shared" si="18"/>
        <v>3.741538461538461</v>
      </c>
      <c r="P106" s="76">
        <v>25</v>
      </c>
      <c r="Q106" s="64">
        <v>27</v>
      </c>
      <c r="R106" s="68">
        <v>30</v>
      </c>
      <c r="S106" s="69">
        <f t="shared" si="19"/>
        <v>0.25743589743589745</v>
      </c>
      <c r="T106" s="70">
        <f t="shared" si="20"/>
        <v>3.741538461538461</v>
      </c>
    </row>
    <row r="107" spans="8:20" customFormat="1" x14ac:dyDescent="0.25">
      <c r="H107" s="63">
        <v>105</v>
      </c>
      <c r="I107" s="20" t="s">
        <v>166</v>
      </c>
      <c r="J107" s="63" t="s">
        <v>158</v>
      </c>
      <c r="K107" s="64">
        <f>+E6+E21</f>
        <v>8.625</v>
      </c>
      <c r="L107" s="64">
        <v>30</v>
      </c>
      <c r="M107" s="65">
        <f t="shared" si="16"/>
        <v>0.28749999999999998</v>
      </c>
      <c r="N107" s="66">
        <f t="shared" si="17"/>
        <v>29.324999999999999</v>
      </c>
      <c r="O107" s="67">
        <f t="shared" si="18"/>
        <v>0.67500000000000071</v>
      </c>
      <c r="P107" s="76">
        <v>25</v>
      </c>
      <c r="Q107" s="64">
        <v>27</v>
      </c>
      <c r="R107" s="68">
        <v>30</v>
      </c>
      <c r="S107" s="69">
        <f t="shared" si="19"/>
        <v>0.28749999999999998</v>
      </c>
      <c r="T107" s="70">
        <f t="shared" si="20"/>
        <v>0.67500000000000071</v>
      </c>
    </row>
    <row r="108" spans="8:20" customFormat="1" x14ac:dyDescent="0.25">
      <c r="H108" s="63">
        <v>106</v>
      </c>
      <c r="I108" s="20" t="s">
        <v>166</v>
      </c>
      <c r="J108" s="63" t="s">
        <v>14</v>
      </c>
      <c r="K108" s="64">
        <f>+E6+E26</f>
        <v>12.157142857142858</v>
      </c>
      <c r="L108" s="64">
        <v>40</v>
      </c>
      <c r="M108" s="65">
        <f t="shared" si="16"/>
        <v>0.30392857142857144</v>
      </c>
      <c r="N108" s="66">
        <f t="shared" si="17"/>
        <v>41.33428571428572</v>
      </c>
      <c r="O108" s="67">
        <f t="shared" si="18"/>
        <v>-1.3342857142857198</v>
      </c>
      <c r="P108" s="76">
        <v>33</v>
      </c>
      <c r="Q108" s="64">
        <v>27</v>
      </c>
      <c r="R108" s="68">
        <v>40</v>
      </c>
      <c r="S108" s="69">
        <f t="shared" si="19"/>
        <v>0.30392857142857144</v>
      </c>
      <c r="T108" s="70">
        <f t="shared" si="20"/>
        <v>-1.3342857142857198</v>
      </c>
    </row>
    <row r="109" spans="8:20" customFormat="1" x14ac:dyDescent="0.25">
      <c r="H109" s="63">
        <v>107</v>
      </c>
      <c r="I109" s="20" t="s">
        <v>166</v>
      </c>
      <c r="J109" s="63" t="s">
        <v>154</v>
      </c>
      <c r="K109" s="64">
        <f>+E6+E20</f>
        <v>19.133333333333333</v>
      </c>
      <c r="L109" s="64">
        <v>40</v>
      </c>
      <c r="M109" s="65">
        <f t="shared" si="16"/>
        <v>0.47833333333333333</v>
      </c>
      <c r="N109" s="66">
        <f t="shared" si="17"/>
        <v>65.053333333333327</v>
      </c>
      <c r="O109" s="67">
        <f t="shared" si="18"/>
        <v>-25.053333333333327</v>
      </c>
      <c r="P109" s="76">
        <v>33</v>
      </c>
      <c r="Q109" s="64">
        <v>27</v>
      </c>
      <c r="R109" s="68">
        <v>40</v>
      </c>
      <c r="S109" s="69">
        <f t="shared" si="19"/>
        <v>0.47833333333333333</v>
      </c>
      <c r="T109" s="70">
        <f t="shared" si="20"/>
        <v>-25.053333333333327</v>
      </c>
    </row>
    <row r="110" spans="8:20" customFormat="1" x14ac:dyDescent="0.25">
      <c r="H110" s="63">
        <v>108</v>
      </c>
      <c r="I110" s="20" t="s">
        <v>166</v>
      </c>
      <c r="J110" s="63" t="s">
        <v>10</v>
      </c>
      <c r="K110" s="64">
        <f>+E6+E23</f>
        <v>9.0500000000000007</v>
      </c>
      <c r="L110" s="64">
        <v>40</v>
      </c>
      <c r="M110" s="65">
        <f t="shared" si="16"/>
        <v>0.22625000000000001</v>
      </c>
      <c r="N110" s="66">
        <f t="shared" si="17"/>
        <v>30.770000000000003</v>
      </c>
      <c r="O110" s="67">
        <f t="shared" si="18"/>
        <v>9.2299999999999969</v>
      </c>
      <c r="P110" s="76">
        <v>33</v>
      </c>
      <c r="Q110" s="64">
        <v>27</v>
      </c>
      <c r="R110" s="68">
        <v>40</v>
      </c>
      <c r="S110" s="69">
        <f t="shared" si="19"/>
        <v>0.22625000000000001</v>
      </c>
      <c r="T110" s="70">
        <f t="shared" si="20"/>
        <v>9.2299999999999969</v>
      </c>
    </row>
    <row r="111" spans="8:20" customFormat="1" x14ac:dyDescent="0.25">
      <c r="H111" s="1">
        <v>109</v>
      </c>
      <c r="I111" s="20" t="s">
        <v>158</v>
      </c>
      <c r="J111" s="16" t="s">
        <v>167</v>
      </c>
      <c r="K111" s="2">
        <f>(+E21*4.16)+E36+E39</f>
        <v>33.377943775100405</v>
      </c>
      <c r="L111" s="2">
        <v>60</v>
      </c>
      <c r="M111" s="6">
        <f t="shared" si="16"/>
        <v>0.55629906291834008</v>
      </c>
      <c r="N111" s="9">
        <f t="shared" si="17"/>
        <v>113.48500883534138</v>
      </c>
      <c r="O111" s="10">
        <f t="shared" si="18"/>
        <v>-53.485008835341375</v>
      </c>
      <c r="P111" s="76">
        <v>70</v>
      </c>
      <c r="Q111" s="2">
        <v>27</v>
      </c>
      <c r="R111" s="12">
        <v>60</v>
      </c>
      <c r="S111" s="11">
        <f t="shared" si="19"/>
        <v>0.55629906291834008</v>
      </c>
      <c r="T111" s="13">
        <f t="shared" si="20"/>
        <v>-53.485008835341375</v>
      </c>
    </row>
    <row r="112" spans="8:20" customFormat="1" x14ac:dyDescent="0.25">
      <c r="H112" s="63">
        <v>110</v>
      </c>
      <c r="I112" s="20" t="s">
        <v>169</v>
      </c>
      <c r="J112" s="63" t="s">
        <v>170</v>
      </c>
      <c r="K112" s="71">
        <v>10</v>
      </c>
      <c r="L112" s="64">
        <v>22</v>
      </c>
      <c r="M112" s="65">
        <f t="shared" ref="M112" si="21">K112/L112</f>
        <v>0.45454545454545453</v>
      </c>
      <c r="N112" s="66">
        <f t="shared" ref="N112" si="22">K112*3.4</f>
        <v>34</v>
      </c>
      <c r="O112" s="67">
        <f t="shared" ref="O112" si="23">L112-N112</f>
        <v>-12</v>
      </c>
      <c r="P112" s="76">
        <v>25</v>
      </c>
      <c r="Q112" s="64">
        <v>12</v>
      </c>
      <c r="R112" s="68">
        <v>25</v>
      </c>
      <c r="S112" s="69">
        <f t="shared" ref="S112" si="24">K112/R112</f>
        <v>0.4</v>
      </c>
      <c r="T112" s="70">
        <f t="shared" ref="T112" si="25">R112-N112</f>
        <v>-9</v>
      </c>
    </row>
    <row r="113" spans="8:20" customFormat="1" x14ac:dyDescent="0.25">
      <c r="H113" s="63">
        <v>111</v>
      </c>
      <c r="I113" s="20" t="s">
        <v>169</v>
      </c>
      <c r="J113" s="63" t="s">
        <v>171</v>
      </c>
      <c r="K113" s="71">
        <v>14.5</v>
      </c>
      <c r="L113" s="64">
        <v>22</v>
      </c>
      <c r="M113" s="65">
        <f t="shared" ref="M113:M125" si="26">K113/L113</f>
        <v>0.65909090909090906</v>
      </c>
      <c r="N113" s="66">
        <f t="shared" ref="N113:N125" si="27">K113*3.4</f>
        <v>49.3</v>
      </c>
      <c r="O113" s="67">
        <f t="shared" ref="O113:O125" si="28">L113-N113</f>
        <v>-27.299999999999997</v>
      </c>
      <c r="P113" s="76">
        <v>30</v>
      </c>
      <c r="Q113" s="64">
        <v>12</v>
      </c>
      <c r="R113" s="68">
        <v>25</v>
      </c>
      <c r="S113" s="69">
        <f t="shared" ref="S113:S125" si="29">K113/R113</f>
        <v>0.57999999999999996</v>
      </c>
      <c r="T113" s="70">
        <f t="shared" ref="T113:T125" si="30">R113-N113</f>
        <v>-24.299999999999997</v>
      </c>
    </row>
    <row r="114" spans="8:20" customFormat="1" x14ac:dyDescent="0.25">
      <c r="H114" s="63">
        <v>112</v>
      </c>
      <c r="I114" s="20" t="s">
        <v>169</v>
      </c>
      <c r="J114" s="63" t="s">
        <v>172</v>
      </c>
      <c r="K114" s="71">
        <v>10</v>
      </c>
      <c r="L114" s="64">
        <v>18</v>
      </c>
      <c r="M114" s="65">
        <f t="shared" si="26"/>
        <v>0.55555555555555558</v>
      </c>
      <c r="N114" s="66">
        <f t="shared" si="27"/>
        <v>34</v>
      </c>
      <c r="O114" s="67">
        <f t="shared" si="28"/>
        <v>-16</v>
      </c>
      <c r="P114" s="76">
        <v>22</v>
      </c>
      <c r="Q114" s="64">
        <v>12</v>
      </c>
      <c r="R114" s="68">
        <v>25</v>
      </c>
      <c r="S114" s="69">
        <f t="shared" si="29"/>
        <v>0.4</v>
      </c>
      <c r="T114" s="70">
        <f t="shared" si="30"/>
        <v>-9</v>
      </c>
    </row>
    <row r="115" spans="8:20" customFormat="1" x14ac:dyDescent="0.25">
      <c r="H115" s="63">
        <v>113</v>
      </c>
      <c r="I115" s="20" t="s">
        <v>169</v>
      </c>
      <c r="J115" s="63" t="s">
        <v>173</v>
      </c>
      <c r="K115" s="71">
        <v>10</v>
      </c>
      <c r="L115" s="64">
        <v>18</v>
      </c>
      <c r="M115" s="65">
        <f t="shared" si="26"/>
        <v>0.55555555555555558</v>
      </c>
      <c r="N115" s="66">
        <f t="shared" si="27"/>
        <v>34</v>
      </c>
      <c r="O115" s="67">
        <f t="shared" si="28"/>
        <v>-16</v>
      </c>
      <c r="P115" s="76">
        <v>22</v>
      </c>
      <c r="Q115" s="64">
        <v>12</v>
      </c>
      <c r="R115" s="68">
        <v>25</v>
      </c>
      <c r="S115" s="69">
        <f t="shared" si="29"/>
        <v>0.4</v>
      </c>
      <c r="T115" s="70">
        <f t="shared" si="30"/>
        <v>-9</v>
      </c>
    </row>
    <row r="116" spans="8:20" customFormat="1" x14ac:dyDescent="0.25">
      <c r="H116" s="16">
        <v>114</v>
      </c>
      <c r="I116" s="20" t="s">
        <v>174</v>
      </c>
      <c r="J116" s="16" t="s">
        <v>213</v>
      </c>
      <c r="K116" s="72">
        <v>13.72</v>
      </c>
      <c r="L116" s="22">
        <v>25</v>
      </c>
      <c r="M116" s="23">
        <f t="shared" si="26"/>
        <v>0.54880000000000007</v>
      </c>
      <c r="N116" s="24">
        <f t="shared" si="27"/>
        <v>46.648000000000003</v>
      </c>
      <c r="O116" s="25">
        <f t="shared" si="28"/>
        <v>-21.648000000000003</v>
      </c>
      <c r="P116" s="76">
        <v>25</v>
      </c>
      <c r="Q116" s="22">
        <v>12</v>
      </c>
      <c r="R116" s="73">
        <v>30</v>
      </c>
      <c r="S116" s="21">
        <f t="shared" si="29"/>
        <v>0.45733333333333337</v>
      </c>
      <c r="T116" s="74">
        <f t="shared" si="30"/>
        <v>-16.648000000000003</v>
      </c>
    </row>
    <row r="117" spans="8:20" customFormat="1" x14ac:dyDescent="0.25">
      <c r="H117" s="16">
        <v>115</v>
      </c>
      <c r="I117" s="20" t="s">
        <v>174</v>
      </c>
      <c r="J117" s="16" t="s">
        <v>175</v>
      </c>
      <c r="K117" s="72">
        <v>12.39</v>
      </c>
      <c r="L117" s="22">
        <v>25</v>
      </c>
      <c r="M117" s="23">
        <f t="shared" si="26"/>
        <v>0.49560000000000004</v>
      </c>
      <c r="N117" s="24">
        <f t="shared" si="27"/>
        <v>42.125999999999998</v>
      </c>
      <c r="O117" s="25">
        <f t="shared" si="28"/>
        <v>-17.125999999999998</v>
      </c>
      <c r="P117" s="76">
        <v>25</v>
      </c>
      <c r="Q117" s="22">
        <v>12</v>
      </c>
      <c r="R117" s="73">
        <v>30</v>
      </c>
      <c r="S117" s="21">
        <f t="shared" si="29"/>
        <v>0.41300000000000003</v>
      </c>
      <c r="T117" s="74">
        <f t="shared" si="30"/>
        <v>-12.125999999999998</v>
      </c>
    </row>
    <row r="118" spans="8:20" customFormat="1" x14ac:dyDescent="0.25">
      <c r="H118" s="16">
        <v>116</v>
      </c>
      <c r="I118" s="20" t="s">
        <v>174</v>
      </c>
      <c r="J118" s="16" t="s">
        <v>176</v>
      </c>
      <c r="K118" s="72">
        <v>15.84</v>
      </c>
      <c r="L118" s="22">
        <v>35</v>
      </c>
      <c r="M118" s="23">
        <f t="shared" si="26"/>
        <v>0.45257142857142857</v>
      </c>
      <c r="N118" s="24">
        <f t="shared" si="27"/>
        <v>53.856000000000002</v>
      </c>
      <c r="O118" s="25">
        <f t="shared" si="28"/>
        <v>-18.856000000000002</v>
      </c>
      <c r="P118" s="76">
        <v>35</v>
      </c>
      <c r="Q118" s="22">
        <v>12</v>
      </c>
      <c r="R118" s="73">
        <v>40</v>
      </c>
      <c r="S118" s="21">
        <f t="shared" si="29"/>
        <v>0.39600000000000002</v>
      </c>
      <c r="T118" s="74">
        <f t="shared" si="30"/>
        <v>-13.856000000000002</v>
      </c>
    </row>
    <row r="119" spans="8:20" customFormat="1" x14ac:dyDescent="0.25">
      <c r="H119" s="16">
        <v>117</v>
      </c>
      <c r="I119" s="20" t="s">
        <v>174</v>
      </c>
      <c r="J119" s="16" t="s">
        <v>177</v>
      </c>
      <c r="K119" s="72">
        <v>15.17</v>
      </c>
      <c r="L119" s="22">
        <v>35</v>
      </c>
      <c r="M119" s="23">
        <f t="shared" si="26"/>
        <v>0.43342857142857144</v>
      </c>
      <c r="N119" s="24">
        <f t="shared" si="27"/>
        <v>51.577999999999996</v>
      </c>
      <c r="O119" s="25">
        <f t="shared" si="28"/>
        <v>-16.577999999999996</v>
      </c>
      <c r="P119" s="76">
        <v>35</v>
      </c>
      <c r="Q119" s="22">
        <v>12</v>
      </c>
      <c r="R119" s="73">
        <v>40</v>
      </c>
      <c r="S119" s="21">
        <f t="shared" si="29"/>
        <v>0.37924999999999998</v>
      </c>
      <c r="T119" s="74">
        <f t="shared" si="30"/>
        <v>-11.577999999999996</v>
      </c>
    </row>
    <row r="120" spans="8:20" customFormat="1" x14ac:dyDescent="0.25">
      <c r="H120" s="63">
        <v>118</v>
      </c>
      <c r="I120" s="20" t="s">
        <v>178</v>
      </c>
      <c r="J120" s="63" t="s">
        <v>186</v>
      </c>
      <c r="K120" s="71">
        <v>6.75</v>
      </c>
      <c r="L120" s="64">
        <v>19</v>
      </c>
      <c r="M120" s="65">
        <f t="shared" si="26"/>
        <v>0.35526315789473684</v>
      </c>
      <c r="N120" s="66">
        <f t="shared" si="27"/>
        <v>22.95</v>
      </c>
      <c r="O120" s="67">
        <f t="shared" si="28"/>
        <v>-3.9499999999999993</v>
      </c>
      <c r="P120" s="76">
        <v>20</v>
      </c>
      <c r="Q120" s="64">
        <v>12</v>
      </c>
      <c r="R120" s="68">
        <v>19</v>
      </c>
      <c r="S120" s="69">
        <f t="shared" si="29"/>
        <v>0.35526315789473684</v>
      </c>
      <c r="T120" s="70">
        <f t="shared" si="30"/>
        <v>-3.9499999999999993</v>
      </c>
    </row>
    <row r="121" spans="8:20" customFormat="1" x14ac:dyDescent="0.25">
      <c r="H121" s="63">
        <v>119</v>
      </c>
      <c r="I121" s="20" t="s">
        <v>178</v>
      </c>
      <c r="J121" s="63" t="s">
        <v>187</v>
      </c>
      <c r="K121" s="71">
        <v>10</v>
      </c>
      <c r="L121" s="64">
        <v>25</v>
      </c>
      <c r="M121" s="65">
        <f t="shared" si="26"/>
        <v>0.4</v>
      </c>
      <c r="N121" s="66">
        <f t="shared" si="27"/>
        <v>34</v>
      </c>
      <c r="O121" s="67">
        <f t="shared" si="28"/>
        <v>-9</v>
      </c>
      <c r="P121" s="76">
        <v>25</v>
      </c>
      <c r="Q121" s="64">
        <v>12</v>
      </c>
      <c r="R121" s="68">
        <v>25</v>
      </c>
      <c r="S121" s="69">
        <f t="shared" si="29"/>
        <v>0.4</v>
      </c>
      <c r="T121" s="70">
        <f t="shared" si="30"/>
        <v>-9</v>
      </c>
    </row>
    <row r="122" spans="8:20" customFormat="1" x14ac:dyDescent="0.25">
      <c r="H122" s="63">
        <v>120</v>
      </c>
      <c r="I122" s="20" t="s">
        <v>178</v>
      </c>
      <c r="J122" s="63" t="s">
        <v>215</v>
      </c>
      <c r="K122" s="71">
        <v>5.4</v>
      </c>
      <c r="L122" s="64">
        <v>18</v>
      </c>
      <c r="M122" s="65">
        <f t="shared" si="26"/>
        <v>0.30000000000000004</v>
      </c>
      <c r="N122" s="66">
        <f t="shared" si="27"/>
        <v>18.36</v>
      </c>
      <c r="O122" s="67">
        <f t="shared" si="28"/>
        <v>-0.35999999999999943</v>
      </c>
      <c r="P122" s="76">
        <v>16</v>
      </c>
      <c r="Q122" s="64">
        <v>12</v>
      </c>
      <c r="R122" s="68">
        <v>18</v>
      </c>
      <c r="S122" s="69">
        <f t="shared" si="29"/>
        <v>0.30000000000000004</v>
      </c>
      <c r="T122" s="70">
        <f t="shared" si="30"/>
        <v>-0.35999999999999943</v>
      </c>
    </row>
    <row r="123" spans="8:20" customFormat="1" x14ac:dyDescent="0.25">
      <c r="H123" s="16">
        <v>121</v>
      </c>
      <c r="I123" s="20" t="s">
        <v>179</v>
      </c>
      <c r="J123" s="16" t="s">
        <v>216</v>
      </c>
      <c r="K123" s="72">
        <f>E40</f>
        <v>5.8</v>
      </c>
      <c r="L123" s="22">
        <v>27</v>
      </c>
      <c r="M123" s="23">
        <f t="shared" si="26"/>
        <v>0.21481481481481482</v>
      </c>
      <c r="N123" s="24">
        <f t="shared" si="27"/>
        <v>19.72</v>
      </c>
      <c r="O123" s="25">
        <f t="shared" si="28"/>
        <v>7.2800000000000011</v>
      </c>
      <c r="P123" s="76">
        <v>27</v>
      </c>
      <c r="Q123" s="22">
        <v>12</v>
      </c>
      <c r="R123" s="73">
        <v>27</v>
      </c>
      <c r="S123" s="21">
        <f t="shared" si="29"/>
        <v>0.21481481481481482</v>
      </c>
      <c r="T123" s="74">
        <f t="shared" si="30"/>
        <v>7.2800000000000011</v>
      </c>
    </row>
    <row r="124" spans="8:20" customFormat="1" x14ac:dyDescent="0.25">
      <c r="H124" s="16">
        <v>122</v>
      </c>
      <c r="I124" s="20" t="s">
        <v>179</v>
      </c>
      <c r="J124" s="16" t="s">
        <v>217</v>
      </c>
      <c r="K124" s="72">
        <f>E40*2</f>
        <v>11.6</v>
      </c>
      <c r="L124" s="22">
        <v>42</v>
      </c>
      <c r="M124" s="23">
        <f t="shared" ref="M124" si="31">K124/L124</f>
        <v>0.27619047619047621</v>
      </c>
      <c r="N124" s="24">
        <f t="shared" ref="N124" si="32">K124*3.4</f>
        <v>39.44</v>
      </c>
      <c r="O124" s="25">
        <f t="shared" ref="O124" si="33">L124-N124</f>
        <v>2.5600000000000023</v>
      </c>
      <c r="P124" s="76">
        <v>42</v>
      </c>
      <c r="Q124" s="22">
        <v>12</v>
      </c>
      <c r="R124" s="73">
        <v>42</v>
      </c>
      <c r="S124" s="21">
        <f t="shared" ref="S124" si="34">K124/R124</f>
        <v>0.27619047619047621</v>
      </c>
      <c r="T124" s="74">
        <f t="shared" ref="T124" si="35">R124-N124</f>
        <v>2.5600000000000023</v>
      </c>
    </row>
    <row r="125" spans="8:20" customFormat="1" x14ac:dyDescent="0.25">
      <c r="H125" s="63">
        <v>123</v>
      </c>
      <c r="I125" s="20" t="s">
        <v>180</v>
      </c>
      <c r="J125" s="63" t="s">
        <v>189</v>
      </c>
      <c r="K125" s="71">
        <v>6.45</v>
      </c>
      <c r="L125" s="64">
        <v>20</v>
      </c>
      <c r="M125" s="65">
        <f t="shared" si="26"/>
        <v>0.32250000000000001</v>
      </c>
      <c r="N125" s="66">
        <f t="shared" si="27"/>
        <v>21.93</v>
      </c>
      <c r="O125" s="67">
        <f t="shared" si="28"/>
        <v>-1.9299999999999997</v>
      </c>
      <c r="P125" s="76">
        <v>20</v>
      </c>
      <c r="Q125" s="64">
        <v>12</v>
      </c>
      <c r="R125" s="68">
        <v>20</v>
      </c>
      <c r="S125" s="69">
        <f t="shared" si="29"/>
        <v>0.32250000000000001</v>
      </c>
      <c r="T125" s="70">
        <f t="shared" si="30"/>
        <v>-1.9299999999999997</v>
      </c>
    </row>
    <row r="126" spans="8:20" customFormat="1" x14ac:dyDescent="0.25">
      <c r="H126" s="1">
        <v>124</v>
      </c>
      <c r="I126" s="20" t="s">
        <v>181</v>
      </c>
      <c r="J126" s="16" t="s">
        <v>191</v>
      </c>
      <c r="K126" s="62">
        <v>5.85</v>
      </c>
      <c r="L126" s="2">
        <v>19</v>
      </c>
      <c r="M126" s="6">
        <f t="shared" ref="M126:M131" si="36">K126/L126</f>
        <v>0.30789473684210522</v>
      </c>
      <c r="N126" s="9">
        <f t="shared" ref="N126:N131" si="37">K126*3.4</f>
        <v>19.889999999999997</v>
      </c>
      <c r="O126" s="10">
        <f t="shared" ref="O126:O131" si="38">L126-N126</f>
        <v>-0.88999999999999702</v>
      </c>
      <c r="P126" s="78">
        <v>20</v>
      </c>
      <c r="Q126" s="2">
        <v>12</v>
      </c>
      <c r="R126" s="12">
        <v>19</v>
      </c>
      <c r="S126" s="11">
        <f t="shared" ref="S126:S131" si="39">K126/R126</f>
        <v>0.30789473684210522</v>
      </c>
      <c r="T126" s="13">
        <f t="shared" ref="T126:T131" si="40">R126-N126</f>
        <v>-0.88999999999999702</v>
      </c>
    </row>
    <row r="127" spans="8:20" customFormat="1" x14ac:dyDescent="0.25">
      <c r="H127" s="1">
        <v>125</v>
      </c>
      <c r="I127" s="20" t="s">
        <v>181</v>
      </c>
      <c r="J127" s="16" t="s">
        <v>214</v>
      </c>
      <c r="K127" s="62">
        <v>8.9499999999999993</v>
      </c>
      <c r="L127" s="2">
        <v>19</v>
      </c>
      <c r="M127" s="6">
        <f t="shared" si="36"/>
        <v>0.47105263157894733</v>
      </c>
      <c r="N127" s="9">
        <f t="shared" si="37"/>
        <v>30.429999999999996</v>
      </c>
      <c r="O127" s="10">
        <f t="shared" si="38"/>
        <v>-11.429999999999996</v>
      </c>
      <c r="P127" s="78">
        <v>20</v>
      </c>
      <c r="Q127" s="2">
        <v>12</v>
      </c>
      <c r="R127" s="12">
        <v>19</v>
      </c>
      <c r="S127" s="11">
        <f t="shared" si="39"/>
        <v>0.47105263157894733</v>
      </c>
      <c r="T127" s="13">
        <f t="shared" si="40"/>
        <v>-11.429999999999996</v>
      </c>
    </row>
    <row r="128" spans="8:20" customFormat="1" x14ac:dyDescent="0.25">
      <c r="H128" s="63">
        <v>126</v>
      </c>
      <c r="I128" s="20" t="s">
        <v>182</v>
      </c>
      <c r="J128" s="63" t="s">
        <v>190</v>
      </c>
      <c r="K128" s="71">
        <f>+E78</f>
        <v>23.787142857142857</v>
      </c>
      <c r="L128" s="64">
        <v>50</v>
      </c>
      <c r="M128" s="65">
        <f t="shared" si="36"/>
        <v>0.47574285714285713</v>
      </c>
      <c r="N128" s="66">
        <f t="shared" si="37"/>
        <v>80.876285714285714</v>
      </c>
      <c r="O128" s="67">
        <f t="shared" si="38"/>
        <v>-30.876285714285714</v>
      </c>
      <c r="P128" s="76">
        <v>50</v>
      </c>
      <c r="Q128" s="64">
        <v>12</v>
      </c>
      <c r="R128" s="68">
        <v>50</v>
      </c>
      <c r="S128" s="69">
        <f t="shared" si="39"/>
        <v>0.47574285714285713</v>
      </c>
      <c r="T128" s="70">
        <f t="shared" si="40"/>
        <v>-30.876285714285714</v>
      </c>
    </row>
    <row r="129" spans="8:20" customFormat="1" x14ac:dyDescent="0.25">
      <c r="H129" s="63">
        <v>127</v>
      </c>
      <c r="I129" s="20" t="s">
        <v>182</v>
      </c>
      <c r="J129" s="63" t="s">
        <v>191</v>
      </c>
      <c r="K129" s="71">
        <f>+D78</f>
        <v>166.51</v>
      </c>
      <c r="L129" s="64">
        <v>250</v>
      </c>
      <c r="M129" s="65">
        <f t="shared" si="36"/>
        <v>0.66603999999999997</v>
      </c>
      <c r="N129" s="66">
        <f t="shared" si="37"/>
        <v>566.1339999999999</v>
      </c>
      <c r="O129" s="67">
        <f t="shared" si="38"/>
        <v>-316.1339999999999</v>
      </c>
      <c r="P129" s="76">
        <v>250</v>
      </c>
      <c r="Q129" s="64">
        <v>12</v>
      </c>
      <c r="R129" s="68">
        <v>250</v>
      </c>
      <c r="S129" s="69">
        <f t="shared" si="39"/>
        <v>0.66603999999999997</v>
      </c>
      <c r="T129" s="70">
        <f t="shared" si="40"/>
        <v>-316.1339999999999</v>
      </c>
    </row>
    <row r="130" spans="8:20" customFormat="1" x14ac:dyDescent="0.25">
      <c r="H130" s="63">
        <v>128</v>
      </c>
      <c r="I130" s="20" t="s">
        <v>182</v>
      </c>
      <c r="J130" s="63" t="s">
        <v>192</v>
      </c>
      <c r="K130" s="71">
        <f>+E78+E81</f>
        <v>29.237142857142857</v>
      </c>
      <c r="L130" s="64">
        <v>50</v>
      </c>
      <c r="M130" s="65">
        <f t="shared" si="36"/>
        <v>0.58474285714285712</v>
      </c>
      <c r="N130" s="66">
        <f t="shared" si="37"/>
        <v>99.406285714285715</v>
      </c>
      <c r="O130" s="67">
        <f t="shared" si="38"/>
        <v>-49.406285714285715</v>
      </c>
      <c r="P130" s="76">
        <v>60</v>
      </c>
      <c r="Q130" s="64">
        <v>12</v>
      </c>
      <c r="R130" s="68">
        <v>50</v>
      </c>
      <c r="S130" s="69">
        <f t="shared" si="39"/>
        <v>0.58474285714285712</v>
      </c>
      <c r="T130" s="70">
        <f t="shared" si="40"/>
        <v>-49.406285714285715</v>
      </c>
    </row>
    <row r="131" spans="8:20" customFormat="1" x14ac:dyDescent="0.25">
      <c r="H131" s="1">
        <v>129</v>
      </c>
      <c r="I131" s="20" t="s">
        <v>183</v>
      </c>
      <c r="J131" s="16" t="s">
        <v>218</v>
      </c>
      <c r="K131" s="62">
        <v>9.75</v>
      </c>
      <c r="L131" s="2">
        <v>24</v>
      </c>
      <c r="M131" s="6">
        <f t="shared" si="36"/>
        <v>0.40625</v>
      </c>
      <c r="N131" s="9">
        <f t="shared" si="37"/>
        <v>33.15</v>
      </c>
      <c r="O131" s="10">
        <f t="shared" si="38"/>
        <v>-9.1499999999999986</v>
      </c>
      <c r="P131" s="76">
        <v>25</v>
      </c>
      <c r="Q131" s="2">
        <v>12</v>
      </c>
      <c r="R131" s="12">
        <v>24</v>
      </c>
      <c r="S131" s="11">
        <f t="shared" si="39"/>
        <v>0.40625</v>
      </c>
      <c r="T131" s="13">
        <f t="shared" si="40"/>
        <v>-9.1499999999999986</v>
      </c>
    </row>
    <row r="132" spans="8:20" customFormat="1" x14ac:dyDescent="0.25">
      <c r="H132" s="1">
        <v>130</v>
      </c>
      <c r="I132" s="20" t="s">
        <v>183</v>
      </c>
      <c r="J132" s="16" t="s">
        <v>219</v>
      </c>
      <c r="K132" s="62">
        <v>10.49</v>
      </c>
      <c r="L132" s="2">
        <v>30</v>
      </c>
      <c r="M132" s="6">
        <f t="shared" ref="M132:M133" si="41">K132/L132</f>
        <v>0.34966666666666668</v>
      </c>
      <c r="N132" s="9">
        <f t="shared" ref="N132:N133" si="42">K132*3.4</f>
        <v>35.665999999999997</v>
      </c>
      <c r="O132" s="10">
        <f t="shared" ref="O132:O133" si="43">L132-N132</f>
        <v>-5.6659999999999968</v>
      </c>
      <c r="P132" s="76">
        <v>30</v>
      </c>
      <c r="Q132" s="2">
        <v>12</v>
      </c>
      <c r="R132" s="12">
        <v>30</v>
      </c>
      <c r="S132" s="11">
        <f t="shared" ref="S132:S133" si="44">K132/R132</f>
        <v>0.34966666666666668</v>
      </c>
      <c r="T132" s="13">
        <f t="shared" ref="T132:T133" si="45">R132-N132</f>
        <v>-5.6659999999999968</v>
      </c>
    </row>
    <row r="133" spans="8:20" customFormat="1" x14ac:dyDescent="0.25">
      <c r="H133" s="1">
        <v>131</v>
      </c>
      <c r="I133" s="20" t="s">
        <v>184</v>
      </c>
      <c r="J133" s="1" t="s">
        <v>230</v>
      </c>
      <c r="K133" s="62">
        <f>(+E79*1.5)+E83</f>
        <v>16.625</v>
      </c>
      <c r="L133" s="2">
        <v>34</v>
      </c>
      <c r="M133" s="6">
        <f t="shared" si="41"/>
        <v>0.4889705882352941</v>
      </c>
      <c r="N133" s="9">
        <f t="shared" si="42"/>
        <v>56.524999999999999</v>
      </c>
      <c r="O133" s="10">
        <f t="shared" si="43"/>
        <v>-22.524999999999999</v>
      </c>
      <c r="P133" s="76">
        <v>34</v>
      </c>
      <c r="Q133" s="2">
        <v>12</v>
      </c>
      <c r="R133" s="12">
        <v>34</v>
      </c>
      <c r="S133" s="11">
        <f t="shared" si="44"/>
        <v>0.4889705882352941</v>
      </c>
      <c r="T133" s="13">
        <f t="shared" si="45"/>
        <v>-22.524999999999999</v>
      </c>
    </row>
    <row r="134" spans="8:20" customFormat="1" x14ac:dyDescent="0.25">
      <c r="H134" s="1">
        <v>132</v>
      </c>
      <c r="I134" s="20" t="s">
        <v>184</v>
      </c>
      <c r="J134" s="1" t="s">
        <v>231</v>
      </c>
      <c r="K134" s="62">
        <f>(+E79*3)+E83</f>
        <v>31.25</v>
      </c>
      <c r="L134" s="2">
        <v>50</v>
      </c>
      <c r="M134" s="6">
        <f t="shared" ref="M134" si="46">K134/L134</f>
        <v>0.625</v>
      </c>
      <c r="N134" s="9">
        <f t="shared" ref="N134" si="47">K134*3.4</f>
        <v>106.25</v>
      </c>
      <c r="O134" s="10">
        <f t="shared" ref="O134" si="48">L134-N134</f>
        <v>-56.25</v>
      </c>
      <c r="P134" s="76">
        <v>50</v>
      </c>
      <c r="Q134" s="2">
        <v>12</v>
      </c>
      <c r="R134" s="12">
        <v>50</v>
      </c>
      <c r="S134" s="11">
        <f t="shared" ref="S134" si="49">K134/R134</f>
        <v>0.625</v>
      </c>
      <c r="T134" s="13">
        <f t="shared" ref="T134" si="50">R134-N134</f>
        <v>-56.25</v>
      </c>
    </row>
    <row r="135" spans="8:20" customFormat="1" x14ac:dyDescent="0.25">
      <c r="H135" s="63">
        <v>133</v>
      </c>
      <c r="I135" s="20" t="s">
        <v>185</v>
      </c>
      <c r="J135" s="63" t="s">
        <v>227</v>
      </c>
      <c r="K135" s="71">
        <f>(+E79*1.5)+E82+E83</f>
        <v>19.934411764705882</v>
      </c>
      <c r="L135" s="64">
        <v>39</v>
      </c>
      <c r="M135" s="65">
        <f t="shared" ref="M135" si="51">K135/L135</f>
        <v>0.51113876319758667</v>
      </c>
      <c r="N135" s="66">
        <f t="shared" ref="N135" si="52">K135*3.4</f>
        <v>67.777000000000001</v>
      </c>
      <c r="O135" s="67">
        <f t="shared" ref="O135" si="53">L135-N135</f>
        <v>-28.777000000000001</v>
      </c>
      <c r="P135" s="76">
        <v>39</v>
      </c>
      <c r="Q135" s="64">
        <v>12</v>
      </c>
      <c r="R135" s="68">
        <v>45</v>
      </c>
      <c r="S135" s="69">
        <f t="shared" ref="S135" si="54">K135/R135</f>
        <v>0.44298692810457513</v>
      </c>
      <c r="T135" s="70">
        <f t="shared" ref="T135" si="55">R135-N135</f>
        <v>-22.777000000000001</v>
      </c>
    </row>
    <row r="136" spans="8:20" customFormat="1" x14ac:dyDescent="0.25">
      <c r="H136" s="63">
        <v>134</v>
      </c>
      <c r="I136" s="20" t="s">
        <v>185</v>
      </c>
      <c r="J136" s="63" t="s">
        <v>228</v>
      </c>
      <c r="K136" s="71">
        <f>(+E79*1.5)+E83</f>
        <v>16.625</v>
      </c>
      <c r="L136" s="64">
        <v>34</v>
      </c>
      <c r="M136" s="65">
        <f t="shared" ref="M136:M137" si="56">K136/L136</f>
        <v>0.4889705882352941</v>
      </c>
      <c r="N136" s="66">
        <f t="shared" ref="N136:N137" si="57">K136*3.4</f>
        <v>56.524999999999999</v>
      </c>
      <c r="O136" s="67">
        <f t="shared" ref="O136:O137" si="58">L136-N136</f>
        <v>-22.524999999999999</v>
      </c>
      <c r="P136" s="76">
        <v>34</v>
      </c>
      <c r="Q136" s="64">
        <v>12</v>
      </c>
      <c r="R136" s="68">
        <v>45</v>
      </c>
      <c r="S136" s="69">
        <f t="shared" ref="S136:S137" si="59">K136/R136</f>
        <v>0.36944444444444446</v>
      </c>
      <c r="T136" s="70">
        <f t="shared" ref="T136:T137" si="60">R136-N136</f>
        <v>-11.524999999999999</v>
      </c>
    </row>
    <row r="137" spans="8:20" customFormat="1" x14ac:dyDescent="0.25">
      <c r="H137" s="63">
        <v>135</v>
      </c>
      <c r="I137" s="20" t="s">
        <v>185</v>
      </c>
      <c r="J137" s="63" t="s">
        <v>225</v>
      </c>
      <c r="K137" s="71">
        <f>(+E79*3)+E82+E83</f>
        <v>34.559411764705885</v>
      </c>
      <c r="L137" s="64">
        <v>55</v>
      </c>
      <c r="M137" s="65">
        <f t="shared" si="56"/>
        <v>0.62835294117647067</v>
      </c>
      <c r="N137" s="66">
        <f t="shared" si="57"/>
        <v>117.50200000000001</v>
      </c>
      <c r="O137" s="67">
        <f t="shared" si="58"/>
        <v>-62.50200000000001</v>
      </c>
      <c r="P137" s="76">
        <v>55</v>
      </c>
      <c r="Q137" s="64">
        <v>12</v>
      </c>
      <c r="R137" s="68">
        <v>65</v>
      </c>
      <c r="S137" s="69">
        <f t="shared" si="59"/>
        <v>0.53168325791855209</v>
      </c>
      <c r="T137" s="70">
        <f t="shared" si="60"/>
        <v>-52.50200000000001</v>
      </c>
    </row>
    <row r="138" spans="8:20" customFormat="1" x14ac:dyDescent="0.25">
      <c r="H138" s="63">
        <v>136</v>
      </c>
      <c r="I138" s="20" t="s">
        <v>185</v>
      </c>
      <c r="J138" s="63" t="s">
        <v>226</v>
      </c>
      <c r="K138" s="71">
        <f>(+E79*3)+E83</f>
        <v>31.25</v>
      </c>
      <c r="L138" s="64">
        <v>50</v>
      </c>
      <c r="M138" s="65">
        <f t="shared" ref="M138" si="61">K138/L138</f>
        <v>0.625</v>
      </c>
      <c r="N138" s="66">
        <f t="shared" ref="N138" si="62">K138*3.4</f>
        <v>106.25</v>
      </c>
      <c r="O138" s="67">
        <f t="shared" ref="O138" si="63">L138-N138</f>
        <v>-56.25</v>
      </c>
      <c r="P138" s="76">
        <v>50</v>
      </c>
      <c r="Q138" s="64">
        <v>50</v>
      </c>
      <c r="R138" s="68">
        <v>60</v>
      </c>
      <c r="S138" s="69">
        <f t="shared" ref="S138" si="64">K138/R138</f>
        <v>0.52083333333333337</v>
      </c>
      <c r="T138" s="70">
        <f t="shared" ref="T138" si="65">R138-N138</f>
        <v>-46.25</v>
      </c>
    </row>
  </sheetData>
  <pageMargins left="0.75" right="0.75" top="1" bottom="1" header="0.5" footer="0.5"/>
  <pageSetup orientation="portrait" horizontalDpi="4294967292" verticalDpi="4294967292" r:id="rId1"/>
  <ignoredErrors>
    <ignoredError sqref="E7" formula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U145"/>
  <sheetViews>
    <sheetView zoomScale="80" zoomScaleNormal="80" workbookViewId="0">
      <pane ySplit="3" topLeftCell="A4" activePane="bottomLeft" state="frozen"/>
      <selection activeCell="D1" sqref="D1"/>
      <selection pane="bottomLeft" activeCell="D6" sqref="D6"/>
    </sheetView>
  </sheetViews>
  <sheetFormatPr baseColWidth="10" defaultRowHeight="15.75" x14ac:dyDescent="0.25"/>
  <cols>
    <col min="1" max="1" width="3.25" customWidth="1"/>
    <col min="2" max="2" width="33.25" customWidth="1"/>
    <col min="3" max="3" width="15.375" bestFit="1" customWidth="1"/>
    <col min="4" max="4" width="9.25" style="31" customWidth="1"/>
    <col min="5" max="5" width="17.625" customWidth="1"/>
    <col min="6" max="6" width="6.625" customWidth="1"/>
    <col min="7" max="7" width="6" customWidth="1"/>
    <col min="8" max="8" width="5.875" style="81" customWidth="1"/>
    <col min="9" max="9" width="20.125" style="80" customWidth="1"/>
    <col min="10" max="10" width="28" style="80" customWidth="1"/>
    <col min="11" max="11" width="11" style="108" customWidth="1"/>
    <col min="12" max="12" width="11" style="80" customWidth="1"/>
    <col min="13" max="13" width="10.625" style="81" customWidth="1"/>
    <col min="14" max="14" width="11" style="95" customWidth="1"/>
    <col min="15" max="15" width="9.375" style="95" bestFit="1" customWidth="1"/>
    <col min="16" max="16" width="8.125" style="115" customWidth="1"/>
    <col min="17" max="17" width="14.375" style="115" customWidth="1"/>
    <col min="18" max="18" width="7.875" style="114" customWidth="1"/>
    <col min="19" max="19" width="14.375" style="114" customWidth="1"/>
    <col min="20" max="20" width="10.875" style="80" customWidth="1"/>
    <col min="21" max="21" width="10" style="80" bestFit="1" customWidth="1"/>
    <col min="22" max="22" width="8.375" customWidth="1"/>
  </cols>
  <sheetData>
    <row r="1" spans="1:21" x14ac:dyDescent="0.25">
      <c r="I1" s="80" t="s">
        <v>283</v>
      </c>
      <c r="K1" s="108" t="s">
        <v>284</v>
      </c>
      <c r="R1" s="81"/>
      <c r="S1" s="81"/>
    </row>
    <row r="2" spans="1:21" ht="16.5" thickBot="1" x14ac:dyDescent="0.3">
      <c r="L2" s="81"/>
      <c r="P2" s="116"/>
      <c r="R2" s="81"/>
      <c r="S2" s="81"/>
    </row>
    <row r="3" spans="1:21" ht="45" customHeight="1" thickBot="1" x14ac:dyDescent="0.3">
      <c r="B3" s="4" t="s">
        <v>26</v>
      </c>
      <c r="C3" s="3"/>
      <c r="D3" s="105" t="s">
        <v>279</v>
      </c>
      <c r="E3" s="107" t="s">
        <v>282</v>
      </c>
      <c r="H3" s="8"/>
      <c r="I3" s="8" t="s">
        <v>73</v>
      </c>
      <c r="J3" s="8" t="s">
        <v>25</v>
      </c>
      <c r="K3" s="109" t="s">
        <v>239</v>
      </c>
      <c r="L3" s="79" t="s">
        <v>240</v>
      </c>
      <c r="M3" s="79" t="s">
        <v>238</v>
      </c>
      <c r="N3" s="100" t="s">
        <v>260</v>
      </c>
      <c r="O3" s="97" t="s">
        <v>259</v>
      </c>
      <c r="P3" s="117">
        <v>42767</v>
      </c>
      <c r="Q3" s="121" t="s">
        <v>269</v>
      </c>
      <c r="R3" s="87">
        <v>42887</v>
      </c>
      <c r="S3" s="119" t="s">
        <v>285</v>
      </c>
      <c r="T3" s="79" t="s">
        <v>261</v>
      </c>
      <c r="U3" s="79" t="s">
        <v>258</v>
      </c>
    </row>
    <row r="4" spans="1:21" x14ac:dyDescent="0.25">
      <c r="B4" s="1" t="s">
        <v>0</v>
      </c>
      <c r="C4" s="1" t="s">
        <v>19</v>
      </c>
      <c r="D4" s="33">
        <v>3.5</v>
      </c>
      <c r="E4" s="106">
        <f>D4</f>
        <v>3.5</v>
      </c>
      <c r="H4" s="8">
        <v>1</v>
      </c>
      <c r="I4" s="17" t="s">
        <v>270</v>
      </c>
      <c r="J4" s="17" t="s">
        <v>29</v>
      </c>
      <c r="K4" s="110">
        <f>E4+(E19*2)</f>
        <v>17.256266666666669</v>
      </c>
      <c r="L4" s="83">
        <v>45</v>
      </c>
      <c r="M4" s="84">
        <f t="shared" ref="M4:M8" si="0">K4/L4</f>
        <v>0.38347259259259264</v>
      </c>
      <c r="N4" s="96">
        <f>K4*3</f>
        <v>51.768800000000006</v>
      </c>
      <c r="O4" s="85">
        <f>L4-N4</f>
        <v>-6.7688000000000059</v>
      </c>
      <c r="P4" s="118">
        <v>48</v>
      </c>
      <c r="Q4" s="104">
        <f>(P4-K4)/P4</f>
        <v>0.64049444444444437</v>
      </c>
      <c r="R4" s="86">
        <v>48</v>
      </c>
      <c r="S4" s="120">
        <f>(R4-K4)/R4</f>
        <v>0.64049444444444437</v>
      </c>
      <c r="T4" s="98">
        <f>-(P4/R4)+1</f>
        <v>0</v>
      </c>
      <c r="U4" s="85">
        <f>R4-N4</f>
        <v>-3.7688000000000059</v>
      </c>
    </row>
    <row r="5" spans="1:21" x14ac:dyDescent="0.25">
      <c r="B5" s="1" t="s">
        <v>1</v>
      </c>
      <c r="C5" s="1" t="s">
        <v>19</v>
      </c>
      <c r="D5" s="33">
        <v>2.5</v>
      </c>
      <c r="E5" s="2">
        <f>D5</f>
        <v>2.5</v>
      </c>
      <c r="H5" s="8">
        <v>2</v>
      </c>
      <c r="I5" s="17" t="s">
        <v>270</v>
      </c>
      <c r="J5" s="17" t="s">
        <v>30</v>
      </c>
      <c r="K5" s="110">
        <f>E5+E19</f>
        <v>9.3781333333333343</v>
      </c>
      <c r="L5" s="83">
        <v>26</v>
      </c>
      <c r="M5" s="84">
        <f>K5/L5</f>
        <v>0.36069743589743591</v>
      </c>
      <c r="N5" s="96">
        <f t="shared" ref="N5:N68" si="1">K5*3</f>
        <v>28.134400000000003</v>
      </c>
      <c r="O5" s="85">
        <f t="shared" ref="O5:O68" si="2">L5-N5</f>
        <v>-2.134400000000003</v>
      </c>
      <c r="P5" s="118">
        <v>27</v>
      </c>
      <c r="Q5" s="104">
        <f t="shared" ref="Q5:Q68" si="3">(P5-K5)/P5</f>
        <v>0.65266172839506165</v>
      </c>
      <c r="R5" s="86">
        <v>27</v>
      </c>
      <c r="S5" s="120">
        <f t="shared" ref="S5:S68" si="4">(R5-K5)/R5</f>
        <v>0.65266172839506165</v>
      </c>
      <c r="T5" s="98">
        <f t="shared" ref="T5:T68" si="5">-(P5/R5)+1</f>
        <v>0</v>
      </c>
      <c r="U5" s="85">
        <f>R5-N5</f>
        <v>-1.134400000000003</v>
      </c>
    </row>
    <row r="6" spans="1:21" x14ac:dyDescent="0.25">
      <c r="B6" s="1" t="s">
        <v>2</v>
      </c>
      <c r="C6" s="1" t="s">
        <v>19</v>
      </c>
      <c r="D6" s="33">
        <v>2</v>
      </c>
      <c r="E6" s="2">
        <f>D6</f>
        <v>2</v>
      </c>
      <c r="H6" s="8">
        <v>3</v>
      </c>
      <c r="I6" s="17" t="s">
        <v>271</v>
      </c>
      <c r="J6" s="17" t="s">
        <v>31</v>
      </c>
      <c r="K6" s="110">
        <f>E4+(E20*6)</f>
        <v>23.346153846153847</v>
      </c>
      <c r="L6" s="83">
        <v>55</v>
      </c>
      <c r="M6" s="84">
        <f t="shared" si="0"/>
        <v>0.4244755244755245</v>
      </c>
      <c r="N6" s="96">
        <f t="shared" si="1"/>
        <v>70.038461538461547</v>
      </c>
      <c r="O6" s="85">
        <f t="shared" si="2"/>
        <v>-15.038461538461547</v>
      </c>
      <c r="P6" s="118">
        <v>58</v>
      </c>
      <c r="Q6" s="104">
        <f t="shared" si="3"/>
        <v>0.59748010610079572</v>
      </c>
      <c r="R6" s="86">
        <v>58</v>
      </c>
      <c r="S6" s="120">
        <f t="shared" si="4"/>
        <v>0.59748010610079572</v>
      </c>
      <c r="T6" s="98">
        <f t="shared" si="5"/>
        <v>0</v>
      </c>
      <c r="U6" s="85">
        <f t="shared" ref="U6:U8" si="6">R6-N6</f>
        <v>-12.038461538461547</v>
      </c>
    </row>
    <row r="7" spans="1:21" x14ac:dyDescent="0.25">
      <c r="B7" s="16" t="s">
        <v>75</v>
      </c>
      <c r="C7" s="1" t="s">
        <v>18</v>
      </c>
      <c r="D7" s="34">
        <v>18</v>
      </c>
      <c r="E7" s="2">
        <f>D7/10</f>
        <v>1.8</v>
      </c>
      <c r="H7" s="8">
        <v>4</v>
      </c>
      <c r="I7" s="17" t="s">
        <v>271</v>
      </c>
      <c r="J7" s="17" t="s">
        <v>35</v>
      </c>
      <c r="K7" s="110">
        <f>E5+(E20*3)</f>
        <v>12.423076923076923</v>
      </c>
      <c r="L7" s="83">
        <v>31</v>
      </c>
      <c r="M7" s="84">
        <f>K7/L7</f>
        <v>0.40074441687344914</v>
      </c>
      <c r="N7" s="96">
        <f t="shared" si="1"/>
        <v>37.269230769230774</v>
      </c>
      <c r="O7" s="85">
        <f t="shared" si="2"/>
        <v>-6.2692307692307736</v>
      </c>
      <c r="P7" s="118">
        <v>32</v>
      </c>
      <c r="Q7" s="104">
        <f t="shared" si="3"/>
        <v>0.61177884615384615</v>
      </c>
      <c r="R7" s="86">
        <v>32</v>
      </c>
      <c r="S7" s="120">
        <f t="shared" si="4"/>
        <v>0.61177884615384615</v>
      </c>
      <c r="T7" s="98">
        <f t="shared" si="5"/>
        <v>0</v>
      </c>
      <c r="U7" s="85">
        <f>R7-N7</f>
        <v>-5.2692307692307736</v>
      </c>
    </row>
    <row r="8" spans="1:21" x14ac:dyDescent="0.25">
      <c r="A8" s="18"/>
      <c r="B8" s="16" t="s">
        <v>74</v>
      </c>
      <c r="C8" s="1" t="s">
        <v>76</v>
      </c>
      <c r="D8" s="34">
        <v>12</v>
      </c>
      <c r="E8" s="2">
        <f>D8/14</f>
        <v>0.8571428571428571</v>
      </c>
      <c r="H8" s="8">
        <v>5</v>
      </c>
      <c r="I8" s="17" t="s">
        <v>271</v>
      </c>
      <c r="J8" s="17" t="s">
        <v>32</v>
      </c>
      <c r="K8" s="110">
        <f>E4+(E24*2)</f>
        <v>12.287878787878787</v>
      </c>
      <c r="L8" s="83">
        <v>55</v>
      </c>
      <c r="M8" s="84">
        <f t="shared" si="0"/>
        <v>0.2234159779614325</v>
      </c>
      <c r="N8" s="96">
        <f t="shared" si="1"/>
        <v>36.86363636363636</v>
      </c>
      <c r="O8" s="85">
        <f t="shared" si="2"/>
        <v>18.13636363636364</v>
      </c>
      <c r="P8" s="118">
        <v>58</v>
      </c>
      <c r="Q8" s="104">
        <f t="shared" si="3"/>
        <v>0.78814002089864155</v>
      </c>
      <c r="R8" s="86">
        <v>58</v>
      </c>
      <c r="S8" s="120">
        <f t="shared" si="4"/>
        <v>0.78814002089864155</v>
      </c>
      <c r="T8" s="98">
        <f t="shared" si="5"/>
        <v>0</v>
      </c>
      <c r="U8" s="85">
        <f t="shared" si="6"/>
        <v>21.13636363636364</v>
      </c>
    </row>
    <row r="9" spans="1:21" ht="16.5" thickBot="1" x14ac:dyDescent="0.3">
      <c r="B9" s="16" t="s">
        <v>77</v>
      </c>
      <c r="C9" s="1" t="s">
        <v>18</v>
      </c>
      <c r="D9" s="34">
        <v>16.5</v>
      </c>
      <c r="E9" s="2">
        <f>D9/10</f>
        <v>1.65</v>
      </c>
      <c r="H9" s="8">
        <v>6</v>
      </c>
      <c r="I9" s="125" t="s">
        <v>271</v>
      </c>
      <c r="J9" s="125" t="s">
        <v>36</v>
      </c>
      <c r="K9" s="126">
        <f>E5+E24</f>
        <v>6.8939393939393936</v>
      </c>
      <c r="L9" s="127">
        <v>31</v>
      </c>
      <c r="M9" s="128">
        <f t="shared" ref="M9:M40" si="7">K9/L9</f>
        <v>0.22238514173998045</v>
      </c>
      <c r="N9" s="129">
        <f t="shared" si="1"/>
        <v>20.68181818181818</v>
      </c>
      <c r="O9" s="130">
        <f t="shared" si="2"/>
        <v>10.31818181818182</v>
      </c>
      <c r="P9" s="131">
        <v>32</v>
      </c>
      <c r="Q9" s="132">
        <f t="shared" si="3"/>
        <v>0.78456439393939392</v>
      </c>
      <c r="R9" s="133">
        <v>32</v>
      </c>
      <c r="S9" s="134">
        <f t="shared" si="4"/>
        <v>0.78456439393939392</v>
      </c>
      <c r="T9" s="98">
        <f t="shared" si="5"/>
        <v>0</v>
      </c>
      <c r="U9" s="85">
        <f t="shared" ref="U9:U40" si="8">R9-N9</f>
        <v>11.31818181818182</v>
      </c>
    </row>
    <row r="10" spans="1:21" x14ac:dyDescent="0.25">
      <c r="B10" s="16" t="s">
        <v>3</v>
      </c>
      <c r="C10" s="1" t="s">
        <v>18</v>
      </c>
      <c r="D10" s="34">
        <v>14.5</v>
      </c>
      <c r="E10" s="2">
        <f>D10/10</f>
        <v>1.45</v>
      </c>
      <c r="H10" s="123">
        <v>7</v>
      </c>
      <c r="I10" s="168" t="s">
        <v>272</v>
      </c>
      <c r="J10" s="145" t="s">
        <v>274</v>
      </c>
      <c r="K10" s="146">
        <f>E4+(E20*6)+E23</f>
        <v>27.011153846153846</v>
      </c>
      <c r="L10" s="147">
        <v>60</v>
      </c>
      <c r="M10" s="148">
        <f t="shared" si="7"/>
        <v>0.45018589743589743</v>
      </c>
      <c r="N10" s="149">
        <f t="shared" si="1"/>
        <v>81.033461538461538</v>
      </c>
      <c r="O10" s="150">
        <f t="shared" si="2"/>
        <v>-21.033461538461538</v>
      </c>
      <c r="P10" s="151">
        <v>60</v>
      </c>
      <c r="Q10" s="152">
        <f t="shared" si="3"/>
        <v>0.54981410256410257</v>
      </c>
      <c r="R10" s="171">
        <v>65</v>
      </c>
      <c r="S10" s="172">
        <f t="shared" si="4"/>
        <v>0.58444378698224853</v>
      </c>
      <c r="T10" s="124">
        <f t="shared" si="5"/>
        <v>7.6923076923076872E-2</v>
      </c>
      <c r="U10" s="85">
        <f t="shared" si="8"/>
        <v>-16.033461538461538</v>
      </c>
    </row>
    <row r="11" spans="1:21" ht="16.5" thickBot="1" x14ac:dyDescent="0.3">
      <c r="B11" s="1" t="s">
        <v>4</v>
      </c>
      <c r="C11" s="1" t="s">
        <v>21</v>
      </c>
      <c r="D11" s="33">
        <v>100</v>
      </c>
      <c r="E11" s="2">
        <f>D11/100</f>
        <v>1</v>
      </c>
      <c r="H11" s="123">
        <v>8</v>
      </c>
      <c r="I11" s="169" t="s">
        <v>272</v>
      </c>
      <c r="J11" s="155" t="s">
        <v>275</v>
      </c>
      <c r="K11" s="156">
        <f>E5+(E20*3)+E23</f>
        <v>16.088076923076922</v>
      </c>
      <c r="L11" s="157">
        <v>33</v>
      </c>
      <c r="M11" s="158">
        <f t="shared" si="7"/>
        <v>0.4875174825174825</v>
      </c>
      <c r="N11" s="159">
        <f t="shared" si="1"/>
        <v>48.264230769230764</v>
      </c>
      <c r="O11" s="160">
        <f t="shared" si="2"/>
        <v>-15.264230769230764</v>
      </c>
      <c r="P11" s="161">
        <v>33</v>
      </c>
      <c r="Q11" s="162">
        <f t="shared" si="3"/>
        <v>0.5124825174825175</v>
      </c>
      <c r="R11" s="173">
        <v>35</v>
      </c>
      <c r="S11" s="174">
        <f t="shared" si="4"/>
        <v>0.54034065934065934</v>
      </c>
      <c r="T11" s="124">
        <f t="shared" si="5"/>
        <v>5.7142857142857162E-2</v>
      </c>
      <c r="U11" s="85">
        <f t="shared" si="8"/>
        <v>-13.264230769230764</v>
      </c>
    </row>
    <row r="12" spans="1:21" x14ac:dyDescent="0.25">
      <c r="B12" s="1" t="s">
        <v>7</v>
      </c>
      <c r="C12" s="1" t="s">
        <v>76</v>
      </c>
      <c r="D12" s="33">
        <v>47.5</v>
      </c>
      <c r="E12" s="2">
        <f>D12/50</f>
        <v>0.95</v>
      </c>
      <c r="H12" s="82">
        <v>9</v>
      </c>
      <c r="I12" s="135" t="s">
        <v>273</v>
      </c>
      <c r="J12" s="135" t="s">
        <v>40</v>
      </c>
      <c r="K12" s="136">
        <f>E4+(E22*2)</f>
        <v>17.2</v>
      </c>
      <c r="L12" s="137">
        <v>45</v>
      </c>
      <c r="M12" s="138">
        <f t="shared" si="7"/>
        <v>0.38222222222222219</v>
      </c>
      <c r="N12" s="139">
        <f t="shared" si="1"/>
        <v>51.599999999999994</v>
      </c>
      <c r="O12" s="140">
        <f t="shared" si="2"/>
        <v>-6.5999999999999943</v>
      </c>
      <c r="P12" s="141">
        <v>48</v>
      </c>
      <c r="Q12" s="142">
        <f t="shared" si="3"/>
        <v>0.64166666666666672</v>
      </c>
      <c r="R12" s="143">
        <v>48</v>
      </c>
      <c r="S12" s="144">
        <f t="shared" si="4"/>
        <v>0.64166666666666672</v>
      </c>
      <c r="T12" s="98">
        <f t="shared" si="5"/>
        <v>0</v>
      </c>
      <c r="U12" s="85">
        <f t="shared" si="8"/>
        <v>-3.5999999999999943</v>
      </c>
    </row>
    <row r="13" spans="1:21" x14ac:dyDescent="0.25">
      <c r="B13" s="1" t="s">
        <v>5</v>
      </c>
      <c r="C13" s="1" t="s">
        <v>17</v>
      </c>
      <c r="D13" s="33">
        <v>35</v>
      </c>
      <c r="E13" s="2">
        <f>D13/25</f>
        <v>1.4</v>
      </c>
      <c r="H13" s="82">
        <v>10</v>
      </c>
      <c r="I13" s="17" t="s">
        <v>273</v>
      </c>
      <c r="J13" s="17" t="s">
        <v>41</v>
      </c>
      <c r="K13" s="110">
        <f>E5+E22</f>
        <v>9.35</v>
      </c>
      <c r="L13" s="83">
        <v>26</v>
      </c>
      <c r="M13" s="84">
        <f t="shared" si="7"/>
        <v>0.35961538461538461</v>
      </c>
      <c r="N13" s="96">
        <f t="shared" si="1"/>
        <v>28.049999999999997</v>
      </c>
      <c r="O13" s="85">
        <f t="shared" si="2"/>
        <v>-2.0499999999999972</v>
      </c>
      <c r="P13" s="118">
        <v>27</v>
      </c>
      <c r="Q13" s="104">
        <f t="shared" si="3"/>
        <v>0.65370370370370368</v>
      </c>
      <c r="R13" s="86">
        <v>27</v>
      </c>
      <c r="S13" s="120">
        <f t="shared" si="4"/>
        <v>0.65370370370370368</v>
      </c>
      <c r="T13" s="98">
        <f t="shared" si="5"/>
        <v>0</v>
      </c>
      <c r="U13" s="85">
        <f t="shared" si="8"/>
        <v>-1.0499999999999972</v>
      </c>
    </row>
    <row r="14" spans="1:21" x14ac:dyDescent="0.25">
      <c r="B14" s="1" t="s">
        <v>6</v>
      </c>
      <c r="C14" s="1" t="s">
        <v>17</v>
      </c>
      <c r="D14" s="33">
        <v>45</v>
      </c>
      <c r="E14" s="2">
        <f>D14/25</f>
        <v>1.8</v>
      </c>
      <c r="H14" s="82">
        <v>11</v>
      </c>
      <c r="I14" s="17" t="s">
        <v>273</v>
      </c>
      <c r="J14" s="17" t="s">
        <v>91</v>
      </c>
      <c r="K14" s="110">
        <f>E4+(E28*2)</f>
        <v>15.346153846153847</v>
      </c>
      <c r="L14" s="83">
        <v>48</v>
      </c>
      <c r="M14" s="84">
        <f t="shared" si="7"/>
        <v>0.31971153846153849</v>
      </c>
      <c r="N14" s="96">
        <f t="shared" si="1"/>
        <v>46.03846153846154</v>
      </c>
      <c r="O14" s="85">
        <f t="shared" si="2"/>
        <v>1.9615384615384599</v>
      </c>
      <c r="P14" s="118">
        <v>48</v>
      </c>
      <c r="Q14" s="104">
        <f t="shared" si="3"/>
        <v>0.68028846153846156</v>
      </c>
      <c r="R14" s="86">
        <v>48</v>
      </c>
      <c r="S14" s="120">
        <f t="shared" si="4"/>
        <v>0.68028846153846156</v>
      </c>
      <c r="T14" s="98">
        <f t="shared" si="5"/>
        <v>0</v>
      </c>
      <c r="U14" s="85">
        <f t="shared" si="8"/>
        <v>1.9615384615384599</v>
      </c>
    </row>
    <row r="15" spans="1:21" x14ac:dyDescent="0.25">
      <c r="B15" s="1" t="s">
        <v>99</v>
      </c>
      <c r="C15" s="1" t="s">
        <v>21</v>
      </c>
      <c r="D15" s="33">
        <v>50</v>
      </c>
      <c r="E15" s="2">
        <f>D15/100</f>
        <v>0.5</v>
      </c>
      <c r="H15" s="82">
        <v>12</v>
      </c>
      <c r="I15" s="17" t="s">
        <v>273</v>
      </c>
      <c r="J15" s="17" t="s">
        <v>92</v>
      </c>
      <c r="K15" s="110">
        <f>E5+E28</f>
        <v>8.4230769230769234</v>
      </c>
      <c r="L15" s="83">
        <v>27</v>
      </c>
      <c r="M15" s="84">
        <f t="shared" si="7"/>
        <v>0.31196581196581197</v>
      </c>
      <c r="N15" s="96">
        <f t="shared" si="1"/>
        <v>25.26923076923077</v>
      </c>
      <c r="O15" s="85">
        <f t="shared" si="2"/>
        <v>1.7307692307692299</v>
      </c>
      <c r="P15" s="118">
        <v>27</v>
      </c>
      <c r="Q15" s="104">
        <f t="shared" si="3"/>
        <v>0.68803418803418803</v>
      </c>
      <c r="R15" s="86">
        <v>27</v>
      </c>
      <c r="S15" s="120">
        <f t="shared" si="4"/>
        <v>0.68803418803418803</v>
      </c>
      <c r="T15" s="98">
        <f t="shared" si="5"/>
        <v>0</v>
      </c>
      <c r="U15" s="85">
        <f t="shared" si="8"/>
        <v>1.7307692307692299</v>
      </c>
    </row>
    <row r="16" spans="1:21" x14ac:dyDescent="0.25">
      <c r="A16" s="18"/>
      <c r="B16" s="1" t="s">
        <v>20</v>
      </c>
      <c r="C16" s="1" t="s">
        <v>22</v>
      </c>
      <c r="D16" s="34">
        <v>12</v>
      </c>
      <c r="E16" s="2">
        <f>D16/35</f>
        <v>0.34285714285714286</v>
      </c>
      <c r="H16" s="82">
        <v>13</v>
      </c>
      <c r="I16" s="17" t="s">
        <v>246</v>
      </c>
      <c r="J16" s="17" t="s">
        <v>55</v>
      </c>
      <c r="K16" s="110">
        <f>E6</f>
        <v>2</v>
      </c>
      <c r="L16" s="83">
        <v>11</v>
      </c>
      <c r="M16" s="84">
        <f t="shared" si="7"/>
        <v>0.18181818181818182</v>
      </c>
      <c r="N16" s="96">
        <f t="shared" si="1"/>
        <v>6</v>
      </c>
      <c r="O16" s="85">
        <f t="shared" si="2"/>
        <v>5</v>
      </c>
      <c r="P16" s="118">
        <v>11</v>
      </c>
      <c r="Q16" s="104">
        <f t="shared" si="3"/>
        <v>0.81818181818181823</v>
      </c>
      <c r="R16" s="86">
        <v>11</v>
      </c>
      <c r="S16" s="120">
        <f t="shared" si="4"/>
        <v>0.81818181818181823</v>
      </c>
      <c r="T16" s="98">
        <f t="shared" si="5"/>
        <v>0</v>
      </c>
      <c r="U16" s="85">
        <f t="shared" si="8"/>
        <v>5</v>
      </c>
    </row>
    <row r="17" spans="2:21" x14ac:dyDescent="0.25">
      <c r="H17" s="82">
        <v>14</v>
      </c>
      <c r="I17" s="17" t="s">
        <v>246</v>
      </c>
      <c r="J17" s="17" t="s">
        <v>93</v>
      </c>
      <c r="K17" s="110">
        <f>E6+E19</f>
        <v>8.8781333333333343</v>
      </c>
      <c r="L17" s="83">
        <v>24</v>
      </c>
      <c r="M17" s="84">
        <f t="shared" si="7"/>
        <v>0.36992222222222226</v>
      </c>
      <c r="N17" s="96">
        <f t="shared" si="1"/>
        <v>26.634400000000003</v>
      </c>
      <c r="O17" s="85">
        <f t="shared" si="2"/>
        <v>-2.634400000000003</v>
      </c>
      <c r="P17" s="118">
        <v>25</v>
      </c>
      <c r="Q17" s="104">
        <f t="shared" si="3"/>
        <v>0.6448746666666666</v>
      </c>
      <c r="R17" s="86">
        <v>25</v>
      </c>
      <c r="S17" s="120">
        <f t="shared" si="4"/>
        <v>0.6448746666666666</v>
      </c>
      <c r="T17" s="98">
        <f t="shared" si="5"/>
        <v>0</v>
      </c>
      <c r="U17" s="85">
        <f t="shared" si="8"/>
        <v>-1.634400000000003</v>
      </c>
    </row>
    <row r="18" spans="2:21" ht="16.5" thickBot="1" x14ac:dyDescent="0.3">
      <c r="B18" s="4" t="s">
        <v>42</v>
      </c>
      <c r="C18" s="4"/>
      <c r="D18" s="35" t="s">
        <v>241</v>
      </c>
      <c r="E18" s="4"/>
      <c r="H18" s="8">
        <v>15</v>
      </c>
      <c r="I18" s="125" t="s">
        <v>262</v>
      </c>
      <c r="J18" s="125" t="s">
        <v>51</v>
      </c>
      <c r="K18" s="126">
        <f>E7+E19</f>
        <v>8.6781333333333333</v>
      </c>
      <c r="L18" s="127">
        <v>24</v>
      </c>
      <c r="M18" s="128">
        <f t="shared" si="7"/>
        <v>0.3615888888888889</v>
      </c>
      <c r="N18" s="129">
        <f t="shared" si="1"/>
        <v>26.034399999999998</v>
      </c>
      <c r="O18" s="130">
        <f t="shared" si="2"/>
        <v>-2.034399999999998</v>
      </c>
      <c r="P18" s="131">
        <v>25</v>
      </c>
      <c r="Q18" s="132">
        <f t="shared" si="3"/>
        <v>0.6528746666666666</v>
      </c>
      <c r="R18" s="133">
        <v>25</v>
      </c>
      <c r="S18" s="134">
        <f t="shared" si="4"/>
        <v>0.6528746666666666</v>
      </c>
      <c r="T18" s="98">
        <f t="shared" si="5"/>
        <v>0</v>
      </c>
      <c r="U18" s="85">
        <f t="shared" si="8"/>
        <v>-1.034399999999998</v>
      </c>
    </row>
    <row r="19" spans="2:21" ht="16.5" thickBot="1" x14ac:dyDescent="0.3">
      <c r="B19" s="1" t="s">
        <v>8</v>
      </c>
      <c r="C19" s="1" t="s">
        <v>23</v>
      </c>
      <c r="D19" s="33">
        <f>+E43</f>
        <v>114.63555555555556</v>
      </c>
      <c r="E19" s="2">
        <f>D19*0.06</f>
        <v>6.8781333333333334</v>
      </c>
      <c r="H19" s="170">
        <v>16</v>
      </c>
      <c r="I19" s="184" t="s">
        <v>249</v>
      </c>
      <c r="J19" s="185" t="s">
        <v>52</v>
      </c>
      <c r="K19" s="177">
        <f>E8+E20+E20</f>
        <v>7.4725274725274717</v>
      </c>
      <c r="L19" s="178">
        <v>24</v>
      </c>
      <c r="M19" s="179">
        <f t="shared" si="7"/>
        <v>0.3113553113553113</v>
      </c>
      <c r="N19" s="180">
        <f t="shared" si="1"/>
        <v>22.417582417582416</v>
      </c>
      <c r="O19" s="181">
        <f t="shared" si="2"/>
        <v>1.5824175824175839</v>
      </c>
      <c r="P19" s="182">
        <v>25</v>
      </c>
      <c r="Q19" s="183">
        <f t="shared" si="3"/>
        <v>0.70109890109890116</v>
      </c>
      <c r="R19" s="186">
        <v>26</v>
      </c>
      <c r="S19" s="187">
        <f t="shared" si="4"/>
        <v>0.71259509721048186</v>
      </c>
      <c r="T19" s="124">
        <f t="shared" si="5"/>
        <v>3.8461538461538436E-2</v>
      </c>
      <c r="U19" s="85">
        <f t="shared" si="8"/>
        <v>3.5824175824175839</v>
      </c>
    </row>
    <row r="20" spans="2:21" x14ac:dyDescent="0.25">
      <c r="B20" s="1" t="s">
        <v>12</v>
      </c>
      <c r="C20" s="1" t="s">
        <v>24</v>
      </c>
      <c r="D20" s="33">
        <v>215</v>
      </c>
      <c r="E20" s="2">
        <f>D20/65</f>
        <v>3.3076923076923075</v>
      </c>
      <c r="F20" s="7"/>
      <c r="H20" s="82">
        <v>17</v>
      </c>
      <c r="I20" s="135" t="s">
        <v>281</v>
      </c>
      <c r="J20" s="135" t="s">
        <v>247</v>
      </c>
      <c r="K20" s="136">
        <f>E9+E21+E29</f>
        <v>25.326666666666668</v>
      </c>
      <c r="L20" s="137">
        <v>45</v>
      </c>
      <c r="M20" s="138">
        <f t="shared" si="7"/>
        <v>0.56281481481481488</v>
      </c>
      <c r="N20" s="139">
        <f t="shared" si="1"/>
        <v>75.98</v>
      </c>
      <c r="O20" s="140">
        <f t="shared" si="2"/>
        <v>-30.980000000000004</v>
      </c>
      <c r="P20" s="141">
        <v>65</v>
      </c>
      <c r="Q20" s="142">
        <f t="shared" si="3"/>
        <v>0.61035897435897435</v>
      </c>
      <c r="R20" s="143">
        <v>65</v>
      </c>
      <c r="S20" s="144">
        <f t="shared" si="4"/>
        <v>0.61035897435897435</v>
      </c>
      <c r="T20" s="98">
        <f t="shared" si="5"/>
        <v>0</v>
      </c>
      <c r="U20" s="85">
        <f t="shared" si="8"/>
        <v>-10.980000000000004</v>
      </c>
    </row>
    <row r="21" spans="2:21" x14ac:dyDescent="0.25">
      <c r="B21" s="1" t="s">
        <v>11</v>
      </c>
      <c r="C21" s="1" t="s">
        <v>277</v>
      </c>
      <c r="D21" s="34">
        <v>215</v>
      </c>
      <c r="E21" s="2">
        <f>D21/12</f>
        <v>17.916666666666668</v>
      </c>
      <c r="F21" s="7"/>
      <c r="H21" s="82">
        <v>18</v>
      </c>
      <c r="I21" s="17" t="s">
        <v>281</v>
      </c>
      <c r="J21" s="17" t="s">
        <v>248</v>
      </c>
      <c r="K21" s="110">
        <f>E9+E29+E24</f>
        <v>11.803939393939395</v>
      </c>
      <c r="L21" s="83">
        <v>45</v>
      </c>
      <c r="M21" s="84">
        <f t="shared" si="7"/>
        <v>0.26230976430976433</v>
      </c>
      <c r="N21" s="96">
        <f t="shared" si="1"/>
        <v>35.411818181818184</v>
      </c>
      <c r="O21" s="85">
        <f t="shared" si="2"/>
        <v>9.5881818181818161</v>
      </c>
      <c r="P21" s="118">
        <v>65</v>
      </c>
      <c r="Q21" s="104">
        <f t="shared" si="3"/>
        <v>0.81840093240093237</v>
      </c>
      <c r="R21" s="86">
        <v>65</v>
      </c>
      <c r="S21" s="120">
        <f t="shared" si="4"/>
        <v>0.81840093240093237</v>
      </c>
      <c r="T21" s="98">
        <f t="shared" si="5"/>
        <v>0</v>
      </c>
      <c r="U21" s="85">
        <f t="shared" si="8"/>
        <v>29.588181818181816</v>
      </c>
    </row>
    <row r="22" spans="2:21" x14ac:dyDescent="0.25">
      <c r="B22" s="1" t="s">
        <v>9</v>
      </c>
      <c r="C22" s="1" t="s">
        <v>212</v>
      </c>
      <c r="D22" s="34">
        <v>68.5</v>
      </c>
      <c r="E22" s="2">
        <f>D22/10</f>
        <v>6.85</v>
      </c>
      <c r="H22" s="8">
        <v>19</v>
      </c>
      <c r="I22" s="17" t="s">
        <v>263</v>
      </c>
      <c r="J22" s="17" t="s">
        <v>280</v>
      </c>
      <c r="K22" s="110">
        <f>(E21/2)+E29+E10</f>
        <v>16.168333333333333</v>
      </c>
      <c r="L22" s="83">
        <v>40</v>
      </c>
      <c r="M22" s="84">
        <f t="shared" si="7"/>
        <v>0.40420833333333334</v>
      </c>
      <c r="N22" s="96">
        <f t="shared" si="1"/>
        <v>48.504999999999995</v>
      </c>
      <c r="O22" s="85">
        <f t="shared" si="2"/>
        <v>-8.5049999999999955</v>
      </c>
      <c r="P22" s="118">
        <v>40</v>
      </c>
      <c r="Q22" s="104">
        <f t="shared" si="3"/>
        <v>0.59579166666666672</v>
      </c>
      <c r="R22" s="86">
        <v>40</v>
      </c>
      <c r="S22" s="120">
        <f t="shared" si="4"/>
        <v>0.59579166666666672</v>
      </c>
      <c r="T22" s="98">
        <f t="shared" si="5"/>
        <v>0</v>
      </c>
      <c r="U22" s="85">
        <f t="shared" si="8"/>
        <v>-8.5049999999999955</v>
      </c>
    </row>
    <row r="23" spans="2:21" ht="16.5" thickBot="1" x14ac:dyDescent="0.3">
      <c r="B23" s="1" t="s">
        <v>83</v>
      </c>
      <c r="C23" s="1" t="s">
        <v>84</v>
      </c>
      <c r="D23" s="34">
        <v>21.99</v>
      </c>
      <c r="E23" s="2">
        <f>D23/6</f>
        <v>3.6649999999999996</v>
      </c>
      <c r="H23" s="82">
        <v>20</v>
      </c>
      <c r="I23" s="125" t="s">
        <v>97</v>
      </c>
      <c r="J23" s="125" t="s">
        <v>98</v>
      </c>
      <c r="K23" s="126">
        <f>(E24*2)+E29+E10</f>
        <v>15.997878787878786</v>
      </c>
      <c r="L23" s="127">
        <v>35</v>
      </c>
      <c r="M23" s="128">
        <f t="shared" si="7"/>
        <v>0.45708225108225103</v>
      </c>
      <c r="N23" s="129">
        <f t="shared" si="1"/>
        <v>47.993636363636355</v>
      </c>
      <c r="O23" s="130">
        <f t="shared" si="2"/>
        <v>-12.993636363636355</v>
      </c>
      <c r="P23" s="131">
        <v>40</v>
      </c>
      <c r="Q23" s="132">
        <f t="shared" si="3"/>
        <v>0.60005303030303037</v>
      </c>
      <c r="R23" s="133">
        <v>40</v>
      </c>
      <c r="S23" s="134">
        <f t="shared" si="4"/>
        <v>0.60005303030303037</v>
      </c>
      <c r="T23" s="98">
        <f t="shared" si="5"/>
        <v>0</v>
      </c>
      <c r="U23" s="85">
        <f t="shared" si="8"/>
        <v>-7.9936363636363552</v>
      </c>
    </row>
    <row r="24" spans="2:21" x14ac:dyDescent="0.25">
      <c r="B24" s="1" t="s">
        <v>10</v>
      </c>
      <c r="C24" s="1" t="s">
        <v>16</v>
      </c>
      <c r="D24" s="34">
        <v>145</v>
      </c>
      <c r="E24" s="2">
        <f>D24/33</f>
        <v>4.3939393939393936</v>
      </c>
      <c r="H24" s="170">
        <v>21</v>
      </c>
      <c r="I24" s="168" t="s">
        <v>276</v>
      </c>
      <c r="J24" s="145" t="s">
        <v>103</v>
      </c>
      <c r="K24" s="146">
        <f>(E21/2)+E15</f>
        <v>9.4583333333333339</v>
      </c>
      <c r="L24" s="147">
        <v>24</v>
      </c>
      <c r="M24" s="148">
        <f t="shared" si="7"/>
        <v>0.39409722222222227</v>
      </c>
      <c r="N24" s="149">
        <f t="shared" si="1"/>
        <v>28.375</v>
      </c>
      <c r="O24" s="150">
        <f t="shared" si="2"/>
        <v>-4.375</v>
      </c>
      <c r="P24" s="151">
        <v>25</v>
      </c>
      <c r="Q24" s="152">
        <f>(P24-K24)/P24</f>
        <v>0.62166666666666659</v>
      </c>
      <c r="R24" s="171">
        <v>26</v>
      </c>
      <c r="S24" s="172">
        <f t="shared" si="4"/>
        <v>0.63621794871794868</v>
      </c>
      <c r="T24" s="124">
        <f t="shared" si="5"/>
        <v>3.8461538461538436E-2</v>
      </c>
      <c r="U24" s="85">
        <f t="shared" si="8"/>
        <v>-2.375</v>
      </c>
    </row>
    <row r="25" spans="2:21" ht="16.5" thickBot="1" x14ac:dyDescent="0.3">
      <c r="B25" s="1" t="s">
        <v>13</v>
      </c>
      <c r="C25" s="1" t="s">
        <v>16</v>
      </c>
      <c r="D25" s="33">
        <v>122</v>
      </c>
      <c r="E25" s="2">
        <f>D25/14</f>
        <v>8.7142857142857135</v>
      </c>
      <c r="H25" s="170">
        <v>22</v>
      </c>
      <c r="I25" s="169" t="s">
        <v>276</v>
      </c>
      <c r="J25" s="155" t="s">
        <v>104</v>
      </c>
      <c r="K25" s="156">
        <f>(E24)+E15</f>
        <v>4.8939393939393936</v>
      </c>
      <c r="L25" s="157">
        <v>24</v>
      </c>
      <c r="M25" s="158">
        <f t="shared" si="7"/>
        <v>0.20391414141414141</v>
      </c>
      <c r="N25" s="159">
        <f t="shared" si="1"/>
        <v>14.68181818181818</v>
      </c>
      <c r="O25" s="160">
        <f t="shared" si="2"/>
        <v>9.3181818181818201</v>
      </c>
      <c r="P25" s="161">
        <v>25</v>
      </c>
      <c r="Q25" s="162">
        <f t="shared" si="3"/>
        <v>0.8042424242424242</v>
      </c>
      <c r="R25" s="173">
        <v>26</v>
      </c>
      <c r="S25" s="174">
        <f t="shared" si="4"/>
        <v>0.81177156177156173</v>
      </c>
      <c r="T25" s="124">
        <f t="shared" si="5"/>
        <v>3.8461538461538436E-2</v>
      </c>
      <c r="U25" s="85">
        <f t="shared" si="8"/>
        <v>11.31818181818182</v>
      </c>
    </row>
    <row r="26" spans="2:21" x14ac:dyDescent="0.25">
      <c r="B26" s="1" t="s">
        <v>82</v>
      </c>
      <c r="C26" s="1" t="s">
        <v>16</v>
      </c>
      <c r="D26" s="33">
        <v>82</v>
      </c>
      <c r="E26" s="2">
        <f>D26/14</f>
        <v>5.8571428571428568</v>
      </c>
      <c r="H26" s="82">
        <v>23</v>
      </c>
      <c r="I26" s="135" t="s">
        <v>250</v>
      </c>
      <c r="J26" s="135" t="s">
        <v>136</v>
      </c>
      <c r="K26" s="136">
        <f>E7+E29</f>
        <v>7.56</v>
      </c>
      <c r="L26" s="137">
        <v>23</v>
      </c>
      <c r="M26" s="138">
        <f t="shared" si="7"/>
        <v>0.328695652173913</v>
      </c>
      <c r="N26" s="139">
        <f t="shared" si="1"/>
        <v>22.68</v>
      </c>
      <c r="O26" s="140">
        <f t="shared" si="2"/>
        <v>0.32000000000000028</v>
      </c>
      <c r="P26" s="141">
        <v>24</v>
      </c>
      <c r="Q26" s="142">
        <f t="shared" si="3"/>
        <v>0.68500000000000005</v>
      </c>
      <c r="R26" s="143">
        <v>24</v>
      </c>
      <c r="S26" s="144">
        <f t="shared" si="4"/>
        <v>0.68500000000000005</v>
      </c>
      <c r="T26" s="98">
        <f t="shared" si="5"/>
        <v>0</v>
      </c>
      <c r="U26" s="85">
        <f t="shared" si="8"/>
        <v>1.3200000000000003</v>
      </c>
    </row>
    <row r="27" spans="2:21" x14ac:dyDescent="0.25">
      <c r="B27" s="1" t="s">
        <v>14</v>
      </c>
      <c r="C27" s="1" t="s">
        <v>16</v>
      </c>
      <c r="D27" s="33">
        <v>145</v>
      </c>
      <c r="E27" s="2">
        <f>D27/14</f>
        <v>10.357142857142858</v>
      </c>
      <c r="H27" s="82">
        <v>24</v>
      </c>
      <c r="I27" s="17" t="s">
        <v>138</v>
      </c>
      <c r="J27" s="17" t="s">
        <v>53</v>
      </c>
      <c r="K27" s="110">
        <f>E7+E25</f>
        <v>10.514285714285714</v>
      </c>
      <c r="L27" s="83">
        <v>24</v>
      </c>
      <c r="M27" s="84">
        <f t="shared" si="7"/>
        <v>0.43809523809523809</v>
      </c>
      <c r="N27" s="96">
        <f t="shared" si="1"/>
        <v>31.542857142857144</v>
      </c>
      <c r="O27" s="85">
        <f t="shared" si="2"/>
        <v>-7.5428571428571445</v>
      </c>
      <c r="P27" s="118">
        <v>25</v>
      </c>
      <c r="Q27" s="104">
        <f t="shared" si="3"/>
        <v>0.5794285714285714</v>
      </c>
      <c r="R27" s="86">
        <v>25</v>
      </c>
      <c r="S27" s="120">
        <f t="shared" si="4"/>
        <v>0.5794285714285714</v>
      </c>
      <c r="T27" s="98">
        <f t="shared" si="5"/>
        <v>0</v>
      </c>
      <c r="U27" s="85">
        <f t="shared" si="8"/>
        <v>-6.5428571428571445</v>
      </c>
    </row>
    <row r="28" spans="2:21" x14ac:dyDescent="0.25">
      <c r="B28" s="1" t="s">
        <v>89</v>
      </c>
      <c r="C28" s="1" t="s">
        <v>16</v>
      </c>
      <c r="D28" s="33">
        <v>77</v>
      </c>
      <c r="E28" s="2">
        <f>D28/13</f>
        <v>5.9230769230769234</v>
      </c>
      <c r="H28" s="82">
        <v>25</v>
      </c>
      <c r="I28" s="17" t="s">
        <v>138</v>
      </c>
      <c r="J28" s="17" t="s">
        <v>71</v>
      </c>
      <c r="K28" s="110">
        <f>E7+E26</f>
        <v>7.6571428571428566</v>
      </c>
      <c r="L28" s="83">
        <v>24</v>
      </c>
      <c r="M28" s="84">
        <f t="shared" si="7"/>
        <v>0.31904761904761902</v>
      </c>
      <c r="N28" s="96">
        <f t="shared" si="1"/>
        <v>22.971428571428568</v>
      </c>
      <c r="O28" s="85">
        <f t="shared" si="2"/>
        <v>1.028571428571432</v>
      </c>
      <c r="P28" s="118">
        <v>25</v>
      </c>
      <c r="Q28" s="104">
        <f t="shared" si="3"/>
        <v>0.69371428571428562</v>
      </c>
      <c r="R28" s="86">
        <v>25</v>
      </c>
      <c r="S28" s="120">
        <f t="shared" si="4"/>
        <v>0.69371428571428562</v>
      </c>
      <c r="T28" s="98">
        <f t="shared" si="5"/>
        <v>0</v>
      </c>
      <c r="U28" s="85">
        <f t="shared" si="8"/>
        <v>2.028571428571432</v>
      </c>
    </row>
    <row r="29" spans="2:21" x14ac:dyDescent="0.25">
      <c r="B29" s="1" t="s">
        <v>242</v>
      </c>
      <c r="C29" s="1" t="s">
        <v>16</v>
      </c>
      <c r="D29" s="34">
        <v>96</v>
      </c>
      <c r="E29" s="2">
        <f>(D29/1000)*60</f>
        <v>5.76</v>
      </c>
      <c r="H29" s="82">
        <v>26</v>
      </c>
      <c r="I29" s="17" t="s">
        <v>138</v>
      </c>
      <c r="J29" s="17" t="s">
        <v>137</v>
      </c>
      <c r="K29" s="110">
        <f>E7+E22</f>
        <v>8.65</v>
      </c>
      <c r="L29" s="83">
        <v>25</v>
      </c>
      <c r="M29" s="84">
        <f t="shared" si="7"/>
        <v>0.34600000000000003</v>
      </c>
      <c r="N29" s="96">
        <f t="shared" si="1"/>
        <v>25.950000000000003</v>
      </c>
      <c r="O29" s="85">
        <f t="shared" si="2"/>
        <v>-0.95000000000000284</v>
      </c>
      <c r="P29" s="118">
        <v>25</v>
      </c>
      <c r="Q29" s="104">
        <f t="shared" si="3"/>
        <v>0.65400000000000003</v>
      </c>
      <c r="R29" s="86">
        <v>25</v>
      </c>
      <c r="S29" s="120">
        <f t="shared" si="4"/>
        <v>0.65400000000000003</v>
      </c>
      <c r="T29" s="98">
        <f t="shared" si="5"/>
        <v>0</v>
      </c>
      <c r="U29" s="85">
        <f t="shared" si="8"/>
        <v>-0.95000000000000284</v>
      </c>
    </row>
    <row r="30" spans="2:21" x14ac:dyDescent="0.25">
      <c r="B30" s="16" t="s">
        <v>243</v>
      </c>
      <c r="C30" s="16" t="s">
        <v>16</v>
      </c>
      <c r="D30" s="34">
        <v>34</v>
      </c>
      <c r="E30" s="16"/>
      <c r="H30" s="82">
        <v>27</v>
      </c>
      <c r="I30" s="17" t="s">
        <v>138</v>
      </c>
      <c r="J30" s="17" t="s">
        <v>106</v>
      </c>
      <c r="K30" s="110">
        <f>E7+E28</f>
        <v>7.7230769230769232</v>
      </c>
      <c r="L30" s="83">
        <v>25</v>
      </c>
      <c r="M30" s="84">
        <f t="shared" si="7"/>
        <v>0.30892307692307691</v>
      </c>
      <c r="N30" s="96">
        <f t="shared" si="1"/>
        <v>23.169230769230769</v>
      </c>
      <c r="O30" s="85">
        <f t="shared" si="2"/>
        <v>1.8307692307692314</v>
      </c>
      <c r="P30" s="118">
        <v>25</v>
      </c>
      <c r="Q30" s="104">
        <f t="shared" si="3"/>
        <v>0.69107692307692303</v>
      </c>
      <c r="R30" s="86">
        <v>25</v>
      </c>
      <c r="S30" s="120">
        <f t="shared" si="4"/>
        <v>0.69107692307692303</v>
      </c>
      <c r="T30" s="98">
        <f t="shared" si="5"/>
        <v>0</v>
      </c>
      <c r="U30" s="85">
        <f t="shared" si="8"/>
        <v>1.8307692307692314</v>
      </c>
    </row>
    <row r="31" spans="2:21" x14ac:dyDescent="0.25">
      <c r="B31" s="94" t="s">
        <v>80</v>
      </c>
      <c r="C31" s="16" t="s">
        <v>16</v>
      </c>
      <c r="D31" s="34">
        <v>66</v>
      </c>
      <c r="E31" s="2">
        <f>D31/14</f>
        <v>4.7142857142857144</v>
      </c>
      <c r="H31" s="82">
        <v>28</v>
      </c>
      <c r="I31" s="17" t="s">
        <v>138</v>
      </c>
      <c r="J31" s="17" t="s">
        <v>54</v>
      </c>
      <c r="K31" s="110">
        <f>E7+E27</f>
        <v>12.157142857142858</v>
      </c>
      <c r="L31" s="83">
        <v>28</v>
      </c>
      <c r="M31" s="84">
        <f t="shared" si="7"/>
        <v>0.4341836734693878</v>
      </c>
      <c r="N31" s="96">
        <f t="shared" si="1"/>
        <v>36.471428571428575</v>
      </c>
      <c r="O31" s="85">
        <f t="shared" si="2"/>
        <v>-8.4714285714285751</v>
      </c>
      <c r="P31" s="118">
        <v>33</v>
      </c>
      <c r="Q31" s="104">
        <f t="shared" si="3"/>
        <v>0.63160173160173161</v>
      </c>
      <c r="R31" s="86">
        <v>33</v>
      </c>
      <c r="S31" s="120">
        <f t="shared" si="4"/>
        <v>0.63160173160173161</v>
      </c>
      <c r="T31" s="98">
        <f t="shared" si="5"/>
        <v>0</v>
      </c>
      <c r="U31" s="85">
        <f t="shared" si="8"/>
        <v>-3.4714285714285751</v>
      </c>
    </row>
    <row r="32" spans="2:21" x14ac:dyDescent="0.25">
      <c r="B32" s="16" t="s">
        <v>141</v>
      </c>
      <c r="C32" s="16" t="s">
        <v>16</v>
      </c>
      <c r="D32" s="34">
        <v>78</v>
      </c>
      <c r="E32" s="22">
        <f>+D32/12</f>
        <v>6.5</v>
      </c>
      <c r="F32" s="26"/>
      <c r="G32" s="26"/>
      <c r="H32" s="82">
        <v>29</v>
      </c>
      <c r="I32" s="17" t="s">
        <v>267</v>
      </c>
      <c r="J32" s="17" t="s">
        <v>114</v>
      </c>
      <c r="K32" s="110">
        <f>E25+E35</f>
        <v>10.714285714285714</v>
      </c>
      <c r="L32" s="83">
        <v>65</v>
      </c>
      <c r="M32" s="84">
        <f t="shared" si="7"/>
        <v>0.16483516483516483</v>
      </c>
      <c r="N32" s="96">
        <f t="shared" si="1"/>
        <v>32.142857142857139</v>
      </c>
      <c r="O32" s="85">
        <f t="shared" si="2"/>
        <v>32.857142857142861</v>
      </c>
      <c r="P32" s="118">
        <v>65</v>
      </c>
      <c r="Q32" s="104">
        <f t="shared" si="3"/>
        <v>0.8351648351648352</v>
      </c>
      <c r="R32" s="86">
        <v>65</v>
      </c>
      <c r="S32" s="120">
        <f t="shared" si="4"/>
        <v>0.8351648351648352</v>
      </c>
      <c r="T32" s="98">
        <f t="shared" si="5"/>
        <v>0</v>
      </c>
      <c r="U32" s="85">
        <f t="shared" si="8"/>
        <v>32.857142857142861</v>
      </c>
    </row>
    <row r="33" spans="2:21" x14ac:dyDescent="0.25">
      <c r="B33" s="16" t="s">
        <v>142</v>
      </c>
      <c r="C33" s="16" t="s">
        <v>16</v>
      </c>
      <c r="D33" s="34">
        <v>43</v>
      </c>
      <c r="E33" s="22">
        <f>+D33/16.6</f>
        <v>2.5903614457831323</v>
      </c>
      <c r="F33" s="26"/>
      <c r="G33" s="26"/>
      <c r="H33" s="82">
        <v>30</v>
      </c>
      <c r="I33" s="17" t="s">
        <v>109</v>
      </c>
      <c r="J33" s="17" t="s">
        <v>115</v>
      </c>
      <c r="K33" s="110">
        <f>E26+E35</f>
        <v>7.8571428571428568</v>
      </c>
      <c r="L33" s="83">
        <v>65</v>
      </c>
      <c r="M33" s="84">
        <f t="shared" si="7"/>
        <v>0.12087912087912088</v>
      </c>
      <c r="N33" s="96">
        <f t="shared" si="1"/>
        <v>23.571428571428569</v>
      </c>
      <c r="O33" s="85">
        <f t="shared" si="2"/>
        <v>41.428571428571431</v>
      </c>
      <c r="P33" s="118">
        <v>65</v>
      </c>
      <c r="Q33" s="104">
        <f t="shared" si="3"/>
        <v>0.87912087912087922</v>
      </c>
      <c r="R33" s="86">
        <v>65</v>
      </c>
      <c r="S33" s="120">
        <f t="shared" si="4"/>
        <v>0.87912087912087922</v>
      </c>
      <c r="T33" s="98">
        <f t="shared" si="5"/>
        <v>0</v>
      </c>
      <c r="U33" s="85">
        <f t="shared" si="8"/>
        <v>41.428571428571431</v>
      </c>
    </row>
    <row r="34" spans="2:21" x14ac:dyDescent="0.25">
      <c r="B34" s="16" t="s">
        <v>143</v>
      </c>
      <c r="C34" s="16" t="s">
        <v>16</v>
      </c>
      <c r="D34" s="34">
        <v>15.6</v>
      </c>
      <c r="E34" s="22">
        <f>+D34/16.6</f>
        <v>0.93975903614457823</v>
      </c>
      <c r="H34" s="82">
        <v>31</v>
      </c>
      <c r="I34" s="17" t="s">
        <v>109</v>
      </c>
      <c r="J34" s="17" t="s">
        <v>116</v>
      </c>
      <c r="K34" s="110">
        <f>E28+E35</f>
        <v>7.9230769230769234</v>
      </c>
      <c r="L34" s="83">
        <v>65</v>
      </c>
      <c r="M34" s="84">
        <f t="shared" si="7"/>
        <v>0.12189349112426036</v>
      </c>
      <c r="N34" s="96">
        <f t="shared" si="1"/>
        <v>23.76923076923077</v>
      </c>
      <c r="O34" s="85">
        <f t="shared" si="2"/>
        <v>41.230769230769226</v>
      </c>
      <c r="P34" s="118">
        <v>65</v>
      </c>
      <c r="Q34" s="104">
        <f t="shared" si="3"/>
        <v>0.87810650887573971</v>
      </c>
      <c r="R34" s="86">
        <v>65</v>
      </c>
      <c r="S34" s="120">
        <f t="shared" si="4"/>
        <v>0.87810650887573971</v>
      </c>
      <c r="T34" s="98">
        <f t="shared" si="5"/>
        <v>0</v>
      </c>
      <c r="U34" s="85">
        <f t="shared" si="8"/>
        <v>41.230769230769226</v>
      </c>
    </row>
    <row r="35" spans="2:21" x14ac:dyDescent="0.25">
      <c r="B35" s="1" t="s">
        <v>120</v>
      </c>
      <c r="C35" s="1" t="s">
        <v>16</v>
      </c>
      <c r="D35" s="34">
        <v>10</v>
      </c>
      <c r="E35" s="2">
        <f>+D35/5</f>
        <v>2</v>
      </c>
      <c r="H35" s="82">
        <v>32</v>
      </c>
      <c r="I35" s="17" t="s">
        <v>109</v>
      </c>
      <c r="J35" s="17" t="s">
        <v>117</v>
      </c>
      <c r="K35" s="110">
        <f>E27+E35</f>
        <v>12.357142857142858</v>
      </c>
      <c r="L35" s="83">
        <v>75</v>
      </c>
      <c r="M35" s="84">
        <f t="shared" si="7"/>
        <v>0.16476190476190478</v>
      </c>
      <c r="N35" s="96">
        <f t="shared" si="1"/>
        <v>37.071428571428569</v>
      </c>
      <c r="O35" s="85">
        <f t="shared" si="2"/>
        <v>37.928571428571431</v>
      </c>
      <c r="P35" s="118">
        <v>75</v>
      </c>
      <c r="Q35" s="104">
        <f t="shared" si="3"/>
        <v>0.83523809523809522</v>
      </c>
      <c r="R35" s="86">
        <v>75</v>
      </c>
      <c r="S35" s="120">
        <f t="shared" si="4"/>
        <v>0.83523809523809522</v>
      </c>
      <c r="T35" s="98">
        <f t="shared" si="5"/>
        <v>0</v>
      </c>
      <c r="U35" s="85">
        <f t="shared" si="8"/>
        <v>37.928571428571431</v>
      </c>
    </row>
    <row r="36" spans="2:21" x14ac:dyDescent="0.25">
      <c r="B36" s="16" t="s">
        <v>245</v>
      </c>
      <c r="C36" s="16" t="s">
        <v>16</v>
      </c>
      <c r="D36" s="34">
        <v>124</v>
      </c>
      <c r="E36" s="2">
        <f>D36/14</f>
        <v>8.8571428571428577</v>
      </c>
      <c r="H36" s="82">
        <v>33</v>
      </c>
      <c r="I36" s="17" t="s">
        <v>109</v>
      </c>
      <c r="J36" s="17" t="s">
        <v>118</v>
      </c>
      <c r="K36" s="110">
        <f>E21+E35</f>
        <v>19.916666666666668</v>
      </c>
      <c r="L36" s="83">
        <v>75</v>
      </c>
      <c r="M36" s="84">
        <f t="shared" si="7"/>
        <v>0.26555555555555554</v>
      </c>
      <c r="N36" s="96">
        <f t="shared" si="1"/>
        <v>59.75</v>
      </c>
      <c r="O36" s="85">
        <f t="shared" si="2"/>
        <v>15.25</v>
      </c>
      <c r="P36" s="118">
        <v>75</v>
      </c>
      <c r="Q36" s="104">
        <f t="shared" si="3"/>
        <v>0.73444444444444434</v>
      </c>
      <c r="R36" s="86">
        <v>75</v>
      </c>
      <c r="S36" s="120">
        <f t="shared" si="4"/>
        <v>0.73444444444444434</v>
      </c>
      <c r="T36" s="98">
        <f t="shared" si="5"/>
        <v>0</v>
      </c>
      <c r="U36" s="85">
        <f t="shared" si="8"/>
        <v>15.25</v>
      </c>
    </row>
    <row r="37" spans="2:21" x14ac:dyDescent="0.25">
      <c r="B37" s="16" t="s">
        <v>146</v>
      </c>
      <c r="C37" s="16" t="s">
        <v>16</v>
      </c>
      <c r="D37" s="34">
        <v>38.5</v>
      </c>
      <c r="E37" s="22">
        <f>+D37/16.6</f>
        <v>2.3192771084337349</v>
      </c>
      <c r="H37" s="82">
        <v>34</v>
      </c>
      <c r="I37" s="17" t="s">
        <v>109</v>
      </c>
      <c r="J37" s="17" t="s">
        <v>119</v>
      </c>
      <c r="K37" s="110">
        <f>E24+E35</f>
        <v>6.3939393939393936</v>
      </c>
      <c r="L37" s="83">
        <v>75</v>
      </c>
      <c r="M37" s="84">
        <f t="shared" si="7"/>
        <v>8.5252525252525246E-2</v>
      </c>
      <c r="N37" s="96">
        <f t="shared" si="1"/>
        <v>19.18181818181818</v>
      </c>
      <c r="O37" s="85">
        <f t="shared" si="2"/>
        <v>55.81818181818182</v>
      </c>
      <c r="P37" s="118">
        <v>75</v>
      </c>
      <c r="Q37" s="104">
        <f t="shared" si="3"/>
        <v>0.91474747474747475</v>
      </c>
      <c r="R37" s="86">
        <v>75</v>
      </c>
      <c r="S37" s="120">
        <f t="shared" si="4"/>
        <v>0.91474747474747475</v>
      </c>
      <c r="T37" s="98">
        <f t="shared" si="5"/>
        <v>0</v>
      </c>
      <c r="U37" s="85">
        <f t="shared" si="8"/>
        <v>55.81818181818182</v>
      </c>
    </row>
    <row r="38" spans="2:21" x14ac:dyDescent="0.25">
      <c r="B38" s="16" t="s">
        <v>193</v>
      </c>
      <c r="C38" s="16" t="s">
        <v>16</v>
      </c>
      <c r="D38" s="34">
        <v>68</v>
      </c>
      <c r="E38" s="40">
        <f>+D38/16</f>
        <v>4.25</v>
      </c>
      <c r="H38" s="82">
        <v>35</v>
      </c>
      <c r="I38" s="90" t="s">
        <v>107</v>
      </c>
      <c r="J38" s="90" t="s">
        <v>45</v>
      </c>
      <c r="K38" s="111">
        <f>E9+E29+E19</f>
        <v>14.288133333333334</v>
      </c>
      <c r="L38" s="91">
        <v>45</v>
      </c>
      <c r="M38" s="92">
        <f t="shared" si="7"/>
        <v>0.31751407407407412</v>
      </c>
      <c r="N38" s="96">
        <f t="shared" si="1"/>
        <v>42.864400000000003</v>
      </c>
      <c r="O38" s="93">
        <f t="shared" si="2"/>
        <v>2.1355999999999966</v>
      </c>
      <c r="P38" s="118">
        <v>45</v>
      </c>
      <c r="Q38" s="104">
        <f t="shared" si="3"/>
        <v>0.68248592592592594</v>
      </c>
      <c r="R38" s="86">
        <v>45</v>
      </c>
      <c r="S38" s="120">
        <f t="shared" si="4"/>
        <v>0.68248592592592594</v>
      </c>
      <c r="T38" s="99">
        <f t="shared" si="5"/>
        <v>0</v>
      </c>
      <c r="U38" s="93">
        <f t="shared" si="8"/>
        <v>2.1355999999999966</v>
      </c>
    </row>
    <row r="39" spans="2:21" x14ac:dyDescent="0.25">
      <c r="B39" s="16" t="s">
        <v>278</v>
      </c>
      <c r="C39" s="1" t="s">
        <v>16</v>
      </c>
      <c r="D39" s="34">
        <v>63</v>
      </c>
      <c r="E39" s="45">
        <f>+D39/5</f>
        <v>12.6</v>
      </c>
      <c r="H39" s="82">
        <v>36</v>
      </c>
      <c r="I39" s="17" t="s">
        <v>107</v>
      </c>
      <c r="J39" s="17" t="s">
        <v>46</v>
      </c>
      <c r="K39" s="110">
        <f>E9+E25+E29</f>
        <v>16.124285714285712</v>
      </c>
      <c r="L39" s="83">
        <v>42</v>
      </c>
      <c r="M39" s="84">
        <f t="shared" si="7"/>
        <v>0.3839115646258503</v>
      </c>
      <c r="N39" s="96">
        <f t="shared" si="1"/>
        <v>48.372857142857136</v>
      </c>
      <c r="O39" s="85">
        <f t="shared" si="2"/>
        <v>-6.3728571428571357</v>
      </c>
      <c r="P39" s="118">
        <v>50</v>
      </c>
      <c r="Q39" s="104">
        <f t="shared" si="3"/>
        <v>0.67751428571428574</v>
      </c>
      <c r="R39" s="86">
        <v>50</v>
      </c>
      <c r="S39" s="120">
        <f t="shared" si="4"/>
        <v>0.67751428571428574</v>
      </c>
      <c r="T39" s="98">
        <f t="shared" si="5"/>
        <v>0</v>
      </c>
      <c r="U39" s="85">
        <f t="shared" si="8"/>
        <v>1.6271428571428643</v>
      </c>
    </row>
    <row r="40" spans="2:21" x14ac:dyDescent="0.25">
      <c r="B40" s="16" t="s">
        <v>211</v>
      </c>
      <c r="C40" s="1" t="s">
        <v>16</v>
      </c>
      <c r="D40" s="34">
        <v>17.600000000000001</v>
      </c>
      <c r="E40" s="45">
        <f>+D40/6.6</f>
        <v>2.666666666666667</v>
      </c>
      <c r="H40" s="82">
        <v>37</v>
      </c>
      <c r="I40" s="17" t="s">
        <v>107</v>
      </c>
      <c r="J40" s="17" t="s">
        <v>47</v>
      </c>
      <c r="K40" s="110">
        <f>E9+E29+E26</f>
        <v>13.267142857142858</v>
      </c>
      <c r="L40" s="83">
        <v>42</v>
      </c>
      <c r="M40" s="84">
        <f t="shared" si="7"/>
        <v>0.31588435374149659</v>
      </c>
      <c r="N40" s="96">
        <f t="shared" si="1"/>
        <v>39.801428571428573</v>
      </c>
      <c r="O40" s="85">
        <f t="shared" si="2"/>
        <v>2.1985714285714266</v>
      </c>
      <c r="P40" s="118">
        <v>50</v>
      </c>
      <c r="Q40" s="104">
        <f t="shared" si="3"/>
        <v>0.7346571428571429</v>
      </c>
      <c r="R40" s="86">
        <v>50</v>
      </c>
      <c r="S40" s="120">
        <f t="shared" si="4"/>
        <v>0.7346571428571429</v>
      </c>
      <c r="T40" s="98">
        <f t="shared" si="5"/>
        <v>0</v>
      </c>
      <c r="U40" s="85">
        <f t="shared" si="8"/>
        <v>10.198571428571427</v>
      </c>
    </row>
    <row r="41" spans="2:21" x14ac:dyDescent="0.25">
      <c r="B41" s="16" t="s">
        <v>188</v>
      </c>
      <c r="C41" s="16" t="s">
        <v>16</v>
      </c>
      <c r="D41" s="34">
        <v>7.14</v>
      </c>
      <c r="E41" s="2">
        <f>+D41</f>
        <v>7.14</v>
      </c>
      <c r="H41" s="82">
        <v>38</v>
      </c>
      <c r="I41" s="17" t="s">
        <v>107</v>
      </c>
      <c r="J41" s="17" t="s">
        <v>113</v>
      </c>
      <c r="K41" s="110">
        <f>E28+E29+E9</f>
        <v>13.333076923076923</v>
      </c>
      <c r="L41" s="83">
        <v>50</v>
      </c>
      <c r="M41" s="84">
        <f t="shared" ref="M41:M72" si="9">K41/L41</f>
        <v>0.26666153846153845</v>
      </c>
      <c r="N41" s="96">
        <f t="shared" si="1"/>
        <v>39.99923076923077</v>
      </c>
      <c r="O41" s="85">
        <f t="shared" si="2"/>
        <v>10.00076923076923</v>
      </c>
      <c r="P41" s="118">
        <v>50</v>
      </c>
      <c r="Q41" s="104">
        <f t="shared" si="3"/>
        <v>0.73333846153846149</v>
      </c>
      <c r="R41" s="86">
        <v>50</v>
      </c>
      <c r="S41" s="120">
        <f t="shared" si="4"/>
        <v>0.73333846153846149</v>
      </c>
      <c r="T41" s="98">
        <f t="shared" si="5"/>
        <v>0</v>
      </c>
      <c r="U41" s="85">
        <f t="shared" ref="U41:U72" si="10">R41-N41</f>
        <v>10.00076923076923</v>
      </c>
    </row>
    <row r="42" spans="2:21" x14ac:dyDescent="0.25">
      <c r="H42" s="82">
        <v>39</v>
      </c>
      <c r="I42" s="17" t="s">
        <v>107</v>
      </c>
      <c r="J42" s="17" t="s">
        <v>48</v>
      </c>
      <c r="K42" s="110">
        <f>E27+E29+E9</f>
        <v>17.767142857142858</v>
      </c>
      <c r="L42" s="83">
        <v>45</v>
      </c>
      <c r="M42" s="84">
        <f t="shared" si="9"/>
        <v>0.39482539682539686</v>
      </c>
      <c r="N42" s="96">
        <f t="shared" si="1"/>
        <v>53.301428571428573</v>
      </c>
      <c r="O42" s="85">
        <f t="shared" si="2"/>
        <v>-8.3014285714285734</v>
      </c>
      <c r="P42" s="118">
        <v>60</v>
      </c>
      <c r="Q42" s="104">
        <f t="shared" si="3"/>
        <v>0.70388095238095238</v>
      </c>
      <c r="R42" s="86">
        <v>60</v>
      </c>
      <c r="S42" s="120">
        <f t="shared" si="4"/>
        <v>0.70388095238095238</v>
      </c>
      <c r="T42" s="98">
        <f t="shared" si="5"/>
        <v>0</v>
      </c>
      <c r="U42" s="85">
        <f t="shared" si="10"/>
        <v>6.6985714285714266</v>
      </c>
    </row>
    <row r="43" spans="2:21" x14ac:dyDescent="0.25">
      <c r="B43" s="51" t="s">
        <v>81</v>
      </c>
      <c r="C43" s="20"/>
      <c r="D43" s="88">
        <v>42826</v>
      </c>
      <c r="E43" s="52">
        <f>SUM(E44:E47)</f>
        <v>114.63555555555556</v>
      </c>
      <c r="H43" s="82">
        <v>40</v>
      </c>
      <c r="I43" s="17" t="s">
        <v>108</v>
      </c>
      <c r="J43" s="17" t="s">
        <v>56</v>
      </c>
      <c r="K43" s="110">
        <f>E8+E25+E29</f>
        <v>15.331428571428571</v>
      </c>
      <c r="L43" s="83">
        <v>38</v>
      </c>
      <c r="M43" s="84">
        <f t="shared" si="9"/>
        <v>0.40345864661654135</v>
      </c>
      <c r="N43" s="96">
        <f t="shared" si="1"/>
        <v>45.994285714285709</v>
      </c>
      <c r="O43" s="85">
        <f t="shared" si="2"/>
        <v>-7.9942857142857093</v>
      </c>
      <c r="P43" s="118">
        <v>40</v>
      </c>
      <c r="Q43" s="104">
        <f t="shared" si="3"/>
        <v>0.61671428571428577</v>
      </c>
      <c r="R43" s="86">
        <v>40</v>
      </c>
      <c r="S43" s="120">
        <f t="shared" si="4"/>
        <v>0.61671428571428577</v>
      </c>
      <c r="T43" s="98">
        <f t="shared" si="5"/>
        <v>0</v>
      </c>
      <c r="U43" s="85">
        <f t="shared" si="10"/>
        <v>-5.9942857142857093</v>
      </c>
    </row>
    <row r="44" spans="2:21" x14ac:dyDescent="0.25">
      <c r="B44" s="17" t="s">
        <v>237</v>
      </c>
      <c r="C44" s="50">
        <v>0.5955555555555555</v>
      </c>
      <c r="D44" s="39">
        <v>102</v>
      </c>
      <c r="E44" s="40">
        <f>+C44*D44</f>
        <v>60.746666666666663</v>
      </c>
      <c r="H44" s="82">
        <v>41</v>
      </c>
      <c r="I44" s="17" t="s">
        <v>108</v>
      </c>
      <c r="J44" s="17" t="s">
        <v>57</v>
      </c>
      <c r="K44" s="110">
        <f>E26+E29+E8</f>
        <v>12.474285714285713</v>
      </c>
      <c r="L44" s="83">
        <v>38</v>
      </c>
      <c r="M44" s="84">
        <f t="shared" si="9"/>
        <v>0.32827067669172932</v>
      </c>
      <c r="N44" s="96">
        <f t="shared" si="1"/>
        <v>37.42285714285714</v>
      </c>
      <c r="O44" s="85">
        <f t="shared" si="2"/>
        <v>0.57714285714286007</v>
      </c>
      <c r="P44" s="118">
        <v>40</v>
      </c>
      <c r="Q44" s="104">
        <f t="shared" si="3"/>
        <v>0.68814285714285717</v>
      </c>
      <c r="R44" s="86">
        <v>40</v>
      </c>
      <c r="S44" s="120">
        <f t="shared" si="4"/>
        <v>0.68814285714285717</v>
      </c>
      <c r="T44" s="98">
        <f t="shared" si="5"/>
        <v>0</v>
      </c>
      <c r="U44" s="85">
        <f t="shared" si="10"/>
        <v>2.5771428571428601</v>
      </c>
    </row>
    <row r="45" spans="2:21" x14ac:dyDescent="0.25">
      <c r="B45" s="17" t="s">
        <v>68</v>
      </c>
      <c r="C45" s="50">
        <v>0.17777777777777778</v>
      </c>
      <c r="D45" s="39">
        <v>140</v>
      </c>
      <c r="E45" s="40">
        <f t="shared" ref="E45:E47" si="11">+C45*D45</f>
        <v>24.888888888888889</v>
      </c>
      <c r="H45" s="82">
        <v>42</v>
      </c>
      <c r="I45" s="17" t="s">
        <v>108</v>
      </c>
      <c r="J45" s="17" t="s">
        <v>112</v>
      </c>
      <c r="K45" s="110">
        <f>E8+E29+E28</f>
        <v>12.540219780219779</v>
      </c>
      <c r="L45" s="83">
        <v>40</v>
      </c>
      <c r="M45" s="84">
        <f t="shared" si="9"/>
        <v>0.31350549450549448</v>
      </c>
      <c r="N45" s="96">
        <f t="shared" si="1"/>
        <v>37.620659340659337</v>
      </c>
      <c r="O45" s="85">
        <f t="shared" si="2"/>
        <v>2.379340659340663</v>
      </c>
      <c r="P45" s="118">
        <v>40</v>
      </c>
      <c r="Q45" s="104">
        <f t="shared" si="3"/>
        <v>0.68649450549450552</v>
      </c>
      <c r="R45" s="86">
        <v>40</v>
      </c>
      <c r="S45" s="120">
        <f t="shared" si="4"/>
        <v>0.68649450549450552</v>
      </c>
      <c r="T45" s="98">
        <f t="shared" si="5"/>
        <v>0</v>
      </c>
      <c r="U45" s="85">
        <f t="shared" si="10"/>
        <v>2.379340659340663</v>
      </c>
    </row>
    <row r="46" spans="2:21" x14ac:dyDescent="0.25">
      <c r="B46" s="17" t="s">
        <v>69</v>
      </c>
      <c r="C46" s="50">
        <v>0.12</v>
      </c>
      <c r="D46" s="39">
        <v>135</v>
      </c>
      <c r="E46" s="40">
        <f t="shared" si="11"/>
        <v>16.2</v>
      </c>
      <c r="H46" s="82">
        <v>43</v>
      </c>
      <c r="I46" s="17" t="s">
        <v>108</v>
      </c>
      <c r="J46" s="17" t="s">
        <v>58</v>
      </c>
      <c r="K46" s="110">
        <f>E8+E29+E27</f>
        <v>16.974285714285713</v>
      </c>
      <c r="L46" s="83">
        <v>45</v>
      </c>
      <c r="M46" s="84">
        <f t="shared" si="9"/>
        <v>0.37720634920634921</v>
      </c>
      <c r="N46" s="96">
        <f t="shared" si="1"/>
        <v>50.92285714285714</v>
      </c>
      <c r="O46" s="85">
        <f t="shared" si="2"/>
        <v>-5.9228571428571399</v>
      </c>
      <c r="P46" s="118">
        <v>50</v>
      </c>
      <c r="Q46" s="104">
        <f t="shared" si="3"/>
        <v>0.66051428571428572</v>
      </c>
      <c r="R46" s="86">
        <v>50</v>
      </c>
      <c r="S46" s="120">
        <f t="shared" si="4"/>
        <v>0.66051428571428572</v>
      </c>
      <c r="T46" s="98">
        <f t="shared" si="5"/>
        <v>0</v>
      </c>
      <c r="U46" s="85">
        <f t="shared" si="10"/>
        <v>-0.92285714285713993</v>
      </c>
    </row>
    <row r="47" spans="2:21" x14ac:dyDescent="0.25">
      <c r="B47" s="17" t="s">
        <v>70</v>
      </c>
      <c r="C47" s="50">
        <v>0.10666666666666667</v>
      </c>
      <c r="D47" s="39">
        <v>120</v>
      </c>
      <c r="E47" s="40">
        <f t="shared" si="11"/>
        <v>12.8</v>
      </c>
      <c r="H47" s="82">
        <v>44</v>
      </c>
      <c r="I47" s="17" t="s">
        <v>251</v>
      </c>
      <c r="J47" s="17" t="s">
        <v>252</v>
      </c>
      <c r="K47" s="110">
        <f>E4+(E25*2)</f>
        <v>20.928571428571427</v>
      </c>
      <c r="L47" s="83">
        <v>45</v>
      </c>
      <c r="M47" s="84">
        <f t="shared" si="9"/>
        <v>0.46507936507936504</v>
      </c>
      <c r="N47" s="96">
        <f t="shared" si="1"/>
        <v>62.785714285714278</v>
      </c>
      <c r="O47" s="85">
        <f t="shared" si="2"/>
        <v>-17.785714285714278</v>
      </c>
      <c r="P47" s="118">
        <v>58</v>
      </c>
      <c r="Q47" s="104">
        <f t="shared" si="3"/>
        <v>0.63916256157635465</v>
      </c>
      <c r="R47" s="86">
        <v>58</v>
      </c>
      <c r="S47" s="120">
        <f t="shared" si="4"/>
        <v>0.63916256157635465</v>
      </c>
      <c r="T47" s="98">
        <f t="shared" si="5"/>
        <v>0</v>
      </c>
      <c r="U47" s="85">
        <f t="shared" si="10"/>
        <v>-4.7857142857142776</v>
      </c>
    </row>
    <row r="48" spans="2:21" x14ac:dyDescent="0.25">
      <c r="H48" s="82">
        <v>45</v>
      </c>
      <c r="I48" s="17" t="s">
        <v>251</v>
      </c>
      <c r="J48" s="17" t="s">
        <v>82</v>
      </c>
      <c r="K48" s="110">
        <f>E4+E26</f>
        <v>9.3571428571428577</v>
      </c>
      <c r="L48" s="83">
        <v>58</v>
      </c>
      <c r="M48" s="84">
        <f t="shared" si="9"/>
        <v>0.16133004926108374</v>
      </c>
      <c r="N48" s="96">
        <f t="shared" si="1"/>
        <v>28.071428571428573</v>
      </c>
      <c r="O48" s="85">
        <f t="shared" si="2"/>
        <v>29.928571428571427</v>
      </c>
      <c r="P48" s="118">
        <v>58</v>
      </c>
      <c r="Q48" s="104">
        <f t="shared" si="3"/>
        <v>0.83866995073891615</v>
      </c>
      <c r="R48" s="86">
        <v>58</v>
      </c>
      <c r="S48" s="120">
        <f t="shared" si="4"/>
        <v>0.83866995073891615</v>
      </c>
      <c r="T48" s="98">
        <f t="shared" si="5"/>
        <v>0</v>
      </c>
      <c r="U48" s="85">
        <f t="shared" si="10"/>
        <v>29.928571428571427</v>
      </c>
    </row>
    <row r="49" spans="2:21" x14ac:dyDescent="0.25">
      <c r="B49" s="1" t="s">
        <v>149</v>
      </c>
      <c r="C49" s="38"/>
      <c r="D49" s="36">
        <f>+B71</f>
        <v>68.56</v>
      </c>
      <c r="E49" s="2">
        <f>+C71</f>
        <v>1.3712</v>
      </c>
      <c r="H49" s="82">
        <v>46</v>
      </c>
      <c r="I49" s="17" t="s">
        <v>251</v>
      </c>
      <c r="J49" s="17" t="s">
        <v>89</v>
      </c>
      <c r="K49" s="110">
        <f>E4+E28</f>
        <v>9.4230769230769234</v>
      </c>
      <c r="L49" s="83">
        <v>58</v>
      </c>
      <c r="M49" s="84">
        <f t="shared" si="9"/>
        <v>0.16246684350132626</v>
      </c>
      <c r="N49" s="96">
        <f t="shared" si="1"/>
        <v>28.26923076923077</v>
      </c>
      <c r="O49" s="85">
        <f t="shared" si="2"/>
        <v>29.73076923076923</v>
      </c>
      <c r="P49" s="118">
        <v>58</v>
      </c>
      <c r="Q49" s="104">
        <f t="shared" si="3"/>
        <v>0.83753315649867377</v>
      </c>
      <c r="R49" s="86">
        <v>58</v>
      </c>
      <c r="S49" s="120">
        <f t="shared" si="4"/>
        <v>0.83753315649867377</v>
      </c>
      <c r="T49" s="98">
        <f t="shared" si="5"/>
        <v>0</v>
      </c>
      <c r="U49" s="85">
        <f t="shared" si="10"/>
        <v>29.73076923076923</v>
      </c>
    </row>
    <row r="50" spans="2:21" x14ac:dyDescent="0.25">
      <c r="H50" s="82">
        <v>47</v>
      </c>
      <c r="I50" s="17" t="s">
        <v>251</v>
      </c>
      <c r="J50" s="17" t="s">
        <v>14</v>
      </c>
      <c r="K50" s="110">
        <f>E4+(E27*2)</f>
        <v>24.214285714285715</v>
      </c>
      <c r="L50" s="83">
        <v>75</v>
      </c>
      <c r="M50" s="84">
        <f t="shared" si="9"/>
        <v>0.3228571428571429</v>
      </c>
      <c r="N50" s="96">
        <f t="shared" si="1"/>
        <v>72.642857142857139</v>
      </c>
      <c r="O50" s="85">
        <f t="shared" si="2"/>
        <v>2.3571428571428612</v>
      </c>
      <c r="P50" s="118">
        <v>65</v>
      </c>
      <c r="Q50" s="104">
        <f t="shared" si="3"/>
        <v>0.62747252747252746</v>
      </c>
      <c r="R50" s="86">
        <v>65</v>
      </c>
      <c r="S50" s="120">
        <f t="shared" si="4"/>
        <v>0.62747252747252746</v>
      </c>
      <c r="T50" s="98">
        <f t="shared" si="5"/>
        <v>0</v>
      </c>
      <c r="U50" s="85">
        <f t="shared" si="10"/>
        <v>-7.6428571428571388</v>
      </c>
    </row>
    <row r="51" spans="2:21" x14ac:dyDescent="0.25">
      <c r="B51" s="47" t="s">
        <v>194</v>
      </c>
      <c r="C51" s="47"/>
      <c r="D51" s="48"/>
      <c r="E51" s="189">
        <f>SUM(E52:E60)</f>
        <v>17.659060240963857</v>
      </c>
      <c r="H51" s="82">
        <v>48</v>
      </c>
      <c r="I51" s="17" t="s">
        <v>251</v>
      </c>
      <c r="J51" s="17" t="s">
        <v>37</v>
      </c>
      <c r="K51" s="110">
        <f>E5+E25</f>
        <v>11.214285714285714</v>
      </c>
      <c r="L51" s="83">
        <v>32</v>
      </c>
      <c r="M51" s="84">
        <f t="shared" si="9"/>
        <v>0.35044642857142855</v>
      </c>
      <c r="N51" s="96">
        <f t="shared" si="1"/>
        <v>33.642857142857139</v>
      </c>
      <c r="O51" s="85">
        <f t="shared" si="2"/>
        <v>-1.6428571428571388</v>
      </c>
      <c r="P51" s="118">
        <v>32</v>
      </c>
      <c r="Q51" s="104">
        <f t="shared" si="3"/>
        <v>0.6495535714285714</v>
      </c>
      <c r="R51" s="86">
        <v>32</v>
      </c>
      <c r="S51" s="120">
        <f t="shared" si="4"/>
        <v>0.6495535714285714</v>
      </c>
      <c r="T51" s="98">
        <f t="shared" si="5"/>
        <v>0</v>
      </c>
      <c r="U51" s="85">
        <f t="shared" si="10"/>
        <v>-1.6428571428571388</v>
      </c>
    </row>
    <row r="52" spans="2:21" x14ac:dyDescent="0.25">
      <c r="B52" s="1" t="s">
        <v>195</v>
      </c>
      <c r="C52" s="1" t="s">
        <v>16</v>
      </c>
      <c r="D52" s="34">
        <v>21</v>
      </c>
      <c r="E52" s="46">
        <f>+D52/16.6</f>
        <v>1.2650602409638554</v>
      </c>
      <c r="H52" s="82">
        <v>49</v>
      </c>
      <c r="I52" s="17" t="s">
        <v>251</v>
      </c>
      <c r="J52" s="17" t="s">
        <v>38</v>
      </c>
      <c r="K52" s="110">
        <f>E5+E26</f>
        <v>8.3571428571428577</v>
      </c>
      <c r="L52" s="83">
        <v>32</v>
      </c>
      <c r="M52" s="84">
        <f t="shared" si="9"/>
        <v>0.2611607142857143</v>
      </c>
      <c r="N52" s="96">
        <f t="shared" si="1"/>
        <v>25.071428571428573</v>
      </c>
      <c r="O52" s="85">
        <f t="shared" si="2"/>
        <v>6.928571428571427</v>
      </c>
      <c r="P52" s="118">
        <v>32</v>
      </c>
      <c r="Q52" s="104">
        <f t="shared" si="3"/>
        <v>0.7388392857142857</v>
      </c>
      <c r="R52" s="86">
        <v>32</v>
      </c>
      <c r="S52" s="120">
        <f t="shared" si="4"/>
        <v>0.7388392857142857</v>
      </c>
      <c r="T52" s="98">
        <f t="shared" si="5"/>
        <v>0</v>
      </c>
      <c r="U52" s="85">
        <f t="shared" si="10"/>
        <v>6.928571428571427</v>
      </c>
    </row>
    <row r="53" spans="2:21" x14ac:dyDescent="0.25">
      <c r="B53" s="1" t="s">
        <v>286</v>
      </c>
      <c r="C53" s="1" t="s">
        <v>16</v>
      </c>
      <c r="D53" s="34">
        <v>66</v>
      </c>
      <c r="E53" s="46">
        <f>(+D53/1000)*114</f>
        <v>7.524</v>
      </c>
      <c r="H53" s="82">
        <v>50</v>
      </c>
      <c r="I53" s="17" t="s">
        <v>251</v>
      </c>
      <c r="J53" s="17" t="s">
        <v>92</v>
      </c>
      <c r="K53" s="110">
        <f>E5+E28</f>
        <v>8.4230769230769234</v>
      </c>
      <c r="L53" s="83">
        <v>32</v>
      </c>
      <c r="M53" s="84">
        <f t="shared" si="9"/>
        <v>0.26322115384615385</v>
      </c>
      <c r="N53" s="96">
        <f t="shared" si="1"/>
        <v>25.26923076923077</v>
      </c>
      <c r="O53" s="85">
        <f t="shared" si="2"/>
        <v>6.7307692307692299</v>
      </c>
      <c r="P53" s="118">
        <v>32</v>
      </c>
      <c r="Q53" s="104">
        <f t="shared" si="3"/>
        <v>0.73677884615384615</v>
      </c>
      <c r="R53" s="86">
        <v>32</v>
      </c>
      <c r="S53" s="120">
        <f t="shared" si="4"/>
        <v>0.73677884615384615</v>
      </c>
      <c r="T53" s="98">
        <f t="shared" si="5"/>
        <v>0</v>
      </c>
      <c r="U53" s="85">
        <f t="shared" si="10"/>
        <v>6.7307692307692299</v>
      </c>
    </row>
    <row r="54" spans="2:21" x14ac:dyDescent="0.25">
      <c r="B54" s="1" t="s">
        <v>196</v>
      </c>
      <c r="C54" s="1" t="s">
        <v>16</v>
      </c>
      <c r="D54" s="34">
        <v>34</v>
      </c>
      <c r="E54" s="103">
        <f>(+D54*2.5)/20</f>
        <v>4.25</v>
      </c>
      <c r="H54" s="82">
        <v>51</v>
      </c>
      <c r="I54" s="17" t="s">
        <v>251</v>
      </c>
      <c r="J54" s="17" t="s">
        <v>135</v>
      </c>
      <c r="K54" s="110">
        <f>E5+E27</f>
        <v>12.857142857142858</v>
      </c>
      <c r="L54" s="83">
        <v>34</v>
      </c>
      <c r="M54" s="84">
        <f t="shared" si="9"/>
        <v>0.37815126050420167</v>
      </c>
      <c r="N54" s="96">
        <f t="shared" si="1"/>
        <v>38.571428571428569</v>
      </c>
      <c r="O54" s="85">
        <f t="shared" si="2"/>
        <v>-4.5714285714285694</v>
      </c>
      <c r="P54" s="118">
        <v>35</v>
      </c>
      <c r="Q54" s="104">
        <f t="shared" si="3"/>
        <v>0.63265306122448983</v>
      </c>
      <c r="R54" s="86">
        <v>35</v>
      </c>
      <c r="S54" s="120">
        <f t="shared" si="4"/>
        <v>0.63265306122448983</v>
      </c>
      <c r="T54" s="98">
        <f t="shared" si="5"/>
        <v>0</v>
      </c>
      <c r="U54" s="85">
        <f t="shared" si="10"/>
        <v>-3.5714285714285694</v>
      </c>
    </row>
    <row r="55" spans="2:21" x14ac:dyDescent="0.25">
      <c r="B55" s="16" t="s">
        <v>197</v>
      </c>
      <c r="C55" s="1"/>
      <c r="D55" s="34">
        <v>77</v>
      </c>
      <c r="E55" s="46">
        <f>+D55/40</f>
        <v>1.925</v>
      </c>
      <c r="H55" s="82">
        <v>52</v>
      </c>
      <c r="I55" s="17" t="s">
        <v>153</v>
      </c>
      <c r="J55" s="17" t="s">
        <v>140</v>
      </c>
      <c r="K55" s="110">
        <f>E14+(E19/2)</f>
        <v>5.239066666666667</v>
      </c>
      <c r="L55" s="83">
        <v>16</v>
      </c>
      <c r="M55" s="84">
        <f t="shared" si="9"/>
        <v>0.32744166666666669</v>
      </c>
      <c r="N55" s="96">
        <f t="shared" si="1"/>
        <v>15.717200000000002</v>
      </c>
      <c r="O55" s="85">
        <f t="shared" si="2"/>
        <v>0.28279999999999816</v>
      </c>
      <c r="P55" s="118">
        <v>18</v>
      </c>
      <c r="Q55" s="104">
        <f t="shared" si="3"/>
        <v>0.70894074074074076</v>
      </c>
      <c r="R55" s="86">
        <v>18</v>
      </c>
      <c r="S55" s="120">
        <f t="shared" si="4"/>
        <v>0.70894074074074076</v>
      </c>
      <c r="T55" s="98">
        <f t="shared" si="5"/>
        <v>0</v>
      </c>
      <c r="U55" s="85">
        <f t="shared" si="10"/>
        <v>2.2827999999999982</v>
      </c>
    </row>
    <row r="56" spans="2:21" x14ac:dyDescent="0.25">
      <c r="B56" s="16" t="s">
        <v>198</v>
      </c>
      <c r="C56" s="1"/>
      <c r="D56" s="34">
        <v>47.8</v>
      </c>
      <c r="E56" s="46">
        <f>+D56/40</f>
        <v>1.1949999999999998</v>
      </c>
      <c r="H56" s="82">
        <v>53</v>
      </c>
      <c r="I56" s="17" t="s">
        <v>153</v>
      </c>
      <c r="J56" s="17" t="s">
        <v>141</v>
      </c>
      <c r="K56" s="110">
        <f>E14+(E32)</f>
        <v>8.3000000000000007</v>
      </c>
      <c r="L56" s="83">
        <v>16</v>
      </c>
      <c r="M56" s="84">
        <f t="shared" si="9"/>
        <v>0.51875000000000004</v>
      </c>
      <c r="N56" s="96">
        <f t="shared" si="1"/>
        <v>24.900000000000002</v>
      </c>
      <c r="O56" s="85">
        <f t="shared" si="2"/>
        <v>-8.9000000000000021</v>
      </c>
      <c r="P56" s="118">
        <v>18</v>
      </c>
      <c r="Q56" s="104">
        <f t="shared" si="3"/>
        <v>0.53888888888888886</v>
      </c>
      <c r="R56" s="86">
        <v>18</v>
      </c>
      <c r="S56" s="120">
        <f t="shared" si="4"/>
        <v>0.53888888888888886</v>
      </c>
      <c r="T56" s="98">
        <f t="shared" si="5"/>
        <v>0</v>
      </c>
      <c r="U56" s="85">
        <f t="shared" si="10"/>
        <v>-6.9000000000000021</v>
      </c>
    </row>
    <row r="57" spans="2:21" x14ac:dyDescent="0.25">
      <c r="B57" s="16" t="s">
        <v>199</v>
      </c>
      <c r="C57" s="1"/>
      <c r="D57" s="36"/>
      <c r="E57" s="1">
        <v>0.5</v>
      </c>
      <c r="H57" s="82">
        <v>54</v>
      </c>
      <c r="I57" s="17" t="s">
        <v>153</v>
      </c>
      <c r="J57" s="17" t="s">
        <v>142</v>
      </c>
      <c r="K57" s="110">
        <f>E14+E33</f>
        <v>4.3903614457831326</v>
      </c>
      <c r="L57" s="83">
        <v>16</v>
      </c>
      <c r="M57" s="84">
        <f t="shared" si="9"/>
        <v>0.27439759036144579</v>
      </c>
      <c r="N57" s="96">
        <f t="shared" si="1"/>
        <v>13.171084337349399</v>
      </c>
      <c r="O57" s="85">
        <f t="shared" si="2"/>
        <v>2.8289156626506013</v>
      </c>
      <c r="P57" s="118">
        <v>18</v>
      </c>
      <c r="Q57" s="104">
        <f t="shared" si="3"/>
        <v>0.75609103078982598</v>
      </c>
      <c r="R57" s="86">
        <v>18</v>
      </c>
      <c r="S57" s="120">
        <f t="shared" si="4"/>
        <v>0.75609103078982598</v>
      </c>
      <c r="T57" s="98">
        <f t="shared" si="5"/>
        <v>0</v>
      </c>
      <c r="U57" s="85">
        <f t="shared" si="10"/>
        <v>4.8289156626506013</v>
      </c>
    </row>
    <row r="58" spans="2:21" x14ac:dyDescent="0.25">
      <c r="B58" s="16" t="s">
        <v>200</v>
      </c>
      <c r="C58" s="1"/>
      <c r="D58" s="36"/>
      <c r="E58" s="1">
        <v>0.5</v>
      </c>
      <c r="H58" s="82">
        <v>55</v>
      </c>
      <c r="I58" s="17" t="s">
        <v>153</v>
      </c>
      <c r="J58" s="17" t="s">
        <v>143</v>
      </c>
      <c r="K58" s="110">
        <f>E14+E34</f>
        <v>2.7397590361445783</v>
      </c>
      <c r="L58" s="83">
        <v>16</v>
      </c>
      <c r="M58" s="84">
        <f t="shared" si="9"/>
        <v>0.17123493975903614</v>
      </c>
      <c r="N58" s="96">
        <f t="shared" si="1"/>
        <v>8.2192771084337348</v>
      </c>
      <c r="O58" s="85">
        <f t="shared" si="2"/>
        <v>7.7807228915662652</v>
      </c>
      <c r="P58" s="118">
        <v>18</v>
      </c>
      <c r="Q58" s="104">
        <f t="shared" si="3"/>
        <v>0.84779116465863458</v>
      </c>
      <c r="R58" s="86">
        <v>18</v>
      </c>
      <c r="S58" s="120">
        <f t="shared" si="4"/>
        <v>0.84779116465863458</v>
      </c>
      <c r="T58" s="98">
        <f t="shared" si="5"/>
        <v>0</v>
      </c>
      <c r="U58" s="85">
        <f t="shared" si="10"/>
        <v>9.7807228915662652</v>
      </c>
    </row>
    <row r="59" spans="2:21" x14ac:dyDescent="0.25">
      <c r="B59" s="16" t="s">
        <v>201</v>
      </c>
      <c r="C59" s="1"/>
      <c r="D59" s="36"/>
      <c r="E59" s="1">
        <v>0.5</v>
      </c>
      <c r="H59" s="82">
        <v>56</v>
      </c>
      <c r="I59" s="17" t="s">
        <v>153</v>
      </c>
      <c r="J59" s="17" t="s">
        <v>144</v>
      </c>
      <c r="K59" s="110">
        <f>E14+E35</f>
        <v>3.8</v>
      </c>
      <c r="L59" s="83">
        <v>16</v>
      </c>
      <c r="M59" s="84">
        <f t="shared" si="9"/>
        <v>0.23749999999999999</v>
      </c>
      <c r="N59" s="96">
        <f t="shared" si="1"/>
        <v>11.399999999999999</v>
      </c>
      <c r="O59" s="85">
        <f t="shared" si="2"/>
        <v>4.6000000000000014</v>
      </c>
      <c r="P59" s="118">
        <v>18</v>
      </c>
      <c r="Q59" s="104">
        <f t="shared" si="3"/>
        <v>0.78888888888888886</v>
      </c>
      <c r="R59" s="86">
        <v>18</v>
      </c>
      <c r="S59" s="120">
        <f t="shared" si="4"/>
        <v>0.78888888888888886</v>
      </c>
      <c r="T59" s="98">
        <f t="shared" si="5"/>
        <v>0</v>
      </c>
      <c r="U59" s="85">
        <f t="shared" si="10"/>
        <v>6.6000000000000014</v>
      </c>
    </row>
    <row r="60" spans="2:21" x14ac:dyDescent="0.25">
      <c r="B60" s="16" t="s">
        <v>202</v>
      </c>
      <c r="C60" s="1"/>
      <c r="D60" s="36"/>
      <c r="E60" s="1">
        <v>0</v>
      </c>
      <c r="H60" s="82">
        <v>57</v>
      </c>
      <c r="I60" s="17" t="s">
        <v>153</v>
      </c>
      <c r="J60" s="17" t="s">
        <v>145</v>
      </c>
      <c r="K60" s="110">
        <f>E14+E35+(E31)</f>
        <v>8.5142857142857142</v>
      </c>
      <c r="L60" s="83">
        <v>16</v>
      </c>
      <c r="M60" s="84">
        <f t="shared" si="9"/>
        <v>0.53214285714285714</v>
      </c>
      <c r="N60" s="96">
        <f t="shared" si="1"/>
        <v>25.542857142857144</v>
      </c>
      <c r="O60" s="85">
        <f t="shared" si="2"/>
        <v>-9.5428571428571445</v>
      </c>
      <c r="P60" s="118">
        <v>18</v>
      </c>
      <c r="Q60" s="104">
        <f t="shared" si="3"/>
        <v>0.526984126984127</v>
      </c>
      <c r="R60" s="86">
        <v>18</v>
      </c>
      <c r="S60" s="120">
        <f t="shared" si="4"/>
        <v>0.526984126984127</v>
      </c>
      <c r="T60" s="98">
        <f t="shared" si="5"/>
        <v>0</v>
      </c>
      <c r="U60" s="85">
        <f t="shared" si="10"/>
        <v>-7.5428571428571445</v>
      </c>
    </row>
    <row r="61" spans="2:21" ht="16.5" thickBot="1" x14ac:dyDescent="0.3">
      <c r="H61" s="82">
        <v>58</v>
      </c>
      <c r="I61" s="17" t="s">
        <v>153</v>
      </c>
      <c r="J61" s="17" t="s">
        <v>146</v>
      </c>
      <c r="K61" s="110">
        <f>E14+E37</f>
        <v>4.1192771084337352</v>
      </c>
      <c r="L61" s="83">
        <v>16</v>
      </c>
      <c r="M61" s="84">
        <f t="shared" si="9"/>
        <v>0.25745481927710845</v>
      </c>
      <c r="N61" s="96">
        <f t="shared" si="1"/>
        <v>12.357831325301206</v>
      </c>
      <c r="O61" s="85">
        <f t="shared" si="2"/>
        <v>3.6421686746987945</v>
      </c>
      <c r="P61" s="118">
        <v>18</v>
      </c>
      <c r="Q61" s="104">
        <f t="shared" si="3"/>
        <v>0.77115127175368137</v>
      </c>
      <c r="R61" s="86">
        <v>18</v>
      </c>
      <c r="S61" s="120">
        <f t="shared" si="4"/>
        <v>0.77115127175368137</v>
      </c>
      <c r="T61" s="98">
        <f t="shared" si="5"/>
        <v>0</v>
      </c>
      <c r="U61" s="85">
        <f t="shared" si="10"/>
        <v>5.6421686746987945</v>
      </c>
    </row>
    <row r="62" spans="2:21" ht="16.5" thickBot="1" x14ac:dyDescent="0.3">
      <c r="B62" s="27" t="s">
        <v>129</v>
      </c>
      <c r="C62" s="28" t="s">
        <v>130</v>
      </c>
      <c r="D62" s="37"/>
      <c r="H62" s="82">
        <v>59</v>
      </c>
      <c r="I62" s="90" t="s">
        <v>153</v>
      </c>
      <c r="J62" s="90" t="s">
        <v>14</v>
      </c>
      <c r="K62" s="111">
        <f>E14+E27</f>
        <v>12.157142857142858</v>
      </c>
      <c r="L62" s="91">
        <v>24</v>
      </c>
      <c r="M62" s="92">
        <f t="shared" si="9"/>
        <v>0.50654761904761914</v>
      </c>
      <c r="N62" s="96">
        <f t="shared" si="1"/>
        <v>36.471428571428575</v>
      </c>
      <c r="O62" s="93">
        <f t="shared" si="2"/>
        <v>-12.471428571428575</v>
      </c>
      <c r="P62" s="118">
        <v>25</v>
      </c>
      <c r="Q62" s="104">
        <f t="shared" si="3"/>
        <v>0.51371428571428568</v>
      </c>
      <c r="R62" s="86">
        <v>25</v>
      </c>
      <c r="S62" s="120">
        <f t="shared" si="4"/>
        <v>0.51371428571428568</v>
      </c>
      <c r="T62" s="99">
        <f t="shared" si="5"/>
        <v>0</v>
      </c>
      <c r="U62" s="93">
        <f t="shared" si="10"/>
        <v>-11.471428571428575</v>
      </c>
    </row>
    <row r="63" spans="2:21" ht="16.5" thickBot="1" x14ac:dyDescent="0.3">
      <c r="B63" s="208">
        <v>18.920000000000002</v>
      </c>
      <c r="C63" s="42" t="s">
        <v>121</v>
      </c>
      <c r="D63" s="43"/>
      <c r="H63" s="82">
        <v>60</v>
      </c>
      <c r="I63" s="163" t="s">
        <v>153</v>
      </c>
      <c r="J63" s="163" t="s">
        <v>89</v>
      </c>
      <c r="K63" s="164">
        <f>E14+E28</f>
        <v>7.7230769230769232</v>
      </c>
      <c r="L63" s="165">
        <v>24</v>
      </c>
      <c r="M63" s="166">
        <f t="shared" si="9"/>
        <v>0.32179487179487182</v>
      </c>
      <c r="N63" s="129">
        <f t="shared" si="1"/>
        <v>23.169230769230769</v>
      </c>
      <c r="O63" s="167">
        <f t="shared" si="2"/>
        <v>0.83076923076923137</v>
      </c>
      <c r="P63" s="131">
        <v>25</v>
      </c>
      <c r="Q63" s="132">
        <f t="shared" si="3"/>
        <v>0.69107692307692303</v>
      </c>
      <c r="R63" s="133">
        <v>25</v>
      </c>
      <c r="S63" s="134">
        <f t="shared" si="4"/>
        <v>0.69107692307692303</v>
      </c>
      <c r="T63" s="99">
        <f t="shared" si="5"/>
        <v>0</v>
      </c>
      <c r="U63" s="93">
        <f t="shared" si="10"/>
        <v>1.8307692307692314</v>
      </c>
    </row>
    <row r="64" spans="2:21" x14ac:dyDescent="0.25">
      <c r="B64" s="208">
        <v>33.64</v>
      </c>
      <c r="C64" s="42" t="s">
        <v>122</v>
      </c>
      <c r="D64" s="43"/>
      <c r="H64" s="170">
        <v>61</v>
      </c>
      <c r="I64" s="194" t="s">
        <v>153</v>
      </c>
      <c r="J64" s="168" t="s">
        <v>154</v>
      </c>
      <c r="K64" s="146">
        <f>E14+(E21/2)</f>
        <v>10.758333333333335</v>
      </c>
      <c r="L64" s="147">
        <v>24</v>
      </c>
      <c r="M64" s="148">
        <f t="shared" si="9"/>
        <v>0.44826388888888896</v>
      </c>
      <c r="N64" s="149">
        <f t="shared" si="1"/>
        <v>32.275000000000006</v>
      </c>
      <c r="O64" s="150">
        <f t="shared" si="2"/>
        <v>-8.2750000000000057</v>
      </c>
      <c r="P64" s="151">
        <v>25</v>
      </c>
      <c r="Q64" s="152">
        <f t="shared" si="3"/>
        <v>0.56966666666666665</v>
      </c>
      <c r="R64" s="171">
        <v>26</v>
      </c>
      <c r="S64" s="172">
        <f t="shared" si="4"/>
        <v>0.58621794871794863</v>
      </c>
      <c r="T64" s="124">
        <f t="shared" si="5"/>
        <v>3.8461538461538436E-2</v>
      </c>
      <c r="U64" s="85">
        <f t="shared" si="10"/>
        <v>-6.2750000000000057</v>
      </c>
    </row>
    <row r="65" spans="1:21" ht="16.5" thickBot="1" x14ac:dyDescent="0.3">
      <c r="B65" s="208">
        <v>12</v>
      </c>
      <c r="C65" s="42" t="s">
        <v>123</v>
      </c>
      <c r="D65" s="43"/>
      <c r="H65" s="170">
        <v>62</v>
      </c>
      <c r="I65" s="195" t="s">
        <v>153</v>
      </c>
      <c r="J65" s="169" t="s">
        <v>10</v>
      </c>
      <c r="K65" s="156">
        <f>E14+E24</f>
        <v>6.1939393939393934</v>
      </c>
      <c r="L65" s="157">
        <v>24</v>
      </c>
      <c r="M65" s="158">
        <f t="shared" si="9"/>
        <v>0.25808080808080808</v>
      </c>
      <c r="N65" s="159">
        <f t="shared" si="1"/>
        <v>18.581818181818178</v>
      </c>
      <c r="O65" s="160">
        <f t="shared" si="2"/>
        <v>5.4181818181818215</v>
      </c>
      <c r="P65" s="161">
        <v>25</v>
      </c>
      <c r="Q65" s="162">
        <f t="shared" si="3"/>
        <v>0.75224242424242416</v>
      </c>
      <c r="R65" s="173">
        <v>26</v>
      </c>
      <c r="S65" s="174">
        <f t="shared" si="4"/>
        <v>0.76177156177156169</v>
      </c>
      <c r="T65" s="124">
        <f t="shared" si="5"/>
        <v>3.8461538461538436E-2</v>
      </c>
      <c r="U65" s="85">
        <f t="shared" si="10"/>
        <v>7.4181818181818215</v>
      </c>
    </row>
    <row r="66" spans="1:21" x14ac:dyDescent="0.25">
      <c r="B66" s="41">
        <v>2</v>
      </c>
      <c r="C66" s="42" t="s">
        <v>124</v>
      </c>
      <c r="D66" s="43"/>
      <c r="H66" s="82">
        <v>63</v>
      </c>
      <c r="I66" s="135" t="s">
        <v>156</v>
      </c>
      <c r="J66" s="135" t="s">
        <v>140</v>
      </c>
      <c r="K66" s="136">
        <f>E11+(E19/2)</f>
        <v>4.4390666666666672</v>
      </c>
      <c r="L66" s="137">
        <v>40</v>
      </c>
      <c r="M66" s="138">
        <f t="shared" si="9"/>
        <v>0.11097666666666668</v>
      </c>
      <c r="N66" s="139">
        <f t="shared" si="1"/>
        <v>13.317200000000001</v>
      </c>
      <c r="O66" s="140">
        <f t="shared" si="2"/>
        <v>26.6828</v>
      </c>
      <c r="P66" s="141">
        <v>40</v>
      </c>
      <c r="Q66" s="142">
        <f t="shared" si="3"/>
        <v>0.88902333333333328</v>
      </c>
      <c r="R66" s="143">
        <v>40</v>
      </c>
      <c r="S66" s="144">
        <f t="shared" si="4"/>
        <v>0.88902333333333328</v>
      </c>
      <c r="T66" s="98">
        <f t="shared" si="5"/>
        <v>0</v>
      </c>
      <c r="U66" s="85">
        <f t="shared" si="10"/>
        <v>26.6828</v>
      </c>
    </row>
    <row r="67" spans="1:21" x14ac:dyDescent="0.25">
      <c r="B67" s="41">
        <v>0.5</v>
      </c>
      <c r="C67" s="42" t="s">
        <v>125</v>
      </c>
      <c r="D67" s="43"/>
      <c r="H67" s="82">
        <v>64</v>
      </c>
      <c r="I67" s="17" t="s">
        <v>156</v>
      </c>
      <c r="J67" s="17" t="s">
        <v>141</v>
      </c>
      <c r="K67" s="110">
        <f>E11+(E32)</f>
        <v>7.5</v>
      </c>
      <c r="L67" s="83">
        <v>40</v>
      </c>
      <c r="M67" s="84">
        <f t="shared" si="9"/>
        <v>0.1875</v>
      </c>
      <c r="N67" s="96">
        <f t="shared" si="1"/>
        <v>22.5</v>
      </c>
      <c r="O67" s="85">
        <f t="shared" si="2"/>
        <v>17.5</v>
      </c>
      <c r="P67" s="118">
        <v>40</v>
      </c>
      <c r="Q67" s="104">
        <f t="shared" si="3"/>
        <v>0.8125</v>
      </c>
      <c r="R67" s="86">
        <v>40</v>
      </c>
      <c r="S67" s="120">
        <f t="shared" si="4"/>
        <v>0.8125</v>
      </c>
      <c r="T67" s="98">
        <f t="shared" si="5"/>
        <v>0</v>
      </c>
      <c r="U67" s="85">
        <f t="shared" si="10"/>
        <v>17.5</v>
      </c>
    </row>
    <row r="68" spans="1:21" x14ac:dyDescent="0.25">
      <c r="B68" s="41">
        <v>0.5</v>
      </c>
      <c r="C68" s="42" t="s">
        <v>126</v>
      </c>
      <c r="D68" s="43"/>
      <c r="H68" s="82">
        <v>65</v>
      </c>
      <c r="I68" s="17" t="s">
        <v>156</v>
      </c>
      <c r="J68" s="17" t="s">
        <v>193</v>
      </c>
      <c r="K68" s="110">
        <f>E11+E38</f>
        <v>5.25</v>
      </c>
      <c r="L68" s="83">
        <v>40</v>
      </c>
      <c r="M68" s="84">
        <f t="shared" si="9"/>
        <v>0.13125000000000001</v>
      </c>
      <c r="N68" s="96">
        <f t="shared" si="1"/>
        <v>15.75</v>
      </c>
      <c r="O68" s="85">
        <f t="shared" si="2"/>
        <v>24.25</v>
      </c>
      <c r="P68" s="118">
        <v>40</v>
      </c>
      <c r="Q68" s="104">
        <f t="shared" si="3"/>
        <v>0.86875000000000002</v>
      </c>
      <c r="R68" s="86">
        <v>40</v>
      </c>
      <c r="S68" s="120">
        <f t="shared" si="4"/>
        <v>0.86875000000000002</v>
      </c>
      <c r="T68" s="98">
        <f t="shared" si="5"/>
        <v>0</v>
      </c>
      <c r="U68" s="85">
        <f t="shared" si="10"/>
        <v>24.25</v>
      </c>
    </row>
    <row r="69" spans="1:21" x14ac:dyDescent="0.25">
      <c r="A69" s="15" t="s">
        <v>148</v>
      </c>
      <c r="B69" s="41">
        <v>0.5</v>
      </c>
      <c r="C69" s="42" t="s">
        <v>127</v>
      </c>
      <c r="D69" s="43"/>
      <c r="H69" s="82">
        <v>66</v>
      </c>
      <c r="I69" s="17" t="s">
        <v>156</v>
      </c>
      <c r="J69" s="17" t="s">
        <v>158</v>
      </c>
      <c r="K69" s="110">
        <f>E11+E22</f>
        <v>7.85</v>
      </c>
      <c r="L69" s="83">
        <v>40</v>
      </c>
      <c r="M69" s="84">
        <f t="shared" si="9"/>
        <v>0.19624999999999998</v>
      </c>
      <c r="N69" s="96">
        <f t="shared" ref="N69:N132" si="12">K69*3</f>
        <v>23.549999999999997</v>
      </c>
      <c r="O69" s="85">
        <f t="shared" ref="O69:O138" si="13">L69-N69</f>
        <v>16.450000000000003</v>
      </c>
      <c r="P69" s="118">
        <v>40</v>
      </c>
      <c r="Q69" s="104">
        <f t="shared" ref="Q69:Q138" si="14">(P69-K69)/P69</f>
        <v>0.80374999999999996</v>
      </c>
      <c r="R69" s="86">
        <v>40</v>
      </c>
      <c r="S69" s="120">
        <f t="shared" ref="S69:S132" si="15">(R69-K69)/R69</f>
        <v>0.80374999999999996</v>
      </c>
      <c r="T69" s="98">
        <f t="shared" ref="T69:T138" si="16">-(P69/R69)+1</f>
        <v>0</v>
      </c>
      <c r="U69" s="85">
        <f t="shared" si="10"/>
        <v>16.450000000000003</v>
      </c>
    </row>
    <row r="70" spans="1:21" x14ac:dyDescent="0.25">
      <c r="B70" s="41">
        <v>0.5</v>
      </c>
      <c r="C70" s="42" t="s">
        <v>128</v>
      </c>
      <c r="D70" s="43"/>
      <c r="H70" s="82">
        <v>67</v>
      </c>
      <c r="I70" s="17" t="s">
        <v>156</v>
      </c>
      <c r="J70" s="17" t="s">
        <v>10</v>
      </c>
      <c r="K70" s="110">
        <f>E11+E24</f>
        <v>5.3939393939393936</v>
      </c>
      <c r="L70" s="83">
        <v>40</v>
      </c>
      <c r="M70" s="84">
        <f t="shared" si="9"/>
        <v>0.13484848484848483</v>
      </c>
      <c r="N70" s="96">
        <f t="shared" si="12"/>
        <v>16.18181818181818</v>
      </c>
      <c r="O70" s="85">
        <f t="shared" si="13"/>
        <v>23.81818181818182</v>
      </c>
      <c r="P70" s="118">
        <v>40</v>
      </c>
      <c r="Q70" s="104">
        <f t="shared" si="14"/>
        <v>0.86515151515151523</v>
      </c>
      <c r="R70" s="86">
        <v>40</v>
      </c>
      <c r="S70" s="120">
        <f t="shared" si="15"/>
        <v>0.86515151515151523</v>
      </c>
      <c r="T70" s="98">
        <f t="shared" si="16"/>
        <v>0</v>
      </c>
      <c r="U70" s="85">
        <f t="shared" si="10"/>
        <v>23.81818181818182</v>
      </c>
    </row>
    <row r="71" spans="1:21" ht="16.5" thickBot="1" x14ac:dyDescent="0.3">
      <c r="B71" s="3">
        <f>SUM(B63:B70)</f>
        <v>68.56</v>
      </c>
      <c r="C71" s="29">
        <f>+B71/50</f>
        <v>1.3712</v>
      </c>
      <c r="D71" s="32"/>
      <c r="H71" s="82">
        <v>68</v>
      </c>
      <c r="I71" s="125" t="s">
        <v>156</v>
      </c>
      <c r="J71" s="125" t="s">
        <v>159</v>
      </c>
      <c r="K71" s="126">
        <f>E11+E19</f>
        <v>7.8781333333333334</v>
      </c>
      <c r="L71" s="127">
        <v>40</v>
      </c>
      <c r="M71" s="128">
        <f t="shared" si="9"/>
        <v>0.19695333333333334</v>
      </c>
      <c r="N71" s="129">
        <f t="shared" si="12"/>
        <v>23.634399999999999</v>
      </c>
      <c r="O71" s="130">
        <f t="shared" si="13"/>
        <v>16.365600000000001</v>
      </c>
      <c r="P71" s="131">
        <v>40</v>
      </c>
      <c r="Q71" s="132">
        <f t="shared" si="14"/>
        <v>0.80304666666666669</v>
      </c>
      <c r="R71" s="133">
        <v>40</v>
      </c>
      <c r="S71" s="134">
        <f t="shared" si="15"/>
        <v>0.80304666666666669</v>
      </c>
      <c r="T71" s="98">
        <f t="shared" si="16"/>
        <v>0</v>
      </c>
      <c r="U71" s="85">
        <f t="shared" si="10"/>
        <v>16.365600000000001</v>
      </c>
    </row>
    <row r="72" spans="1:21" x14ac:dyDescent="0.25">
      <c r="H72" s="170">
        <v>69</v>
      </c>
      <c r="I72" s="192" t="s">
        <v>160</v>
      </c>
      <c r="J72" s="193" t="s">
        <v>161</v>
      </c>
      <c r="K72" s="146">
        <f>E51</f>
        <v>17.659060240963857</v>
      </c>
      <c r="L72" s="147">
        <v>50</v>
      </c>
      <c r="M72" s="148">
        <f t="shared" si="9"/>
        <v>0.35318120481927712</v>
      </c>
      <c r="N72" s="149">
        <f t="shared" si="12"/>
        <v>52.977180722891575</v>
      </c>
      <c r="O72" s="150">
        <f t="shared" si="13"/>
        <v>-2.9771807228915748</v>
      </c>
      <c r="P72" s="151">
        <v>50</v>
      </c>
      <c r="Q72" s="152">
        <f t="shared" si="14"/>
        <v>0.64681879518072294</v>
      </c>
      <c r="R72" s="153">
        <v>50</v>
      </c>
      <c r="S72" s="154">
        <f t="shared" si="15"/>
        <v>0.64681879518072294</v>
      </c>
      <c r="T72" s="124">
        <f t="shared" si="16"/>
        <v>0</v>
      </c>
      <c r="U72" s="85">
        <f t="shared" si="10"/>
        <v>-2.9771807228915748</v>
      </c>
    </row>
    <row r="73" spans="1:21" x14ac:dyDescent="0.25">
      <c r="B73" s="47" t="s">
        <v>236</v>
      </c>
      <c r="C73" s="47"/>
      <c r="D73" s="89" t="s">
        <v>244</v>
      </c>
      <c r="E73" s="49">
        <f>SUM(E74:E77)</f>
        <v>19.784666666666666</v>
      </c>
      <c r="H73" s="170">
        <v>70</v>
      </c>
      <c r="I73" s="190" t="s">
        <v>160</v>
      </c>
      <c r="J73" s="112" t="s">
        <v>162</v>
      </c>
      <c r="K73" s="110">
        <f>+E51*1.5</f>
        <v>26.488590361445787</v>
      </c>
      <c r="L73" s="83">
        <v>60</v>
      </c>
      <c r="M73" s="84">
        <f t="shared" ref="M73:M104" si="17">K73/L73</f>
        <v>0.44147650602409644</v>
      </c>
      <c r="N73" s="96">
        <f t="shared" si="12"/>
        <v>79.465771084337362</v>
      </c>
      <c r="O73" s="85">
        <f t="shared" si="13"/>
        <v>-19.465771084337362</v>
      </c>
      <c r="P73" s="118">
        <v>60</v>
      </c>
      <c r="Q73" s="104">
        <f t="shared" si="14"/>
        <v>0.55852349397590351</v>
      </c>
      <c r="R73" s="113">
        <v>65</v>
      </c>
      <c r="S73" s="176">
        <f t="shared" si="15"/>
        <v>0.59248322520852637</v>
      </c>
      <c r="T73" s="124">
        <f t="shared" si="16"/>
        <v>7.6923076923076872E-2</v>
      </c>
      <c r="U73" s="85">
        <f t="shared" ref="U73:U104" si="18">R73-N73</f>
        <v>-14.465771084337362</v>
      </c>
    </row>
    <row r="74" spans="1:21" ht="16.5" thickBot="1" x14ac:dyDescent="0.3">
      <c r="B74" s="1" t="s">
        <v>207</v>
      </c>
      <c r="C74" s="1" t="s">
        <v>16</v>
      </c>
      <c r="D74" s="34">
        <v>13.2</v>
      </c>
      <c r="E74" s="46">
        <f>+D74/5</f>
        <v>2.6399999999999997</v>
      </c>
      <c r="H74" s="170">
        <v>71</v>
      </c>
      <c r="I74" s="191" t="s">
        <v>160</v>
      </c>
      <c r="J74" s="155" t="s">
        <v>163</v>
      </c>
      <c r="K74" s="156">
        <f>+E51*2</f>
        <v>35.318120481927714</v>
      </c>
      <c r="L74" s="157">
        <v>70</v>
      </c>
      <c r="M74" s="158">
        <f t="shared" si="17"/>
        <v>0.50454457831325306</v>
      </c>
      <c r="N74" s="159">
        <f t="shared" si="12"/>
        <v>105.95436144578315</v>
      </c>
      <c r="O74" s="160">
        <f t="shared" si="13"/>
        <v>-35.95436144578315</v>
      </c>
      <c r="P74" s="161">
        <v>70</v>
      </c>
      <c r="Q74" s="162">
        <f t="shared" si="14"/>
        <v>0.49545542168674694</v>
      </c>
      <c r="R74" s="173">
        <v>75</v>
      </c>
      <c r="S74" s="174">
        <f t="shared" si="15"/>
        <v>0.52909172690763051</v>
      </c>
      <c r="T74" s="124">
        <f t="shared" si="16"/>
        <v>6.6666666666666652E-2</v>
      </c>
      <c r="U74" s="85">
        <f t="shared" si="18"/>
        <v>-30.95436144578315</v>
      </c>
    </row>
    <row r="75" spans="1:21" x14ac:dyDescent="0.25">
      <c r="B75" s="1" t="s">
        <v>208</v>
      </c>
      <c r="C75" s="1" t="s">
        <v>16</v>
      </c>
      <c r="D75" s="34">
        <v>6</v>
      </c>
      <c r="E75" s="46">
        <f>+D75/5</f>
        <v>1.2</v>
      </c>
      <c r="H75" s="188">
        <v>72</v>
      </c>
      <c r="I75" s="168" t="s">
        <v>164</v>
      </c>
      <c r="J75" s="145" t="s">
        <v>204</v>
      </c>
      <c r="K75" s="146">
        <f>E39</f>
        <v>12.6</v>
      </c>
      <c r="L75" s="147">
        <v>20</v>
      </c>
      <c r="M75" s="148">
        <f t="shared" si="17"/>
        <v>0.63</v>
      </c>
      <c r="N75" s="149">
        <f t="shared" si="12"/>
        <v>37.799999999999997</v>
      </c>
      <c r="O75" s="150">
        <f t="shared" si="13"/>
        <v>-17.799999999999997</v>
      </c>
      <c r="P75" s="151">
        <v>20</v>
      </c>
      <c r="Q75" s="152">
        <f t="shared" si="14"/>
        <v>0.37</v>
      </c>
      <c r="R75" s="171">
        <v>25</v>
      </c>
      <c r="S75" s="172">
        <f t="shared" si="15"/>
        <v>0.496</v>
      </c>
      <c r="T75" s="124">
        <f t="shared" si="16"/>
        <v>0.19999999999999996</v>
      </c>
      <c r="U75" s="85">
        <f t="shared" si="18"/>
        <v>-12.799999999999997</v>
      </c>
    </row>
    <row r="76" spans="1:21" x14ac:dyDescent="0.25">
      <c r="B76" s="1" t="s">
        <v>89</v>
      </c>
      <c r="C76" s="1" t="s">
        <v>16</v>
      </c>
      <c r="D76" s="34">
        <v>88</v>
      </c>
      <c r="E76" s="46">
        <f>(+D76)/6</f>
        <v>14.666666666666666</v>
      </c>
      <c r="H76" s="188">
        <v>73</v>
      </c>
      <c r="I76" s="175" t="s">
        <v>164</v>
      </c>
      <c r="J76" s="112" t="s">
        <v>205</v>
      </c>
      <c r="K76" s="110">
        <f>E39*2</f>
        <v>25.2</v>
      </c>
      <c r="L76" s="83">
        <v>30</v>
      </c>
      <c r="M76" s="84">
        <f t="shared" si="17"/>
        <v>0.84</v>
      </c>
      <c r="N76" s="96">
        <f t="shared" si="12"/>
        <v>75.599999999999994</v>
      </c>
      <c r="O76" s="85">
        <f t="shared" si="13"/>
        <v>-45.599999999999994</v>
      </c>
      <c r="P76" s="118">
        <v>35</v>
      </c>
      <c r="Q76" s="104">
        <f t="shared" si="14"/>
        <v>0.28000000000000003</v>
      </c>
      <c r="R76" s="113">
        <v>40</v>
      </c>
      <c r="S76" s="176">
        <f t="shared" si="15"/>
        <v>0.37</v>
      </c>
      <c r="T76" s="124">
        <f t="shared" si="16"/>
        <v>0.125</v>
      </c>
      <c r="U76" s="85">
        <f t="shared" si="18"/>
        <v>-35.599999999999994</v>
      </c>
    </row>
    <row r="77" spans="1:21" ht="16.5" thickBot="1" x14ac:dyDescent="0.3">
      <c r="B77" s="16" t="s">
        <v>209</v>
      </c>
      <c r="C77" s="16" t="s">
        <v>210</v>
      </c>
      <c r="D77" s="34">
        <v>12.78</v>
      </c>
      <c r="E77" s="46">
        <f>+D77/10</f>
        <v>1.278</v>
      </c>
      <c r="H77" s="188">
        <v>74</v>
      </c>
      <c r="I77" s="169" t="s">
        <v>164</v>
      </c>
      <c r="J77" s="155" t="s">
        <v>206</v>
      </c>
      <c r="K77" s="156">
        <f>E39*4</f>
        <v>50.4</v>
      </c>
      <c r="L77" s="157">
        <v>50</v>
      </c>
      <c r="M77" s="158">
        <f t="shared" si="17"/>
        <v>1.008</v>
      </c>
      <c r="N77" s="159">
        <f t="shared" si="12"/>
        <v>151.19999999999999</v>
      </c>
      <c r="O77" s="160">
        <f t="shared" si="13"/>
        <v>-101.19999999999999</v>
      </c>
      <c r="P77" s="161">
        <v>60</v>
      </c>
      <c r="Q77" s="162">
        <f t="shared" si="14"/>
        <v>0.16000000000000003</v>
      </c>
      <c r="R77" s="173">
        <v>75</v>
      </c>
      <c r="S77" s="174">
        <f t="shared" si="15"/>
        <v>0.32800000000000001</v>
      </c>
      <c r="T77" s="124">
        <f t="shared" si="16"/>
        <v>0.19999999999999996</v>
      </c>
      <c r="U77" s="85">
        <f t="shared" si="18"/>
        <v>-76.199999999999989</v>
      </c>
    </row>
    <row r="78" spans="1:21" x14ac:dyDescent="0.25">
      <c r="H78" s="82">
        <v>75</v>
      </c>
      <c r="I78" s="135" t="s">
        <v>139</v>
      </c>
      <c r="J78" s="135" t="s">
        <v>140</v>
      </c>
      <c r="K78" s="136">
        <f>E13+(E19/2)</f>
        <v>4.8390666666666666</v>
      </c>
      <c r="L78" s="137">
        <v>13</v>
      </c>
      <c r="M78" s="138">
        <f t="shared" si="17"/>
        <v>0.37223589743589741</v>
      </c>
      <c r="N78" s="139">
        <f t="shared" si="12"/>
        <v>14.517199999999999</v>
      </c>
      <c r="O78" s="140">
        <f t="shared" si="13"/>
        <v>-1.517199999999999</v>
      </c>
      <c r="P78" s="141">
        <v>15</v>
      </c>
      <c r="Q78" s="142">
        <f t="shared" si="14"/>
        <v>0.67739555555555553</v>
      </c>
      <c r="R78" s="143">
        <v>15</v>
      </c>
      <c r="S78" s="144">
        <f t="shared" si="15"/>
        <v>0.67739555555555553</v>
      </c>
      <c r="T78" s="98">
        <f t="shared" si="16"/>
        <v>0</v>
      </c>
      <c r="U78" s="85">
        <f t="shared" si="18"/>
        <v>0.48280000000000101</v>
      </c>
    </row>
    <row r="79" spans="1:21" x14ac:dyDescent="0.25">
      <c r="B79" s="1" t="s">
        <v>220</v>
      </c>
      <c r="C79" s="1" t="s">
        <v>210</v>
      </c>
      <c r="D79" s="34">
        <v>158</v>
      </c>
      <c r="E79" s="46">
        <f>+D79/7</f>
        <v>22.571428571428573</v>
      </c>
      <c r="H79" s="82">
        <v>76</v>
      </c>
      <c r="I79" s="17" t="s">
        <v>139</v>
      </c>
      <c r="J79" s="17" t="s">
        <v>141</v>
      </c>
      <c r="K79" s="110">
        <f>E13+(E32)</f>
        <v>7.9</v>
      </c>
      <c r="L79" s="83">
        <v>13</v>
      </c>
      <c r="M79" s="84">
        <f t="shared" si="17"/>
        <v>0.60769230769230775</v>
      </c>
      <c r="N79" s="96">
        <f t="shared" si="12"/>
        <v>23.700000000000003</v>
      </c>
      <c r="O79" s="85">
        <f t="shared" si="13"/>
        <v>-10.700000000000003</v>
      </c>
      <c r="P79" s="118">
        <v>17</v>
      </c>
      <c r="Q79" s="104">
        <f t="shared" si="14"/>
        <v>0.53529411764705881</v>
      </c>
      <c r="R79" s="86">
        <v>17</v>
      </c>
      <c r="S79" s="120">
        <f t="shared" si="15"/>
        <v>0.53529411764705881</v>
      </c>
      <c r="T79" s="98">
        <f t="shared" si="16"/>
        <v>0</v>
      </c>
      <c r="U79" s="85">
        <f t="shared" si="18"/>
        <v>-6.7000000000000028</v>
      </c>
    </row>
    <row r="80" spans="1:21" x14ac:dyDescent="0.25">
      <c r="B80" s="16" t="s">
        <v>183</v>
      </c>
      <c r="C80" s="1" t="s">
        <v>222</v>
      </c>
      <c r="D80" s="34">
        <v>6.43</v>
      </c>
      <c r="E80" s="2">
        <f>+D80</f>
        <v>6.43</v>
      </c>
      <c r="H80" s="82">
        <v>77</v>
      </c>
      <c r="I80" s="17" t="s">
        <v>139</v>
      </c>
      <c r="J80" s="17" t="s">
        <v>142</v>
      </c>
      <c r="K80" s="110">
        <f>E13+E33</f>
        <v>3.9903614457831322</v>
      </c>
      <c r="L80" s="83">
        <v>13</v>
      </c>
      <c r="M80" s="84">
        <f t="shared" si="17"/>
        <v>0.3069508804448563</v>
      </c>
      <c r="N80" s="96">
        <f t="shared" si="12"/>
        <v>11.971084337349396</v>
      </c>
      <c r="O80" s="85">
        <f t="shared" si="13"/>
        <v>1.0289156626506042</v>
      </c>
      <c r="P80" s="118">
        <v>15</v>
      </c>
      <c r="Q80" s="104">
        <f t="shared" si="14"/>
        <v>0.73397590361445775</v>
      </c>
      <c r="R80" s="86">
        <v>15</v>
      </c>
      <c r="S80" s="120">
        <f t="shared" si="15"/>
        <v>0.73397590361445775</v>
      </c>
      <c r="T80" s="98">
        <f t="shared" si="16"/>
        <v>0</v>
      </c>
      <c r="U80" s="85">
        <f t="shared" si="18"/>
        <v>3.0289156626506042</v>
      </c>
    </row>
    <row r="81" spans="2:21" x14ac:dyDescent="0.25">
      <c r="B81" s="16" t="s">
        <v>221</v>
      </c>
      <c r="C81" s="1" t="s">
        <v>222</v>
      </c>
      <c r="D81" s="34">
        <v>9.26</v>
      </c>
      <c r="E81" s="2">
        <f>+D81</f>
        <v>9.26</v>
      </c>
      <c r="H81" s="82">
        <v>78</v>
      </c>
      <c r="I81" s="17" t="s">
        <v>139</v>
      </c>
      <c r="J81" s="17" t="s">
        <v>143</v>
      </c>
      <c r="K81" s="110">
        <f>E13+E34</f>
        <v>2.3397590361445779</v>
      </c>
      <c r="L81" s="83">
        <v>13</v>
      </c>
      <c r="M81" s="84">
        <f t="shared" si="17"/>
        <v>0.17998146431881368</v>
      </c>
      <c r="N81" s="96">
        <f t="shared" si="12"/>
        <v>7.0192771084337338</v>
      </c>
      <c r="O81" s="85">
        <f t="shared" si="13"/>
        <v>5.9807228915662662</v>
      </c>
      <c r="P81" s="118">
        <v>15</v>
      </c>
      <c r="Q81" s="104">
        <f t="shared" si="14"/>
        <v>0.84401606425702813</v>
      </c>
      <c r="R81" s="86">
        <v>15</v>
      </c>
      <c r="S81" s="120">
        <f t="shared" si="15"/>
        <v>0.84401606425702813</v>
      </c>
      <c r="T81" s="98">
        <f t="shared" si="16"/>
        <v>0</v>
      </c>
      <c r="U81" s="85">
        <f t="shared" si="18"/>
        <v>7.9807228915662662</v>
      </c>
    </row>
    <row r="82" spans="2:21" x14ac:dyDescent="0.25">
      <c r="B82" s="16" t="s">
        <v>181</v>
      </c>
      <c r="C82" s="1" t="s">
        <v>222</v>
      </c>
      <c r="D82" s="34">
        <v>5.45</v>
      </c>
      <c r="E82" s="2">
        <f>+D82</f>
        <v>5.45</v>
      </c>
      <c r="H82" s="82">
        <v>79</v>
      </c>
      <c r="I82" s="17" t="s">
        <v>139</v>
      </c>
      <c r="J82" s="17" t="s">
        <v>144</v>
      </c>
      <c r="K82" s="110">
        <f>E13+E35</f>
        <v>3.4</v>
      </c>
      <c r="L82" s="83">
        <v>13</v>
      </c>
      <c r="M82" s="84">
        <f t="shared" si="17"/>
        <v>0.26153846153846155</v>
      </c>
      <c r="N82" s="96">
        <f t="shared" si="12"/>
        <v>10.199999999999999</v>
      </c>
      <c r="O82" s="85">
        <f t="shared" si="13"/>
        <v>2.8000000000000007</v>
      </c>
      <c r="P82" s="118">
        <v>15</v>
      </c>
      <c r="Q82" s="104">
        <f t="shared" si="14"/>
        <v>0.77333333333333332</v>
      </c>
      <c r="R82" s="86">
        <v>15</v>
      </c>
      <c r="S82" s="120">
        <f t="shared" si="15"/>
        <v>0.77333333333333332</v>
      </c>
      <c r="T82" s="98">
        <f t="shared" si="16"/>
        <v>0</v>
      </c>
      <c r="U82" s="85">
        <f t="shared" si="18"/>
        <v>4.8000000000000007</v>
      </c>
    </row>
    <row r="83" spans="2:21" x14ac:dyDescent="0.25">
      <c r="B83" s="16" t="s">
        <v>223</v>
      </c>
      <c r="C83" s="1" t="s">
        <v>224</v>
      </c>
      <c r="D83" s="34">
        <v>56.26</v>
      </c>
      <c r="E83" s="45">
        <f>+D83/17</f>
        <v>3.3094117647058821</v>
      </c>
      <c r="H83" s="82">
        <v>80</v>
      </c>
      <c r="I83" s="17" t="s">
        <v>139</v>
      </c>
      <c r="J83" s="17" t="s">
        <v>145</v>
      </c>
      <c r="K83" s="110">
        <f>E13+E35+(E31)</f>
        <v>8.1142857142857139</v>
      </c>
      <c r="L83" s="83">
        <v>13</v>
      </c>
      <c r="M83" s="84">
        <f t="shared" si="17"/>
        <v>0.62417582417582418</v>
      </c>
      <c r="N83" s="96">
        <f t="shared" si="12"/>
        <v>24.342857142857142</v>
      </c>
      <c r="O83" s="85">
        <f t="shared" si="13"/>
        <v>-11.342857142857142</v>
      </c>
      <c r="P83" s="118">
        <v>15</v>
      </c>
      <c r="Q83" s="104">
        <f t="shared" si="14"/>
        <v>0.45904761904761909</v>
      </c>
      <c r="R83" s="86">
        <v>15</v>
      </c>
      <c r="S83" s="120">
        <f t="shared" si="15"/>
        <v>0.45904761904761909</v>
      </c>
      <c r="T83" s="98">
        <f t="shared" si="16"/>
        <v>0</v>
      </c>
      <c r="U83" s="85">
        <f t="shared" si="18"/>
        <v>-9.3428571428571416</v>
      </c>
    </row>
    <row r="84" spans="2:21" ht="16.5" thickBot="1" x14ac:dyDescent="0.3">
      <c r="B84" s="16" t="s">
        <v>229</v>
      </c>
      <c r="C84" s="1"/>
      <c r="D84" s="34">
        <v>2</v>
      </c>
      <c r="E84" s="1">
        <f>+D84</f>
        <v>2</v>
      </c>
      <c r="H84" s="82">
        <v>81</v>
      </c>
      <c r="I84" s="125" t="s">
        <v>139</v>
      </c>
      <c r="J84" s="125" t="s">
        <v>146</v>
      </c>
      <c r="K84" s="126">
        <f>E13+E37</f>
        <v>3.7192771084337348</v>
      </c>
      <c r="L84" s="127">
        <v>13</v>
      </c>
      <c r="M84" s="128">
        <f t="shared" si="17"/>
        <v>0.28609823911028731</v>
      </c>
      <c r="N84" s="129">
        <f t="shared" si="12"/>
        <v>11.157831325301204</v>
      </c>
      <c r="O84" s="130">
        <f t="shared" si="13"/>
        <v>1.8421686746987955</v>
      </c>
      <c r="P84" s="131">
        <v>15</v>
      </c>
      <c r="Q84" s="132">
        <f t="shared" si="14"/>
        <v>0.75204819277108437</v>
      </c>
      <c r="R84" s="133">
        <v>15</v>
      </c>
      <c r="S84" s="134">
        <f t="shared" si="15"/>
        <v>0.75204819277108437</v>
      </c>
      <c r="T84" s="98">
        <f t="shared" si="16"/>
        <v>0</v>
      </c>
      <c r="U84" s="85">
        <f t="shared" si="18"/>
        <v>3.8421686746987955</v>
      </c>
    </row>
    <row r="85" spans="2:21" x14ac:dyDescent="0.25">
      <c r="H85" s="170">
        <v>82</v>
      </c>
      <c r="I85" s="168" t="s">
        <v>139</v>
      </c>
      <c r="J85" s="145" t="s">
        <v>154</v>
      </c>
      <c r="K85" s="146">
        <f>E13+(E21/2)</f>
        <v>10.358333333333334</v>
      </c>
      <c r="L85" s="147">
        <v>24</v>
      </c>
      <c r="M85" s="148">
        <f t="shared" si="17"/>
        <v>0.43159722222222224</v>
      </c>
      <c r="N85" s="149">
        <f t="shared" si="12"/>
        <v>31.075000000000003</v>
      </c>
      <c r="O85" s="150">
        <f t="shared" si="13"/>
        <v>-7.0750000000000028</v>
      </c>
      <c r="P85" s="151">
        <v>24</v>
      </c>
      <c r="Q85" s="152">
        <f t="shared" si="14"/>
        <v>0.5684027777777777</v>
      </c>
      <c r="R85" s="171">
        <v>26</v>
      </c>
      <c r="S85" s="172">
        <f t="shared" si="15"/>
        <v>0.60160256410256407</v>
      </c>
      <c r="T85" s="124">
        <f t="shared" si="16"/>
        <v>7.6923076923076872E-2</v>
      </c>
      <c r="U85" s="85">
        <f t="shared" si="18"/>
        <v>-5.0750000000000028</v>
      </c>
    </row>
    <row r="86" spans="2:21" ht="16.5" thickBot="1" x14ac:dyDescent="0.3">
      <c r="H86" s="170">
        <v>83</v>
      </c>
      <c r="I86" s="169" t="s">
        <v>139</v>
      </c>
      <c r="J86" s="155" t="s">
        <v>10</v>
      </c>
      <c r="K86" s="156">
        <f>E13+E24</f>
        <v>5.7939393939393931</v>
      </c>
      <c r="L86" s="157">
        <v>24</v>
      </c>
      <c r="M86" s="158">
        <f t="shared" si="17"/>
        <v>0.24141414141414139</v>
      </c>
      <c r="N86" s="159">
        <f t="shared" si="12"/>
        <v>17.381818181818179</v>
      </c>
      <c r="O86" s="160">
        <f t="shared" si="13"/>
        <v>6.6181818181818208</v>
      </c>
      <c r="P86" s="161">
        <v>24</v>
      </c>
      <c r="Q86" s="162">
        <f t="shared" si="14"/>
        <v>0.75858585858585859</v>
      </c>
      <c r="R86" s="173">
        <v>26</v>
      </c>
      <c r="S86" s="174">
        <f t="shared" si="15"/>
        <v>0.77715617715617724</v>
      </c>
      <c r="T86" s="124">
        <f t="shared" si="16"/>
        <v>7.6923076923076872E-2</v>
      </c>
      <c r="U86" s="85">
        <f t="shared" si="18"/>
        <v>8.6181818181818208</v>
      </c>
    </row>
    <row r="87" spans="2:21" x14ac:dyDescent="0.25">
      <c r="H87" s="82">
        <v>84</v>
      </c>
      <c r="I87" s="135" t="s">
        <v>151</v>
      </c>
      <c r="J87" s="135" t="s">
        <v>140</v>
      </c>
      <c r="K87" s="136">
        <f>E12+(E19/2)</f>
        <v>4.3890666666666664</v>
      </c>
      <c r="L87" s="137">
        <v>13</v>
      </c>
      <c r="M87" s="138">
        <f t="shared" si="17"/>
        <v>0.33762051282051281</v>
      </c>
      <c r="N87" s="139">
        <f t="shared" si="12"/>
        <v>13.167199999999999</v>
      </c>
      <c r="O87" s="140">
        <f t="shared" si="13"/>
        <v>-0.16719999999999935</v>
      </c>
      <c r="P87" s="141">
        <v>15</v>
      </c>
      <c r="Q87" s="142">
        <f t="shared" si="14"/>
        <v>0.70739555555555556</v>
      </c>
      <c r="R87" s="143">
        <v>15</v>
      </c>
      <c r="S87" s="144">
        <f t="shared" si="15"/>
        <v>0.70739555555555556</v>
      </c>
      <c r="T87" s="98">
        <f t="shared" si="16"/>
        <v>0</v>
      </c>
      <c r="U87" s="85">
        <f t="shared" si="18"/>
        <v>1.8328000000000007</v>
      </c>
    </row>
    <row r="88" spans="2:21" x14ac:dyDescent="0.25">
      <c r="B88" t="s">
        <v>100</v>
      </c>
      <c r="H88" s="82">
        <v>85</v>
      </c>
      <c r="I88" s="17" t="s">
        <v>151</v>
      </c>
      <c r="J88" s="17" t="s">
        <v>141</v>
      </c>
      <c r="K88" s="110">
        <f>E12+(E32)</f>
        <v>7.45</v>
      </c>
      <c r="L88" s="83">
        <v>13</v>
      </c>
      <c r="M88" s="84">
        <f t="shared" si="17"/>
        <v>0.57307692307692304</v>
      </c>
      <c r="N88" s="96">
        <f t="shared" si="12"/>
        <v>22.35</v>
      </c>
      <c r="O88" s="85">
        <f t="shared" si="13"/>
        <v>-9.3500000000000014</v>
      </c>
      <c r="P88" s="118">
        <v>15</v>
      </c>
      <c r="Q88" s="104">
        <f t="shared" si="14"/>
        <v>0.5033333333333333</v>
      </c>
      <c r="R88" s="86">
        <v>15</v>
      </c>
      <c r="S88" s="120">
        <f t="shared" si="15"/>
        <v>0.5033333333333333</v>
      </c>
      <c r="T88" s="98">
        <f t="shared" si="16"/>
        <v>0</v>
      </c>
      <c r="U88" s="85">
        <f t="shared" si="18"/>
        <v>-7.3500000000000014</v>
      </c>
    </row>
    <row r="89" spans="2:21" x14ac:dyDescent="0.25">
      <c r="B89" t="s">
        <v>101</v>
      </c>
      <c r="H89" s="82">
        <v>86</v>
      </c>
      <c r="I89" s="17" t="s">
        <v>151</v>
      </c>
      <c r="J89" s="17" t="s">
        <v>142</v>
      </c>
      <c r="K89" s="110">
        <f>E12+E33</f>
        <v>3.5403614457831321</v>
      </c>
      <c r="L89" s="83">
        <v>13</v>
      </c>
      <c r="M89" s="84">
        <f t="shared" si="17"/>
        <v>0.2723354958294717</v>
      </c>
      <c r="N89" s="96">
        <f t="shared" si="12"/>
        <v>10.621084337349396</v>
      </c>
      <c r="O89" s="85">
        <f t="shared" si="13"/>
        <v>2.3789156626506038</v>
      </c>
      <c r="P89" s="118">
        <v>15</v>
      </c>
      <c r="Q89" s="104">
        <f t="shared" si="14"/>
        <v>0.76397590361445789</v>
      </c>
      <c r="R89" s="86">
        <v>15</v>
      </c>
      <c r="S89" s="120">
        <f t="shared" si="15"/>
        <v>0.76397590361445789</v>
      </c>
      <c r="T89" s="98">
        <f t="shared" si="16"/>
        <v>0</v>
      </c>
      <c r="U89" s="85">
        <f t="shared" si="18"/>
        <v>4.3789156626506038</v>
      </c>
    </row>
    <row r="90" spans="2:21" x14ac:dyDescent="0.25">
      <c r="B90" t="s">
        <v>110</v>
      </c>
      <c r="H90" s="82">
        <v>87</v>
      </c>
      <c r="I90" s="17" t="s">
        <v>151</v>
      </c>
      <c r="J90" s="17" t="s">
        <v>143</v>
      </c>
      <c r="K90" s="110">
        <f>E12+E34</f>
        <v>1.8897590361445782</v>
      </c>
      <c r="L90" s="83">
        <v>13</v>
      </c>
      <c r="M90" s="84">
        <f t="shared" si="17"/>
        <v>0.1453660797034291</v>
      </c>
      <c r="N90" s="96">
        <f t="shared" si="12"/>
        <v>5.6692771084337341</v>
      </c>
      <c r="O90" s="85">
        <f t="shared" si="13"/>
        <v>7.3307228915662659</v>
      </c>
      <c r="P90" s="118">
        <v>15</v>
      </c>
      <c r="Q90" s="104">
        <f t="shared" si="14"/>
        <v>0.87401606425702805</v>
      </c>
      <c r="R90" s="86">
        <v>15</v>
      </c>
      <c r="S90" s="120">
        <f t="shared" si="15"/>
        <v>0.87401606425702805</v>
      </c>
      <c r="T90" s="98">
        <f t="shared" si="16"/>
        <v>0</v>
      </c>
      <c r="U90" s="85">
        <f t="shared" si="18"/>
        <v>9.3307228915662659</v>
      </c>
    </row>
    <row r="91" spans="2:21" x14ac:dyDescent="0.25">
      <c r="H91" s="82">
        <v>88</v>
      </c>
      <c r="I91" s="17" t="s">
        <v>151</v>
      </c>
      <c r="J91" s="17" t="s">
        <v>144</v>
      </c>
      <c r="K91" s="110">
        <f>E12+E35</f>
        <v>2.95</v>
      </c>
      <c r="L91" s="83">
        <v>13</v>
      </c>
      <c r="M91" s="84">
        <f t="shared" si="17"/>
        <v>0.22692307692307695</v>
      </c>
      <c r="N91" s="96">
        <f t="shared" si="12"/>
        <v>8.8500000000000014</v>
      </c>
      <c r="O91" s="85">
        <f t="shared" si="13"/>
        <v>4.1499999999999986</v>
      </c>
      <c r="P91" s="118">
        <v>15</v>
      </c>
      <c r="Q91" s="104">
        <f t="shared" si="14"/>
        <v>0.80333333333333334</v>
      </c>
      <c r="R91" s="86">
        <v>15</v>
      </c>
      <c r="S91" s="120">
        <f t="shared" si="15"/>
        <v>0.80333333333333334</v>
      </c>
      <c r="T91" s="98">
        <f t="shared" si="16"/>
        <v>0</v>
      </c>
      <c r="U91" s="85">
        <f t="shared" si="18"/>
        <v>6.1499999999999986</v>
      </c>
    </row>
    <row r="92" spans="2:21" x14ac:dyDescent="0.25">
      <c r="B92" t="s">
        <v>111</v>
      </c>
      <c r="H92" s="82">
        <v>89</v>
      </c>
      <c r="I92" s="17" t="s">
        <v>151</v>
      </c>
      <c r="J92" s="17" t="s">
        <v>145</v>
      </c>
      <c r="K92" s="110">
        <f>E12+E35+(E31)</f>
        <v>7.6642857142857146</v>
      </c>
      <c r="L92" s="83">
        <v>13</v>
      </c>
      <c r="M92" s="84">
        <f t="shared" si="17"/>
        <v>0.58956043956043958</v>
      </c>
      <c r="N92" s="96">
        <f t="shared" si="12"/>
        <v>22.992857142857144</v>
      </c>
      <c r="O92" s="85">
        <f t="shared" si="13"/>
        <v>-9.9928571428571438</v>
      </c>
      <c r="P92" s="118">
        <v>15</v>
      </c>
      <c r="Q92" s="104">
        <f t="shared" si="14"/>
        <v>0.48904761904761901</v>
      </c>
      <c r="R92" s="86">
        <v>15</v>
      </c>
      <c r="S92" s="120">
        <f t="shared" si="15"/>
        <v>0.48904761904761901</v>
      </c>
      <c r="T92" s="98">
        <f t="shared" si="16"/>
        <v>0</v>
      </c>
      <c r="U92" s="85">
        <f t="shared" si="18"/>
        <v>-7.9928571428571438</v>
      </c>
    </row>
    <row r="93" spans="2:21" ht="16.5" thickBot="1" x14ac:dyDescent="0.3">
      <c r="B93" s="30" t="s">
        <v>147</v>
      </c>
      <c r="H93" s="82">
        <v>90</v>
      </c>
      <c r="I93" s="125" t="s">
        <v>151</v>
      </c>
      <c r="J93" s="125" t="s">
        <v>146</v>
      </c>
      <c r="K93" s="126">
        <f>E12+E37</f>
        <v>3.2692771084337346</v>
      </c>
      <c r="L93" s="127">
        <v>13</v>
      </c>
      <c r="M93" s="128">
        <f t="shared" si="17"/>
        <v>0.25148285449490265</v>
      </c>
      <c r="N93" s="129">
        <f t="shared" si="12"/>
        <v>9.8078313253012048</v>
      </c>
      <c r="O93" s="130">
        <f t="shared" si="13"/>
        <v>3.1921686746987952</v>
      </c>
      <c r="P93" s="131">
        <v>15</v>
      </c>
      <c r="Q93" s="132">
        <f t="shared" si="14"/>
        <v>0.78204819277108439</v>
      </c>
      <c r="R93" s="133">
        <v>15</v>
      </c>
      <c r="S93" s="134">
        <f t="shared" si="15"/>
        <v>0.78204819277108439</v>
      </c>
      <c r="T93" s="98">
        <f t="shared" si="16"/>
        <v>0</v>
      </c>
      <c r="U93" s="85">
        <f t="shared" si="18"/>
        <v>5.1921686746987952</v>
      </c>
    </row>
    <row r="94" spans="2:21" x14ac:dyDescent="0.25">
      <c r="B94" t="s">
        <v>155</v>
      </c>
      <c r="H94" s="170">
        <v>91</v>
      </c>
      <c r="I94" s="168" t="s">
        <v>151</v>
      </c>
      <c r="J94" s="145" t="s">
        <v>154</v>
      </c>
      <c r="K94" s="146">
        <f>E12+(E21/2)</f>
        <v>9.9083333333333332</v>
      </c>
      <c r="L94" s="147">
        <v>24</v>
      </c>
      <c r="M94" s="148">
        <f t="shared" ref="M94:M95" si="19">K94/L94</f>
        <v>0.4128472222222222</v>
      </c>
      <c r="N94" s="149">
        <f t="shared" si="12"/>
        <v>29.725000000000001</v>
      </c>
      <c r="O94" s="150">
        <f t="shared" ref="O94:O95" si="20">L94-N94</f>
        <v>-5.7250000000000014</v>
      </c>
      <c r="P94" s="151">
        <v>24</v>
      </c>
      <c r="Q94" s="152">
        <f t="shared" ref="Q94:Q95" si="21">(P94-K94)/P94</f>
        <v>0.58715277777777775</v>
      </c>
      <c r="R94" s="171">
        <v>26</v>
      </c>
      <c r="S94" s="172">
        <f t="shared" si="15"/>
        <v>0.61891025641025643</v>
      </c>
      <c r="T94" s="124">
        <f t="shared" ref="T94:T95" si="22">-(P94/R94)+1</f>
        <v>7.6923076923076872E-2</v>
      </c>
      <c r="U94" s="85">
        <f t="shared" ref="U94:U95" si="23">R94-N94</f>
        <v>-3.7250000000000014</v>
      </c>
    </row>
    <row r="95" spans="2:21" ht="16.5" thickBot="1" x14ac:dyDescent="0.3">
      <c r="B95" t="s">
        <v>165</v>
      </c>
      <c r="H95" s="170">
        <v>92</v>
      </c>
      <c r="I95" s="169" t="s">
        <v>151</v>
      </c>
      <c r="J95" s="155" t="s">
        <v>10</v>
      </c>
      <c r="K95" s="156">
        <f>E12+E24</f>
        <v>5.3439393939393938</v>
      </c>
      <c r="L95" s="157">
        <v>24</v>
      </c>
      <c r="M95" s="158">
        <f t="shared" si="19"/>
        <v>0.2226641414141414</v>
      </c>
      <c r="N95" s="159">
        <f t="shared" si="12"/>
        <v>16.031818181818181</v>
      </c>
      <c r="O95" s="160">
        <f t="shared" si="20"/>
        <v>7.9681818181818187</v>
      </c>
      <c r="P95" s="161">
        <v>24</v>
      </c>
      <c r="Q95" s="162">
        <f t="shared" si="21"/>
        <v>0.77733585858585863</v>
      </c>
      <c r="R95" s="173">
        <v>26</v>
      </c>
      <c r="S95" s="174">
        <f t="shared" si="15"/>
        <v>0.79446386946386949</v>
      </c>
      <c r="T95" s="124">
        <f t="shared" si="22"/>
        <v>7.6923076923076872E-2</v>
      </c>
      <c r="U95" s="85">
        <f t="shared" si="23"/>
        <v>9.9681818181818187</v>
      </c>
    </row>
    <row r="96" spans="2:21" x14ac:dyDescent="0.25">
      <c r="B96" t="s">
        <v>234</v>
      </c>
      <c r="H96" s="82">
        <v>93</v>
      </c>
      <c r="I96" s="135" t="s">
        <v>152</v>
      </c>
      <c r="J96" s="135" t="s">
        <v>140</v>
      </c>
      <c r="K96" s="136">
        <f>E7+(E19)</f>
        <v>8.6781333333333333</v>
      </c>
      <c r="L96" s="137">
        <v>13</v>
      </c>
      <c r="M96" s="138">
        <f t="shared" si="17"/>
        <v>0.66754871794871795</v>
      </c>
      <c r="N96" s="139">
        <f t="shared" si="12"/>
        <v>26.034399999999998</v>
      </c>
      <c r="O96" s="140">
        <f t="shared" si="13"/>
        <v>-13.034399999999998</v>
      </c>
      <c r="P96" s="141">
        <v>15</v>
      </c>
      <c r="Q96" s="142">
        <f t="shared" si="14"/>
        <v>0.42145777777777776</v>
      </c>
      <c r="R96" s="143">
        <v>15</v>
      </c>
      <c r="S96" s="144">
        <f t="shared" si="15"/>
        <v>0.42145777777777776</v>
      </c>
      <c r="T96" s="98">
        <f t="shared" si="16"/>
        <v>0</v>
      </c>
      <c r="U96" s="85">
        <f t="shared" si="18"/>
        <v>-11.034399999999998</v>
      </c>
    </row>
    <row r="97" spans="4:21" x14ac:dyDescent="0.25">
      <c r="H97" s="82">
        <v>94</v>
      </c>
      <c r="I97" s="17" t="s">
        <v>152</v>
      </c>
      <c r="J97" s="17" t="s">
        <v>141</v>
      </c>
      <c r="K97" s="110">
        <f>E7+(E32)</f>
        <v>8.3000000000000007</v>
      </c>
      <c r="L97" s="83">
        <v>13</v>
      </c>
      <c r="M97" s="84">
        <f t="shared" si="17"/>
        <v>0.63846153846153852</v>
      </c>
      <c r="N97" s="96">
        <f t="shared" si="12"/>
        <v>24.900000000000002</v>
      </c>
      <c r="O97" s="85">
        <f t="shared" si="13"/>
        <v>-11.900000000000002</v>
      </c>
      <c r="P97" s="118">
        <v>15</v>
      </c>
      <c r="Q97" s="104">
        <f t="shared" si="14"/>
        <v>0.4466666666666666</v>
      </c>
      <c r="R97" s="86">
        <v>15</v>
      </c>
      <c r="S97" s="120">
        <f t="shared" si="15"/>
        <v>0.4466666666666666</v>
      </c>
      <c r="T97" s="98">
        <f t="shared" si="16"/>
        <v>0</v>
      </c>
      <c r="U97" s="85">
        <f t="shared" si="18"/>
        <v>-9.9000000000000021</v>
      </c>
    </row>
    <row r="98" spans="4:21" x14ac:dyDescent="0.25">
      <c r="D98"/>
      <c r="H98" s="82">
        <v>95</v>
      </c>
      <c r="I98" s="17" t="s">
        <v>152</v>
      </c>
      <c r="J98" s="17" t="s">
        <v>142</v>
      </c>
      <c r="K98" s="110">
        <f>E7+E33</f>
        <v>4.3903614457831326</v>
      </c>
      <c r="L98" s="83">
        <v>13</v>
      </c>
      <c r="M98" s="84">
        <f t="shared" si="17"/>
        <v>0.33772011121408713</v>
      </c>
      <c r="N98" s="96">
        <f t="shared" si="12"/>
        <v>13.171084337349399</v>
      </c>
      <c r="O98" s="85">
        <f t="shared" si="13"/>
        <v>-0.17108433734939865</v>
      </c>
      <c r="P98" s="118">
        <v>15</v>
      </c>
      <c r="Q98" s="104">
        <f t="shared" si="14"/>
        <v>0.70730923694779124</v>
      </c>
      <c r="R98" s="86">
        <v>15</v>
      </c>
      <c r="S98" s="120">
        <f t="shared" si="15"/>
        <v>0.70730923694779124</v>
      </c>
      <c r="T98" s="98">
        <f t="shared" si="16"/>
        <v>0</v>
      </c>
      <c r="U98" s="85">
        <f t="shared" si="18"/>
        <v>1.8289156626506013</v>
      </c>
    </row>
    <row r="99" spans="4:21" x14ac:dyDescent="0.25">
      <c r="D99"/>
      <c r="H99" s="82">
        <v>96</v>
      </c>
      <c r="I99" s="17" t="s">
        <v>152</v>
      </c>
      <c r="J99" s="17" t="s">
        <v>143</v>
      </c>
      <c r="K99" s="110">
        <f>E7+E34</f>
        <v>2.7397590361445783</v>
      </c>
      <c r="L99" s="83">
        <v>13</v>
      </c>
      <c r="M99" s="84">
        <f t="shared" si="17"/>
        <v>0.21075069508804448</v>
      </c>
      <c r="N99" s="96">
        <f t="shared" si="12"/>
        <v>8.2192771084337348</v>
      </c>
      <c r="O99" s="85">
        <f t="shared" si="13"/>
        <v>4.7807228915662652</v>
      </c>
      <c r="P99" s="118">
        <v>15</v>
      </c>
      <c r="Q99" s="104">
        <f t="shared" si="14"/>
        <v>0.8173493975903614</v>
      </c>
      <c r="R99" s="86">
        <v>15</v>
      </c>
      <c r="S99" s="120">
        <f t="shared" si="15"/>
        <v>0.8173493975903614</v>
      </c>
      <c r="T99" s="98">
        <f t="shared" si="16"/>
        <v>0</v>
      </c>
      <c r="U99" s="85">
        <f t="shared" si="18"/>
        <v>6.7807228915662652</v>
      </c>
    </row>
    <row r="100" spans="4:21" x14ac:dyDescent="0.25">
      <c r="D100"/>
      <c r="H100" s="82">
        <v>97</v>
      </c>
      <c r="I100" s="17" t="s">
        <v>152</v>
      </c>
      <c r="J100" s="17" t="s">
        <v>144</v>
      </c>
      <c r="K100" s="110">
        <f>E7+E35</f>
        <v>3.8</v>
      </c>
      <c r="L100" s="83">
        <v>13</v>
      </c>
      <c r="M100" s="84">
        <f t="shared" si="17"/>
        <v>0.29230769230769227</v>
      </c>
      <c r="N100" s="96">
        <f t="shared" si="12"/>
        <v>11.399999999999999</v>
      </c>
      <c r="O100" s="85">
        <f t="shared" si="13"/>
        <v>1.6000000000000014</v>
      </c>
      <c r="P100" s="118">
        <v>15</v>
      </c>
      <c r="Q100" s="104">
        <f t="shared" si="14"/>
        <v>0.74666666666666659</v>
      </c>
      <c r="R100" s="86">
        <v>15</v>
      </c>
      <c r="S100" s="120">
        <f t="shared" si="15"/>
        <v>0.74666666666666659</v>
      </c>
      <c r="T100" s="98">
        <f t="shared" si="16"/>
        <v>0</v>
      </c>
      <c r="U100" s="85">
        <f t="shared" si="18"/>
        <v>3.6000000000000014</v>
      </c>
    </row>
    <row r="101" spans="4:21" x14ac:dyDescent="0.25">
      <c r="D101"/>
      <c r="H101" s="82">
        <v>98</v>
      </c>
      <c r="I101" s="17" t="s">
        <v>152</v>
      </c>
      <c r="J101" s="17" t="s">
        <v>145</v>
      </c>
      <c r="K101" s="110">
        <f>E7+E35+(E31)</f>
        <v>8.5142857142857142</v>
      </c>
      <c r="L101" s="83">
        <v>13</v>
      </c>
      <c r="M101" s="84">
        <f t="shared" si="17"/>
        <v>0.65494505494505495</v>
      </c>
      <c r="N101" s="96">
        <f t="shared" si="12"/>
        <v>25.542857142857144</v>
      </c>
      <c r="O101" s="85">
        <f t="shared" si="13"/>
        <v>-12.542857142857144</v>
      </c>
      <c r="P101" s="118">
        <v>15</v>
      </c>
      <c r="Q101" s="104">
        <f t="shared" si="14"/>
        <v>0.43238095238095237</v>
      </c>
      <c r="R101" s="86">
        <v>15</v>
      </c>
      <c r="S101" s="120">
        <f t="shared" si="15"/>
        <v>0.43238095238095237</v>
      </c>
      <c r="T101" s="98">
        <f t="shared" si="16"/>
        <v>0</v>
      </c>
      <c r="U101" s="85">
        <f t="shared" si="18"/>
        <v>-10.542857142857144</v>
      </c>
    </row>
    <row r="102" spans="4:21" ht="16.5" thickBot="1" x14ac:dyDescent="0.3">
      <c r="D102"/>
      <c r="H102" s="82">
        <v>99</v>
      </c>
      <c r="I102" s="125" t="s">
        <v>152</v>
      </c>
      <c r="J102" s="125" t="s">
        <v>146</v>
      </c>
      <c r="K102" s="126">
        <f>E7+E37</f>
        <v>4.1192771084337352</v>
      </c>
      <c r="L102" s="127">
        <v>13</v>
      </c>
      <c r="M102" s="128">
        <f t="shared" si="17"/>
        <v>0.31686746987951808</v>
      </c>
      <c r="N102" s="129">
        <f t="shared" si="12"/>
        <v>12.357831325301206</v>
      </c>
      <c r="O102" s="130">
        <f t="shared" si="13"/>
        <v>0.64216867469879446</v>
      </c>
      <c r="P102" s="131">
        <v>15</v>
      </c>
      <c r="Q102" s="132">
        <f t="shared" si="14"/>
        <v>0.72538152610441764</v>
      </c>
      <c r="R102" s="133">
        <v>15</v>
      </c>
      <c r="S102" s="134">
        <f t="shared" si="15"/>
        <v>0.72538152610441764</v>
      </c>
      <c r="T102" s="98">
        <f t="shared" si="16"/>
        <v>0</v>
      </c>
      <c r="U102" s="85">
        <f t="shared" si="18"/>
        <v>2.6421686746987945</v>
      </c>
    </row>
    <row r="103" spans="4:21" x14ac:dyDescent="0.25">
      <c r="D103"/>
      <c r="H103" s="170">
        <v>100</v>
      </c>
      <c r="I103" s="168" t="s">
        <v>152</v>
      </c>
      <c r="J103" s="145" t="s">
        <v>154</v>
      </c>
      <c r="K103" s="146">
        <f>E15+(E21/2)</f>
        <v>9.4583333333333339</v>
      </c>
      <c r="L103" s="147">
        <v>24</v>
      </c>
      <c r="M103" s="148">
        <f t="shared" si="17"/>
        <v>0.39409722222222227</v>
      </c>
      <c r="N103" s="149">
        <f t="shared" si="12"/>
        <v>28.375</v>
      </c>
      <c r="O103" s="150">
        <f t="shared" si="13"/>
        <v>-4.375</v>
      </c>
      <c r="P103" s="151">
        <v>24</v>
      </c>
      <c r="Q103" s="152">
        <f t="shared" si="14"/>
        <v>0.60590277777777779</v>
      </c>
      <c r="R103" s="171">
        <v>26</v>
      </c>
      <c r="S103" s="172">
        <f t="shared" si="15"/>
        <v>0.63621794871794868</v>
      </c>
      <c r="T103" s="124">
        <f t="shared" si="16"/>
        <v>7.6923076923076872E-2</v>
      </c>
      <c r="U103" s="85">
        <f t="shared" si="18"/>
        <v>-2.375</v>
      </c>
    </row>
    <row r="104" spans="4:21" ht="16.5" thickBot="1" x14ac:dyDescent="0.3">
      <c r="D104"/>
      <c r="H104" s="170">
        <v>101</v>
      </c>
      <c r="I104" s="169" t="s">
        <v>152</v>
      </c>
      <c r="J104" s="155" t="s">
        <v>10</v>
      </c>
      <c r="K104" s="156">
        <f>E15+E24</f>
        <v>4.8939393939393936</v>
      </c>
      <c r="L104" s="157">
        <v>24</v>
      </c>
      <c r="M104" s="158">
        <f t="shared" si="17"/>
        <v>0.20391414141414141</v>
      </c>
      <c r="N104" s="159">
        <f t="shared" si="12"/>
        <v>14.68181818181818</v>
      </c>
      <c r="O104" s="160">
        <f t="shared" si="13"/>
        <v>9.3181818181818201</v>
      </c>
      <c r="P104" s="161">
        <v>24</v>
      </c>
      <c r="Q104" s="162">
        <f t="shared" si="14"/>
        <v>0.79608585858585856</v>
      </c>
      <c r="R104" s="173">
        <v>26</v>
      </c>
      <c r="S104" s="174">
        <f t="shared" si="15"/>
        <v>0.81177156177156173</v>
      </c>
      <c r="T104" s="124">
        <f t="shared" si="16"/>
        <v>7.6923076923076872E-2</v>
      </c>
      <c r="U104" s="85">
        <f t="shared" si="18"/>
        <v>11.31818181818182</v>
      </c>
    </row>
    <row r="105" spans="4:21" x14ac:dyDescent="0.25">
      <c r="D105"/>
      <c r="H105" s="82">
        <v>102</v>
      </c>
      <c r="I105" s="135" t="s">
        <v>253</v>
      </c>
      <c r="J105" s="135" t="s">
        <v>165</v>
      </c>
      <c r="K105" s="136">
        <f>E73</f>
        <v>19.784666666666666</v>
      </c>
      <c r="L105" s="137">
        <v>60</v>
      </c>
      <c r="M105" s="138">
        <f t="shared" ref="M105:M120" si="24">K105/L105</f>
        <v>0.32974444444444445</v>
      </c>
      <c r="N105" s="139">
        <f t="shared" si="12"/>
        <v>59.353999999999999</v>
      </c>
      <c r="O105" s="140">
        <f t="shared" si="13"/>
        <v>0.6460000000000008</v>
      </c>
      <c r="P105" s="141">
        <v>70</v>
      </c>
      <c r="Q105" s="142">
        <f t="shared" si="14"/>
        <v>0.71736190476190476</v>
      </c>
      <c r="R105" s="143">
        <v>70</v>
      </c>
      <c r="S105" s="144">
        <f t="shared" si="15"/>
        <v>0.71736190476190476</v>
      </c>
      <c r="T105" s="98">
        <f t="shared" si="16"/>
        <v>0</v>
      </c>
      <c r="U105" s="85">
        <f t="shared" ref="U105:U132" si="25">R105-N105</f>
        <v>10.646000000000001</v>
      </c>
    </row>
    <row r="106" spans="4:21" x14ac:dyDescent="0.25">
      <c r="D106"/>
      <c r="H106" s="82">
        <v>103</v>
      </c>
      <c r="I106" s="17" t="s">
        <v>166</v>
      </c>
      <c r="J106" s="17" t="s">
        <v>165</v>
      </c>
      <c r="K106" s="110">
        <f>+E7+(E73/2)</f>
        <v>11.692333333333334</v>
      </c>
      <c r="L106" s="83">
        <v>30</v>
      </c>
      <c r="M106" s="84">
        <f t="shared" si="24"/>
        <v>0.38974444444444445</v>
      </c>
      <c r="N106" s="96">
        <f t="shared" si="12"/>
        <v>35.076999999999998</v>
      </c>
      <c r="O106" s="85">
        <f t="shared" si="13"/>
        <v>-5.0769999999999982</v>
      </c>
      <c r="P106" s="118">
        <v>25</v>
      </c>
      <c r="Q106" s="104">
        <f t="shared" si="14"/>
        <v>0.53230666666666659</v>
      </c>
      <c r="R106" s="86">
        <v>25</v>
      </c>
      <c r="S106" s="120">
        <f t="shared" si="15"/>
        <v>0.53230666666666659</v>
      </c>
      <c r="T106" s="98">
        <f t="shared" si="16"/>
        <v>0</v>
      </c>
      <c r="U106" s="85">
        <f t="shared" si="25"/>
        <v>-10.076999999999998</v>
      </c>
    </row>
    <row r="107" spans="4:21" x14ac:dyDescent="0.25">
      <c r="D107"/>
      <c r="H107" s="82">
        <v>104</v>
      </c>
      <c r="I107" s="17" t="s">
        <v>166</v>
      </c>
      <c r="J107" s="17" t="s">
        <v>89</v>
      </c>
      <c r="K107" s="110">
        <f>+E7+E28</f>
        <v>7.7230769230769232</v>
      </c>
      <c r="L107" s="83">
        <v>30</v>
      </c>
      <c r="M107" s="84">
        <f t="shared" si="24"/>
        <v>0.25743589743589745</v>
      </c>
      <c r="N107" s="96">
        <f t="shared" si="12"/>
        <v>23.169230769230769</v>
      </c>
      <c r="O107" s="85">
        <f t="shared" si="13"/>
        <v>6.8307692307692314</v>
      </c>
      <c r="P107" s="118">
        <v>25</v>
      </c>
      <c r="Q107" s="104">
        <f t="shared" si="14"/>
        <v>0.69107692307692303</v>
      </c>
      <c r="R107" s="86">
        <v>25</v>
      </c>
      <c r="S107" s="120">
        <f t="shared" si="15"/>
        <v>0.69107692307692303</v>
      </c>
      <c r="T107" s="98">
        <f t="shared" si="16"/>
        <v>0</v>
      </c>
      <c r="U107" s="85">
        <f t="shared" si="25"/>
        <v>1.8307692307692314</v>
      </c>
    </row>
    <row r="108" spans="4:21" x14ac:dyDescent="0.25">
      <c r="D108"/>
      <c r="H108" s="82">
        <v>105</v>
      </c>
      <c r="I108" s="17" t="s">
        <v>166</v>
      </c>
      <c r="J108" s="17" t="s">
        <v>158</v>
      </c>
      <c r="K108" s="110">
        <f>+E7+E22</f>
        <v>8.65</v>
      </c>
      <c r="L108" s="83">
        <v>30</v>
      </c>
      <c r="M108" s="84">
        <f t="shared" si="24"/>
        <v>0.28833333333333333</v>
      </c>
      <c r="N108" s="96">
        <f t="shared" si="12"/>
        <v>25.950000000000003</v>
      </c>
      <c r="O108" s="85">
        <f t="shared" si="13"/>
        <v>4.0499999999999972</v>
      </c>
      <c r="P108" s="118">
        <v>25</v>
      </c>
      <c r="Q108" s="104">
        <f t="shared" si="14"/>
        <v>0.65400000000000003</v>
      </c>
      <c r="R108" s="86">
        <v>25</v>
      </c>
      <c r="S108" s="120">
        <f t="shared" si="15"/>
        <v>0.65400000000000003</v>
      </c>
      <c r="T108" s="98">
        <f t="shared" si="16"/>
        <v>0</v>
      </c>
      <c r="U108" s="85">
        <f t="shared" si="25"/>
        <v>-0.95000000000000284</v>
      </c>
    </row>
    <row r="109" spans="4:21" x14ac:dyDescent="0.25">
      <c r="D109"/>
      <c r="H109" s="82">
        <v>106</v>
      </c>
      <c r="I109" s="17" t="s">
        <v>166</v>
      </c>
      <c r="J109" s="17" t="s">
        <v>14</v>
      </c>
      <c r="K109" s="110">
        <f>+E7+E27</f>
        <v>12.157142857142858</v>
      </c>
      <c r="L109" s="83">
        <v>40</v>
      </c>
      <c r="M109" s="84">
        <f t="shared" si="24"/>
        <v>0.30392857142857144</v>
      </c>
      <c r="N109" s="96">
        <f t="shared" si="12"/>
        <v>36.471428571428575</v>
      </c>
      <c r="O109" s="85">
        <f t="shared" si="13"/>
        <v>3.5285714285714249</v>
      </c>
      <c r="P109" s="118">
        <v>33</v>
      </c>
      <c r="Q109" s="104">
        <f t="shared" si="14"/>
        <v>0.63160173160173161</v>
      </c>
      <c r="R109" s="86">
        <v>33</v>
      </c>
      <c r="S109" s="120">
        <f t="shared" si="15"/>
        <v>0.63160173160173161</v>
      </c>
      <c r="T109" s="98">
        <f t="shared" si="16"/>
        <v>0</v>
      </c>
      <c r="U109" s="85">
        <f t="shared" si="25"/>
        <v>-3.4714285714285751</v>
      </c>
    </row>
    <row r="110" spans="4:21" x14ac:dyDescent="0.25">
      <c r="D110"/>
      <c r="H110" s="82">
        <v>107</v>
      </c>
      <c r="I110" s="17" t="s">
        <v>166</v>
      </c>
      <c r="J110" s="17" t="s">
        <v>154</v>
      </c>
      <c r="K110" s="110">
        <f>+E7+(E21/2)</f>
        <v>10.758333333333335</v>
      </c>
      <c r="L110" s="83">
        <v>40</v>
      </c>
      <c r="M110" s="84">
        <f t="shared" si="24"/>
        <v>0.26895833333333335</v>
      </c>
      <c r="N110" s="96">
        <f t="shared" si="12"/>
        <v>32.275000000000006</v>
      </c>
      <c r="O110" s="85">
        <f t="shared" si="13"/>
        <v>7.7249999999999943</v>
      </c>
      <c r="P110" s="118">
        <v>33</v>
      </c>
      <c r="Q110" s="104">
        <f t="shared" si="14"/>
        <v>0.67398989898989903</v>
      </c>
      <c r="R110" s="86">
        <v>33</v>
      </c>
      <c r="S110" s="120">
        <f t="shared" si="15"/>
        <v>0.67398989898989903</v>
      </c>
      <c r="T110" s="98">
        <f t="shared" si="16"/>
        <v>0</v>
      </c>
      <c r="U110" s="85">
        <f t="shared" si="25"/>
        <v>0.72499999999999432</v>
      </c>
    </row>
    <row r="111" spans="4:21" x14ac:dyDescent="0.25">
      <c r="D111"/>
      <c r="H111" s="82">
        <v>108</v>
      </c>
      <c r="I111" s="17" t="s">
        <v>166</v>
      </c>
      <c r="J111" s="17" t="s">
        <v>10</v>
      </c>
      <c r="K111" s="110">
        <f>+E7+E24</f>
        <v>6.1939393939393934</v>
      </c>
      <c r="L111" s="83">
        <v>40</v>
      </c>
      <c r="M111" s="84">
        <f t="shared" si="24"/>
        <v>0.15484848484848485</v>
      </c>
      <c r="N111" s="96">
        <f t="shared" si="12"/>
        <v>18.581818181818178</v>
      </c>
      <c r="O111" s="85">
        <f t="shared" si="13"/>
        <v>21.418181818181822</v>
      </c>
      <c r="P111" s="118">
        <v>33</v>
      </c>
      <c r="Q111" s="104">
        <f t="shared" si="14"/>
        <v>0.81230486685032133</v>
      </c>
      <c r="R111" s="86">
        <v>33</v>
      </c>
      <c r="S111" s="120">
        <f t="shared" si="15"/>
        <v>0.81230486685032133</v>
      </c>
      <c r="T111" s="98">
        <f t="shared" si="16"/>
        <v>0</v>
      </c>
      <c r="U111" s="85">
        <f t="shared" si="25"/>
        <v>14.418181818181822</v>
      </c>
    </row>
    <row r="112" spans="4:21" x14ac:dyDescent="0.25">
      <c r="D112"/>
      <c r="H112" s="82">
        <v>109</v>
      </c>
      <c r="I112" s="17" t="s">
        <v>254</v>
      </c>
      <c r="J112" s="17" t="s">
        <v>167</v>
      </c>
      <c r="K112" s="110">
        <f>(+E22*4.16)</f>
        <v>28.495999999999999</v>
      </c>
      <c r="L112" s="83">
        <v>60</v>
      </c>
      <c r="M112" s="84">
        <f t="shared" si="24"/>
        <v>0.47493333333333332</v>
      </c>
      <c r="N112" s="96">
        <f t="shared" si="12"/>
        <v>85.488</v>
      </c>
      <c r="O112" s="85">
        <f t="shared" si="13"/>
        <v>-25.488</v>
      </c>
      <c r="P112" s="118">
        <v>70</v>
      </c>
      <c r="Q112" s="104">
        <f t="shared" si="14"/>
        <v>0.59291428571428584</v>
      </c>
      <c r="R112" s="86">
        <v>70</v>
      </c>
      <c r="S112" s="120">
        <f t="shared" si="15"/>
        <v>0.59291428571428584</v>
      </c>
      <c r="T112" s="98">
        <f t="shared" si="16"/>
        <v>0</v>
      </c>
      <c r="U112" s="85">
        <f t="shared" si="25"/>
        <v>-15.488</v>
      </c>
    </row>
    <row r="113" spans="4:21" x14ac:dyDescent="0.25">
      <c r="D113"/>
      <c r="H113" s="82">
        <v>110</v>
      </c>
      <c r="I113" s="17" t="s">
        <v>169</v>
      </c>
      <c r="J113" s="17" t="s">
        <v>170</v>
      </c>
      <c r="K113" s="110">
        <v>10</v>
      </c>
      <c r="L113" s="83">
        <v>22</v>
      </c>
      <c r="M113" s="84">
        <f t="shared" si="24"/>
        <v>0.45454545454545453</v>
      </c>
      <c r="N113" s="96">
        <f t="shared" si="12"/>
        <v>30</v>
      </c>
      <c r="O113" s="85">
        <f t="shared" si="13"/>
        <v>-8</v>
      </c>
      <c r="P113" s="118">
        <v>25</v>
      </c>
      <c r="Q113" s="104">
        <f t="shared" si="14"/>
        <v>0.6</v>
      </c>
      <c r="R113" s="86">
        <v>25</v>
      </c>
      <c r="S113" s="120">
        <f t="shared" si="15"/>
        <v>0.6</v>
      </c>
      <c r="T113" s="98">
        <f t="shared" si="16"/>
        <v>0</v>
      </c>
      <c r="U113" s="85">
        <f t="shared" si="25"/>
        <v>-5</v>
      </c>
    </row>
    <row r="114" spans="4:21" x14ac:dyDescent="0.25">
      <c r="D114"/>
      <c r="H114" s="82">
        <v>111</v>
      </c>
      <c r="I114" s="17" t="s">
        <v>169</v>
      </c>
      <c r="J114" s="17" t="s">
        <v>171</v>
      </c>
      <c r="K114" s="110">
        <v>14.5</v>
      </c>
      <c r="L114" s="83">
        <v>22</v>
      </c>
      <c r="M114" s="84">
        <f t="shared" si="24"/>
        <v>0.65909090909090906</v>
      </c>
      <c r="N114" s="96">
        <f t="shared" si="12"/>
        <v>43.5</v>
      </c>
      <c r="O114" s="85">
        <f t="shared" si="13"/>
        <v>-21.5</v>
      </c>
      <c r="P114" s="118">
        <v>30</v>
      </c>
      <c r="Q114" s="104">
        <f t="shared" si="14"/>
        <v>0.51666666666666672</v>
      </c>
      <c r="R114" s="86">
        <v>30</v>
      </c>
      <c r="S114" s="120">
        <f t="shared" si="15"/>
        <v>0.51666666666666672</v>
      </c>
      <c r="T114" s="98">
        <f t="shared" si="16"/>
        <v>0</v>
      </c>
      <c r="U114" s="85">
        <f t="shared" si="25"/>
        <v>-13.5</v>
      </c>
    </row>
    <row r="115" spans="4:21" x14ac:dyDescent="0.25">
      <c r="D115"/>
      <c r="H115" s="82">
        <v>112</v>
      </c>
      <c r="I115" s="17" t="s">
        <v>169</v>
      </c>
      <c r="J115" s="17" t="s">
        <v>172</v>
      </c>
      <c r="K115" s="110">
        <v>10</v>
      </c>
      <c r="L115" s="83">
        <v>18</v>
      </c>
      <c r="M115" s="84">
        <f t="shared" si="24"/>
        <v>0.55555555555555558</v>
      </c>
      <c r="N115" s="96">
        <f t="shared" si="12"/>
        <v>30</v>
      </c>
      <c r="O115" s="85">
        <f t="shared" si="13"/>
        <v>-12</v>
      </c>
      <c r="P115" s="118">
        <v>22</v>
      </c>
      <c r="Q115" s="104">
        <f t="shared" si="14"/>
        <v>0.54545454545454541</v>
      </c>
      <c r="R115" s="86">
        <v>22</v>
      </c>
      <c r="S115" s="120">
        <f t="shared" si="15"/>
        <v>0.54545454545454541</v>
      </c>
      <c r="T115" s="98">
        <f t="shared" si="16"/>
        <v>0</v>
      </c>
      <c r="U115" s="85">
        <f t="shared" si="25"/>
        <v>-8</v>
      </c>
    </row>
    <row r="116" spans="4:21" x14ac:dyDescent="0.25">
      <c r="D116"/>
      <c r="H116" s="82">
        <v>113</v>
      </c>
      <c r="I116" s="17" t="s">
        <v>169</v>
      </c>
      <c r="J116" s="17" t="s">
        <v>173</v>
      </c>
      <c r="K116" s="110">
        <v>10</v>
      </c>
      <c r="L116" s="83">
        <v>18</v>
      </c>
      <c r="M116" s="84">
        <f t="shared" si="24"/>
        <v>0.55555555555555558</v>
      </c>
      <c r="N116" s="96">
        <f t="shared" si="12"/>
        <v>30</v>
      </c>
      <c r="O116" s="85">
        <f t="shared" si="13"/>
        <v>-12</v>
      </c>
      <c r="P116" s="118">
        <v>22</v>
      </c>
      <c r="Q116" s="104">
        <f t="shared" si="14"/>
        <v>0.54545454545454541</v>
      </c>
      <c r="R116" s="86">
        <v>22</v>
      </c>
      <c r="S116" s="120">
        <f t="shared" si="15"/>
        <v>0.54545454545454541</v>
      </c>
      <c r="T116" s="98">
        <f t="shared" si="16"/>
        <v>0</v>
      </c>
      <c r="U116" s="85">
        <f t="shared" si="25"/>
        <v>-8</v>
      </c>
    </row>
    <row r="117" spans="4:21" x14ac:dyDescent="0.25">
      <c r="D117"/>
      <c r="H117" s="82">
        <v>114</v>
      </c>
      <c r="I117" s="17" t="s">
        <v>255</v>
      </c>
      <c r="J117" s="17" t="s">
        <v>213</v>
      </c>
      <c r="K117" s="110">
        <v>13.72</v>
      </c>
      <c r="L117" s="83">
        <v>25</v>
      </c>
      <c r="M117" s="84">
        <f t="shared" si="24"/>
        <v>0.54880000000000007</v>
      </c>
      <c r="N117" s="96">
        <f t="shared" si="12"/>
        <v>41.160000000000004</v>
      </c>
      <c r="O117" s="85">
        <f t="shared" si="13"/>
        <v>-16.160000000000004</v>
      </c>
      <c r="P117" s="118">
        <v>25</v>
      </c>
      <c r="Q117" s="104">
        <f t="shared" si="14"/>
        <v>0.45119999999999999</v>
      </c>
      <c r="R117" s="86">
        <v>25</v>
      </c>
      <c r="S117" s="120">
        <f t="shared" si="15"/>
        <v>0.45119999999999999</v>
      </c>
      <c r="T117" s="98">
        <f t="shared" si="16"/>
        <v>0</v>
      </c>
      <c r="U117" s="85">
        <f t="shared" si="25"/>
        <v>-16.160000000000004</v>
      </c>
    </row>
    <row r="118" spans="4:21" x14ac:dyDescent="0.25">
      <c r="D118"/>
      <c r="H118" s="82">
        <v>115</v>
      </c>
      <c r="I118" s="17" t="s">
        <v>255</v>
      </c>
      <c r="J118" s="17" t="s">
        <v>175</v>
      </c>
      <c r="K118" s="110">
        <v>12.39</v>
      </c>
      <c r="L118" s="83">
        <v>25</v>
      </c>
      <c r="M118" s="84">
        <f t="shared" si="24"/>
        <v>0.49560000000000004</v>
      </c>
      <c r="N118" s="96">
        <f t="shared" si="12"/>
        <v>37.17</v>
      </c>
      <c r="O118" s="85">
        <f t="shared" si="13"/>
        <v>-12.170000000000002</v>
      </c>
      <c r="P118" s="118">
        <v>25</v>
      </c>
      <c r="Q118" s="104">
        <f t="shared" si="14"/>
        <v>0.50439999999999996</v>
      </c>
      <c r="R118" s="86">
        <v>25</v>
      </c>
      <c r="S118" s="120">
        <f t="shared" si="15"/>
        <v>0.50439999999999996</v>
      </c>
      <c r="T118" s="98">
        <f t="shared" si="16"/>
        <v>0</v>
      </c>
      <c r="U118" s="85">
        <f t="shared" si="25"/>
        <v>-12.170000000000002</v>
      </c>
    </row>
    <row r="119" spans="4:21" x14ac:dyDescent="0.25">
      <c r="D119"/>
      <c r="H119" s="82">
        <v>116</v>
      </c>
      <c r="I119" s="17" t="s">
        <v>255</v>
      </c>
      <c r="J119" s="17" t="s">
        <v>176</v>
      </c>
      <c r="K119" s="110">
        <v>15.84</v>
      </c>
      <c r="L119" s="83">
        <v>35</v>
      </c>
      <c r="M119" s="84">
        <f t="shared" si="24"/>
        <v>0.45257142857142857</v>
      </c>
      <c r="N119" s="96">
        <f t="shared" si="12"/>
        <v>47.519999999999996</v>
      </c>
      <c r="O119" s="85">
        <f t="shared" si="13"/>
        <v>-12.519999999999996</v>
      </c>
      <c r="P119" s="118">
        <v>35</v>
      </c>
      <c r="Q119" s="104">
        <f t="shared" si="14"/>
        <v>0.54742857142857149</v>
      </c>
      <c r="R119" s="86">
        <v>35</v>
      </c>
      <c r="S119" s="120">
        <f t="shared" si="15"/>
        <v>0.54742857142857149</v>
      </c>
      <c r="T119" s="98">
        <f t="shared" si="16"/>
        <v>0</v>
      </c>
      <c r="U119" s="85">
        <f t="shared" si="25"/>
        <v>-12.519999999999996</v>
      </c>
    </row>
    <row r="120" spans="4:21" x14ac:dyDescent="0.25">
      <c r="D120"/>
      <c r="H120" s="82">
        <v>117</v>
      </c>
      <c r="I120" s="17" t="s">
        <v>255</v>
      </c>
      <c r="J120" s="17" t="s">
        <v>177</v>
      </c>
      <c r="K120" s="110">
        <v>15.17</v>
      </c>
      <c r="L120" s="83">
        <v>35</v>
      </c>
      <c r="M120" s="84">
        <f t="shared" si="24"/>
        <v>0.43342857142857144</v>
      </c>
      <c r="N120" s="96">
        <f t="shared" si="12"/>
        <v>45.51</v>
      </c>
      <c r="O120" s="85">
        <f t="shared" si="13"/>
        <v>-10.509999999999998</v>
      </c>
      <c r="P120" s="118">
        <v>35</v>
      </c>
      <c r="Q120" s="104">
        <f t="shared" si="14"/>
        <v>0.5665714285714285</v>
      </c>
      <c r="R120" s="86">
        <v>35</v>
      </c>
      <c r="S120" s="120">
        <f t="shared" si="15"/>
        <v>0.5665714285714285</v>
      </c>
      <c r="T120" s="98">
        <f t="shared" si="16"/>
        <v>0</v>
      </c>
      <c r="U120" s="85">
        <f t="shared" si="25"/>
        <v>-10.509999999999998</v>
      </c>
    </row>
    <row r="121" spans="4:21" x14ac:dyDescent="0.25">
      <c r="D121"/>
      <c r="H121" s="82">
        <v>118</v>
      </c>
      <c r="I121" s="17" t="s">
        <v>268</v>
      </c>
      <c r="J121" s="17" t="s">
        <v>216</v>
      </c>
      <c r="K121" s="110">
        <f>E41</f>
        <v>7.14</v>
      </c>
      <c r="L121" s="83">
        <v>27</v>
      </c>
      <c r="M121" s="84">
        <f t="shared" ref="M121:M131" si="26">K121/L121</f>
        <v>0.26444444444444443</v>
      </c>
      <c r="N121" s="96">
        <f t="shared" si="12"/>
        <v>21.419999999999998</v>
      </c>
      <c r="O121" s="85">
        <f t="shared" si="13"/>
        <v>5.5800000000000018</v>
      </c>
      <c r="P121" s="118">
        <v>27</v>
      </c>
      <c r="Q121" s="104">
        <f t="shared" si="14"/>
        <v>0.73555555555555552</v>
      </c>
      <c r="R121" s="86">
        <v>27</v>
      </c>
      <c r="S121" s="120">
        <f t="shared" si="15"/>
        <v>0.73555555555555552</v>
      </c>
      <c r="T121" s="98">
        <f t="shared" si="16"/>
        <v>0</v>
      </c>
      <c r="U121" s="85">
        <f t="shared" ref="U121:U131" si="27">R121-N121</f>
        <v>5.5800000000000018</v>
      </c>
    </row>
    <row r="122" spans="4:21" x14ac:dyDescent="0.25">
      <c r="D122"/>
      <c r="H122" s="82">
        <v>119</v>
      </c>
      <c r="I122" s="17" t="s">
        <v>179</v>
      </c>
      <c r="J122" s="17" t="s">
        <v>217</v>
      </c>
      <c r="K122" s="110">
        <f>E41*2</f>
        <v>14.28</v>
      </c>
      <c r="L122" s="83">
        <v>42</v>
      </c>
      <c r="M122" s="84">
        <f t="shared" si="26"/>
        <v>0.33999999999999997</v>
      </c>
      <c r="N122" s="96">
        <f t="shared" si="12"/>
        <v>42.839999999999996</v>
      </c>
      <c r="O122" s="85">
        <f t="shared" si="13"/>
        <v>-0.83999999999999631</v>
      </c>
      <c r="P122" s="118">
        <v>42</v>
      </c>
      <c r="Q122" s="104">
        <f t="shared" si="14"/>
        <v>0.65999999999999992</v>
      </c>
      <c r="R122" s="86">
        <v>42</v>
      </c>
      <c r="S122" s="120">
        <f t="shared" si="15"/>
        <v>0.65999999999999992</v>
      </c>
      <c r="T122" s="98">
        <f t="shared" si="16"/>
        <v>0</v>
      </c>
      <c r="U122" s="85">
        <f t="shared" si="27"/>
        <v>-0.83999999999999631</v>
      </c>
    </row>
    <row r="123" spans="4:21" x14ac:dyDescent="0.25">
      <c r="D123"/>
      <c r="H123" s="82">
        <v>120</v>
      </c>
      <c r="I123" s="17" t="s">
        <v>265</v>
      </c>
      <c r="J123" s="17" t="s">
        <v>186</v>
      </c>
      <c r="K123" s="110">
        <v>7</v>
      </c>
      <c r="L123" s="83">
        <v>19</v>
      </c>
      <c r="M123" s="84">
        <f t="shared" si="26"/>
        <v>0.36842105263157893</v>
      </c>
      <c r="N123" s="96">
        <f t="shared" si="12"/>
        <v>21</v>
      </c>
      <c r="O123" s="85">
        <f t="shared" si="13"/>
        <v>-2</v>
      </c>
      <c r="P123" s="118">
        <v>20</v>
      </c>
      <c r="Q123" s="104">
        <f t="shared" si="14"/>
        <v>0.65</v>
      </c>
      <c r="R123" s="86">
        <v>20</v>
      </c>
      <c r="S123" s="120">
        <f t="shared" si="15"/>
        <v>0.65</v>
      </c>
      <c r="T123" s="98">
        <f t="shared" si="16"/>
        <v>0</v>
      </c>
      <c r="U123" s="85">
        <f t="shared" si="27"/>
        <v>-1</v>
      </c>
    </row>
    <row r="124" spans="4:21" x14ac:dyDescent="0.25">
      <c r="D124"/>
      <c r="H124" s="82">
        <v>121</v>
      </c>
      <c r="I124" s="17" t="s">
        <v>178</v>
      </c>
      <c r="J124" s="17" t="s">
        <v>256</v>
      </c>
      <c r="K124" s="110">
        <v>10</v>
      </c>
      <c r="L124" s="83">
        <v>25</v>
      </c>
      <c r="M124" s="84">
        <f t="shared" si="26"/>
        <v>0.4</v>
      </c>
      <c r="N124" s="96">
        <f t="shared" si="12"/>
        <v>30</v>
      </c>
      <c r="O124" s="85">
        <f t="shared" si="13"/>
        <v>-5</v>
      </c>
      <c r="P124" s="118">
        <v>25</v>
      </c>
      <c r="Q124" s="104">
        <f t="shared" si="14"/>
        <v>0.6</v>
      </c>
      <c r="R124" s="86">
        <v>25</v>
      </c>
      <c r="S124" s="120">
        <f t="shared" si="15"/>
        <v>0.6</v>
      </c>
      <c r="T124" s="98">
        <f t="shared" si="16"/>
        <v>0</v>
      </c>
      <c r="U124" s="85">
        <f t="shared" si="27"/>
        <v>-5</v>
      </c>
    </row>
    <row r="125" spans="4:21" x14ac:dyDescent="0.25">
      <c r="D125"/>
      <c r="H125" s="82">
        <v>122</v>
      </c>
      <c r="I125" s="17" t="s">
        <v>178</v>
      </c>
      <c r="J125" s="17" t="s">
        <v>257</v>
      </c>
      <c r="K125" s="110">
        <v>5.4</v>
      </c>
      <c r="L125" s="83">
        <v>18</v>
      </c>
      <c r="M125" s="84">
        <f t="shared" si="26"/>
        <v>0.30000000000000004</v>
      </c>
      <c r="N125" s="96">
        <f t="shared" si="12"/>
        <v>16.200000000000003</v>
      </c>
      <c r="O125" s="85">
        <f t="shared" si="13"/>
        <v>1.7999999999999972</v>
      </c>
      <c r="P125" s="118">
        <v>16</v>
      </c>
      <c r="Q125" s="104">
        <f t="shared" si="14"/>
        <v>0.66249999999999998</v>
      </c>
      <c r="R125" s="86">
        <v>16</v>
      </c>
      <c r="S125" s="120">
        <f t="shared" si="15"/>
        <v>0.66249999999999998</v>
      </c>
      <c r="T125" s="98">
        <f t="shared" si="16"/>
        <v>0</v>
      </c>
      <c r="U125" s="85">
        <f t="shared" si="27"/>
        <v>-0.20000000000000284</v>
      </c>
    </row>
    <row r="126" spans="4:21" x14ac:dyDescent="0.25">
      <c r="D126"/>
      <c r="H126" s="82">
        <v>123</v>
      </c>
      <c r="I126" s="17" t="s">
        <v>180</v>
      </c>
      <c r="J126" s="17" t="s">
        <v>189</v>
      </c>
      <c r="K126" s="110">
        <v>6.45</v>
      </c>
      <c r="L126" s="83">
        <v>20</v>
      </c>
      <c r="M126" s="84">
        <f t="shared" si="26"/>
        <v>0.32250000000000001</v>
      </c>
      <c r="N126" s="96">
        <f t="shared" si="12"/>
        <v>19.350000000000001</v>
      </c>
      <c r="O126" s="85">
        <f t="shared" si="13"/>
        <v>0.64999999999999858</v>
      </c>
      <c r="P126" s="118">
        <v>20</v>
      </c>
      <c r="Q126" s="104">
        <f t="shared" si="14"/>
        <v>0.67749999999999999</v>
      </c>
      <c r="R126" s="86">
        <v>20</v>
      </c>
      <c r="S126" s="120">
        <f t="shared" si="15"/>
        <v>0.67749999999999999</v>
      </c>
      <c r="T126" s="98">
        <f t="shared" si="16"/>
        <v>0</v>
      </c>
      <c r="U126" s="85">
        <f t="shared" si="27"/>
        <v>0.64999999999999858</v>
      </c>
    </row>
    <row r="127" spans="4:21" x14ac:dyDescent="0.25">
      <c r="D127"/>
      <c r="H127" s="82">
        <v>124</v>
      </c>
      <c r="I127" s="17" t="s">
        <v>264</v>
      </c>
      <c r="J127" s="17" t="s">
        <v>191</v>
      </c>
      <c r="K127" s="110">
        <v>5.85</v>
      </c>
      <c r="L127" s="83">
        <v>19</v>
      </c>
      <c r="M127" s="84">
        <f t="shared" si="26"/>
        <v>0.30789473684210522</v>
      </c>
      <c r="N127" s="96">
        <f t="shared" si="12"/>
        <v>17.549999999999997</v>
      </c>
      <c r="O127" s="85">
        <f t="shared" si="13"/>
        <v>1.4500000000000028</v>
      </c>
      <c r="P127" s="118">
        <v>20</v>
      </c>
      <c r="Q127" s="104">
        <f t="shared" si="14"/>
        <v>0.70750000000000002</v>
      </c>
      <c r="R127" s="86">
        <v>20</v>
      </c>
      <c r="S127" s="120">
        <f t="shared" si="15"/>
        <v>0.70750000000000002</v>
      </c>
      <c r="T127" s="98">
        <f t="shared" si="16"/>
        <v>0</v>
      </c>
      <c r="U127" s="85">
        <f t="shared" si="27"/>
        <v>2.4500000000000028</v>
      </c>
    </row>
    <row r="128" spans="4:21" x14ac:dyDescent="0.25">
      <c r="D128"/>
      <c r="H128" s="82">
        <v>125</v>
      </c>
      <c r="I128" s="17" t="s">
        <v>181</v>
      </c>
      <c r="J128" s="17" t="s">
        <v>214</v>
      </c>
      <c r="K128" s="110">
        <v>8.9499999999999993</v>
      </c>
      <c r="L128" s="83">
        <v>19</v>
      </c>
      <c r="M128" s="84">
        <f t="shared" si="26"/>
        <v>0.47105263157894733</v>
      </c>
      <c r="N128" s="96">
        <f t="shared" si="12"/>
        <v>26.849999999999998</v>
      </c>
      <c r="O128" s="85">
        <f t="shared" si="13"/>
        <v>-7.8499999999999979</v>
      </c>
      <c r="P128" s="118">
        <v>20</v>
      </c>
      <c r="Q128" s="104">
        <f t="shared" si="14"/>
        <v>0.55249999999999999</v>
      </c>
      <c r="R128" s="86">
        <v>20</v>
      </c>
      <c r="S128" s="120">
        <f t="shared" si="15"/>
        <v>0.55249999999999999</v>
      </c>
      <c r="T128" s="98">
        <f t="shared" si="16"/>
        <v>0</v>
      </c>
      <c r="U128" s="85">
        <f t="shared" si="27"/>
        <v>-6.8499999999999979</v>
      </c>
    </row>
    <row r="129" spans="4:21" x14ac:dyDescent="0.25">
      <c r="D129"/>
      <c r="H129" s="82">
        <v>126</v>
      </c>
      <c r="I129" s="17" t="s">
        <v>182</v>
      </c>
      <c r="J129" s="17" t="s">
        <v>190</v>
      </c>
      <c r="K129" s="110">
        <f>+E79</f>
        <v>22.571428571428573</v>
      </c>
      <c r="L129" s="83">
        <v>50</v>
      </c>
      <c r="M129" s="84">
        <f t="shared" si="26"/>
        <v>0.45142857142857146</v>
      </c>
      <c r="N129" s="96">
        <f t="shared" si="12"/>
        <v>67.714285714285722</v>
      </c>
      <c r="O129" s="85">
        <f t="shared" si="13"/>
        <v>-17.714285714285722</v>
      </c>
      <c r="P129" s="118">
        <v>50</v>
      </c>
      <c r="Q129" s="104">
        <f t="shared" si="14"/>
        <v>0.54857142857142849</v>
      </c>
      <c r="R129" s="86">
        <v>50</v>
      </c>
      <c r="S129" s="120">
        <f t="shared" si="15"/>
        <v>0.54857142857142849</v>
      </c>
      <c r="T129" s="98">
        <f t="shared" si="16"/>
        <v>0</v>
      </c>
      <c r="U129" s="85">
        <f t="shared" si="27"/>
        <v>-17.714285714285722</v>
      </c>
    </row>
    <row r="130" spans="4:21" x14ac:dyDescent="0.25">
      <c r="D130"/>
      <c r="H130" s="82">
        <v>127</v>
      </c>
      <c r="I130" s="102" t="s">
        <v>182</v>
      </c>
      <c r="J130" s="102" t="s">
        <v>191</v>
      </c>
      <c r="K130" s="110">
        <f>+D79</f>
        <v>158</v>
      </c>
      <c r="L130" s="83">
        <v>250</v>
      </c>
      <c r="M130" s="84">
        <f t="shared" si="26"/>
        <v>0.63200000000000001</v>
      </c>
      <c r="N130" s="96">
        <f t="shared" si="12"/>
        <v>474</v>
      </c>
      <c r="O130" s="85">
        <f t="shared" si="13"/>
        <v>-224</v>
      </c>
      <c r="P130" s="118">
        <v>250</v>
      </c>
      <c r="Q130" s="104">
        <f t="shared" si="14"/>
        <v>0.36799999999999999</v>
      </c>
      <c r="R130" s="86">
        <v>250</v>
      </c>
      <c r="S130" s="120">
        <f t="shared" si="15"/>
        <v>0.36799999999999999</v>
      </c>
      <c r="T130" s="98">
        <f t="shared" si="16"/>
        <v>0</v>
      </c>
      <c r="U130" s="85">
        <f t="shared" si="27"/>
        <v>-224</v>
      </c>
    </row>
    <row r="131" spans="4:21" x14ac:dyDescent="0.25">
      <c r="D131"/>
      <c r="H131" s="82">
        <v>128</v>
      </c>
      <c r="I131" s="17" t="s">
        <v>182</v>
      </c>
      <c r="J131" s="17" t="s">
        <v>192</v>
      </c>
      <c r="K131" s="110">
        <f>+E79+E82</f>
        <v>28.021428571428572</v>
      </c>
      <c r="L131" s="83">
        <v>50</v>
      </c>
      <c r="M131" s="84">
        <f t="shared" si="26"/>
        <v>0.5604285714285715</v>
      </c>
      <c r="N131" s="96">
        <f t="shared" si="12"/>
        <v>84.064285714285717</v>
      </c>
      <c r="O131" s="85">
        <f t="shared" si="13"/>
        <v>-34.064285714285717</v>
      </c>
      <c r="P131" s="118">
        <v>60</v>
      </c>
      <c r="Q131" s="104">
        <f t="shared" si="14"/>
        <v>0.53297619047619049</v>
      </c>
      <c r="R131" s="86">
        <v>60</v>
      </c>
      <c r="S131" s="120">
        <f t="shared" si="15"/>
        <v>0.53297619047619049</v>
      </c>
      <c r="T131" s="98">
        <f t="shared" si="16"/>
        <v>0</v>
      </c>
      <c r="U131" s="85">
        <f t="shared" si="27"/>
        <v>-24.064285714285717</v>
      </c>
    </row>
    <row r="132" spans="4:21" x14ac:dyDescent="0.25">
      <c r="D132"/>
      <c r="H132" s="82">
        <v>129</v>
      </c>
      <c r="I132" s="17" t="s">
        <v>266</v>
      </c>
      <c r="J132" s="17" t="s">
        <v>218</v>
      </c>
      <c r="K132" s="110">
        <v>9.75</v>
      </c>
      <c r="L132" s="83">
        <v>24</v>
      </c>
      <c r="M132" s="84">
        <f t="shared" ref="M132:M139" si="28">K132/L132</f>
        <v>0.40625</v>
      </c>
      <c r="N132" s="96">
        <f t="shared" si="12"/>
        <v>29.25</v>
      </c>
      <c r="O132" s="85">
        <f t="shared" si="13"/>
        <v>-5.25</v>
      </c>
      <c r="P132" s="118">
        <v>25</v>
      </c>
      <c r="Q132" s="104">
        <f t="shared" si="14"/>
        <v>0.61</v>
      </c>
      <c r="R132" s="86">
        <v>25</v>
      </c>
      <c r="S132" s="120">
        <f t="shared" si="15"/>
        <v>0.61</v>
      </c>
      <c r="T132" s="98">
        <f t="shared" si="16"/>
        <v>0</v>
      </c>
      <c r="U132" s="85">
        <f t="shared" si="25"/>
        <v>-4.25</v>
      </c>
    </row>
    <row r="133" spans="4:21" x14ac:dyDescent="0.25">
      <c r="D133"/>
      <c r="H133" s="82">
        <v>130</v>
      </c>
      <c r="I133" s="17" t="s">
        <v>183</v>
      </c>
      <c r="J133" s="17" t="s">
        <v>219</v>
      </c>
      <c r="K133" s="110">
        <v>10.49</v>
      </c>
      <c r="L133" s="83">
        <v>30</v>
      </c>
      <c r="M133" s="84">
        <f t="shared" si="28"/>
        <v>0.34966666666666668</v>
      </c>
      <c r="N133" s="96">
        <f t="shared" ref="N133:N139" si="29">K133*3</f>
        <v>31.47</v>
      </c>
      <c r="O133" s="85">
        <f t="shared" si="13"/>
        <v>-1.4699999999999989</v>
      </c>
      <c r="P133" s="118">
        <v>30</v>
      </c>
      <c r="Q133" s="104">
        <f t="shared" si="14"/>
        <v>0.65033333333333332</v>
      </c>
      <c r="R133" s="86">
        <v>30</v>
      </c>
      <c r="S133" s="120">
        <f t="shared" ref="S133:S139" si="30">(R133-K133)/R133</f>
        <v>0.65033333333333332</v>
      </c>
      <c r="T133" s="98">
        <f t="shared" si="16"/>
        <v>0</v>
      </c>
      <c r="U133" s="85">
        <f t="shared" ref="U133:U139" si="31">R133-N133</f>
        <v>-1.4699999999999989</v>
      </c>
    </row>
    <row r="134" spans="4:21" x14ac:dyDescent="0.25">
      <c r="D134"/>
      <c r="H134" s="82">
        <v>131</v>
      </c>
      <c r="I134" s="17" t="s">
        <v>184</v>
      </c>
      <c r="J134" s="17" t="s">
        <v>230</v>
      </c>
      <c r="K134" s="110">
        <f>(+E80*1.5)+E84</f>
        <v>11.645</v>
      </c>
      <c r="L134" s="83">
        <v>34</v>
      </c>
      <c r="M134" s="84">
        <f t="shared" si="28"/>
        <v>0.34249999999999997</v>
      </c>
      <c r="N134" s="96">
        <f t="shared" si="29"/>
        <v>34.935000000000002</v>
      </c>
      <c r="O134" s="85">
        <f t="shared" si="13"/>
        <v>-0.93500000000000227</v>
      </c>
      <c r="P134" s="118">
        <v>34</v>
      </c>
      <c r="Q134" s="104">
        <f t="shared" si="14"/>
        <v>0.65749999999999997</v>
      </c>
      <c r="R134" s="86">
        <v>34</v>
      </c>
      <c r="S134" s="120">
        <f t="shared" si="30"/>
        <v>0.65749999999999997</v>
      </c>
      <c r="T134" s="98">
        <f t="shared" si="16"/>
        <v>0</v>
      </c>
      <c r="U134" s="85">
        <f t="shared" si="31"/>
        <v>-0.93500000000000227</v>
      </c>
    </row>
    <row r="135" spans="4:21" x14ac:dyDescent="0.25">
      <c r="D135"/>
      <c r="H135" s="82">
        <v>132</v>
      </c>
      <c r="I135" s="17" t="s">
        <v>184</v>
      </c>
      <c r="J135" s="17" t="s">
        <v>231</v>
      </c>
      <c r="K135" s="110">
        <f>(+E80*3)+E84</f>
        <v>21.29</v>
      </c>
      <c r="L135" s="83">
        <v>50</v>
      </c>
      <c r="M135" s="84">
        <f t="shared" si="28"/>
        <v>0.42579999999999996</v>
      </c>
      <c r="N135" s="96">
        <f t="shared" si="29"/>
        <v>63.87</v>
      </c>
      <c r="O135" s="85">
        <f t="shared" si="13"/>
        <v>-13.869999999999997</v>
      </c>
      <c r="P135" s="118">
        <v>50</v>
      </c>
      <c r="Q135" s="104">
        <f t="shared" si="14"/>
        <v>0.57420000000000004</v>
      </c>
      <c r="R135" s="86">
        <v>50</v>
      </c>
      <c r="S135" s="120">
        <f t="shared" si="30"/>
        <v>0.57420000000000004</v>
      </c>
      <c r="T135" s="98">
        <f t="shared" si="16"/>
        <v>0</v>
      </c>
      <c r="U135" s="85">
        <f t="shared" si="31"/>
        <v>-13.869999999999997</v>
      </c>
    </row>
    <row r="136" spans="4:21" x14ac:dyDescent="0.25">
      <c r="D136"/>
      <c r="H136" s="82">
        <v>133</v>
      </c>
      <c r="I136" s="17" t="s">
        <v>185</v>
      </c>
      <c r="J136" s="17" t="s">
        <v>227</v>
      </c>
      <c r="K136" s="110">
        <f>(+E80*1.5)+E83+E84</f>
        <v>14.954411764705881</v>
      </c>
      <c r="L136" s="83">
        <v>39</v>
      </c>
      <c r="M136" s="84">
        <f t="shared" si="28"/>
        <v>0.383446455505279</v>
      </c>
      <c r="N136" s="96">
        <f t="shared" si="29"/>
        <v>44.863235294117644</v>
      </c>
      <c r="O136" s="85">
        <f t="shared" si="13"/>
        <v>-5.8632352941176435</v>
      </c>
      <c r="P136" s="118">
        <v>39</v>
      </c>
      <c r="Q136" s="104">
        <f t="shared" si="14"/>
        <v>0.616553544494721</v>
      </c>
      <c r="R136" s="86">
        <v>39</v>
      </c>
      <c r="S136" s="120">
        <f t="shared" si="30"/>
        <v>0.616553544494721</v>
      </c>
      <c r="T136" s="98">
        <f t="shared" si="16"/>
        <v>0</v>
      </c>
      <c r="U136" s="85">
        <f t="shared" si="31"/>
        <v>-5.8632352941176435</v>
      </c>
    </row>
    <row r="137" spans="4:21" x14ac:dyDescent="0.25">
      <c r="H137" s="82">
        <v>134</v>
      </c>
      <c r="I137" s="17" t="s">
        <v>185</v>
      </c>
      <c r="J137" s="17" t="s">
        <v>228</v>
      </c>
      <c r="K137" s="110">
        <f>(+E80*1.5)+E84</f>
        <v>11.645</v>
      </c>
      <c r="L137" s="83">
        <v>34</v>
      </c>
      <c r="M137" s="84">
        <f t="shared" si="28"/>
        <v>0.34249999999999997</v>
      </c>
      <c r="N137" s="96">
        <f t="shared" si="29"/>
        <v>34.935000000000002</v>
      </c>
      <c r="O137" s="85">
        <f t="shared" si="13"/>
        <v>-0.93500000000000227</v>
      </c>
      <c r="P137" s="118">
        <v>34</v>
      </c>
      <c r="Q137" s="104">
        <f t="shared" si="14"/>
        <v>0.65749999999999997</v>
      </c>
      <c r="R137" s="86">
        <v>34</v>
      </c>
      <c r="S137" s="120">
        <f t="shared" si="30"/>
        <v>0.65749999999999997</v>
      </c>
      <c r="T137" s="98">
        <f t="shared" si="16"/>
        <v>0</v>
      </c>
      <c r="U137" s="85">
        <f t="shared" si="31"/>
        <v>-0.93500000000000227</v>
      </c>
    </row>
    <row r="138" spans="4:21" x14ac:dyDescent="0.25">
      <c r="H138" s="82">
        <v>135</v>
      </c>
      <c r="I138" s="17" t="s">
        <v>185</v>
      </c>
      <c r="J138" s="17" t="s">
        <v>225</v>
      </c>
      <c r="K138" s="110">
        <f>(+E80*3)+E83+E84</f>
        <v>24.599411764705881</v>
      </c>
      <c r="L138" s="83">
        <v>55</v>
      </c>
      <c r="M138" s="84">
        <f t="shared" si="28"/>
        <v>0.44726203208556148</v>
      </c>
      <c r="N138" s="96">
        <f t="shared" si="29"/>
        <v>73.798235294117646</v>
      </c>
      <c r="O138" s="85">
        <f t="shared" si="13"/>
        <v>-18.798235294117646</v>
      </c>
      <c r="P138" s="118">
        <v>55</v>
      </c>
      <c r="Q138" s="104">
        <f t="shared" si="14"/>
        <v>0.55273796791443852</v>
      </c>
      <c r="R138" s="86">
        <v>55</v>
      </c>
      <c r="S138" s="120">
        <f t="shared" si="30"/>
        <v>0.55273796791443852</v>
      </c>
      <c r="T138" s="98">
        <f t="shared" si="16"/>
        <v>0</v>
      </c>
      <c r="U138" s="85">
        <f t="shared" si="31"/>
        <v>-18.798235294117646</v>
      </c>
    </row>
    <row r="139" spans="4:21" x14ac:dyDescent="0.25">
      <c r="H139" s="82">
        <v>136</v>
      </c>
      <c r="I139" s="17" t="s">
        <v>185</v>
      </c>
      <c r="J139" s="17" t="s">
        <v>226</v>
      </c>
      <c r="K139" s="110">
        <f>(+E80*3)+E84</f>
        <v>21.29</v>
      </c>
      <c r="L139" s="83">
        <v>50</v>
      </c>
      <c r="M139" s="84">
        <f t="shared" si="28"/>
        <v>0.42579999999999996</v>
      </c>
      <c r="N139" s="96">
        <f t="shared" si="29"/>
        <v>63.87</v>
      </c>
      <c r="O139" s="85">
        <f t="shared" ref="O139" si="32">L139-N139</f>
        <v>-13.869999999999997</v>
      </c>
      <c r="P139" s="118">
        <v>50</v>
      </c>
      <c r="Q139" s="104">
        <f t="shared" ref="Q139" si="33">(P139-K139)/P139</f>
        <v>0.57420000000000004</v>
      </c>
      <c r="R139" s="86">
        <v>50</v>
      </c>
      <c r="S139" s="120">
        <f t="shared" si="30"/>
        <v>0.57420000000000004</v>
      </c>
      <c r="T139" s="98">
        <f t="shared" ref="T139" si="34">-(P139/R139)+1</f>
        <v>0</v>
      </c>
      <c r="U139" s="85">
        <f t="shared" si="31"/>
        <v>-13.869999999999997</v>
      </c>
    </row>
    <row r="140" spans="4:21" x14ac:dyDescent="0.25">
      <c r="H140" s="82"/>
      <c r="I140" s="17"/>
      <c r="J140" s="17"/>
      <c r="K140" s="110"/>
      <c r="L140" s="83"/>
      <c r="M140" s="84"/>
      <c r="N140" s="101"/>
      <c r="O140" s="85"/>
      <c r="P140" s="118"/>
      <c r="Q140" s="122"/>
      <c r="R140" s="86"/>
      <c r="S140" s="86"/>
      <c r="T140" s="98"/>
      <c r="U140" s="85"/>
    </row>
    <row r="141" spans="4:21" x14ac:dyDescent="0.25">
      <c r="H141" s="82"/>
      <c r="I141" s="17"/>
      <c r="J141" s="17"/>
      <c r="K141" s="110"/>
      <c r="L141" s="83"/>
      <c r="M141" s="84"/>
      <c r="N141" s="101"/>
      <c r="O141" s="85"/>
      <c r="P141" s="118"/>
      <c r="Q141" s="122"/>
      <c r="R141" s="86"/>
      <c r="S141" s="86"/>
      <c r="T141" s="98"/>
      <c r="U141" s="85"/>
    </row>
    <row r="142" spans="4:21" x14ac:dyDescent="0.25">
      <c r="H142" s="82"/>
      <c r="I142" s="17"/>
      <c r="J142" s="17"/>
      <c r="K142" s="110"/>
      <c r="L142" s="83"/>
      <c r="M142" s="84"/>
      <c r="N142" s="101"/>
      <c r="O142" s="85"/>
      <c r="P142" s="118"/>
      <c r="Q142" s="122"/>
      <c r="R142" s="86"/>
      <c r="S142" s="86"/>
      <c r="T142" s="98"/>
      <c r="U142" s="85"/>
    </row>
    <row r="143" spans="4:21" x14ac:dyDescent="0.25">
      <c r="H143" s="82"/>
      <c r="I143" s="17"/>
      <c r="J143" s="17"/>
      <c r="K143" s="110"/>
      <c r="L143" s="83"/>
      <c r="M143" s="84"/>
      <c r="N143" s="101"/>
      <c r="O143" s="85"/>
      <c r="P143" s="118"/>
      <c r="Q143" s="122"/>
      <c r="R143" s="86"/>
      <c r="S143" s="86"/>
      <c r="T143" s="98"/>
      <c r="U143" s="85"/>
    </row>
    <row r="144" spans="4:21" x14ac:dyDescent="0.25">
      <c r="H144" s="82"/>
      <c r="I144" s="17"/>
      <c r="J144" s="17"/>
      <c r="K144" s="110"/>
      <c r="L144" s="83"/>
      <c r="M144" s="84"/>
      <c r="N144" s="101"/>
      <c r="O144" s="85"/>
      <c r="P144" s="118"/>
      <c r="Q144" s="122"/>
      <c r="R144" s="86"/>
      <c r="S144" s="86"/>
      <c r="T144" s="98"/>
      <c r="U144" s="85"/>
    </row>
    <row r="145" spans="8:21" customFormat="1" x14ac:dyDescent="0.25">
      <c r="H145" s="82"/>
      <c r="I145" s="17"/>
      <c r="J145" s="17"/>
      <c r="K145" s="110"/>
      <c r="L145" s="83"/>
      <c r="M145" s="84"/>
      <c r="N145" s="101"/>
      <c r="O145" s="85"/>
      <c r="P145" s="118"/>
      <c r="Q145" s="122"/>
      <c r="R145" s="86"/>
      <c r="S145" s="86"/>
      <c r="T145" s="98"/>
      <c r="U145" s="85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FF0000"/>
  </sheetPr>
  <dimension ref="A1:Z145"/>
  <sheetViews>
    <sheetView topLeftCell="G1" zoomScale="90" zoomScaleNormal="90" workbookViewId="0">
      <pane ySplit="3" topLeftCell="A4" activePane="bottomLeft" state="frozen"/>
      <selection activeCell="H1" sqref="H1"/>
      <selection pane="bottomLeft" activeCell="X16" sqref="X16"/>
    </sheetView>
  </sheetViews>
  <sheetFormatPr baseColWidth="10" defaultRowHeight="15.75" x14ac:dyDescent="0.25"/>
  <cols>
    <col min="1" max="1" width="1.5" customWidth="1"/>
    <col min="2" max="2" width="34" style="209" customWidth="1"/>
    <col min="3" max="3" width="15.375" style="209" bestFit="1" customWidth="1"/>
    <col min="4" max="4" width="9.25" style="31" customWidth="1"/>
    <col min="5" max="5" width="17.625" style="209" customWidth="1"/>
    <col min="6" max="6" width="6.625" customWidth="1"/>
    <col min="7" max="7" width="6" customWidth="1"/>
    <col min="8" max="8" width="3.875" style="81" bestFit="1" customWidth="1"/>
    <col min="9" max="9" width="19.75" style="80" customWidth="1"/>
    <col min="10" max="10" width="29.375" style="80" customWidth="1"/>
    <col min="11" max="11" width="11" style="108" customWidth="1"/>
    <col min="12" max="12" width="11" style="80" hidden="1" customWidth="1"/>
    <col min="13" max="13" width="10.625" style="81" hidden="1" customWidth="1"/>
    <col min="14" max="14" width="11" style="95" customWidth="1"/>
    <col min="15" max="15" width="9.375" style="95" hidden="1" customWidth="1"/>
    <col min="16" max="16" width="8.125" style="115" hidden="1" customWidth="1"/>
    <col min="17" max="17" width="14.375" style="115" hidden="1" customWidth="1"/>
    <col min="18" max="18" width="7.875" style="81" customWidth="1"/>
    <col min="19" max="19" width="12.125" style="81" customWidth="1"/>
    <col min="20" max="20" width="14.375" style="267" customWidth="1"/>
    <col min="21" max="21" width="10.875" style="80" customWidth="1"/>
    <col min="22" max="22" width="10" style="80" bestFit="1" customWidth="1"/>
    <col min="23" max="23" width="8.375" customWidth="1"/>
    <col min="24" max="24" width="11" style="317"/>
    <col min="25" max="25" width="12" style="319" customWidth="1"/>
    <col min="26" max="26" width="11.75" style="319" customWidth="1"/>
  </cols>
  <sheetData>
    <row r="1" spans="1:26" x14ac:dyDescent="0.25">
      <c r="I1" s="200" t="s">
        <v>439</v>
      </c>
      <c r="N1" s="108" t="s">
        <v>288</v>
      </c>
      <c r="P1" s="81"/>
      <c r="Q1" s="81"/>
      <c r="U1" s="80" t="s">
        <v>291</v>
      </c>
    </row>
    <row r="2" spans="1:26" ht="16.5" thickBot="1" x14ac:dyDescent="0.3">
      <c r="L2" s="81"/>
      <c r="P2" s="197"/>
      <c r="Q2" s="81"/>
    </row>
    <row r="3" spans="1:26" ht="45" customHeight="1" thickBot="1" x14ac:dyDescent="0.3">
      <c r="B3" s="287" t="s">
        <v>319</v>
      </c>
      <c r="C3" s="288" t="s">
        <v>320</v>
      </c>
      <c r="D3" s="289" t="s">
        <v>317</v>
      </c>
      <c r="E3" s="289" t="s">
        <v>318</v>
      </c>
      <c r="H3" s="82"/>
      <c r="I3" s="322" t="s">
        <v>73</v>
      </c>
      <c r="J3" s="322" t="s">
        <v>25</v>
      </c>
      <c r="K3" s="323" t="s">
        <v>287</v>
      </c>
      <c r="L3" s="324" t="s">
        <v>240</v>
      </c>
      <c r="M3" s="324" t="s">
        <v>238</v>
      </c>
      <c r="N3" s="325" t="s">
        <v>315</v>
      </c>
      <c r="O3" s="326" t="s">
        <v>259</v>
      </c>
      <c r="P3" s="327">
        <v>42767</v>
      </c>
      <c r="Q3" s="328" t="s">
        <v>269</v>
      </c>
      <c r="R3" s="329">
        <v>42917</v>
      </c>
      <c r="S3" s="330" t="s">
        <v>285</v>
      </c>
      <c r="T3" s="323" t="s">
        <v>337</v>
      </c>
      <c r="U3" s="330" t="s">
        <v>289</v>
      </c>
      <c r="V3" s="323" t="s">
        <v>290</v>
      </c>
      <c r="X3" s="318">
        <v>1.04</v>
      </c>
      <c r="Y3" s="320" t="s">
        <v>405</v>
      </c>
      <c r="Z3" s="320" t="s">
        <v>401</v>
      </c>
    </row>
    <row r="4" spans="1:26" x14ac:dyDescent="0.25">
      <c r="B4" s="210" t="s">
        <v>0</v>
      </c>
      <c r="C4" s="210" t="s">
        <v>19</v>
      </c>
      <c r="D4" s="202">
        <v>3.5</v>
      </c>
      <c r="E4" s="211">
        <f>D4</f>
        <v>3.5</v>
      </c>
      <c r="H4" s="170">
        <v>1</v>
      </c>
      <c r="I4" s="389" t="s">
        <v>270</v>
      </c>
      <c r="J4" s="390" t="s">
        <v>29</v>
      </c>
      <c r="K4" s="391">
        <f>E4+(E19*2)</f>
        <v>17.186</v>
      </c>
      <c r="L4" s="392">
        <v>45</v>
      </c>
      <c r="M4" s="393">
        <f>K4/L4</f>
        <v>0.38191111111111109</v>
      </c>
      <c r="N4" s="394">
        <f>K4*3</f>
        <v>51.558</v>
      </c>
      <c r="O4" s="395">
        <f>L4-N4</f>
        <v>-6.5579999999999998</v>
      </c>
      <c r="P4" s="396">
        <v>48</v>
      </c>
      <c r="Q4" s="397">
        <f>(P4-K4)/P4</f>
        <v>0.6419583333333333</v>
      </c>
      <c r="R4" s="398">
        <v>48</v>
      </c>
      <c r="S4" s="397">
        <f>(R4-K4)/R4</f>
        <v>0.6419583333333333</v>
      </c>
      <c r="T4" s="399">
        <v>50</v>
      </c>
      <c r="U4" s="397">
        <f>(T4-K4)/T4</f>
        <v>0.65627999999999997</v>
      </c>
      <c r="V4" s="400">
        <f>T4-N4</f>
        <v>-1.5579999999999998</v>
      </c>
      <c r="X4" s="317">
        <f>+R4*$X$3</f>
        <v>49.92</v>
      </c>
      <c r="Y4" s="319">
        <v>55</v>
      </c>
      <c r="Z4" s="319">
        <v>40</v>
      </c>
    </row>
    <row r="5" spans="1:26" ht="16.5" thickBot="1" x14ac:dyDescent="0.3">
      <c r="B5" s="212" t="s">
        <v>1</v>
      </c>
      <c r="C5" s="212" t="s">
        <v>19</v>
      </c>
      <c r="D5" s="33">
        <v>2.5</v>
      </c>
      <c r="E5" s="213">
        <f>D5</f>
        <v>2.5</v>
      </c>
      <c r="H5" s="170">
        <v>2</v>
      </c>
      <c r="I5" s="411" t="s">
        <v>270</v>
      </c>
      <c r="J5" s="412" t="s">
        <v>30</v>
      </c>
      <c r="K5" s="413">
        <f>E5+E19</f>
        <v>9.343</v>
      </c>
      <c r="L5" s="414">
        <v>26</v>
      </c>
      <c r="M5" s="415">
        <f>K5/L5</f>
        <v>0.35934615384615387</v>
      </c>
      <c r="N5" s="416">
        <f t="shared" ref="N5:N68" si="0">K5*3</f>
        <v>28.029</v>
      </c>
      <c r="O5" s="417">
        <f t="shared" ref="O5:O68" si="1">L5-N5</f>
        <v>-2.0289999999999999</v>
      </c>
      <c r="P5" s="418">
        <v>27</v>
      </c>
      <c r="Q5" s="419">
        <f t="shared" ref="Q5:Q68" si="2">(P5-K5)/P5</f>
        <v>0.65396296296296297</v>
      </c>
      <c r="R5" s="420">
        <v>27</v>
      </c>
      <c r="S5" s="419">
        <f t="shared" ref="S5:S68" si="3">(R5-K5)/R5</f>
        <v>0.65396296296296297</v>
      </c>
      <c r="T5" s="421">
        <v>28</v>
      </c>
      <c r="U5" s="419">
        <f t="shared" ref="U5:U68" si="4">(T5-K5)/T5</f>
        <v>0.66632142857142862</v>
      </c>
      <c r="V5" s="422">
        <f t="shared" ref="V5:V68" si="5">T5-N5</f>
        <v>-2.8999999999999915E-2</v>
      </c>
      <c r="X5" s="317">
        <f t="shared" ref="X5:X68" si="6">+R5*$X$3</f>
        <v>28.080000000000002</v>
      </c>
    </row>
    <row r="6" spans="1:26" x14ac:dyDescent="0.25">
      <c r="B6" s="212" t="s">
        <v>2</v>
      </c>
      <c r="C6" s="212" t="s">
        <v>19</v>
      </c>
      <c r="D6" s="33">
        <f>(2.3+2.3+3.5)/3</f>
        <v>2.6999999999999997</v>
      </c>
      <c r="E6" s="213">
        <f>D6</f>
        <v>2.6999999999999997</v>
      </c>
      <c r="H6" s="170">
        <v>3</v>
      </c>
      <c r="I6" s="354" t="s">
        <v>271</v>
      </c>
      <c r="J6" s="355" t="s">
        <v>31</v>
      </c>
      <c r="K6" s="356">
        <f>E4+(E20*6)</f>
        <v>23.346153846153847</v>
      </c>
      <c r="L6" s="357">
        <v>55</v>
      </c>
      <c r="M6" s="358">
        <f t="shared" ref="M6:M67" si="7">K6/L6</f>
        <v>0.4244755244755245</v>
      </c>
      <c r="N6" s="359">
        <f t="shared" si="0"/>
        <v>70.038461538461547</v>
      </c>
      <c r="O6" s="360">
        <f t="shared" si="1"/>
        <v>-15.038461538461547</v>
      </c>
      <c r="P6" s="361">
        <v>58</v>
      </c>
      <c r="Q6" s="362">
        <f t="shared" si="2"/>
        <v>0.59748010610079572</v>
      </c>
      <c r="R6" s="363">
        <v>58</v>
      </c>
      <c r="S6" s="362">
        <f t="shared" si="3"/>
        <v>0.59748010610079572</v>
      </c>
      <c r="T6" s="364">
        <v>62</v>
      </c>
      <c r="U6" s="362">
        <f t="shared" si="4"/>
        <v>0.62344913151364767</v>
      </c>
      <c r="V6" s="365">
        <f t="shared" si="5"/>
        <v>-8.0384615384615472</v>
      </c>
      <c r="X6" s="317">
        <f t="shared" si="6"/>
        <v>60.32</v>
      </c>
      <c r="Y6" s="319">
        <v>65</v>
      </c>
      <c r="Z6" s="319">
        <v>70</v>
      </c>
    </row>
    <row r="7" spans="1:26" x14ac:dyDescent="0.25">
      <c r="B7" s="214" t="s">
        <v>333</v>
      </c>
      <c r="C7" s="212" t="s">
        <v>326</v>
      </c>
      <c r="D7" s="34">
        <v>18</v>
      </c>
      <c r="E7" s="217">
        <f>D7/20</f>
        <v>0.9</v>
      </c>
      <c r="H7" s="170">
        <v>4</v>
      </c>
      <c r="I7" s="378" t="s">
        <v>271</v>
      </c>
      <c r="J7" s="379" t="s">
        <v>35</v>
      </c>
      <c r="K7" s="380">
        <f>E5+(E20*3)</f>
        <v>12.423076923076923</v>
      </c>
      <c r="L7" s="381">
        <v>31</v>
      </c>
      <c r="M7" s="382">
        <f>K7/L7</f>
        <v>0.40074441687344914</v>
      </c>
      <c r="N7" s="383">
        <f t="shared" si="0"/>
        <v>37.269230769230774</v>
      </c>
      <c r="O7" s="384">
        <f t="shared" si="1"/>
        <v>-6.2692307692307736</v>
      </c>
      <c r="P7" s="385">
        <v>32</v>
      </c>
      <c r="Q7" s="386">
        <f t="shared" si="2"/>
        <v>0.61177884615384615</v>
      </c>
      <c r="R7" s="387">
        <v>32</v>
      </c>
      <c r="S7" s="386">
        <f t="shared" si="3"/>
        <v>0.61177884615384615</v>
      </c>
      <c r="T7" s="269">
        <v>33</v>
      </c>
      <c r="U7" s="386">
        <f t="shared" si="4"/>
        <v>0.62354312354312358</v>
      </c>
      <c r="V7" s="388">
        <f t="shared" si="5"/>
        <v>-4.2692307692307736</v>
      </c>
      <c r="X7" s="317">
        <f t="shared" si="6"/>
        <v>33.28</v>
      </c>
    </row>
    <row r="8" spans="1:26" x14ac:dyDescent="0.25">
      <c r="A8" s="26"/>
      <c r="B8" s="214" t="s">
        <v>322</v>
      </c>
      <c r="C8" s="212" t="s">
        <v>327</v>
      </c>
      <c r="D8" s="34">
        <f>13+1</f>
        <v>14</v>
      </c>
      <c r="E8" s="217">
        <f>D8/45</f>
        <v>0.31111111111111112</v>
      </c>
      <c r="H8" s="170">
        <v>5</v>
      </c>
      <c r="I8" s="378" t="s">
        <v>271</v>
      </c>
      <c r="J8" s="379" t="s">
        <v>32</v>
      </c>
      <c r="K8" s="380">
        <f>E4+(E24*2)</f>
        <v>18.916666666666664</v>
      </c>
      <c r="L8" s="381">
        <v>55</v>
      </c>
      <c r="M8" s="382">
        <f t="shared" si="7"/>
        <v>0.34393939393939388</v>
      </c>
      <c r="N8" s="383">
        <f t="shared" si="0"/>
        <v>56.749999999999993</v>
      </c>
      <c r="O8" s="384">
        <f t="shared" si="1"/>
        <v>-1.7499999999999929</v>
      </c>
      <c r="P8" s="385">
        <v>58</v>
      </c>
      <c r="Q8" s="386">
        <f t="shared" si="2"/>
        <v>0.67385057471264376</v>
      </c>
      <c r="R8" s="387">
        <v>58</v>
      </c>
      <c r="S8" s="386">
        <f t="shared" si="3"/>
        <v>0.67385057471264376</v>
      </c>
      <c r="T8" s="269">
        <v>62</v>
      </c>
      <c r="U8" s="386">
        <f t="shared" si="4"/>
        <v>0.69489247311827962</v>
      </c>
      <c r="V8" s="388">
        <f t="shared" si="5"/>
        <v>5.2500000000000071</v>
      </c>
      <c r="X8" s="317">
        <f t="shared" si="6"/>
        <v>60.32</v>
      </c>
    </row>
    <row r="9" spans="1:26" ht="16.5" thickBot="1" x14ac:dyDescent="0.3">
      <c r="B9" s="214" t="s">
        <v>77</v>
      </c>
      <c r="C9" s="212" t="s">
        <v>18</v>
      </c>
      <c r="D9" s="34">
        <v>17</v>
      </c>
      <c r="E9" s="217">
        <f>D9/10</f>
        <v>1.7</v>
      </c>
      <c r="H9" s="170">
        <v>6</v>
      </c>
      <c r="I9" s="366" t="s">
        <v>271</v>
      </c>
      <c r="J9" s="367" t="s">
        <v>36</v>
      </c>
      <c r="K9" s="368">
        <f>E5+E24</f>
        <v>10.208333333333332</v>
      </c>
      <c r="L9" s="369">
        <v>31</v>
      </c>
      <c r="M9" s="370">
        <f t="shared" si="7"/>
        <v>0.32930107526881719</v>
      </c>
      <c r="N9" s="371">
        <f t="shared" si="0"/>
        <v>30.624999999999996</v>
      </c>
      <c r="O9" s="372">
        <f t="shared" si="1"/>
        <v>0.37500000000000355</v>
      </c>
      <c r="P9" s="373">
        <v>32</v>
      </c>
      <c r="Q9" s="374">
        <f t="shared" si="2"/>
        <v>0.68098958333333337</v>
      </c>
      <c r="R9" s="375">
        <v>32</v>
      </c>
      <c r="S9" s="374">
        <f t="shared" si="3"/>
        <v>0.68098958333333337</v>
      </c>
      <c r="T9" s="376">
        <v>33</v>
      </c>
      <c r="U9" s="374">
        <f t="shared" si="4"/>
        <v>0.69065656565656575</v>
      </c>
      <c r="V9" s="377">
        <f t="shared" si="5"/>
        <v>2.3750000000000036</v>
      </c>
      <c r="X9" s="317">
        <f t="shared" si="6"/>
        <v>33.28</v>
      </c>
    </row>
    <row r="10" spans="1:26" x14ac:dyDescent="0.25">
      <c r="B10" s="214" t="s">
        <v>323</v>
      </c>
      <c r="C10" s="212" t="s">
        <v>18</v>
      </c>
      <c r="D10" s="34">
        <v>15</v>
      </c>
      <c r="E10" s="217">
        <f>D10/10</f>
        <v>1.5</v>
      </c>
      <c r="H10" s="170">
        <v>7</v>
      </c>
      <c r="I10" s="335" t="s">
        <v>272</v>
      </c>
      <c r="J10" s="336" t="s">
        <v>274</v>
      </c>
      <c r="K10" s="146">
        <f>E4+(E20*6)+E23</f>
        <v>27.011153846153846</v>
      </c>
      <c r="L10" s="147">
        <v>60</v>
      </c>
      <c r="M10" s="148">
        <f t="shared" si="7"/>
        <v>0.45018589743589743</v>
      </c>
      <c r="N10" s="337">
        <f t="shared" si="0"/>
        <v>81.033461538461538</v>
      </c>
      <c r="O10" s="150">
        <f t="shared" si="1"/>
        <v>-21.033461538461538</v>
      </c>
      <c r="P10" s="352">
        <v>60</v>
      </c>
      <c r="Q10" s="339">
        <f t="shared" si="2"/>
        <v>0.54981410256410257</v>
      </c>
      <c r="R10" s="338">
        <v>65</v>
      </c>
      <c r="S10" s="339">
        <f t="shared" si="3"/>
        <v>0.58444378698224853</v>
      </c>
      <c r="T10" s="340">
        <v>68</v>
      </c>
      <c r="U10" s="339">
        <f t="shared" si="4"/>
        <v>0.60277714932126703</v>
      </c>
      <c r="V10" s="341">
        <f t="shared" si="5"/>
        <v>-13.033461538461538</v>
      </c>
      <c r="X10" s="317">
        <f t="shared" si="6"/>
        <v>67.600000000000009</v>
      </c>
    </row>
    <row r="11" spans="1:26" ht="16.5" thickBot="1" x14ac:dyDescent="0.3">
      <c r="B11" s="214" t="s">
        <v>4</v>
      </c>
      <c r="C11" s="212" t="s">
        <v>21</v>
      </c>
      <c r="D11" s="33">
        <v>100</v>
      </c>
      <c r="E11" s="217">
        <f>D11/100</f>
        <v>1</v>
      </c>
      <c r="H11" s="170">
        <v>8</v>
      </c>
      <c r="I11" s="342" t="s">
        <v>272</v>
      </c>
      <c r="J11" s="343" t="s">
        <v>275</v>
      </c>
      <c r="K11" s="156">
        <f>E5+(E20*3)+E23</f>
        <v>16.088076923076922</v>
      </c>
      <c r="L11" s="157">
        <v>33</v>
      </c>
      <c r="M11" s="158">
        <f t="shared" si="7"/>
        <v>0.4875174825174825</v>
      </c>
      <c r="N11" s="344">
        <f t="shared" si="0"/>
        <v>48.264230769230764</v>
      </c>
      <c r="O11" s="160">
        <f t="shared" si="1"/>
        <v>-15.264230769230764</v>
      </c>
      <c r="P11" s="353">
        <v>33</v>
      </c>
      <c r="Q11" s="346">
        <f t="shared" si="2"/>
        <v>0.5124825174825175</v>
      </c>
      <c r="R11" s="345">
        <v>35</v>
      </c>
      <c r="S11" s="346">
        <f t="shared" si="3"/>
        <v>0.54034065934065934</v>
      </c>
      <c r="T11" s="347">
        <v>36</v>
      </c>
      <c r="U11" s="346">
        <f t="shared" si="4"/>
        <v>0.55310897435897433</v>
      </c>
      <c r="V11" s="348">
        <f t="shared" si="5"/>
        <v>-12.264230769230764</v>
      </c>
      <c r="X11" s="317">
        <f t="shared" si="6"/>
        <v>36.4</v>
      </c>
    </row>
    <row r="12" spans="1:26" x14ac:dyDescent="0.25">
      <c r="B12" s="214" t="s">
        <v>7</v>
      </c>
      <c r="C12" s="212" t="s">
        <v>76</v>
      </c>
      <c r="D12" s="33">
        <v>47.5</v>
      </c>
      <c r="E12" s="217">
        <f>D12/50</f>
        <v>0.95</v>
      </c>
      <c r="H12" s="170">
        <v>9</v>
      </c>
      <c r="I12" s="335" t="s">
        <v>273</v>
      </c>
      <c r="J12" s="336" t="s">
        <v>40</v>
      </c>
      <c r="K12" s="146">
        <f>E4+(E22*2)</f>
        <v>17.2</v>
      </c>
      <c r="L12" s="147">
        <v>45</v>
      </c>
      <c r="M12" s="148">
        <f t="shared" si="7"/>
        <v>0.38222222222222219</v>
      </c>
      <c r="N12" s="337">
        <f t="shared" si="0"/>
        <v>51.599999999999994</v>
      </c>
      <c r="O12" s="150">
        <f t="shared" si="1"/>
        <v>-6.5999999999999943</v>
      </c>
      <c r="P12" s="151">
        <v>48</v>
      </c>
      <c r="Q12" s="152">
        <f t="shared" si="2"/>
        <v>0.64166666666666672</v>
      </c>
      <c r="R12" s="338">
        <v>48</v>
      </c>
      <c r="S12" s="339">
        <f t="shared" si="3"/>
        <v>0.64166666666666672</v>
      </c>
      <c r="T12" s="340">
        <v>50</v>
      </c>
      <c r="U12" s="339">
        <f t="shared" si="4"/>
        <v>0.65599999999999992</v>
      </c>
      <c r="V12" s="341">
        <f t="shared" si="5"/>
        <v>-1.5999999999999943</v>
      </c>
      <c r="X12" s="317">
        <f t="shared" si="6"/>
        <v>49.92</v>
      </c>
    </row>
    <row r="13" spans="1:26" x14ac:dyDescent="0.25">
      <c r="B13" s="214" t="s">
        <v>5</v>
      </c>
      <c r="C13" s="212" t="s">
        <v>17</v>
      </c>
      <c r="D13" s="33">
        <v>35</v>
      </c>
      <c r="E13" s="217">
        <f>D13/25</f>
        <v>1.4</v>
      </c>
      <c r="H13" s="170">
        <v>10</v>
      </c>
      <c r="I13" s="350" t="s">
        <v>273</v>
      </c>
      <c r="J13" s="17" t="s">
        <v>41</v>
      </c>
      <c r="K13" s="110">
        <f>E5+E22</f>
        <v>9.35</v>
      </c>
      <c r="L13" s="83">
        <v>26</v>
      </c>
      <c r="M13" s="84">
        <f t="shared" si="7"/>
        <v>0.35961538461538461</v>
      </c>
      <c r="N13" s="101">
        <f t="shared" si="0"/>
        <v>28.049999999999997</v>
      </c>
      <c r="O13" s="85">
        <f t="shared" si="1"/>
        <v>-2.0499999999999972</v>
      </c>
      <c r="P13" s="118">
        <v>27</v>
      </c>
      <c r="Q13" s="104">
        <f t="shared" si="2"/>
        <v>0.65370370370370368</v>
      </c>
      <c r="R13" s="201">
        <v>27</v>
      </c>
      <c r="S13" s="199">
        <f t="shared" si="3"/>
        <v>0.65370370370370368</v>
      </c>
      <c r="T13" s="268">
        <v>28</v>
      </c>
      <c r="U13" s="199">
        <f t="shared" si="4"/>
        <v>0.66607142857142854</v>
      </c>
      <c r="V13" s="351">
        <f t="shared" si="5"/>
        <v>-4.9999999999997158E-2</v>
      </c>
      <c r="X13" s="317">
        <f t="shared" si="6"/>
        <v>28.080000000000002</v>
      </c>
    </row>
    <row r="14" spans="1:26" x14ac:dyDescent="0.25">
      <c r="B14" s="214" t="s">
        <v>6</v>
      </c>
      <c r="C14" s="212" t="s">
        <v>17</v>
      </c>
      <c r="D14" s="33">
        <v>45</v>
      </c>
      <c r="E14" s="217">
        <f>D14/25</f>
        <v>1.8</v>
      </c>
      <c r="H14" s="170">
        <v>11</v>
      </c>
      <c r="I14" s="350" t="s">
        <v>273</v>
      </c>
      <c r="J14" s="17" t="s">
        <v>91</v>
      </c>
      <c r="K14" s="110">
        <f>E4+(E28*2)</f>
        <v>17.776923076923076</v>
      </c>
      <c r="L14" s="83">
        <v>48</v>
      </c>
      <c r="M14" s="84">
        <f t="shared" si="7"/>
        <v>0.37035256410256406</v>
      </c>
      <c r="N14" s="101">
        <f t="shared" si="0"/>
        <v>53.330769230769228</v>
      </c>
      <c r="O14" s="85">
        <f t="shared" si="1"/>
        <v>-5.3307692307692278</v>
      </c>
      <c r="P14" s="198">
        <v>48</v>
      </c>
      <c r="Q14" s="199">
        <f t="shared" si="2"/>
        <v>0.62964743589743588</v>
      </c>
      <c r="R14" s="201">
        <v>48</v>
      </c>
      <c r="S14" s="199">
        <f t="shared" si="3"/>
        <v>0.62964743589743588</v>
      </c>
      <c r="T14" s="268">
        <v>50</v>
      </c>
      <c r="U14" s="199">
        <f t="shared" si="4"/>
        <v>0.64446153846153853</v>
      </c>
      <c r="V14" s="351">
        <f t="shared" si="5"/>
        <v>-3.3307692307692278</v>
      </c>
      <c r="X14" s="317">
        <f t="shared" si="6"/>
        <v>49.92</v>
      </c>
    </row>
    <row r="15" spans="1:26" ht="16.5" thickBot="1" x14ac:dyDescent="0.3">
      <c r="B15" s="214" t="s">
        <v>325</v>
      </c>
      <c r="C15" s="212" t="s">
        <v>324</v>
      </c>
      <c r="D15" s="33">
        <v>25</v>
      </c>
      <c r="E15" s="217">
        <f>D15/50</f>
        <v>0.5</v>
      </c>
      <c r="H15" s="170">
        <v>12</v>
      </c>
      <c r="I15" s="342" t="s">
        <v>273</v>
      </c>
      <c r="J15" s="343" t="s">
        <v>92</v>
      </c>
      <c r="K15" s="156">
        <f>E5+E28</f>
        <v>9.638461538461538</v>
      </c>
      <c r="L15" s="157">
        <v>27</v>
      </c>
      <c r="M15" s="158">
        <f t="shared" si="7"/>
        <v>0.35698005698005697</v>
      </c>
      <c r="N15" s="344">
        <f t="shared" si="0"/>
        <v>28.915384615384614</v>
      </c>
      <c r="O15" s="160">
        <f t="shared" si="1"/>
        <v>-1.9153846153846139</v>
      </c>
      <c r="P15" s="353">
        <v>27</v>
      </c>
      <c r="Q15" s="346">
        <f t="shared" si="2"/>
        <v>0.64301994301994303</v>
      </c>
      <c r="R15" s="345">
        <v>27</v>
      </c>
      <c r="S15" s="346">
        <f t="shared" si="3"/>
        <v>0.64301994301994303</v>
      </c>
      <c r="T15" s="347">
        <v>28</v>
      </c>
      <c r="U15" s="346">
        <f t="shared" si="4"/>
        <v>0.65576923076923077</v>
      </c>
      <c r="V15" s="348">
        <f t="shared" si="5"/>
        <v>-0.91538461538461391</v>
      </c>
      <c r="X15" s="317">
        <f t="shared" si="6"/>
        <v>28.080000000000002</v>
      </c>
    </row>
    <row r="16" spans="1:26" x14ac:dyDescent="0.25">
      <c r="A16" s="26"/>
      <c r="B16" s="215"/>
      <c r="C16" s="215"/>
      <c r="D16" s="203"/>
      <c r="E16" s="216"/>
      <c r="H16" s="82">
        <v>13</v>
      </c>
      <c r="I16" s="428" t="s">
        <v>246</v>
      </c>
      <c r="J16" s="428" t="s">
        <v>55</v>
      </c>
      <c r="K16" s="429">
        <f>E6</f>
        <v>2.6999999999999997</v>
      </c>
      <c r="L16" s="430">
        <v>11</v>
      </c>
      <c r="M16" s="431">
        <f t="shared" si="7"/>
        <v>0.24545454545454543</v>
      </c>
      <c r="N16" s="432">
        <f t="shared" si="0"/>
        <v>8.1</v>
      </c>
      <c r="O16" s="433">
        <f t="shared" si="1"/>
        <v>2.9000000000000004</v>
      </c>
      <c r="P16" s="434">
        <v>11</v>
      </c>
      <c r="Q16" s="435">
        <f t="shared" si="2"/>
        <v>0.75454545454545463</v>
      </c>
      <c r="R16" s="436">
        <v>11</v>
      </c>
      <c r="S16" s="435">
        <f t="shared" si="3"/>
        <v>0.75454545454545463</v>
      </c>
      <c r="T16" s="437">
        <v>12</v>
      </c>
      <c r="U16" s="435">
        <f t="shared" si="4"/>
        <v>0.77500000000000002</v>
      </c>
      <c r="V16" s="433">
        <f t="shared" si="5"/>
        <v>3.9000000000000004</v>
      </c>
      <c r="X16" s="317">
        <f t="shared" si="6"/>
        <v>11.440000000000001</v>
      </c>
      <c r="Y16" s="319">
        <v>13</v>
      </c>
      <c r="Z16" s="321" t="s">
        <v>402</v>
      </c>
    </row>
    <row r="17" spans="2:26" ht="16.5" thickBot="1" x14ac:dyDescent="0.3">
      <c r="H17" s="82">
        <v>14</v>
      </c>
      <c r="I17" s="401" t="s">
        <v>246</v>
      </c>
      <c r="J17" s="401" t="s">
        <v>93</v>
      </c>
      <c r="K17" s="402">
        <f>E6+E19</f>
        <v>9.5429999999999993</v>
      </c>
      <c r="L17" s="403">
        <v>24</v>
      </c>
      <c r="M17" s="404">
        <f t="shared" si="7"/>
        <v>0.39762499999999995</v>
      </c>
      <c r="N17" s="405">
        <f t="shared" si="0"/>
        <v>28.628999999999998</v>
      </c>
      <c r="O17" s="406">
        <f t="shared" si="1"/>
        <v>-4.6289999999999978</v>
      </c>
      <c r="P17" s="407">
        <v>25</v>
      </c>
      <c r="Q17" s="408">
        <f t="shared" si="2"/>
        <v>0.61828000000000005</v>
      </c>
      <c r="R17" s="409">
        <v>25</v>
      </c>
      <c r="S17" s="408">
        <f t="shared" si="3"/>
        <v>0.61828000000000005</v>
      </c>
      <c r="T17" s="410">
        <v>26</v>
      </c>
      <c r="U17" s="408">
        <f t="shared" si="4"/>
        <v>0.63296153846153846</v>
      </c>
      <c r="V17" s="406">
        <f t="shared" si="5"/>
        <v>-2.6289999999999978</v>
      </c>
      <c r="X17" s="317">
        <f t="shared" si="6"/>
        <v>26</v>
      </c>
      <c r="Y17" s="319">
        <v>28</v>
      </c>
      <c r="Z17" s="319">
        <v>20</v>
      </c>
    </row>
    <row r="18" spans="2:26" ht="16.5" thickBot="1" x14ac:dyDescent="0.3">
      <c r="B18" s="283" t="s">
        <v>335</v>
      </c>
      <c r="C18" s="284" t="s">
        <v>336</v>
      </c>
      <c r="D18" s="285">
        <v>43101</v>
      </c>
      <c r="E18" s="286"/>
      <c r="H18" s="170">
        <v>15</v>
      </c>
      <c r="I18" s="401" t="s">
        <v>262</v>
      </c>
      <c r="J18" s="401" t="s">
        <v>51</v>
      </c>
      <c r="K18" s="402">
        <f>E7+E19</f>
        <v>7.7429999999999994</v>
      </c>
      <c r="L18" s="403">
        <v>24</v>
      </c>
      <c r="M18" s="404">
        <f t="shared" si="7"/>
        <v>0.322625</v>
      </c>
      <c r="N18" s="405">
        <f t="shared" si="0"/>
        <v>23.228999999999999</v>
      </c>
      <c r="O18" s="406">
        <f t="shared" si="1"/>
        <v>0.7710000000000008</v>
      </c>
      <c r="P18" s="407">
        <v>25</v>
      </c>
      <c r="Q18" s="408">
        <f t="shared" si="2"/>
        <v>0.69028</v>
      </c>
      <c r="R18" s="409">
        <v>25</v>
      </c>
      <c r="S18" s="408">
        <f t="shared" si="3"/>
        <v>0.69028</v>
      </c>
      <c r="T18" s="410">
        <v>26</v>
      </c>
      <c r="U18" s="408">
        <f t="shared" si="4"/>
        <v>0.70219230769230778</v>
      </c>
      <c r="V18" s="406">
        <f t="shared" si="5"/>
        <v>2.7710000000000008</v>
      </c>
      <c r="X18" s="317">
        <f t="shared" si="6"/>
        <v>26</v>
      </c>
    </row>
    <row r="19" spans="2:26" x14ac:dyDescent="0.25">
      <c r="B19" s="245" t="s">
        <v>8</v>
      </c>
      <c r="C19" s="210" t="s">
        <v>23</v>
      </c>
      <c r="D19" s="202">
        <f>+E43</f>
        <v>114.04999999999998</v>
      </c>
      <c r="E19" s="255">
        <f>D19*0.06</f>
        <v>6.8429999999999991</v>
      </c>
      <c r="H19" s="170">
        <v>16</v>
      </c>
      <c r="I19" s="17" t="s">
        <v>249</v>
      </c>
      <c r="J19" s="17" t="s">
        <v>52</v>
      </c>
      <c r="K19" s="110">
        <f>E15+E20+E20</f>
        <v>7.115384615384615</v>
      </c>
      <c r="L19" s="83">
        <v>24</v>
      </c>
      <c r="M19" s="84">
        <f t="shared" si="7"/>
        <v>0.29647435897435898</v>
      </c>
      <c r="N19" s="101">
        <f t="shared" si="0"/>
        <v>21.346153846153847</v>
      </c>
      <c r="O19" s="85">
        <f t="shared" si="1"/>
        <v>2.6538461538461533</v>
      </c>
      <c r="P19" s="198">
        <v>25</v>
      </c>
      <c r="Q19" s="199">
        <f t="shared" si="2"/>
        <v>0.71538461538461551</v>
      </c>
      <c r="R19" s="201">
        <v>25</v>
      </c>
      <c r="S19" s="199">
        <f t="shared" si="3"/>
        <v>0.71538461538461551</v>
      </c>
      <c r="T19" s="268">
        <v>26</v>
      </c>
      <c r="U19" s="199">
        <f t="shared" si="4"/>
        <v>0.72633136094674566</v>
      </c>
      <c r="V19" s="85">
        <f t="shared" si="5"/>
        <v>4.6538461538461533</v>
      </c>
      <c r="X19" s="317">
        <f t="shared" si="6"/>
        <v>26</v>
      </c>
    </row>
    <row r="20" spans="2:26" x14ac:dyDescent="0.25">
      <c r="B20" s="236" t="s">
        <v>12</v>
      </c>
      <c r="C20" s="212" t="s">
        <v>24</v>
      </c>
      <c r="D20" s="33">
        <v>215</v>
      </c>
      <c r="E20" s="256">
        <f>D20/65</f>
        <v>3.3076923076923075</v>
      </c>
      <c r="F20" s="7"/>
      <c r="H20" s="170">
        <v>17</v>
      </c>
      <c r="I20" s="401" t="s">
        <v>406</v>
      </c>
      <c r="J20" s="401" t="s">
        <v>247</v>
      </c>
      <c r="K20" s="402">
        <f>E9+E21+E29</f>
        <v>25.796666666666667</v>
      </c>
      <c r="L20" s="403">
        <v>45</v>
      </c>
      <c r="M20" s="404">
        <f t="shared" si="7"/>
        <v>0.57325925925925925</v>
      </c>
      <c r="N20" s="405">
        <f t="shared" si="0"/>
        <v>77.39</v>
      </c>
      <c r="O20" s="406">
        <f t="shared" si="1"/>
        <v>-32.39</v>
      </c>
      <c r="P20" s="407">
        <v>65</v>
      </c>
      <c r="Q20" s="408">
        <f t="shared" si="2"/>
        <v>0.60312820512820509</v>
      </c>
      <c r="R20" s="409">
        <v>65</v>
      </c>
      <c r="S20" s="408">
        <f t="shared" si="3"/>
        <v>0.60312820512820509</v>
      </c>
      <c r="T20" s="410">
        <v>68</v>
      </c>
      <c r="U20" s="408">
        <f t="shared" si="4"/>
        <v>0.62063725490196076</v>
      </c>
      <c r="V20" s="406">
        <f t="shared" si="5"/>
        <v>-9.39</v>
      </c>
      <c r="X20" s="317">
        <f t="shared" si="6"/>
        <v>67.600000000000009</v>
      </c>
    </row>
    <row r="21" spans="2:26" x14ac:dyDescent="0.25">
      <c r="B21" s="236" t="s">
        <v>11</v>
      </c>
      <c r="C21" s="212" t="s">
        <v>277</v>
      </c>
      <c r="D21" s="34">
        <v>215</v>
      </c>
      <c r="E21" s="256">
        <f>D21/12</f>
        <v>17.916666666666668</v>
      </c>
      <c r="F21" s="7"/>
      <c r="H21" s="82">
        <v>18</v>
      </c>
      <c r="I21" s="401" t="s">
        <v>406</v>
      </c>
      <c r="J21" s="401" t="s">
        <v>248</v>
      </c>
      <c r="K21" s="402">
        <f>E9+E29+E24</f>
        <v>15.588333333333333</v>
      </c>
      <c r="L21" s="403">
        <v>45</v>
      </c>
      <c r="M21" s="404">
        <f t="shared" si="7"/>
        <v>0.34640740740740739</v>
      </c>
      <c r="N21" s="405">
        <f t="shared" si="0"/>
        <v>46.765000000000001</v>
      </c>
      <c r="O21" s="406">
        <f t="shared" si="1"/>
        <v>-1.7650000000000006</v>
      </c>
      <c r="P21" s="407">
        <v>65</v>
      </c>
      <c r="Q21" s="408">
        <f t="shared" si="2"/>
        <v>0.76017948717948725</v>
      </c>
      <c r="R21" s="409">
        <v>65</v>
      </c>
      <c r="S21" s="408">
        <f t="shared" si="3"/>
        <v>0.76017948717948725</v>
      </c>
      <c r="T21" s="410">
        <v>68</v>
      </c>
      <c r="U21" s="408">
        <f t="shared" si="4"/>
        <v>0.77075980392156862</v>
      </c>
      <c r="V21" s="406">
        <f t="shared" si="5"/>
        <v>21.234999999999999</v>
      </c>
      <c r="X21" s="317">
        <f t="shared" si="6"/>
        <v>67.600000000000009</v>
      </c>
    </row>
    <row r="22" spans="2:26" x14ac:dyDescent="0.25">
      <c r="B22" s="236" t="s">
        <v>9</v>
      </c>
      <c r="C22" s="212" t="s">
        <v>212</v>
      </c>
      <c r="D22" s="34">
        <v>68.5</v>
      </c>
      <c r="E22" s="256">
        <f>D22/10</f>
        <v>6.85</v>
      </c>
      <c r="H22" s="82">
        <v>19</v>
      </c>
      <c r="I22" s="401" t="s">
        <v>407</v>
      </c>
      <c r="J22" s="401" t="s">
        <v>280</v>
      </c>
      <c r="K22" s="402">
        <f>(E21/2)+E29+E10</f>
        <v>16.638333333333335</v>
      </c>
      <c r="L22" s="403">
        <v>40</v>
      </c>
      <c r="M22" s="404">
        <f t="shared" si="7"/>
        <v>0.41595833333333337</v>
      </c>
      <c r="N22" s="405">
        <f t="shared" si="0"/>
        <v>49.915000000000006</v>
      </c>
      <c r="O22" s="406">
        <f t="shared" si="1"/>
        <v>-9.9150000000000063</v>
      </c>
      <c r="P22" s="407">
        <v>40</v>
      </c>
      <c r="Q22" s="408">
        <f t="shared" si="2"/>
        <v>0.58404166666666657</v>
      </c>
      <c r="R22" s="409">
        <v>40</v>
      </c>
      <c r="S22" s="408">
        <f t="shared" si="3"/>
        <v>0.58404166666666657</v>
      </c>
      <c r="T22" s="410">
        <v>42</v>
      </c>
      <c r="U22" s="408">
        <f t="shared" si="4"/>
        <v>0.60384920634920625</v>
      </c>
      <c r="V22" s="406">
        <f t="shared" si="5"/>
        <v>-7.9150000000000063</v>
      </c>
      <c r="X22" s="317">
        <f t="shared" si="6"/>
        <v>41.6</v>
      </c>
    </row>
    <row r="23" spans="2:26" x14ac:dyDescent="0.25">
      <c r="B23" s="236" t="s">
        <v>83</v>
      </c>
      <c r="C23" s="212" t="s">
        <v>84</v>
      </c>
      <c r="D23" s="34">
        <v>21.99</v>
      </c>
      <c r="E23" s="256">
        <f>D23/6</f>
        <v>3.6649999999999996</v>
      </c>
      <c r="H23" s="170">
        <v>20</v>
      </c>
      <c r="I23" s="401" t="s">
        <v>407</v>
      </c>
      <c r="J23" s="401" t="s">
        <v>98</v>
      </c>
      <c r="K23" s="402">
        <f>(E24/2)+E30+E11</f>
        <v>7.2827380952380949</v>
      </c>
      <c r="L23" s="403">
        <v>35</v>
      </c>
      <c r="M23" s="404">
        <f t="shared" si="7"/>
        <v>0.20807823129251699</v>
      </c>
      <c r="N23" s="405">
        <f t="shared" si="0"/>
        <v>21.848214285714285</v>
      </c>
      <c r="O23" s="406">
        <f t="shared" si="1"/>
        <v>13.151785714285715</v>
      </c>
      <c r="P23" s="407">
        <v>40</v>
      </c>
      <c r="Q23" s="408">
        <f t="shared" si="2"/>
        <v>0.81793154761904763</v>
      </c>
      <c r="R23" s="409">
        <v>40</v>
      </c>
      <c r="S23" s="408">
        <f t="shared" si="3"/>
        <v>0.81793154761904763</v>
      </c>
      <c r="T23" s="410">
        <v>42</v>
      </c>
      <c r="U23" s="408">
        <f t="shared" si="4"/>
        <v>0.82660147392290251</v>
      </c>
      <c r="V23" s="406">
        <f t="shared" si="5"/>
        <v>20.151785714285715</v>
      </c>
      <c r="X23" s="317">
        <f t="shared" si="6"/>
        <v>41.6</v>
      </c>
    </row>
    <row r="24" spans="2:26" x14ac:dyDescent="0.25">
      <c r="B24" s="236" t="s">
        <v>10</v>
      </c>
      <c r="C24" s="212" t="s">
        <v>16</v>
      </c>
      <c r="D24" s="34">
        <v>185</v>
      </c>
      <c r="E24" s="257">
        <f>D24/24</f>
        <v>7.708333333333333</v>
      </c>
      <c r="H24" s="170">
        <v>21</v>
      </c>
      <c r="I24" s="17" t="s">
        <v>276</v>
      </c>
      <c r="J24" s="17" t="s">
        <v>103</v>
      </c>
      <c r="K24" s="110">
        <f>(E21/2)+E8</f>
        <v>9.2694444444444457</v>
      </c>
      <c r="L24" s="83">
        <v>24</v>
      </c>
      <c r="M24" s="84">
        <f t="shared" si="7"/>
        <v>0.3862268518518519</v>
      </c>
      <c r="N24" s="101">
        <f t="shared" si="0"/>
        <v>27.808333333333337</v>
      </c>
      <c r="O24" s="85">
        <f t="shared" si="1"/>
        <v>-3.8083333333333371</v>
      </c>
      <c r="P24" s="118">
        <v>25</v>
      </c>
      <c r="Q24" s="104">
        <f>(P24-K24)/P24</f>
        <v>0.62922222222222213</v>
      </c>
      <c r="R24" s="201">
        <v>25</v>
      </c>
      <c r="S24" s="199">
        <f t="shared" si="3"/>
        <v>0.62922222222222213</v>
      </c>
      <c r="T24" s="268">
        <v>26</v>
      </c>
      <c r="U24" s="199">
        <f t="shared" si="4"/>
        <v>0.64348290598290592</v>
      </c>
      <c r="V24" s="85">
        <f t="shared" si="5"/>
        <v>-1.8083333333333371</v>
      </c>
      <c r="X24" s="317">
        <f t="shared" si="6"/>
        <v>26</v>
      </c>
    </row>
    <row r="25" spans="2:26" x14ac:dyDescent="0.25">
      <c r="B25" s="236" t="s">
        <v>13</v>
      </c>
      <c r="C25" s="212" t="s">
        <v>16</v>
      </c>
      <c r="D25" s="33">
        <v>122</v>
      </c>
      <c r="E25" s="256">
        <f>D25/14</f>
        <v>8.7142857142857135</v>
      </c>
      <c r="H25" s="170">
        <v>22</v>
      </c>
      <c r="I25" s="17" t="s">
        <v>276</v>
      </c>
      <c r="J25" s="17" t="s">
        <v>104</v>
      </c>
      <c r="K25" s="110">
        <f>(E24)+E8</f>
        <v>8.0194444444444439</v>
      </c>
      <c r="L25" s="83">
        <v>24</v>
      </c>
      <c r="M25" s="84">
        <f t="shared" si="7"/>
        <v>0.33414351851851848</v>
      </c>
      <c r="N25" s="101">
        <f t="shared" si="0"/>
        <v>24.05833333333333</v>
      </c>
      <c r="O25" s="85">
        <f t="shared" si="1"/>
        <v>-5.8333333333330017E-2</v>
      </c>
      <c r="P25" s="118">
        <v>25</v>
      </c>
      <c r="Q25" s="104">
        <f t="shared" si="2"/>
        <v>0.67922222222222217</v>
      </c>
      <c r="R25" s="201">
        <v>25</v>
      </c>
      <c r="S25" s="199">
        <f t="shared" si="3"/>
        <v>0.67922222222222217</v>
      </c>
      <c r="T25" s="268">
        <v>26</v>
      </c>
      <c r="U25" s="199">
        <f t="shared" si="4"/>
        <v>0.69155982905982905</v>
      </c>
      <c r="V25" s="85">
        <f t="shared" si="5"/>
        <v>1.94166666666667</v>
      </c>
      <c r="X25" s="317">
        <f t="shared" si="6"/>
        <v>26</v>
      </c>
    </row>
    <row r="26" spans="2:26" x14ac:dyDescent="0.25">
      <c r="B26" s="236" t="s">
        <v>82</v>
      </c>
      <c r="C26" s="212" t="s">
        <v>16</v>
      </c>
      <c r="D26" s="33">
        <v>82</v>
      </c>
      <c r="E26" s="256">
        <f>D26/14</f>
        <v>5.8571428571428568</v>
      </c>
      <c r="H26" s="170">
        <v>23</v>
      </c>
      <c r="I26" s="17" t="s">
        <v>250</v>
      </c>
      <c r="J26" s="17" t="s">
        <v>136</v>
      </c>
      <c r="K26" s="110">
        <f>E7+E29</f>
        <v>7.08</v>
      </c>
      <c r="L26" s="83">
        <v>23</v>
      </c>
      <c r="M26" s="84">
        <f t="shared" si="7"/>
        <v>0.30782608695652175</v>
      </c>
      <c r="N26" s="101">
        <f t="shared" si="0"/>
        <v>21.240000000000002</v>
      </c>
      <c r="O26" s="85">
        <f t="shared" si="1"/>
        <v>1.759999999999998</v>
      </c>
      <c r="P26" s="118">
        <v>24</v>
      </c>
      <c r="Q26" s="104">
        <f t="shared" si="2"/>
        <v>0.70500000000000007</v>
      </c>
      <c r="R26" s="201">
        <v>24</v>
      </c>
      <c r="S26" s="199">
        <f t="shared" si="3"/>
        <v>0.70500000000000007</v>
      </c>
      <c r="T26" s="268">
        <v>24</v>
      </c>
      <c r="U26" s="199">
        <f t="shared" si="4"/>
        <v>0.70500000000000007</v>
      </c>
      <c r="V26" s="85">
        <f t="shared" si="5"/>
        <v>2.759999999999998</v>
      </c>
      <c r="X26" s="317">
        <f t="shared" si="6"/>
        <v>24.96</v>
      </c>
    </row>
    <row r="27" spans="2:26" x14ac:dyDescent="0.25">
      <c r="B27" s="236" t="s">
        <v>14</v>
      </c>
      <c r="C27" s="212" t="s">
        <v>16</v>
      </c>
      <c r="D27" s="33">
        <v>145</v>
      </c>
      <c r="E27" s="256">
        <f>D27/14</f>
        <v>10.357142857142858</v>
      </c>
      <c r="H27" s="82">
        <v>24</v>
      </c>
      <c r="I27" s="17" t="s">
        <v>410</v>
      </c>
      <c r="J27" s="17" t="s">
        <v>53</v>
      </c>
      <c r="K27" s="110">
        <f>E7+E25</f>
        <v>9.6142857142857139</v>
      </c>
      <c r="L27" s="83">
        <v>24</v>
      </c>
      <c r="M27" s="84">
        <f t="shared" si="7"/>
        <v>0.40059523809523806</v>
      </c>
      <c r="N27" s="101">
        <f t="shared" si="0"/>
        <v>28.842857142857142</v>
      </c>
      <c r="O27" s="85">
        <f t="shared" si="1"/>
        <v>-4.8428571428571416</v>
      </c>
      <c r="P27" s="118">
        <v>25</v>
      </c>
      <c r="Q27" s="104">
        <f t="shared" si="2"/>
        <v>0.61542857142857144</v>
      </c>
      <c r="R27" s="201">
        <v>25</v>
      </c>
      <c r="S27" s="199">
        <f t="shared" si="3"/>
        <v>0.61542857142857144</v>
      </c>
      <c r="T27" s="268">
        <v>26</v>
      </c>
      <c r="U27" s="199">
        <f t="shared" si="4"/>
        <v>0.6302197802197802</v>
      </c>
      <c r="V27" s="85">
        <f t="shared" si="5"/>
        <v>-2.8428571428571416</v>
      </c>
      <c r="X27" s="317">
        <f t="shared" si="6"/>
        <v>26</v>
      </c>
    </row>
    <row r="28" spans="2:26" x14ac:dyDescent="0.25">
      <c r="B28" s="236" t="s">
        <v>89</v>
      </c>
      <c r="C28" s="212" t="s">
        <v>16</v>
      </c>
      <c r="D28" s="33">
        <v>92.8</v>
      </c>
      <c r="E28" s="256">
        <f>D28/13</f>
        <v>7.138461538461538</v>
      </c>
      <c r="H28" s="82">
        <v>25</v>
      </c>
      <c r="I28" s="17" t="s">
        <v>410</v>
      </c>
      <c r="J28" s="17" t="s">
        <v>71</v>
      </c>
      <c r="K28" s="110">
        <f>E7+E26</f>
        <v>6.7571428571428571</v>
      </c>
      <c r="L28" s="83">
        <v>24</v>
      </c>
      <c r="M28" s="84">
        <f t="shared" si="7"/>
        <v>0.28154761904761905</v>
      </c>
      <c r="N28" s="101">
        <f t="shared" si="0"/>
        <v>20.271428571428572</v>
      </c>
      <c r="O28" s="85">
        <f t="shared" si="1"/>
        <v>3.7285714285714278</v>
      </c>
      <c r="P28" s="118">
        <v>25</v>
      </c>
      <c r="Q28" s="104">
        <f t="shared" si="2"/>
        <v>0.72971428571428576</v>
      </c>
      <c r="R28" s="201">
        <v>25</v>
      </c>
      <c r="S28" s="199">
        <f t="shared" si="3"/>
        <v>0.72971428571428576</v>
      </c>
      <c r="T28" s="268">
        <v>26</v>
      </c>
      <c r="U28" s="199">
        <f t="shared" si="4"/>
        <v>0.74010989010989015</v>
      </c>
      <c r="V28" s="85">
        <f t="shared" si="5"/>
        <v>5.7285714285714278</v>
      </c>
      <c r="X28" s="317">
        <f t="shared" si="6"/>
        <v>26</v>
      </c>
    </row>
    <row r="29" spans="2:26" x14ac:dyDescent="0.25">
      <c r="B29" s="236" t="s">
        <v>242</v>
      </c>
      <c r="C29" s="212" t="s">
        <v>16</v>
      </c>
      <c r="D29" s="34">
        <v>103</v>
      </c>
      <c r="E29" s="256">
        <f>(D29/1000)*60</f>
        <v>6.18</v>
      </c>
      <c r="H29" s="82">
        <v>26</v>
      </c>
      <c r="I29" s="17" t="s">
        <v>410</v>
      </c>
      <c r="J29" s="17" t="s">
        <v>137</v>
      </c>
      <c r="K29" s="110">
        <f>E7+E22</f>
        <v>7.75</v>
      </c>
      <c r="L29" s="83">
        <v>25</v>
      </c>
      <c r="M29" s="84">
        <f t="shared" si="7"/>
        <v>0.31</v>
      </c>
      <c r="N29" s="101">
        <f t="shared" si="0"/>
        <v>23.25</v>
      </c>
      <c r="O29" s="85">
        <f t="shared" si="1"/>
        <v>1.75</v>
      </c>
      <c r="P29" s="118">
        <v>25</v>
      </c>
      <c r="Q29" s="104">
        <f t="shared" si="2"/>
        <v>0.69</v>
      </c>
      <c r="R29" s="201">
        <v>25</v>
      </c>
      <c r="S29" s="199">
        <f t="shared" si="3"/>
        <v>0.69</v>
      </c>
      <c r="T29" s="268">
        <v>26</v>
      </c>
      <c r="U29" s="199">
        <f t="shared" si="4"/>
        <v>0.70192307692307687</v>
      </c>
      <c r="V29" s="85">
        <f t="shared" si="5"/>
        <v>2.75</v>
      </c>
      <c r="X29" s="317">
        <f t="shared" si="6"/>
        <v>26</v>
      </c>
    </row>
    <row r="30" spans="2:26" x14ac:dyDescent="0.25">
      <c r="B30" s="239" t="s">
        <v>243</v>
      </c>
      <c r="C30" s="214" t="s">
        <v>16</v>
      </c>
      <c r="D30" s="34">
        <v>34</v>
      </c>
      <c r="E30" s="256">
        <f>D30/14</f>
        <v>2.4285714285714284</v>
      </c>
      <c r="H30" s="82">
        <v>27</v>
      </c>
      <c r="I30" s="17" t="s">
        <v>410</v>
      </c>
      <c r="J30" s="17" t="s">
        <v>106</v>
      </c>
      <c r="K30" s="110">
        <f>E7+E28</f>
        <v>8.0384615384615383</v>
      </c>
      <c r="L30" s="83">
        <v>25</v>
      </c>
      <c r="M30" s="84">
        <f t="shared" si="7"/>
        <v>0.32153846153846155</v>
      </c>
      <c r="N30" s="101">
        <f t="shared" si="0"/>
        <v>24.115384615384613</v>
      </c>
      <c r="O30" s="85">
        <f t="shared" si="1"/>
        <v>0.8846153846153868</v>
      </c>
      <c r="P30" s="118">
        <v>25</v>
      </c>
      <c r="Q30" s="104">
        <f t="shared" si="2"/>
        <v>0.67846153846153845</v>
      </c>
      <c r="R30" s="201">
        <v>25</v>
      </c>
      <c r="S30" s="199">
        <f t="shared" si="3"/>
        <v>0.67846153846153845</v>
      </c>
      <c r="T30" s="268">
        <v>26</v>
      </c>
      <c r="U30" s="199">
        <f t="shared" si="4"/>
        <v>0.69082840236686383</v>
      </c>
      <c r="V30" s="85">
        <f t="shared" si="5"/>
        <v>1.8846153846153868</v>
      </c>
      <c r="X30" s="317">
        <f t="shared" si="6"/>
        <v>26</v>
      </c>
    </row>
    <row r="31" spans="2:26" ht="16.5" thickBot="1" x14ac:dyDescent="0.3">
      <c r="B31" s="239" t="s">
        <v>80</v>
      </c>
      <c r="C31" s="214" t="s">
        <v>16</v>
      </c>
      <c r="D31" s="34">
        <v>66</v>
      </c>
      <c r="E31" s="256">
        <f>D31/14</f>
        <v>4.7142857142857144</v>
      </c>
      <c r="H31" s="82">
        <v>28</v>
      </c>
      <c r="I31" s="17" t="s">
        <v>410</v>
      </c>
      <c r="J31" s="125" t="s">
        <v>54</v>
      </c>
      <c r="K31" s="126">
        <f>E7+E27</f>
        <v>11.257142857142858</v>
      </c>
      <c r="L31" s="127">
        <v>28</v>
      </c>
      <c r="M31" s="128">
        <f t="shared" si="7"/>
        <v>0.40204081632653066</v>
      </c>
      <c r="N31" s="447">
        <f t="shared" si="0"/>
        <v>33.771428571428572</v>
      </c>
      <c r="O31" s="130">
        <f t="shared" si="1"/>
        <v>-5.7714285714285722</v>
      </c>
      <c r="P31" s="131">
        <v>33</v>
      </c>
      <c r="Q31" s="132">
        <f t="shared" si="2"/>
        <v>0.65887445887445883</v>
      </c>
      <c r="R31" s="448">
        <v>33</v>
      </c>
      <c r="S31" s="449">
        <f t="shared" si="3"/>
        <v>0.65887445887445883</v>
      </c>
      <c r="T31" s="450">
        <v>34</v>
      </c>
      <c r="U31" s="449">
        <f t="shared" si="4"/>
        <v>0.66890756302521004</v>
      </c>
      <c r="V31" s="130">
        <f t="shared" si="5"/>
        <v>0.22857142857142776</v>
      </c>
      <c r="X31" s="317">
        <f t="shared" si="6"/>
        <v>34.32</v>
      </c>
    </row>
    <row r="32" spans="2:26" x14ac:dyDescent="0.25">
      <c r="B32" s="239" t="s">
        <v>141</v>
      </c>
      <c r="C32" s="214" t="s">
        <v>16</v>
      </c>
      <c r="D32" s="34">
        <v>78</v>
      </c>
      <c r="E32" s="257">
        <f>+D32/12</f>
        <v>6.5</v>
      </c>
      <c r="F32" s="26"/>
      <c r="G32" s="26"/>
      <c r="H32" s="170">
        <v>29</v>
      </c>
      <c r="I32" s="451" t="s">
        <v>408</v>
      </c>
      <c r="J32" s="452" t="s">
        <v>114</v>
      </c>
      <c r="K32" s="453">
        <f>+E25+E25+E35</f>
        <v>22.580086580086579</v>
      </c>
      <c r="L32" s="454">
        <v>65</v>
      </c>
      <c r="M32" s="455">
        <f t="shared" si="7"/>
        <v>0.34738594738594736</v>
      </c>
      <c r="N32" s="456">
        <f t="shared" si="0"/>
        <v>67.740259740259745</v>
      </c>
      <c r="O32" s="457">
        <f t="shared" si="1"/>
        <v>-2.7402597402597451</v>
      </c>
      <c r="P32" s="458">
        <v>65</v>
      </c>
      <c r="Q32" s="459">
        <f t="shared" si="2"/>
        <v>0.65261405261405259</v>
      </c>
      <c r="R32" s="460">
        <v>65</v>
      </c>
      <c r="S32" s="459">
        <f t="shared" si="3"/>
        <v>0.65261405261405259</v>
      </c>
      <c r="T32" s="461">
        <v>68</v>
      </c>
      <c r="U32" s="459">
        <f t="shared" si="4"/>
        <v>0.66793990323402086</v>
      </c>
      <c r="V32" s="462">
        <f t="shared" si="5"/>
        <v>0.25974025974025494</v>
      </c>
      <c r="X32" s="317">
        <f t="shared" si="6"/>
        <v>67.600000000000009</v>
      </c>
    </row>
    <row r="33" spans="2:24" x14ac:dyDescent="0.25">
      <c r="B33" s="239" t="s">
        <v>142</v>
      </c>
      <c r="C33" s="214" t="s">
        <v>16</v>
      </c>
      <c r="D33" s="34">
        <v>47</v>
      </c>
      <c r="E33" s="257">
        <f>+D33/16.6</f>
        <v>2.831325301204819</v>
      </c>
      <c r="F33" s="26"/>
      <c r="G33" s="26"/>
      <c r="H33" s="170">
        <v>30</v>
      </c>
      <c r="I33" s="463" t="s">
        <v>109</v>
      </c>
      <c r="J33" s="401" t="s">
        <v>115</v>
      </c>
      <c r="K33" s="402">
        <f>E26+E26+E35</f>
        <v>16.865800865800864</v>
      </c>
      <c r="L33" s="403">
        <v>65</v>
      </c>
      <c r="M33" s="404">
        <f t="shared" si="7"/>
        <v>0.25947385947385943</v>
      </c>
      <c r="N33" s="405">
        <f t="shared" si="0"/>
        <v>50.597402597402592</v>
      </c>
      <c r="O33" s="406">
        <f t="shared" si="1"/>
        <v>14.402597402597408</v>
      </c>
      <c r="P33" s="407">
        <v>65</v>
      </c>
      <c r="Q33" s="408">
        <f t="shared" si="2"/>
        <v>0.74052614052614052</v>
      </c>
      <c r="R33" s="409">
        <v>65</v>
      </c>
      <c r="S33" s="408">
        <f t="shared" si="3"/>
        <v>0.74052614052614052</v>
      </c>
      <c r="T33" s="410">
        <v>68</v>
      </c>
      <c r="U33" s="408">
        <f t="shared" si="4"/>
        <v>0.75197351667939905</v>
      </c>
      <c r="V33" s="464">
        <f t="shared" si="5"/>
        <v>17.402597402597408</v>
      </c>
      <c r="X33" s="317">
        <f t="shared" si="6"/>
        <v>67.600000000000009</v>
      </c>
    </row>
    <row r="34" spans="2:24" ht="16.5" thickBot="1" x14ac:dyDescent="0.3">
      <c r="B34" s="239" t="s">
        <v>328</v>
      </c>
      <c r="C34" s="214" t="s">
        <v>16</v>
      </c>
      <c r="D34" s="34">
        <v>17</v>
      </c>
      <c r="E34" s="257">
        <f>+D34/16.6</f>
        <v>1.0240963855421685</v>
      </c>
      <c r="H34" s="170">
        <v>31</v>
      </c>
      <c r="I34" s="465" t="s">
        <v>109</v>
      </c>
      <c r="J34" s="466" t="s">
        <v>116</v>
      </c>
      <c r="K34" s="467">
        <f>E28+E28+E35</f>
        <v>19.428438228438228</v>
      </c>
      <c r="L34" s="468">
        <v>65</v>
      </c>
      <c r="M34" s="469">
        <f t="shared" si="7"/>
        <v>0.29889904966828046</v>
      </c>
      <c r="N34" s="470">
        <f t="shared" si="0"/>
        <v>58.285314685314688</v>
      </c>
      <c r="O34" s="471">
        <f t="shared" si="1"/>
        <v>6.7146853146853118</v>
      </c>
      <c r="P34" s="472">
        <v>65</v>
      </c>
      <c r="Q34" s="473">
        <f t="shared" si="2"/>
        <v>0.7011009503317196</v>
      </c>
      <c r="R34" s="474">
        <v>65</v>
      </c>
      <c r="S34" s="473">
        <f t="shared" si="3"/>
        <v>0.7011009503317196</v>
      </c>
      <c r="T34" s="475">
        <v>68</v>
      </c>
      <c r="U34" s="473">
        <f t="shared" si="4"/>
        <v>0.71428767311120256</v>
      </c>
      <c r="V34" s="476">
        <f t="shared" si="5"/>
        <v>9.7146853146853118</v>
      </c>
      <c r="X34" s="317">
        <f t="shared" si="6"/>
        <v>67.600000000000009</v>
      </c>
    </row>
    <row r="35" spans="2:24" x14ac:dyDescent="0.25">
      <c r="B35" s="236" t="s">
        <v>120</v>
      </c>
      <c r="C35" s="212" t="s">
        <v>16</v>
      </c>
      <c r="D35" s="34">
        <v>17</v>
      </c>
      <c r="E35" s="257">
        <f>+D35/3.3</f>
        <v>5.1515151515151514</v>
      </c>
      <c r="H35" s="170">
        <v>32</v>
      </c>
      <c r="I35" s="477" t="s">
        <v>109</v>
      </c>
      <c r="J35" s="428" t="s">
        <v>117</v>
      </c>
      <c r="K35" s="429">
        <f>E27+E27+E35</f>
        <v>25.865800865800868</v>
      </c>
      <c r="L35" s="430">
        <v>75</v>
      </c>
      <c r="M35" s="431">
        <f t="shared" si="7"/>
        <v>0.34487734487734489</v>
      </c>
      <c r="N35" s="432">
        <f t="shared" si="0"/>
        <v>77.597402597402606</v>
      </c>
      <c r="O35" s="433">
        <f t="shared" si="1"/>
        <v>-2.5974025974026063</v>
      </c>
      <c r="P35" s="434">
        <v>75</v>
      </c>
      <c r="Q35" s="435">
        <f t="shared" si="2"/>
        <v>0.65512265512265511</v>
      </c>
      <c r="R35" s="436">
        <v>75</v>
      </c>
      <c r="S35" s="435">
        <f t="shared" si="3"/>
        <v>0.65512265512265511</v>
      </c>
      <c r="T35" s="437">
        <v>78</v>
      </c>
      <c r="U35" s="435">
        <f t="shared" si="4"/>
        <v>0.66838716838716838</v>
      </c>
      <c r="V35" s="478">
        <f t="shared" si="5"/>
        <v>0.40259740259739374</v>
      </c>
      <c r="X35" s="317">
        <f t="shared" si="6"/>
        <v>78</v>
      </c>
    </row>
    <row r="36" spans="2:24" x14ac:dyDescent="0.25">
      <c r="B36" s="239" t="s">
        <v>245</v>
      </c>
      <c r="C36" s="214" t="s">
        <v>16</v>
      </c>
      <c r="D36" s="34">
        <v>0</v>
      </c>
      <c r="E36" s="256">
        <f>D36/14</f>
        <v>0</v>
      </c>
      <c r="H36" s="170">
        <v>33</v>
      </c>
      <c r="I36" s="463" t="s">
        <v>109</v>
      </c>
      <c r="J36" s="401" t="s">
        <v>118</v>
      </c>
      <c r="K36" s="402">
        <f>E21+E21+E35</f>
        <v>40.984848484848484</v>
      </c>
      <c r="L36" s="403">
        <v>75</v>
      </c>
      <c r="M36" s="404">
        <f t="shared" si="7"/>
        <v>0.54646464646464643</v>
      </c>
      <c r="N36" s="405">
        <f t="shared" si="0"/>
        <v>122.95454545454545</v>
      </c>
      <c r="O36" s="406">
        <f t="shared" si="1"/>
        <v>-47.954545454545453</v>
      </c>
      <c r="P36" s="407">
        <v>75</v>
      </c>
      <c r="Q36" s="408">
        <f t="shared" si="2"/>
        <v>0.45353535353535351</v>
      </c>
      <c r="R36" s="409">
        <v>75</v>
      </c>
      <c r="S36" s="408">
        <f t="shared" si="3"/>
        <v>0.45353535353535351</v>
      </c>
      <c r="T36" s="410">
        <v>78</v>
      </c>
      <c r="U36" s="408">
        <f t="shared" si="4"/>
        <v>0.47455322455322457</v>
      </c>
      <c r="V36" s="464">
        <f t="shared" si="5"/>
        <v>-44.954545454545453</v>
      </c>
      <c r="X36" s="317">
        <f t="shared" si="6"/>
        <v>78</v>
      </c>
    </row>
    <row r="37" spans="2:24" ht="16.5" thickBot="1" x14ac:dyDescent="0.3">
      <c r="B37" s="239" t="s">
        <v>146</v>
      </c>
      <c r="C37" s="214" t="s">
        <v>16</v>
      </c>
      <c r="D37" s="34">
        <v>38.5</v>
      </c>
      <c r="E37" s="257">
        <f>+D37/16.6</f>
        <v>2.3192771084337349</v>
      </c>
      <c r="H37" s="170">
        <v>34</v>
      </c>
      <c r="I37" s="465" t="s">
        <v>109</v>
      </c>
      <c r="J37" s="466" t="s">
        <v>119</v>
      </c>
      <c r="K37" s="467">
        <f>E24+E24+E35</f>
        <v>20.568181818181817</v>
      </c>
      <c r="L37" s="468">
        <v>75</v>
      </c>
      <c r="M37" s="469">
        <f t="shared" si="7"/>
        <v>0.27424242424242423</v>
      </c>
      <c r="N37" s="470">
        <f t="shared" si="0"/>
        <v>61.704545454545453</v>
      </c>
      <c r="O37" s="471">
        <f t="shared" si="1"/>
        <v>13.295454545454547</v>
      </c>
      <c r="P37" s="472">
        <v>75</v>
      </c>
      <c r="Q37" s="473">
        <f t="shared" si="2"/>
        <v>0.72575757575757582</v>
      </c>
      <c r="R37" s="474">
        <v>75</v>
      </c>
      <c r="S37" s="473">
        <f t="shared" si="3"/>
        <v>0.72575757575757582</v>
      </c>
      <c r="T37" s="475">
        <v>78</v>
      </c>
      <c r="U37" s="473">
        <f t="shared" si="4"/>
        <v>0.73630536130536139</v>
      </c>
      <c r="V37" s="476">
        <f t="shared" si="5"/>
        <v>16.295454545454547</v>
      </c>
      <c r="X37" s="317">
        <f t="shared" si="6"/>
        <v>78</v>
      </c>
    </row>
    <row r="38" spans="2:24" x14ac:dyDescent="0.25">
      <c r="B38" s="239" t="s">
        <v>193</v>
      </c>
      <c r="C38" s="214" t="s">
        <v>16</v>
      </c>
      <c r="D38" s="34">
        <v>68</v>
      </c>
      <c r="E38" s="247">
        <f>+D38/16</f>
        <v>4.25</v>
      </c>
      <c r="H38" s="82">
        <v>35</v>
      </c>
      <c r="I38" s="135" t="s">
        <v>107</v>
      </c>
      <c r="J38" s="135" t="s">
        <v>45</v>
      </c>
      <c r="K38" s="136">
        <f>E9+E29+E19</f>
        <v>14.722999999999999</v>
      </c>
      <c r="L38" s="137">
        <v>45</v>
      </c>
      <c r="M38" s="138">
        <f t="shared" si="7"/>
        <v>0.32717777777777773</v>
      </c>
      <c r="N38" s="331">
        <f t="shared" si="0"/>
        <v>44.168999999999997</v>
      </c>
      <c r="O38" s="140">
        <f t="shared" si="1"/>
        <v>0.83100000000000307</v>
      </c>
      <c r="P38" s="349">
        <v>45</v>
      </c>
      <c r="Q38" s="333">
        <f t="shared" si="2"/>
        <v>0.67282222222222221</v>
      </c>
      <c r="R38" s="332">
        <v>45</v>
      </c>
      <c r="S38" s="333">
        <f t="shared" si="3"/>
        <v>0.67282222222222221</v>
      </c>
      <c r="T38" s="334">
        <v>45</v>
      </c>
      <c r="U38" s="333">
        <f t="shared" si="4"/>
        <v>0.67282222222222221</v>
      </c>
      <c r="V38" s="140">
        <f t="shared" si="5"/>
        <v>0.83100000000000307</v>
      </c>
      <c r="X38" s="317">
        <f>+R38*$X$3</f>
        <v>46.800000000000004</v>
      </c>
    </row>
    <row r="39" spans="2:24" x14ac:dyDescent="0.25">
      <c r="B39" s="239" t="s">
        <v>278</v>
      </c>
      <c r="C39" s="212" t="s">
        <v>16</v>
      </c>
      <c r="D39" s="34">
        <v>63</v>
      </c>
      <c r="E39" s="258">
        <f>+D39/5</f>
        <v>12.6</v>
      </c>
      <c r="H39" s="82">
        <v>36</v>
      </c>
      <c r="I39" s="379" t="s">
        <v>107</v>
      </c>
      <c r="J39" s="379" t="s">
        <v>46</v>
      </c>
      <c r="K39" s="380">
        <f>E9+E25+E29</f>
        <v>16.594285714285711</v>
      </c>
      <c r="L39" s="381">
        <v>42</v>
      </c>
      <c r="M39" s="382">
        <f t="shared" si="7"/>
        <v>0.39510204081632644</v>
      </c>
      <c r="N39" s="383">
        <f t="shared" si="0"/>
        <v>49.782857142857132</v>
      </c>
      <c r="O39" s="384">
        <f t="shared" si="1"/>
        <v>-7.7828571428571323</v>
      </c>
      <c r="P39" s="385">
        <v>50</v>
      </c>
      <c r="Q39" s="386">
        <f t="shared" si="2"/>
        <v>0.66811428571428577</v>
      </c>
      <c r="R39" s="387">
        <v>50</v>
      </c>
      <c r="S39" s="386">
        <f t="shared" si="3"/>
        <v>0.66811428571428577</v>
      </c>
      <c r="T39" s="269">
        <v>52</v>
      </c>
      <c r="U39" s="386">
        <f t="shared" si="4"/>
        <v>0.68087912087912095</v>
      </c>
      <c r="V39" s="384">
        <f t="shared" si="5"/>
        <v>2.2171428571428677</v>
      </c>
      <c r="X39" s="317">
        <f t="shared" si="6"/>
        <v>52</v>
      </c>
    </row>
    <row r="40" spans="2:24" x14ac:dyDescent="0.25">
      <c r="B40" s="239" t="s">
        <v>211</v>
      </c>
      <c r="C40" s="212" t="s">
        <v>16</v>
      </c>
      <c r="D40" s="34">
        <v>30</v>
      </c>
      <c r="E40" s="258">
        <f>+D40/6.6</f>
        <v>4.5454545454545459</v>
      </c>
      <c r="H40" s="82">
        <v>37</v>
      </c>
      <c r="I40" s="379" t="s">
        <v>107</v>
      </c>
      <c r="J40" s="379" t="s">
        <v>47</v>
      </c>
      <c r="K40" s="380">
        <f>E9+E29+E26</f>
        <v>13.737142857142857</v>
      </c>
      <c r="L40" s="381">
        <v>42</v>
      </c>
      <c r="M40" s="382">
        <f t="shared" si="7"/>
        <v>0.32707482993197279</v>
      </c>
      <c r="N40" s="383">
        <f t="shared" si="0"/>
        <v>41.21142857142857</v>
      </c>
      <c r="O40" s="384">
        <f t="shared" si="1"/>
        <v>0.78857142857143003</v>
      </c>
      <c r="P40" s="385">
        <v>50</v>
      </c>
      <c r="Q40" s="386">
        <f t="shared" si="2"/>
        <v>0.72525714285714282</v>
      </c>
      <c r="R40" s="387">
        <v>50</v>
      </c>
      <c r="S40" s="386">
        <f t="shared" si="3"/>
        <v>0.72525714285714282</v>
      </c>
      <c r="T40" s="269">
        <v>52</v>
      </c>
      <c r="U40" s="386">
        <f t="shared" si="4"/>
        <v>0.73582417582417581</v>
      </c>
      <c r="V40" s="384">
        <f t="shared" si="5"/>
        <v>10.78857142857143</v>
      </c>
      <c r="X40" s="317">
        <f t="shared" si="6"/>
        <v>52</v>
      </c>
    </row>
    <row r="41" spans="2:24" ht="16.5" thickBot="1" x14ac:dyDescent="0.3">
      <c r="B41" s="241" t="s">
        <v>188</v>
      </c>
      <c r="C41" s="259" t="s">
        <v>16</v>
      </c>
      <c r="D41" s="260">
        <v>7.14</v>
      </c>
      <c r="E41" s="261">
        <f>+D41</f>
        <v>7.14</v>
      </c>
      <c r="H41" s="82">
        <v>38</v>
      </c>
      <c r="I41" s="379" t="s">
        <v>107</v>
      </c>
      <c r="J41" s="379" t="s">
        <v>113</v>
      </c>
      <c r="K41" s="380">
        <f>E28+E29+E9</f>
        <v>15.018461538461537</v>
      </c>
      <c r="L41" s="381">
        <v>50</v>
      </c>
      <c r="M41" s="382">
        <f t="shared" si="7"/>
        <v>0.30036923076923072</v>
      </c>
      <c r="N41" s="383">
        <f t="shared" si="0"/>
        <v>45.055384615384611</v>
      </c>
      <c r="O41" s="384">
        <f t="shared" si="1"/>
        <v>4.9446153846153891</v>
      </c>
      <c r="P41" s="385">
        <v>50</v>
      </c>
      <c r="Q41" s="386">
        <f t="shared" si="2"/>
        <v>0.69963076923076928</v>
      </c>
      <c r="R41" s="387">
        <v>50</v>
      </c>
      <c r="S41" s="386">
        <f t="shared" si="3"/>
        <v>0.69963076923076928</v>
      </c>
      <c r="T41" s="269">
        <v>52</v>
      </c>
      <c r="U41" s="386">
        <f t="shared" si="4"/>
        <v>0.71118343195266276</v>
      </c>
      <c r="V41" s="384">
        <f t="shared" si="5"/>
        <v>6.9446153846153891</v>
      </c>
      <c r="X41" s="317">
        <f t="shared" si="6"/>
        <v>52</v>
      </c>
    </row>
    <row r="42" spans="2:24" ht="16.5" thickBot="1" x14ac:dyDescent="0.3">
      <c r="H42" s="82">
        <v>39</v>
      </c>
      <c r="I42" s="379" t="s">
        <v>107</v>
      </c>
      <c r="J42" s="379" t="s">
        <v>48</v>
      </c>
      <c r="K42" s="380">
        <f>E27+E29+E9</f>
        <v>18.237142857142857</v>
      </c>
      <c r="L42" s="381">
        <v>45</v>
      </c>
      <c r="M42" s="382">
        <f t="shared" si="7"/>
        <v>0.40526984126984128</v>
      </c>
      <c r="N42" s="383">
        <f t="shared" si="0"/>
        <v>54.71142857142857</v>
      </c>
      <c r="O42" s="384">
        <f t="shared" si="1"/>
        <v>-9.71142857142857</v>
      </c>
      <c r="P42" s="385">
        <v>60</v>
      </c>
      <c r="Q42" s="386">
        <f t="shared" si="2"/>
        <v>0.69604761904761903</v>
      </c>
      <c r="R42" s="387">
        <v>60</v>
      </c>
      <c r="S42" s="386">
        <f t="shared" si="3"/>
        <v>0.69604761904761903</v>
      </c>
      <c r="T42" s="269">
        <v>62</v>
      </c>
      <c r="U42" s="386">
        <f t="shared" si="4"/>
        <v>0.70585253456221198</v>
      </c>
      <c r="V42" s="384">
        <f t="shared" si="5"/>
        <v>7.28857142857143</v>
      </c>
      <c r="X42" s="317">
        <f t="shared" si="6"/>
        <v>62.400000000000006</v>
      </c>
    </row>
    <row r="43" spans="2:24" ht="16.5" thickBot="1" x14ac:dyDescent="0.3">
      <c r="B43" s="271" t="s">
        <v>334</v>
      </c>
      <c r="C43" s="272" t="s">
        <v>321</v>
      </c>
      <c r="D43" s="276">
        <v>43118</v>
      </c>
      <c r="E43" s="282">
        <f>SUM(E44:E47)</f>
        <v>114.04999999999998</v>
      </c>
      <c r="H43" s="82">
        <v>40</v>
      </c>
      <c r="I43" s="17" t="s">
        <v>108</v>
      </c>
      <c r="J43" s="17" t="s">
        <v>56</v>
      </c>
      <c r="K43" s="110">
        <f>E8+E25+E29</f>
        <v>15.205396825396825</v>
      </c>
      <c r="L43" s="83">
        <v>38</v>
      </c>
      <c r="M43" s="84">
        <f t="shared" si="7"/>
        <v>0.40014202172096908</v>
      </c>
      <c r="N43" s="101">
        <f t="shared" si="0"/>
        <v>45.616190476190475</v>
      </c>
      <c r="O43" s="85">
        <f t="shared" si="1"/>
        <v>-7.6161904761904751</v>
      </c>
      <c r="P43" s="118">
        <v>40</v>
      </c>
      <c r="Q43" s="104">
        <f t="shared" si="2"/>
        <v>0.6198650793650794</v>
      </c>
      <c r="R43" s="201">
        <v>40</v>
      </c>
      <c r="S43" s="199">
        <f t="shared" si="3"/>
        <v>0.6198650793650794</v>
      </c>
      <c r="T43" s="268">
        <v>42</v>
      </c>
      <c r="U43" s="199">
        <f t="shared" si="4"/>
        <v>0.63796674225245653</v>
      </c>
      <c r="V43" s="85">
        <f t="shared" si="5"/>
        <v>-3.6161904761904751</v>
      </c>
      <c r="X43" s="317">
        <f t="shared" si="6"/>
        <v>41.6</v>
      </c>
    </row>
    <row r="44" spans="2:24" x14ac:dyDescent="0.25">
      <c r="B44" s="251" t="s">
        <v>237</v>
      </c>
      <c r="C44" s="252">
        <v>0.6</v>
      </c>
      <c r="D44" s="253">
        <v>102</v>
      </c>
      <c r="E44" s="254">
        <f>+C44*D44</f>
        <v>61.199999999999996</v>
      </c>
      <c r="H44" s="82">
        <v>41</v>
      </c>
      <c r="I44" s="17" t="s">
        <v>108</v>
      </c>
      <c r="J44" s="17" t="s">
        <v>57</v>
      </c>
      <c r="K44" s="110">
        <f>E26+E29+E8</f>
        <v>12.348253968253969</v>
      </c>
      <c r="L44" s="83">
        <v>38</v>
      </c>
      <c r="M44" s="84">
        <f t="shared" si="7"/>
        <v>0.32495405179615711</v>
      </c>
      <c r="N44" s="101">
        <f t="shared" si="0"/>
        <v>37.044761904761906</v>
      </c>
      <c r="O44" s="85">
        <f t="shared" si="1"/>
        <v>0.95523809523809433</v>
      </c>
      <c r="P44" s="118">
        <v>40</v>
      </c>
      <c r="Q44" s="104">
        <f t="shared" si="2"/>
        <v>0.69129365079365068</v>
      </c>
      <c r="R44" s="201">
        <v>40</v>
      </c>
      <c r="S44" s="199">
        <f t="shared" si="3"/>
        <v>0.69129365079365068</v>
      </c>
      <c r="T44" s="268">
        <v>42</v>
      </c>
      <c r="U44" s="199">
        <f t="shared" si="4"/>
        <v>0.70599395313681024</v>
      </c>
      <c r="V44" s="85">
        <f t="shared" si="5"/>
        <v>4.9552380952380943</v>
      </c>
      <c r="X44" s="317">
        <f t="shared" si="6"/>
        <v>41.6</v>
      </c>
    </row>
    <row r="45" spans="2:24" x14ac:dyDescent="0.25">
      <c r="B45" s="239" t="s">
        <v>68</v>
      </c>
      <c r="C45" s="218">
        <v>0.18</v>
      </c>
      <c r="D45" s="39">
        <v>140</v>
      </c>
      <c r="E45" s="247">
        <f t="shared" ref="E45:E47" si="8">+C45*D45</f>
        <v>25.2</v>
      </c>
      <c r="H45" s="82">
        <v>42</v>
      </c>
      <c r="I45" s="17" t="s">
        <v>108</v>
      </c>
      <c r="J45" s="17" t="s">
        <v>112</v>
      </c>
      <c r="K45" s="110">
        <f>E8+E29+E28</f>
        <v>13.629572649572648</v>
      </c>
      <c r="L45" s="83">
        <v>40</v>
      </c>
      <c r="M45" s="84">
        <f t="shared" si="7"/>
        <v>0.34073931623931619</v>
      </c>
      <c r="N45" s="101">
        <f t="shared" si="0"/>
        <v>40.88871794871794</v>
      </c>
      <c r="O45" s="85">
        <f t="shared" si="1"/>
        <v>-0.88871794871793952</v>
      </c>
      <c r="P45" s="118">
        <v>40</v>
      </c>
      <c r="Q45" s="104">
        <f t="shared" si="2"/>
        <v>0.65926068376068381</v>
      </c>
      <c r="R45" s="201">
        <v>40</v>
      </c>
      <c r="S45" s="199">
        <f t="shared" si="3"/>
        <v>0.65926068376068381</v>
      </c>
      <c r="T45" s="268">
        <v>42</v>
      </c>
      <c r="U45" s="199">
        <f t="shared" si="4"/>
        <v>0.67548636548636554</v>
      </c>
      <c r="V45" s="85">
        <f t="shared" si="5"/>
        <v>1.1112820512820605</v>
      </c>
      <c r="X45" s="317">
        <f t="shared" si="6"/>
        <v>41.6</v>
      </c>
    </row>
    <row r="46" spans="2:24" x14ac:dyDescent="0.25">
      <c r="B46" s="239" t="s">
        <v>69</v>
      </c>
      <c r="C46" s="218">
        <v>0.11</v>
      </c>
      <c r="D46" s="39">
        <v>135</v>
      </c>
      <c r="E46" s="247">
        <f t="shared" si="8"/>
        <v>14.85</v>
      </c>
      <c r="H46" s="82">
        <v>43</v>
      </c>
      <c r="I46" s="17" t="s">
        <v>108</v>
      </c>
      <c r="J46" s="17" t="s">
        <v>58</v>
      </c>
      <c r="K46" s="110">
        <f>E8+E29+E27</f>
        <v>16.848253968253967</v>
      </c>
      <c r="L46" s="83">
        <v>45</v>
      </c>
      <c r="M46" s="84">
        <f t="shared" si="7"/>
        <v>0.37440564373897706</v>
      </c>
      <c r="N46" s="101">
        <f t="shared" si="0"/>
        <v>50.544761904761899</v>
      </c>
      <c r="O46" s="85">
        <f t="shared" si="1"/>
        <v>-5.5447619047618986</v>
      </c>
      <c r="P46" s="118">
        <v>50</v>
      </c>
      <c r="Q46" s="104">
        <f t="shared" si="2"/>
        <v>0.66303492063492053</v>
      </c>
      <c r="R46" s="201">
        <v>50</v>
      </c>
      <c r="S46" s="199">
        <f t="shared" si="3"/>
        <v>0.66303492063492053</v>
      </c>
      <c r="T46" s="268">
        <v>52</v>
      </c>
      <c r="U46" s="199">
        <f t="shared" si="4"/>
        <v>0.67599511599511597</v>
      </c>
      <c r="V46" s="85">
        <f t="shared" si="5"/>
        <v>1.4552380952381014</v>
      </c>
      <c r="X46" s="317">
        <f t="shared" si="6"/>
        <v>52</v>
      </c>
    </row>
    <row r="47" spans="2:24" ht="16.5" thickBot="1" x14ac:dyDescent="0.3">
      <c r="B47" s="241" t="s">
        <v>70</v>
      </c>
      <c r="C47" s="248">
        <v>0.10666666666666667</v>
      </c>
      <c r="D47" s="249">
        <v>120</v>
      </c>
      <c r="E47" s="250">
        <f t="shared" si="8"/>
        <v>12.8</v>
      </c>
      <c r="H47" s="82">
        <v>44</v>
      </c>
      <c r="I47" s="17" t="s">
        <v>251</v>
      </c>
      <c r="J47" s="17" t="s">
        <v>252</v>
      </c>
      <c r="K47" s="110">
        <f>E4+(E25*2)</f>
        <v>20.928571428571427</v>
      </c>
      <c r="L47" s="83">
        <v>45</v>
      </c>
      <c r="M47" s="84">
        <f t="shared" si="7"/>
        <v>0.46507936507936504</v>
      </c>
      <c r="N47" s="101">
        <f t="shared" si="0"/>
        <v>62.785714285714278</v>
      </c>
      <c r="O47" s="85">
        <f t="shared" si="1"/>
        <v>-17.785714285714278</v>
      </c>
      <c r="P47" s="118">
        <v>58</v>
      </c>
      <c r="Q47" s="104">
        <f t="shared" si="2"/>
        <v>0.63916256157635465</v>
      </c>
      <c r="R47" s="201">
        <v>58</v>
      </c>
      <c r="S47" s="199">
        <f t="shared" si="3"/>
        <v>0.63916256157635465</v>
      </c>
      <c r="T47" s="268">
        <v>60</v>
      </c>
      <c r="U47" s="199">
        <f t="shared" si="4"/>
        <v>0.65119047619047621</v>
      </c>
      <c r="V47" s="85">
        <f t="shared" si="5"/>
        <v>-2.7857142857142776</v>
      </c>
      <c r="X47" s="317">
        <f t="shared" si="6"/>
        <v>60.32</v>
      </c>
    </row>
    <row r="48" spans="2:24" x14ac:dyDescent="0.25">
      <c r="H48" s="82">
        <v>45</v>
      </c>
      <c r="I48" s="17" t="s">
        <v>251</v>
      </c>
      <c r="J48" s="17" t="s">
        <v>82</v>
      </c>
      <c r="K48" s="110">
        <f>E4+E26+E26</f>
        <v>15.214285714285715</v>
      </c>
      <c r="L48" s="83">
        <v>58</v>
      </c>
      <c r="M48" s="84">
        <f t="shared" si="7"/>
        <v>0.26231527093596063</v>
      </c>
      <c r="N48" s="101">
        <f t="shared" si="0"/>
        <v>45.642857142857146</v>
      </c>
      <c r="O48" s="85">
        <f t="shared" si="1"/>
        <v>12.357142857142854</v>
      </c>
      <c r="P48" s="118">
        <v>58</v>
      </c>
      <c r="Q48" s="104">
        <f t="shared" si="2"/>
        <v>0.73768472906403937</v>
      </c>
      <c r="R48" s="201">
        <v>58</v>
      </c>
      <c r="S48" s="199">
        <f t="shared" si="3"/>
        <v>0.73768472906403937</v>
      </c>
      <c r="T48" s="268">
        <v>60</v>
      </c>
      <c r="U48" s="199">
        <f t="shared" si="4"/>
        <v>0.74642857142857144</v>
      </c>
      <c r="V48" s="85">
        <f t="shared" si="5"/>
        <v>14.357142857142854</v>
      </c>
      <c r="X48" s="317">
        <f t="shared" si="6"/>
        <v>60.32</v>
      </c>
    </row>
    <row r="49" spans="2:26" x14ac:dyDescent="0.25">
      <c r="B49" s="212" t="s">
        <v>149</v>
      </c>
      <c r="C49" s="219"/>
      <c r="D49" s="207">
        <f>+E71</f>
        <v>85.773333333333326</v>
      </c>
      <c r="E49" s="213">
        <f>+D49/30</f>
        <v>2.8591111111111109</v>
      </c>
      <c r="H49" s="82">
        <v>46</v>
      </c>
      <c r="I49" s="102" t="s">
        <v>251</v>
      </c>
      <c r="J49" s="102" t="s">
        <v>89</v>
      </c>
      <c r="K49" s="196">
        <f>E4+E28+E28</f>
        <v>17.776923076923076</v>
      </c>
      <c r="L49" s="423">
        <v>58</v>
      </c>
      <c r="M49" s="122">
        <f t="shared" si="7"/>
        <v>0.30649867374005302</v>
      </c>
      <c r="N49" s="424">
        <f t="shared" si="0"/>
        <v>53.330769230769228</v>
      </c>
      <c r="O49" s="425">
        <f t="shared" si="1"/>
        <v>4.6692307692307722</v>
      </c>
      <c r="P49" s="118">
        <v>58</v>
      </c>
      <c r="Q49" s="104">
        <f t="shared" si="2"/>
        <v>0.69350132625994698</v>
      </c>
      <c r="R49" s="426">
        <v>58</v>
      </c>
      <c r="S49" s="104">
        <f t="shared" si="3"/>
        <v>0.69350132625994698</v>
      </c>
      <c r="T49" s="427">
        <v>60</v>
      </c>
      <c r="U49" s="104">
        <f t="shared" si="4"/>
        <v>0.70371794871794868</v>
      </c>
      <c r="V49" s="425">
        <f t="shared" si="5"/>
        <v>6.6692307692307722</v>
      </c>
      <c r="W49" t="s">
        <v>409</v>
      </c>
      <c r="X49" s="317">
        <f t="shared" si="6"/>
        <v>60.32</v>
      </c>
    </row>
    <row r="50" spans="2:26" ht="16.5" thickBot="1" x14ac:dyDescent="0.3">
      <c r="H50" s="82">
        <v>47</v>
      </c>
      <c r="I50" s="17" t="s">
        <v>251</v>
      </c>
      <c r="J50" s="17" t="s">
        <v>14</v>
      </c>
      <c r="K50" s="110">
        <f>E4+(E27*2)</f>
        <v>24.214285714285715</v>
      </c>
      <c r="L50" s="83">
        <v>75</v>
      </c>
      <c r="M50" s="84">
        <f t="shared" si="7"/>
        <v>0.3228571428571429</v>
      </c>
      <c r="N50" s="101">
        <f t="shared" si="0"/>
        <v>72.642857142857139</v>
      </c>
      <c r="O50" s="85">
        <f t="shared" si="1"/>
        <v>2.3571428571428612</v>
      </c>
      <c r="P50" s="118">
        <v>65</v>
      </c>
      <c r="Q50" s="104">
        <f t="shared" si="2"/>
        <v>0.62747252747252746</v>
      </c>
      <c r="R50" s="201">
        <v>65</v>
      </c>
      <c r="S50" s="199">
        <f t="shared" si="3"/>
        <v>0.62747252747252746</v>
      </c>
      <c r="T50" s="268">
        <v>67</v>
      </c>
      <c r="U50" s="199">
        <f t="shared" si="4"/>
        <v>0.63859275053304898</v>
      </c>
      <c r="V50" s="85">
        <f t="shared" si="5"/>
        <v>-5.6428571428571388</v>
      </c>
      <c r="X50" s="317">
        <f t="shared" si="6"/>
        <v>67.600000000000009</v>
      </c>
    </row>
    <row r="51" spans="2:26" ht="16.5" thickBot="1" x14ac:dyDescent="0.3">
      <c r="B51" s="278" t="s">
        <v>194</v>
      </c>
      <c r="C51" s="279" t="s">
        <v>336</v>
      </c>
      <c r="D51" s="280">
        <v>43118</v>
      </c>
      <c r="E51" s="281">
        <f>SUM(E52:E60)</f>
        <v>17.659060240963857</v>
      </c>
      <c r="H51" s="82">
        <v>48</v>
      </c>
      <c r="I51" s="17" t="s">
        <v>251</v>
      </c>
      <c r="J51" s="17" t="s">
        <v>37</v>
      </c>
      <c r="K51" s="110">
        <f>E5+E25</f>
        <v>11.214285714285714</v>
      </c>
      <c r="L51" s="83">
        <v>32</v>
      </c>
      <c r="M51" s="84">
        <f t="shared" si="7"/>
        <v>0.35044642857142855</v>
      </c>
      <c r="N51" s="101">
        <f t="shared" si="0"/>
        <v>33.642857142857139</v>
      </c>
      <c r="O51" s="85">
        <f t="shared" si="1"/>
        <v>-1.6428571428571388</v>
      </c>
      <c r="P51" s="118">
        <v>32</v>
      </c>
      <c r="Q51" s="104">
        <f t="shared" si="2"/>
        <v>0.6495535714285714</v>
      </c>
      <c r="R51" s="201">
        <v>32</v>
      </c>
      <c r="S51" s="199">
        <f t="shared" si="3"/>
        <v>0.6495535714285714</v>
      </c>
      <c r="T51" s="268">
        <v>33</v>
      </c>
      <c r="U51" s="199">
        <f t="shared" si="4"/>
        <v>0.66017316017316019</v>
      </c>
      <c r="V51" s="85">
        <f t="shared" si="5"/>
        <v>-0.6428571428571388</v>
      </c>
      <c r="X51" s="317">
        <f t="shared" si="6"/>
        <v>33.28</v>
      </c>
    </row>
    <row r="52" spans="2:26" x14ac:dyDescent="0.25">
      <c r="B52" s="245" t="s">
        <v>195</v>
      </c>
      <c r="C52" s="210" t="s">
        <v>16</v>
      </c>
      <c r="D52" s="235">
        <v>21</v>
      </c>
      <c r="E52" s="246">
        <f>+D52/16.6</f>
        <v>1.2650602409638554</v>
      </c>
      <c r="H52" s="82">
        <v>49</v>
      </c>
      <c r="I52" s="17" t="s">
        <v>251</v>
      </c>
      <c r="J52" s="17" t="s">
        <v>38</v>
      </c>
      <c r="K52" s="110">
        <f>E5+E26</f>
        <v>8.3571428571428577</v>
      </c>
      <c r="L52" s="83">
        <v>32</v>
      </c>
      <c r="M52" s="84">
        <f t="shared" si="7"/>
        <v>0.2611607142857143</v>
      </c>
      <c r="N52" s="101">
        <f t="shared" si="0"/>
        <v>25.071428571428573</v>
      </c>
      <c r="O52" s="85">
        <f t="shared" si="1"/>
        <v>6.928571428571427</v>
      </c>
      <c r="P52" s="118">
        <v>32</v>
      </c>
      <c r="Q52" s="104">
        <f t="shared" si="2"/>
        <v>0.7388392857142857</v>
      </c>
      <c r="R52" s="201">
        <v>32</v>
      </c>
      <c r="S52" s="199">
        <f t="shared" si="3"/>
        <v>0.7388392857142857</v>
      </c>
      <c r="T52" s="268">
        <v>33</v>
      </c>
      <c r="U52" s="199">
        <f t="shared" si="4"/>
        <v>0.74675324675324672</v>
      </c>
      <c r="V52" s="85">
        <f t="shared" si="5"/>
        <v>7.928571428571427</v>
      </c>
      <c r="X52" s="317">
        <f t="shared" si="6"/>
        <v>33.28</v>
      </c>
    </row>
    <row r="53" spans="2:26" x14ac:dyDescent="0.25">
      <c r="B53" s="236" t="s">
        <v>286</v>
      </c>
      <c r="C53" s="212" t="s">
        <v>16</v>
      </c>
      <c r="D53" s="34">
        <v>66</v>
      </c>
      <c r="E53" s="237">
        <f>(+D53/1000)*114</f>
        <v>7.524</v>
      </c>
      <c r="H53" s="82">
        <v>50</v>
      </c>
      <c r="I53" s="102" t="s">
        <v>251</v>
      </c>
      <c r="J53" s="102" t="s">
        <v>92</v>
      </c>
      <c r="K53" s="196">
        <f>E5+E28</f>
        <v>9.638461538461538</v>
      </c>
      <c r="L53" s="423">
        <v>32</v>
      </c>
      <c r="M53" s="122">
        <f t="shared" si="7"/>
        <v>0.30120192307692306</v>
      </c>
      <c r="N53" s="424">
        <f t="shared" si="0"/>
        <v>28.915384615384614</v>
      </c>
      <c r="O53" s="425">
        <f t="shared" si="1"/>
        <v>3.0846153846153861</v>
      </c>
      <c r="P53" s="118">
        <v>32</v>
      </c>
      <c r="Q53" s="104">
        <f t="shared" si="2"/>
        <v>0.69879807692307694</v>
      </c>
      <c r="R53" s="426">
        <v>32</v>
      </c>
      <c r="S53" s="104">
        <f t="shared" si="3"/>
        <v>0.69879807692307694</v>
      </c>
      <c r="T53" s="427">
        <v>33</v>
      </c>
      <c r="U53" s="104">
        <f t="shared" si="4"/>
        <v>0.70792540792540792</v>
      </c>
      <c r="V53" s="425">
        <f t="shared" si="5"/>
        <v>4.0846153846153861</v>
      </c>
      <c r="W53" t="s">
        <v>409</v>
      </c>
      <c r="X53" s="317">
        <f t="shared" si="6"/>
        <v>33.28</v>
      </c>
    </row>
    <row r="54" spans="2:26" x14ac:dyDescent="0.25">
      <c r="B54" s="236" t="s">
        <v>196</v>
      </c>
      <c r="C54" s="212" t="s">
        <v>16</v>
      </c>
      <c r="D54" s="34">
        <v>34</v>
      </c>
      <c r="E54" s="238">
        <f>(+D54*2.5)/20</f>
        <v>4.25</v>
      </c>
      <c r="H54" s="82">
        <v>51</v>
      </c>
      <c r="I54" s="17" t="s">
        <v>251</v>
      </c>
      <c r="J54" s="17" t="s">
        <v>135</v>
      </c>
      <c r="K54" s="110">
        <f>E5+E27</f>
        <v>12.857142857142858</v>
      </c>
      <c r="L54" s="83">
        <v>34</v>
      </c>
      <c r="M54" s="84">
        <f t="shared" si="7"/>
        <v>0.37815126050420167</v>
      </c>
      <c r="N54" s="101">
        <f t="shared" si="0"/>
        <v>38.571428571428569</v>
      </c>
      <c r="O54" s="85">
        <f t="shared" si="1"/>
        <v>-4.5714285714285694</v>
      </c>
      <c r="P54" s="118">
        <v>35</v>
      </c>
      <c r="Q54" s="104">
        <f t="shared" si="2"/>
        <v>0.63265306122448983</v>
      </c>
      <c r="R54" s="201">
        <v>35</v>
      </c>
      <c r="S54" s="199">
        <f t="shared" si="3"/>
        <v>0.63265306122448983</v>
      </c>
      <c r="T54" s="268">
        <v>36</v>
      </c>
      <c r="U54" s="199">
        <f t="shared" si="4"/>
        <v>0.64285714285714279</v>
      </c>
      <c r="V54" s="85">
        <f t="shared" si="5"/>
        <v>-2.5714285714285694</v>
      </c>
      <c r="X54" s="317">
        <f t="shared" si="6"/>
        <v>36.4</v>
      </c>
    </row>
    <row r="55" spans="2:26" x14ac:dyDescent="0.25">
      <c r="B55" s="239" t="s">
        <v>197</v>
      </c>
      <c r="C55" s="212"/>
      <c r="D55" s="34">
        <v>77</v>
      </c>
      <c r="E55" s="237">
        <f>+D55/40</f>
        <v>1.925</v>
      </c>
      <c r="H55" s="82">
        <v>52</v>
      </c>
      <c r="I55" s="401" t="s">
        <v>153</v>
      </c>
      <c r="J55" s="481" t="s">
        <v>140</v>
      </c>
      <c r="K55" s="402">
        <f>E14+(E19/2)</f>
        <v>5.2214999999999998</v>
      </c>
      <c r="L55" s="403">
        <v>16</v>
      </c>
      <c r="M55" s="404">
        <f t="shared" si="7"/>
        <v>0.32634374999999999</v>
      </c>
      <c r="N55" s="405">
        <f t="shared" si="0"/>
        <v>15.6645</v>
      </c>
      <c r="O55" s="406">
        <f t="shared" si="1"/>
        <v>0.33549999999999969</v>
      </c>
      <c r="P55" s="407">
        <v>18</v>
      </c>
      <c r="Q55" s="408">
        <f t="shared" si="2"/>
        <v>0.70991666666666675</v>
      </c>
      <c r="R55" s="409">
        <v>18</v>
      </c>
      <c r="S55" s="408">
        <f t="shared" si="3"/>
        <v>0.70991666666666675</v>
      </c>
      <c r="T55" s="410">
        <v>19</v>
      </c>
      <c r="U55" s="408">
        <f t="shared" si="4"/>
        <v>0.72518421052631588</v>
      </c>
      <c r="V55" s="406">
        <f t="shared" si="5"/>
        <v>3.3354999999999997</v>
      </c>
      <c r="X55" s="317">
        <f t="shared" si="6"/>
        <v>18.72</v>
      </c>
    </row>
    <row r="56" spans="2:26" x14ac:dyDescent="0.25">
      <c r="B56" s="239" t="s">
        <v>198</v>
      </c>
      <c r="C56" s="212"/>
      <c r="D56" s="34">
        <v>47.8</v>
      </c>
      <c r="E56" s="237">
        <f>+D56/40</f>
        <v>1.1949999999999998</v>
      </c>
      <c r="H56" s="82">
        <v>53</v>
      </c>
      <c r="I56" s="401" t="s">
        <v>153</v>
      </c>
      <c r="J56" s="481" t="s">
        <v>141</v>
      </c>
      <c r="K56" s="402">
        <f>E14+(E32)</f>
        <v>8.3000000000000007</v>
      </c>
      <c r="L56" s="403">
        <v>16</v>
      </c>
      <c r="M56" s="404">
        <f t="shared" si="7"/>
        <v>0.51875000000000004</v>
      </c>
      <c r="N56" s="405">
        <f t="shared" si="0"/>
        <v>24.900000000000002</v>
      </c>
      <c r="O56" s="406">
        <f t="shared" si="1"/>
        <v>-8.9000000000000021</v>
      </c>
      <c r="P56" s="407">
        <v>18</v>
      </c>
      <c r="Q56" s="408">
        <f t="shared" si="2"/>
        <v>0.53888888888888886</v>
      </c>
      <c r="R56" s="409">
        <v>18</v>
      </c>
      <c r="S56" s="408">
        <f t="shared" si="3"/>
        <v>0.53888888888888886</v>
      </c>
      <c r="T56" s="410">
        <v>19</v>
      </c>
      <c r="U56" s="408">
        <f t="shared" si="4"/>
        <v>0.56315789473684208</v>
      </c>
      <c r="V56" s="406">
        <f t="shared" si="5"/>
        <v>-5.9000000000000021</v>
      </c>
      <c r="X56" s="317">
        <f t="shared" si="6"/>
        <v>18.72</v>
      </c>
    </row>
    <row r="57" spans="2:26" x14ac:dyDescent="0.25">
      <c r="B57" s="239" t="s">
        <v>199</v>
      </c>
      <c r="C57" s="212"/>
      <c r="D57" s="36"/>
      <c r="E57" s="240">
        <v>0.5</v>
      </c>
      <c r="H57" s="82">
        <v>54</v>
      </c>
      <c r="I57" s="401" t="s">
        <v>153</v>
      </c>
      <c r="J57" s="481" t="s">
        <v>142</v>
      </c>
      <c r="K57" s="402">
        <f>E14+E33</f>
        <v>4.6313253012048188</v>
      </c>
      <c r="L57" s="403">
        <v>16</v>
      </c>
      <c r="M57" s="404">
        <f t="shared" si="7"/>
        <v>0.28945783132530117</v>
      </c>
      <c r="N57" s="405">
        <f t="shared" si="0"/>
        <v>13.893975903614457</v>
      </c>
      <c r="O57" s="406">
        <f t="shared" si="1"/>
        <v>2.1060240963855428</v>
      </c>
      <c r="P57" s="407">
        <v>18</v>
      </c>
      <c r="Q57" s="408">
        <f t="shared" si="2"/>
        <v>0.74270414993306566</v>
      </c>
      <c r="R57" s="409">
        <v>18</v>
      </c>
      <c r="S57" s="408">
        <f t="shared" si="3"/>
        <v>0.74270414993306566</v>
      </c>
      <c r="T57" s="410">
        <v>19</v>
      </c>
      <c r="U57" s="408">
        <f t="shared" si="4"/>
        <v>0.75624603677869384</v>
      </c>
      <c r="V57" s="406">
        <f t="shared" si="5"/>
        <v>5.1060240963855428</v>
      </c>
      <c r="X57" s="317">
        <f t="shared" si="6"/>
        <v>18.72</v>
      </c>
    </row>
    <row r="58" spans="2:26" x14ac:dyDescent="0.25">
      <c r="B58" s="239" t="s">
        <v>200</v>
      </c>
      <c r="C58" s="212"/>
      <c r="D58" s="36"/>
      <c r="E58" s="240">
        <v>0.5</v>
      </c>
      <c r="H58" s="82">
        <v>55</v>
      </c>
      <c r="I58" s="401" t="s">
        <v>153</v>
      </c>
      <c r="J58" s="481" t="s">
        <v>143</v>
      </c>
      <c r="K58" s="402">
        <f>E14+E34</f>
        <v>2.8240963855421688</v>
      </c>
      <c r="L58" s="403">
        <v>16</v>
      </c>
      <c r="M58" s="404">
        <f t="shared" si="7"/>
        <v>0.17650602409638555</v>
      </c>
      <c r="N58" s="405">
        <f t="shared" si="0"/>
        <v>8.4722891566265055</v>
      </c>
      <c r="O58" s="406">
        <f t="shared" si="1"/>
        <v>7.5277108433734945</v>
      </c>
      <c r="P58" s="407">
        <v>18</v>
      </c>
      <c r="Q58" s="408">
        <f t="shared" si="2"/>
        <v>0.84310575635876839</v>
      </c>
      <c r="R58" s="409">
        <v>18</v>
      </c>
      <c r="S58" s="408">
        <f t="shared" si="3"/>
        <v>0.84310575635876839</v>
      </c>
      <c r="T58" s="410">
        <v>19</v>
      </c>
      <c r="U58" s="408">
        <f t="shared" si="4"/>
        <v>0.85136334812935954</v>
      </c>
      <c r="V58" s="406">
        <f t="shared" si="5"/>
        <v>10.527710843373494</v>
      </c>
      <c r="X58" s="317">
        <f t="shared" si="6"/>
        <v>18.72</v>
      </c>
    </row>
    <row r="59" spans="2:26" x14ac:dyDescent="0.25">
      <c r="B59" s="239" t="s">
        <v>201</v>
      </c>
      <c r="C59" s="212"/>
      <c r="D59" s="36"/>
      <c r="E59" s="240">
        <v>0.5</v>
      </c>
      <c r="H59" s="82">
        <v>56</v>
      </c>
      <c r="I59" s="401" t="s">
        <v>153</v>
      </c>
      <c r="J59" s="481" t="s">
        <v>144</v>
      </c>
      <c r="K59" s="402">
        <f>E14+E35</f>
        <v>6.9515151515151512</v>
      </c>
      <c r="L59" s="403">
        <v>16</v>
      </c>
      <c r="M59" s="404">
        <f t="shared" si="7"/>
        <v>0.43446969696969695</v>
      </c>
      <c r="N59" s="405">
        <f t="shared" si="0"/>
        <v>20.854545454545452</v>
      </c>
      <c r="O59" s="406">
        <f t="shared" si="1"/>
        <v>-4.8545454545454518</v>
      </c>
      <c r="P59" s="407">
        <v>18</v>
      </c>
      <c r="Q59" s="408">
        <f t="shared" si="2"/>
        <v>0.6138047138047138</v>
      </c>
      <c r="R59" s="409">
        <v>18</v>
      </c>
      <c r="S59" s="408">
        <f t="shared" si="3"/>
        <v>0.6138047138047138</v>
      </c>
      <c r="T59" s="410">
        <v>19</v>
      </c>
      <c r="U59" s="408">
        <f t="shared" si="4"/>
        <v>0.63413078149920254</v>
      </c>
      <c r="V59" s="406">
        <f t="shared" si="5"/>
        <v>-1.8545454545454518</v>
      </c>
      <c r="X59" s="317">
        <f t="shared" si="6"/>
        <v>18.72</v>
      </c>
    </row>
    <row r="60" spans="2:26" ht="16.5" thickBot="1" x14ac:dyDescent="0.3">
      <c r="B60" s="241" t="s">
        <v>202</v>
      </c>
      <c r="C60" s="242"/>
      <c r="D60" s="243"/>
      <c r="E60" s="244">
        <v>0</v>
      </c>
      <c r="H60" s="82">
        <v>57</v>
      </c>
      <c r="I60" s="401" t="s">
        <v>153</v>
      </c>
      <c r="J60" s="481" t="s">
        <v>145</v>
      </c>
      <c r="K60" s="402">
        <f>E14+E35+(E31)</f>
        <v>11.665800865800865</v>
      </c>
      <c r="L60" s="403">
        <v>16</v>
      </c>
      <c r="M60" s="404">
        <f t="shared" si="7"/>
        <v>0.72911255411255405</v>
      </c>
      <c r="N60" s="405">
        <f t="shared" si="0"/>
        <v>34.997402597402598</v>
      </c>
      <c r="O60" s="406">
        <f t="shared" si="1"/>
        <v>-18.997402597402598</v>
      </c>
      <c r="P60" s="407">
        <v>18</v>
      </c>
      <c r="Q60" s="408">
        <f t="shared" si="2"/>
        <v>0.35189995189995193</v>
      </c>
      <c r="R60" s="409">
        <v>18</v>
      </c>
      <c r="S60" s="408">
        <f t="shared" si="3"/>
        <v>0.35189995189995193</v>
      </c>
      <c r="T60" s="410">
        <v>19</v>
      </c>
      <c r="U60" s="408">
        <f t="shared" si="4"/>
        <v>0.38601048074732291</v>
      </c>
      <c r="V60" s="406">
        <f t="shared" si="5"/>
        <v>-15.997402597402598</v>
      </c>
      <c r="X60" s="317">
        <f t="shared" si="6"/>
        <v>18.72</v>
      </c>
    </row>
    <row r="61" spans="2:26" ht="16.5" thickBot="1" x14ac:dyDescent="0.3">
      <c r="H61" s="82">
        <v>58</v>
      </c>
      <c r="I61" s="401" t="s">
        <v>153</v>
      </c>
      <c r="J61" s="481" t="s">
        <v>146</v>
      </c>
      <c r="K61" s="402">
        <f>E14+E37</f>
        <v>4.1192771084337352</v>
      </c>
      <c r="L61" s="403">
        <v>16</v>
      </c>
      <c r="M61" s="404">
        <f t="shared" si="7"/>
        <v>0.25745481927710845</v>
      </c>
      <c r="N61" s="405">
        <f t="shared" si="0"/>
        <v>12.357831325301206</v>
      </c>
      <c r="O61" s="406">
        <f t="shared" si="1"/>
        <v>3.6421686746987945</v>
      </c>
      <c r="P61" s="407">
        <v>18</v>
      </c>
      <c r="Q61" s="408">
        <f t="shared" si="2"/>
        <v>0.77115127175368137</v>
      </c>
      <c r="R61" s="409">
        <v>18</v>
      </c>
      <c r="S61" s="408">
        <f t="shared" si="3"/>
        <v>0.77115127175368137</v>
      </c>
      <c r="T61" s="410">
        <v>19</v>
      </c>
      <c r="U61" s="408">
        <f t="shared" si="4"/>
        <v>0.7831959416613824</v>
      </c>
      <c r="V61" s="406">
        <f t="shared" si="5"/>
        <v>6.6421686746987945</v>
      </c>
      <c r="X61" s="317">
        <f t="shared" si="6"/>
        <v>18.72</v>
      </c>
    </row>
    <row r="62" spans="2:26" s="26" customFormat="1" ht="16.5" thickBot="1" x14ac:dyDescent="0.3">
      <c r="B62" s="503" t="s">
        <v>129</v>
      </c>
      <c r="C62" s="284" t="s">
        <v>329</v>
      </c>
      <c r="D62" s="504">
        <v>43118</v>
      </c>
      <c r="E62" s="482"/>
      <c r="H62" s="82">
        <v>59</v>
      </c>
      <c r="I62" s="17" t="s">
        <v>153</v>
      </c>
      <c r="J62" s="17" t="s">
        <v>14</v>
      </c>
      <c r="K62" s="110">
        <f>E14+E27</f>
        <v>12.157142857142858</v>
      </c>
      <c r="L62" s="83">
        <v>24</v>
      </c>
      <c r="M62" s="84">
        <f t="shared" si="7"/>
        <v>0.50654761904761914</v>
      </c>
      <c r="N62" s="101">
        <f t="shared" si="0"/>
        <v>36.471428571428575</v>
      </c>
      <c r="O62" s="85">
        <f t="shared" si="1"/>
        <v>-12.471428571428575</v>
      </c>
      <c r="P62" s="198">
        <v>25</v>
      </c>
      <c r="Q62" s="199">
        <f t="shared" si="2"/>
        <v>0.51371428571428568</v>
      </c>
      <c r="R62" s="201">
        <v>25</v>
      </c>
      <c r="S62" s="199">
        <f t="shared" si="3"/>
        <v>0.51371428571428568</v>
      </c>
      <c r="T62" s="268">
        <v>26</v>
      </c>
      <c r="U62" s="199">
        <f t="shared" si="4"/>
        <v>0.53241758241758241</v>
      </c>
      <c r="V62" s="85">
        <f t="shared" si="5"/>
        <v>-10.471428571428575</v>
      </c>
      <c r="X62" s="483">
        <f t="shared" si="6"/>
        <v>26</v>
      </c>
      <c r="Y62" s="484"/>
      <c r="Z62" s="484"/>
    </row>
    <row r="63" spans="2:26" s="26" customFormat="1" x14ac:dyDescent="0.25">
      <c r="B63" s="229" t="s">
        <v>121</v>
      </c>
      <c r="C63" s="220">
        <v>2</v>
      </c>
      <c r="D63" s="205">
        <v>9.08</v>
      </c>
      <c r="E63" s="221">
        <f>+C63*D63</f>
        <v>18.16</v>
      </c>
      <c r="H63" s="82">
        <v>60</v>
      </c>
      <c r="I63" s="17" t="s">
        <v>153</v>
      </c>
      <c r="J63" s="17" t="s">
        <v>89</v>
      </c>
      <c r="K63" s="110">
        <f>E14+E28</f>
        <v>8.9384615384615387</v>
      </c>
      <c r="L63" s="83">
        <v>24</v>
      </c>
      <c r="M63" s="84">
        <f t="shared" si="7"/>
        <v>0.37243589743589745</v>
      </c>
      <c r="N63" s="101">
        <f t="shared" si="0"/>
        <v>26.815384615384616</v>
      </c>
      <c r="O63" s="85">
        <f t="shared" si="1"/>
        <v>-2.815384615384616</v>
      </c>
      <c r="P63" s="198">
        <v>25</v>
      </c>
      <c r="Q63" s="199">
        <f t="shared" si="2"/>
        <v>0.64246153846153842</v>
      </c>
      <c r="R63" s="201">
        <v>25</v>
      </c>
      <c r="S63" s="199">
        <f t="shared" si="3"/>
        <v>0.64246153846153842</v>
      </c>
      <c r="T63" s="268">
        <v>26</v>
      </c>
      <c r="U63" s="199">
        <f t="shared" si="4"/>
        <v>0.65621301775147933</v>
      </c>
      <c r="V63" s="85">
        <f t="shared" si="5"/>
        <v>-0.81538461538461604</v>
      </c>
      <c r="X63" s="483">
        <f t="shared" si="6"/>
        <v>26</v>
      </c>
      <c r="Y63" s="484"/>
      <c r="Z63" s="484"/>
    </row>
    <row r="64" spans="2:26" x14ac:dyDescent="0.25">
      <c r="B64" s="230" t="s">
        <v>332</v>
      </c>
      <c r="C64" s="215">
        <v>5</v>
      </c>
      <c r="D64" s="222">
        <f>7.8*1.16</f>
        <v>9.048</v>
      </c>
      <c r="E64" s="223">
        <f>+C64*D64</f>
        <v>45.24</v>
      </c>
      <c r="H64" s="82">
        <v>61</v>
      </c>
      <c r="I64" s="401" t="s">
        <v>153</v>
      </c>
      <c r="J64" s="401" t="s">
        <v>154</v>
      </c>
      <c r="K64" s="402">
        <f>E14+(E21/2)</f>
        <v>10.758333333333335</v>
      </c>
      <c r="L64" s="403">
        <v>24</v>
      </c>
      <c r="M64" s="404">
        <f t="shared" si="7"/>
        <v>0.44826388888888896</v>
      </c>
      <c r="N64" s="405">
        <f t="shared" si="0"/>
        <v>32.275000000000006</v>
      </c>
      <c r="O64" s="406">
        <f t="shared" si="1"/>
        <v>-8.2750000000000057</v>
      </c>
      <c r="P64" s="407">
        <v>25</v>
      </c>
      <c r="Q64" s="408">
        <f t="shared" si="2"/>
        <v>0.56966666666666665</v>
      </c>
      <c r="R64" s="409">
        <v>25</v>
      </c>
      <c r="S64" s="408">
        <f t="shared" si="3"/>
        <v>0.56966666666666665</v>
      </c>
      <c r="T64" s="410">
        <v>26</v>
      </c>
      <c r="U64" s="408">
        <f t="shared" si="4"/>
        <v>0.58621794871794863</v>
      </c>
      <c r="V64" s="406">
        <f t="shared" si="5"/>
        <v>-6.2750000000000057</v>
      </c>
      <c r="X64" s="317">
        <f t="shared" si="6"/>
        <v>26</v>
      </c>
    </row>
    <row r="65" spans="1:24" x14ac:dyDescent="0.25">
      <c r="B65" s="230" t="s">
        <v>330</v>
      </c>
      <c r="C65" s="215">
        <v>8</v>
      </c>
      <c r="D65" s="204">
        <v>33.5</v>
      </c>
      <c r="E65" s="223">
        <f>+(D65/30)*C65</f>
        <v>8.9333333333333336</v>
      </c>
      <c r="H65" s="82">
        <v>62</v>
      </c>
      <c r="I65" s="401" t="s">
        <v>153</v>
      </c>
      <c r="J65" s="401" t="s">
        <v>10</v>
      </c>
      <c r="K65" s="402">
        <f>E14+E24</f>
        <v>9.5083333333333329</v>
      </c>
      <c r="L65" s="403">
        <v>24</v>
      </c>
      <c r="M65" s="404">
        <f t="shared" si="7"/>
        <v>0.39618055555555554</v>
      </c>
      <c r="N65" s="405">
        <f t="shared" si="0"/>
        <v>28.524999999999999</v>
      </c>
      <c r="O65" s="406">
        <f t="shared" si="1"/>
        <v>-4.5249999999999986</v>
      </c>
      <c r="P65" s="407">
        <v>25</v>
      </c>
      <c r="Q65" s="408">
        <f t="shared" si="2"/>
        <v>0.6196666666666667</v>
      </c>
      <c r="R65" s="409">
        <v>25</v>
      </c>
      <c r="S65" s="408">
        <f t="shared" si="3"/>
        <v>0.6196666666666667</v>
      </c>
      <c r="T65" s="410">
        <v>26</v>
      </c>
      <c r="U65" s="408">
        <f t="shared" si="4"/>
        <v>0.63429487179487176</v>
      </c>
      <c r="V65" s="406">
        <f t="shared" si="5"/>
        <v>-2.5249999999999986</v>
      </c>
      <c r="X65" s="317">
        <f t="shared" si="6"/>
        <v>26</v>
      </c>
    </row>
    <row r="66" spans="1:24" x14ac:dyDescent="0.25">
      <c r="B66" s="230" t="s">
        <v>124</v>
      </c>
      <c r="C66" s="224">
        <v>0.3</v>
      </c>
      <c r="D66" s="225">
        <v>18.41</v>
      </c>
      <c r="E66" s="223">
        <f>+C66*D66</f>
        <v>5.5229999999999997</v>
      </c>
      <c r="H66" s="82">
        <v>63</v>
      </c>
      <c r="I66" s="17" t="s">
        <v>156</v>
      </c>
      <c r="J66" s="17" t="s">
        <v>140</v>
      </c>
      <c r="K66" s="110">
        <f>E11+(E19/2)</f>
        <v>4.4215</v>
      </c>
      <c r="L66" s="83">
        <v>40</v>
      </c>
      <c r="M66" s="84">
        <f t="shared" si="7"/>
        <v>0.1105375</v>
      </c>
      <c r="N66" s="101">
        <f t="shared" si="0"/>
        <v>13.2645</v>
      </c>
      <c r="O66" s="85">
        <f t="shared" si="1"/>
        <v>26.735500000000002</v>
      </c>
      <c r="P66" s="198">
        <v>40</v>
      </c>
      <c r="Q66" s="199">
        <f t="shared" si="2"/>
        <v>0.88946249999999993</v>
      </c>
      <c r="R66" s="201">
        <v>40</v>
      </c>
      <c r="S66" s="199">
        <f t="shared" si="3"/>
        <v>0.88946249999999993</v>
      </c>
      <c r="T66" s="268">
        <v>40</v>
      </c>
      <c r="U66" s="199">
        <f t="shared" si="4"/>
        <v>0.88946249999999993</v>
      </c>
      <c r="V66" s="85">
        <f t="shared" si="5"/>
        <v>26.735500000000002</v>
      </c>
      <c r="X66" s="317">
        <f t="shared" si="6"/>
        <v>41.6</v>
      </c>
    </row>
    <row r="67" spans="1:24" x14ac:dyDescent="0.25">
      <c r="B67" s="230" t="s">
        <v>125</v>
      </c>
      <c r="C67" s="224">
        <v>0.06</v>
      </c>
      <c r="D67" s="204">
        <v>30</v>
      </c>
      <c r="E67" s="223">
        <f>+C67*D67</f>
        <v>1.7999999999999998</v>
      </c>
      <c r="H67" s="82">
        <v>64</v>
      </c>
      <c r="I67" s="17" t="s">
        <v>156</v>
      </c>
      <c r="J67" s="17" t="s">
        <v>141</v>
      </c>
      <c r="K67" s="110">
        <f>E11+(E32)</f>
        <v>7.5</v>
      </c>
      <c r="L67" s="83">
        <v>40</v>
      </c>
      <c r="M67" s="84">
        <f t="shared" si="7"/>
        <v>0.1875</v>
      </c>
      <c r="N67" s="101">
        <f t="shared" si="0"/>
        <v>22.5</v>
      </c>
      <c r="O67" s="85">
        <f t="shared" si="1"/>
        <v>17.5</v>
      </c>
      <c r="P67" s="198">
        <v>40</v>
      </c>
      <c r="Q67" s="199">
        <f t="shared" si="2"/>
        <v>0.8125</v>
      </c>
      <c r="R67" s="201">
        <v>40</v>
      </c>
      <c r="S67" s="199">
        <f t="shared" si="3"/>
        <v>0.8125</v>
      </c>
      <c r="T67" s="268">
        <v>40</v>
      </c>
      <c r="U67" s="199">
        <f t="shared" si="4"/>
        <v>0.8125</v>
      </c>
      <c r="V67" s="85">
        <f t="shared" si="5"/>
        <v>17.5</v>
      </c>
      <c r="X67" s="317">
        <f t="shared" si="6"/>
        <v>41.6</v>
      </c>
    </row>
    <row r="68" spans="1:24" x14ac:dyDescent="0.25">
      <c r="B68" s="230" t="s">
        <v>126</v>
      </c>
      <c r="C68" s="224">
        <v>0.06</v>
      </c>
      <c r="D68" s="225">
        <v>47.95</v>
      </c>
      <c r="E68" s="223">
        <f>+C68*D68</f>
        <v>2.8770000000000002</v>
      </c>
      <c r="H68" s="82">
        <v>65</v>
      </c>
      <c r="I68" s="17" t="s">
        <v>156</v>
      </c>
      <c r="J68" s="17" t="s">
        <v>193</v>
      </c>
      <c r="K68" s="110">
        <f>E11+E38</f>
        <v>5.25</v>
      </c>
      <c r="L68" s="83">
        <v>40</v>
      </c>
      <c r="M68" s="84">
        <f t="shared" ref="M68:M131" si="9">K68/L68</f>
        <v>0.13125000000000001</v>
      </c>
      <c r="N68" s="101">
        <f t="shared" si="0"/>
        <v>15.75</v>
      </c>
      <c r="O68" s="85">
        <f t="shared" si="1"/>
        <v>24.25</v>
      </c>
      <c r="P68" s="198">
        <v>40</v>
      </c>
      <c r="Q68" s="199">
        <f t="shared" si="2"/>
        <v>0.86875000000000002</v>
      </c>
      <c r="R68" s="201">
        <v>40</v>
      </c>
      <c r="S68" s="199">
        <f t="shared" si="3"/>
        <v>0.86875000000000002</v>
      </c>
      <c r="T68" s="268">
        <v>40</v>
      </c>
      <c r="U68" s="199">
        <f t="shared" si="4"/>
        <v>0.86875000000000002</v>
      </c>
      <c r="V68" s="85">
        <f t="shared" si="5"/>
        <v>24.25</v>
      </c>
      <c r="X68" s="317">
        <f t="shared" si="6"/>
        <v>41.6</v>
      </c>
    </row>
    <row r="69" spans="1:24" x14ac:dyDescent="0.25">
      <c r="A69" s="15"/>
      <c r="B69" s="230" t="s">
        <v>331</v>
      </c>
      <c r="C69" s="224">
        <v>0.08</v>
      </c>
      <c r="D69" s="204">
        <v>18</v>
      </c>
      <c r="E69" s="223">
        <f>+C69*D69</f>
        <v>1.44</v>
      </c>
      <c r="H69" s="82">
        <v>66</v>
      </c>
      <c r="I69" s="17" t="s">
        <v>156</v>
      </c>
      <c r="J69" s="17" t="s">
        <v>158</v>
      </c>
      <c r="K69" s="110">
        <f>E11+E22</f>
        <v>7.85</v>
      </c>
      <c r="L69" s="83">
        <v>40</v>
      </c>
      <c r="M69" s="84">
        <f t="shared" si="9"/>
        <v>0.19624999999999998</v>
      </c>
      <c r="N69" s="101">
        <f t="shared" ref="N69:N132" si="10">K69*3</f>
        <v>23.549999999999997</v>
      </c>
      <c r="O69" s="85">
        <f t="shared" ref="O69:O138" si="11">L69-N69</f>
        <v>16.450000000000003</v>
      </c>
      <c r="P69" s="198">
        <v>40</v>
      </c>
      <c r="Q69" s="199">
        <f t="shared" ref="Q69:Q138" si="12">(P69-K69)/P69</f>
        <v>0.80374999999999996</v>
      </c>
      <c r="R69" s="201">
        <v>40</v>
      </c>
      <c r="S69" s="199">
        <f t="shared" ref="S69:S132" si="13">(R69-K69)/R69</f>
        <v>0.80374999999999996</v>
      </c>
      <c r="T69" s="268">
        <v>40</v>
      </c>
      <c r="U69" s="199">
        <f t="shared" ref="U69:U132" si="14">(T69-K69)/T69</f>
        <v>0.80374999999999996</v>
      </c>
      <c r="V69" s="85">
        <f t="shared" ref="V69:V132" si="15">T69-N69</f>
        <v>16.450000000000003</v>
      </c>
      <c r="X69" s="317">
        <f t="shared" ref="X69:X132" si="16">+R69*$X$3</f>
        <v>41.6</v>
      </c>
    </row>
    <row r="70" spans="1:24" ht="16.5" thickBot="1" x14ac:dyDescent="0.3">
      <c r="B70" s="231" t="s">
        <v>128</v>
      </c>
      <c r="C70" s="232">
        <v>0.12</v>
      </c>
      <c r="D70" s="233">
        <v>15</v>
      </c>
      <c r="E70" s="234">
        <f>+C70*D70</f>
        <v>1.7999999999999998</v>
      </c>
      <c r="H70" s="82">
        <v>67</v>
      </c>
      <c r="I70" s="17" t="s">
        <v>156</v>
      </c>
      <c r="J70" s="17" t="s">
        <v>10</v>
      </c>
      <c r="K70" s="110">
        <f>E11+E24</f>
        <v>8.7083333333333321</v>
      </c>
      <c r="L70" s="83">
        <v>40</v>
      </c>
      <c r="M70" s="84">
        <f t="shared" si="9"/>
        <v>0.21770833333333331</v>
      </c>
      <c r="N70" s="101">
        <f t="shared" si="10"/>
        <v>26.124999999999996</v>
      </c>
      <c r="O70" s="85">
        <f t="shared" si="11"/>
        <v>13.875000000000004</v>
      </c>
      <c r="P70" s="198">
        <v>40</v>
      </c>
      <c r="Q70" s="199">
        <f t="shared" si="12"/>
        <v>0.78229166666666672</v>
      </c>
      <c r="R70" s="201">
        <v>40</v>
      </c>
      <c r="S70" s="199">
        <f t="shared" si="13"/>
        <v>0.78229166666666672</v>
      </c>
      <c r="T70" s="268">
        <v>40</v>
      </c>
      <c r="U70" s="199">
        <f t="shared" si="14"/>
        <v>0.78229166666666672</v>
      </c>
      <c r="V70" s="85">
        <f t="shared" si="15"/>
        <v>13.875000000000004</v>
      </c>
      <c r="X70" s="317">
        <f t="shared" si="16"/>
        <v>41.6</v>
      </c>
    </row>
    <row r="71" spans="1:24" ht="16.5" thickBot="1" x14ac:dyDescent="0.3">
      <c r="B71" s="226"/>
      <c r="C71" s="227"/>
      <c r="D71" s="206"/>
      <c r="E71" s="273">
        <f>SUM(E63:E70)</f>
        <v>85.773333333333326</v>
      </c>
      <c r="H71" s="82">
        <v>68</v>
      </c>
      <c r="I71" s="17" t="s">
        <v>156</v>
      </c>
      <c r="J71" s="17" t="s">
        <v>159</v>
      </c>
      <c r="K71" s="110">
        <f>E11+E19</f>
        <v>7.8429999999999991</v>
      </c>
      <c r="L71" s="83">
        <v>40</v>
      </c>
      <c r="M71" s="84">
        <f t="shared" si="9"/>
        <v>0.19607499999999997</v>
      </c>
      <c r="N71" s="101">
        <f t="shared" si="10"/>
        <v>23.528999999999996</v>
      </c>
      <c r="O71" s="85">
        <f t="shared" si="11"/>
        <v>16.471000000000004</v>
      </c>
      <c r="P71" s="198">
        <v>40</v>
      </c>
      <c r="Q71" s="199">
        <f t="shared" si="12"/>
        <v>0.80392500000000011</v>
      </c>
      <c r="R71" s="201">
        <v>40</v>
      </c>
      <c r="S71" s="199">
        <f t="shared" si="13"/>
        <v>0.80392500000000011</v>
      </c>
      <c r="T71" s="268">
        <v>40</v>
      </c>
      <c r="U71" s="199">
        <f t="shared" si="14"/>
        <v>0.80392500000000011</v>
      </c>
      <c r="V71" s="85">
        <f t="shared" si="15"/>
        <v>16.471000000000004</v>
      </c>
      <c r="X71" s="317">
        <f t="shared" si="16"/>
        <v>41.6</v>
      </c>
    </row>
    <row r="72" spans="1:24" ht="16.5" thickBot="1" x14ac:dyDescent="0.3">
      <c r="H72" s="82">
        <v>69</v>
      </c>
      <c r="I72" s="479" t="s">
        <v>160</v>
      </c>
      <c r="J72" s="401" t="s">
        <v>161</v>
      </c>
      <c r="K72" s="402">
        <f>E51</f>
        <v>17.659060240963857</v>
      </c>
      <c r="L72" s="403">
        <v>50</v>
      </c>
      <c r="M72" s="404">
        <f t="shared" si="9"/>
        <v>0.35318120481927712</v>
      </c>
      <c r="N72" s="405">
        <f t="shared" si="10"/>
        <v>52.977180722891575</v>
      </c>
      <c r="O72" s="406">
        <f t="shared" si="11"/>
        <v>-2.9771807228915748</v>
      </c>
      <c r="P72" s="407">
        <v>50</v>
      </c>
      <c r="Q72" s="408">
        <f t="shared" si="12"/>
        <v>0.64681879518072294</v>
      </c>
      <c r="R72" s="409">
        <v>50</v>
      </c>
      <c r="S72" s="408">
        <f t="shared" si="13"/>
        <v>0.64681879518072294</v>
      </c>
      <c r="T72" s="410">
        <v>55</v>
      </c>
      <c r="U72" s="408">
        <f t="shared" si="14"/>
        <v>0.67892617743702088</v>
      </c>
      <c r="V72" s="406">
        <f t="shared" si="15"/>
        <v>2.0228192771084252</v>
      </c>
      <c r="X72" s="317">
        <f t="shared" si="16"/>
        <v>52</v>
      </c>
    </row>
    <row r="73" spans="1:24" ht="16.5" thickBot="1" x14ac:dyDescent="0.3">
      <c r="B73" s="274" t="s">
        <v>236</v>
      </c>
      <c r="C73" s="275"/>
      <c r="D73" s="276">
        <v>43118</v>
      </c>
      <c r="E73" s="277">
        <f>SUM(E74:E77)</f>
        <v>21.721666666666664</v>
      </c>
      <c r="H73" s="82">
        <v>70</v>
      </c>
      <c r="I73" s="479" t="s">
        <v>160</v>
      </c>
      <c r="J73" s="401" t="s">
        <v>162</v>
      </c>
      <c r="K73" s="402">
        <f>+E51*1.5</f>
        <v>26.488590361445787</v>
      </c>
      <c r="L73" s="403">
        <v>60</v>
      </c>
      <c r="M73" s="404">
        <f t="shared" si="9"/>
        <v>0.44147650602409644</v>
      </c>
      <c r="N73" s="405">
        <f t="shared" si="10"/>
        <v>79.465771084337362</v>
      </c>
      <c r="O73" s="406">
        <f t="shared" si="11"/>
        <v>-19.465771084337362</v>
      </c>
      <c r="P73" s="407">
        <v>60</v>
      </c>
      <c r="Q73" s="408">
        <f t="shared" si="12"/>
        <v>0.55852349397590351</v>
      </c>
      <c r="R73" s="409">
        <v>65</v>
      </c>
      <c r="S73" s="408">
        <f t="shared" si="13"/>
        <v>0.59248322520852637</v>
      </c>
      <c r="T73" s="410">
        <v>70</v>
      </c>
      <c r="U73" s="408">
        <f t="shared" si="14"/>
        <v>0.62159156626506018</v>
      </c>
      <c r="V73" s="406">
        <f t="shared" si="15"/>
        <v>-9.4657710843373621</v>
      </c>
      <c r="X73" s="317">
        <f t="shared" si="16"/>
        <v>67.600000000000009</v>
      </c>
    </row>
    <row r="74" spans="1:24" x14ac:dyDescent="0.25">
      <c r="B74" s="245" t="s">
        <v>207</v>
      </c>
      <c r="C74" s="210" t="s">
        <v>16</v>
      </c>
      <c r="D74" s="235">
        <v>15</v>
      </c>
      <c r="E74" s="246">
        <f>+D74/5</f>
        <v>3</v>
      </c>
      <c r="H74" s="82">
        <v>71</v>
      </c>
      <c r="I74" s="479" t="s">
        <v>160</v>
      </c>
      <c r="J74" s="401" t="s">
        <v>163</v>
      </c>
      <c r="K74" s="402">
        <f>+E51*2</f>
        <v>35.318120481927714</v>
      </c>
      <c r="L74" s="403">
        <v>70</v>
      </c>
      <c r="M74" s="404">
        <f t="shared" si="9"/>
        <v>0.50454457831325306</v>
      </c>
      <c r="N74" s="405">
        <f t="shared" si="10"/>
        <v>105.95436144578315</v>
      </c>
      <c r="O74" s="406">
        <f t="shared" si="11"/>
        <v>-35.95436144578315</v>
      </c>
      <c r="P74" s="407">
        <v>70</v>
      </c>
      <c r="Q74" s="408">
        <f t="shared" si="12"/>
        <v>0.49545542168674694</v>
      </c>
      <c r="R74" s="409">
        <v>75</v>
      </c>
      <c r="S74" s="408">
        <f t="shared" si="13"/>
        <v>0.52909172690763051</v>
      </c>
      <c r="T74" s="410">
        <v>80</v>
      </c>
      <c r="U74" s="408">
        <f t="shared" si="14"/>
        <v>0.55852349397590362</v>
      </c>
      <c r="V74" s="406">
        <f t="shared" si="15"/>
        <v>-25.95436144578315</v>
      </c>
      <c r="X74" s="317">
        <f t="shared" si="16"/>
        <v>78</v>
      </c>
    </row>
    <row r="75" spans="1:24" x14ac:dyDescent="0.25">
      <c r="B75" s="236" t="s">
        <v>208</v>
      </c>
      <c r="C75" s="212" t="s">
        <v>16</v>
      </c>
      <c r="D75" s="34">
        <v>9</v>
      </c>
      <c r="E75" s="237">
        <f>+D75/5</f>
        <v>1.8</v>
      </c>
      <c r="H75" s="82">
        <v>72</v>
      </c>
      <c r="I75" s="291" t="s">
        <v>164</v>
      </c>
      <c r="J75" s="291" t="s">
        <v>204</v>
      </c>
      <c r="K75" s="438">
        <f>E39</f>
        <v>12.6</v>
      </c>
      <c r="L75" s="439">
        <v>20</v>
      </c>
      <c r="M75" s="440">
        <f t="shared" si="9"/>
        <v>0.63</v>
      </c>
      <c r="N75" s="441">
        <f t="shared" si="10"/>
        <v>37.799999999999997</v>
      </c>
      <c r="O75" s="442">
        <f t="shared" si="11"/>
        <v>-17.799999999999997</v>
      </c>
      <c r="P75" s="443">
        <v>20</v>
      </c>
      <c r="Q75" s="444">
        <f t="shared" si="12"/>
        <v>0.37</v>
      </c>
      <c r="R75" s="445">
        <v>25</v>
      </c>
      <c r="S75" s="444">
        <f t="shared" si="13"/>
        <v>0.496</v>
      </c>
      <c r="T75" s="446">
        <v>25</v>
      </c>
      <c r="U75" s="444">
        <f t="shared" si="14"/>
        <v>0.496</v>
      </c>
      <c r="V75" s="442">
        <f t="shared" si="15"/>
        <v>-12.799999999999997</v>
      </c>
      <c r="X75" s="317">
        <f t="shared" si="16"/>
        <v>26</v>
      </c>
    </row>
    <row r="76" spans="1:24" x14ac:dyDescent="0.25">
      <c r="B76" s="236" t="s">
        <v>89</v>
      </c>
      <c r="C76" s="212" t="s">
        <v>16</v>
      </c>
      <c r="D76" s="34">
        <v>92.8</v>
      </c>
      <c r="E76" s="237">
        <f>(+D76)/6</f>
        <v>15.466666666666667</v>
      </c>
      <c r="H76" s="82">
        <v>73</v>
      </c>
      <c r="I76" s="291" t="s">
        <v>164</v>
      </c>
      <c r="J76" s="291" t="s">
        <v>205</v>
      </c>
      <c r="K76" s="438">
        <f>E39*2</f>
        <v>25.2</v>
      </c>
      <c r="L76" s="439">
        <v>30</v>
      </c>
      <c r="M76" s="440">
        <f t="shared" si="9"/>
        <v>0.84</v>
      </c>
      <c r="N76" s="441">
        <f t="shared" si="10"/>
        <v>75.599999999999994</v>
      </c>
      <c r="O76" s="442">
        <f t="shared" si="11"/>
        <v>-45.599999999999994</v>
      </c>
      <c r="P76" s="443">
        <v>35</v>
      </c>
      <c r="Q76" s="444">
        <f t="shared" si="12"/>
        <v>0.28000000000000003</v>
      </c>
      <c r="R76" s="445">
        <v>40</v>
      </c>
      <c r="S76" s="444">
        <f t="shared" si="13"/>
        <v>0.37</v>
      </c>
      <c r="T76" s="446">
        <v>40</v>
      </c>
      <c r="U76" s="444">
        <f t="shared" si="14"/>
        <v>0.37</v>
      </c>
      <c r="V76" s="442">
        <f t="shared" si="15"/>
        <v>-35.599999999999994</v>
      </c>
      <c r="X76" s="317">
        <f t="shared" si="16"/>
        <v>41.6</v>
      </c>
    </row>
    <row r="77" spans="1:24" ht="16.5" thickBot="1" x14ac:dyDescent="0.3">
      <c r="B77" s="241" t="s">
        <v>209</v>
      </c>
      <c r="C77" s="259" t="s">
        <v>210</v>
      </c>
      <c r="D77" s="260">
        <v>14.55</v>
      </c>
      <c r="E77" s="262">
        <f>+D77/10</f>
        <v>1.4550000000000001</v>
      </c>
      <c r="H77" s="82">
        <v>74</v>
      </c>
      <c r="I77" s="291" t="s">
        <v>164</v>
      </c>
      <c r="J77" s="291" t="s">
        <v>206</v>
      </c>
      <c r="K77" s="438">
        <f>E39*4</f>
        <v>50.4</v>
      </c>
      <c r="L77" s="439">
        <v>50</v>
      </c>
      <c r="M77" s="440">
        <f t="shared" si="9"/>
        <v>1.008</v>
      </c>
      <c r="N77" s="441">
        <f t="shared" si="10"/>
        <v>151.19999999999999</v>
      </c>
      <c r="O77" s="442">
        <f t="shared" si="11"/>
        <v>-101.19999999999999</v>
      </c>
      <c r="P77" s="443">
        <v>60</v>
      </c>
      <c r="Q77" s="444">
        <f t="shared" si="12"/>
        <v>0.16000000000000003</v>
      </c>
      <c r="R77" s="445">
        <v>75</v>
      </c>
      <c r="S77" s="444">
        <f t="shared" si="13"/>
        <v>0.32800000000000001</v>
      </c>
      <c r="T77" s="446">
        <v>75</v>
      </c>
      <c r="U77" s="444">
        <f t="shared" si="14"/>
        <v>0.32800000000000001</v>
      </c>
      <c r="V77" s="442">
        <f t="shared" si="15"/>
        <v>-76.199999999999989</v>
      </c>
      <c r="X77" s="317">
        <f t="shared" si="16"/>
        <v>78</v>
      </c>
    </row>
    <row r="78" spans="1:24" ht="16.5" thickBot="1" x14ac:dyDescent="0.3">
      <c r="H78" s="82">
        <v>75</v>
      </c>
      <c r="I78" s="379" t="s">
        <v>139</v>
      </c>
      <c r="J78" s="379" t="s">
        <v>140</v>
      </c>
      <c r="K78" s="380">
        <f>E13+(E19/2)</f>
        <v>4.8214999999999995</v>
      </c>
      <c r="L78" s="381">
        <v>13</v>
      </c>
      <c r="M78" s="382">
        <f t="shared" si="9"/>
        <v>0.37088461538461537</v>
      </c>
      <c r="N78" s="383">
        <f t="shared" si="10"/>
        <v>14.464499999999997</v>
      </c>
      <c r="O78" s="384">
        <f t="shared" si="11"/>
        <v>-1.4644999999999975</v>
      </c>
      <c r="P78" s="385">
        <v>15</v>
      </c>
      <c r="Q78" s="386">
        <f t="shared" si="12"/>
        <v>0.67856666666666665</v>
      </c>
      <c r="R78" s="387">
        <v>15</v>
      </c>
      <c r="S78" s="386">
        <f t="shared" si="13"/>
        <v>0.67856666666666665</v>
      </c>
      <c r="T78" s="269">
        <v>16</v>
      </c>
      <c r="U78" s="386">
        <f t="shared" si="14"/>
        <v>0.69865624999999998</v>
      </c>
      <c r="V78" s="384">
        <f t="shared" si="15"/>
        <v>1.5355000000000025</v>
      </c>
      <c r="X78" s="317">
        <f t="shared" si="16"/>
        <v>15.600000000000001</v>
      </c>
    </row>
    <row r="79" spans="1:24" x14ac:dyDescent="0.25">
      <c r="B79" s="263" t="s">
        <v>312</v>
      </c>
      <c r="C79" s="264" t="s">
        <v>210</v>
      </c>
      <c r="D79" s="266">
        <v>199</v>
      </c>
      <c r="E79" s="265">
        <f>+D79/8.5</f>
        <v>23.411764705882351</v>
      </c>
      <c r="H79" s="82">
        <v>76</v>
      </c>
      <c r="I79" s="379" t="s">
        <v>139</v>
      </c>
      <c r="J79" s="379" t="s">
        <v>141</v>
      </c>
      <c r="K79" s="380">
        <f>E13+(E32)</f>
        <v>7.9</v>
      </c>
      <c r="L79" s="381">
        <v>13</v>
      </c>
      <c r="M79" s="382">
        <f t="shared" si="9"/>
        <v>0.60769230769230775</v>
      </c>
      <c r="N79" s="383">
        <f t="shared" si="10"/>
        <v>23.700000000000003</v>
      </c>
      <c r="O79" s="384">
        <f t="shared" si="11"/>
        <v>-10.700000000000003</v>
      </c>
      <c r="P79" s="385">
        <v>17</v>
      </c>
      <c r="Q79" s="386">
        <f t="shared" si="12"/>
        <v>0.53529411764705881</v>
      </c>
      <c r="R79" s="387">
        <v>15</v>
      </c>
      <c r="S79" s="386">
        <f t="shared" si="13"/>
        <v>0.47333333333333333</v>
      </c>
      <c r="T79" s="269">
        <v>16</v>
      </c>
      <c r="U79" s="386">
        <f t="shared" si="14"/>
        <v>0.50624999999999998</v>
      </c>
      <c r="V79" s="384">
        <f t="shared" si="15"/>
        <v>-7.7000000000000028</v>
      </c>
      <c r="X79" s="317">
        <f t="shared" si="16"/>
        <v>15.600000000000001</v>
      </c>
    </row>
    <row r="80" spans="1:24" x14ac:dyDescent="0.25">
      <c r="B80" s="239" t="s">
        <v>183</v>
      </c>
      <c r="C80" s="212" t="s">
        <v>222</v>
      </c>
      <c r="D80" s="222">
        <f>7.8*1.16</f>
        <v>9.048</v>
      </c>
      <c r="E80" s="256">
        <f>+D80</f>
        <v>9.048</v>
      </c>
      <c r="H80" s="82">
        <v>77</v>
      </c>
      <c r="I80" s="379" t="s">
        <v>139</v>
      </c>
      <c r="J80" s="379" t="s">
        <v>142</v>
      </c>
      <c r="K80" s="380">
        <f>E13+E33</f>
        <v>4.2313253012048193</v>
      </c>
      <c r="L80" s="381">
        <v>13</v>
      </c>
      <c r="M80" s="382">
        <f t="shared" si="9"/>
        <v>0.32548656163113993</v>
      </c>
      <c r="N80" s="383">
        <f t="shared" si="10"/>
        <v>12.693975903614458</v>
      </c>
      <c r="O80" s="384">
        <f t="shared" si="11"/>
        <v>0.30602409638554207</v>
      </c>
      <c r="P80" s="385">
        <v>15</v>
      </c>
      <c r="Q80" s="386">
        <f t="shared" si="12"/>
        <v>0.71791164658634543</v>
      </c>
      <c r="R80" s="387">
        <v>15</v>
      </c>
      <c r="S80" s="386">
        <f t="shared" si="13"/>
        <v>0.71791164658634543</v>
      </c>
      <c r="T80" s="269">
        <v>16</v>
      </c>
      <c r="U80" s="386">
        <f t="shared" si="14"/>
        <v>0.73554216867469879</v>
      </c>
      <c r="V80" s="384">
        <f t="shared" si="15"/>
        <v>3.3060240963855421</v>
      </c>
      <c r="X80" s="317">
        <f t="shared" si="16"/>
        <v>15.600000000000001</v>
      </c>
    </row>
    <row r="81" spans="2:24" x14ac:dyDescent="0.25">
      <c r="B81" s="239" t="s">
        <v>221</v>
      </c>
      <c r="C81" s="212" t="s">
        <v>222</v>
      </c>
      <c r="D81" s="34">
        <v>12.07</v>
      </c>
      <c r="E81" s="256">
        <f>+D81</f>
        <v>12.07</v>
      </c>
      <c r="H81" s="82">
        <v>78</v>
      </c>
      <c r="I81" s="379" t="s">
        <v>139</v>
      </c>
      <c r="J81" s="379" t="s">
        <v>143</v>
      </c>
      <c r="K81" s="380">
        <f>E13+E34</f>
        <v>2.4240963855421684</v>
      </c>
      <c r="L81" s="381">
        <v>13</v>
      </c>
      <c r="M81" s="382">
        <f t="shared" si="9"/>
        <v>0.18646895273401295</v>
      </c>
      <c r="N81" s="383">
        <f t="shared" si="10"/>
        <v>7.2722891566265053</v>
      </c>
      <c r="O81" s="384">
        <f t="shared" si="11"/>
        <v>5.7277108433734947</v>
      </c>
      <c r="P81" s="385">
        <v>15</v>
      </c>
      <c r="Q81" s="386">
        <f t="shared" si="12"/>
        <v>0.83839357429718886</v>
      </c>
      <c r="R81" s="387">
        <v>15</v>
      </c>
      <c r="S81" s="386">
        <f t="shared" si="13"/>
        <v>0.83839357429718886</v>
      </c>
      <c r="T81" s="269">
        <v>16</v>
      </c>
      <c r="U81" s="386">
        <f t="shared" si="14"/>
        <v>0.84849397590361453</v>
      </c>
      <c r="V81" s="384">
        <f t="shared" si="15"/>
        <v>8.7277108433734938</v>
      </c>
      <c r="X81" s="317">
        <f t="shared" si="16"/>
        <v>15.600000000000001</v>
      </c>
    </row>
    <row r="82" spans="2:24" x14ac:dyDescent="0.25">
      <c r="B82" s="239" t="s">
        <v>181</v>
      </c>
      <c r="C82" s="212" t="s">
        <v>222</v>
      </c>
      <c r="D82" s="34">
        <f>5.08*1.16</f>
        <v>5.8927999999999994</v>
      </c>
      <c r="E82" s="256">
        <f>+D82</f>
        <v>5.8927999999999994</v>
      </c>
      <c r="H82" s="82">
        <v>79</v>
      </c>
      <c r="I82" s="379" t="s">
        <v>139</v>
      </c>
      <c r="J82" s="379" t="s">
        <v>144</v>
      </c>
      <c r="K82" s="380">
        <f>E13+E35</f>
        <v>6.5515151515151508</v>
      </c>
      <c r="L82" s="381">
        <v>13</v>
      </c>
      <c r="M82" s="382">
        <f t="shared" si="9"/>
        <v>0.50396270396270393</v>
      </c>
      <c r="N82" s="383">
        <f t="shared" si="10"/>
        <v>19.654545454545453</v>
      </c>
      <c r="O82" s="384">
        <f t="shared" si="11"/>
        <v>-6.6545454545454525</v>
      </c>
      <c r="P82" s="385">
        <v>15</v>
      </c>
      <c r="Q82" s="386">
        <f t="shared" si="12"/>
        <v>0.56323232323232331</v>
      </c>
      <c r="R82" s="387">
        <v>15</v>
      </c>
      <c r="S82" s="386">
        <f t="shared" si="13"/>
        <v>0.56323232323232331</v>
      </c>
      <c r="T82" s="269">
        <v>16</v>
      </c>
      <c r="U82" s="386">
        <f t="shared" si="14"/>
        <v>0.59053030303030307</v>
      </c>
      <c r="V82" s="384">
        <f t="shared" si="15"/>
        <v>-3.6545454545454525</v>
      </c>
      <c r="X82" s="317">
        <f t="shared" si="16"/>
        <v>15.600000000000001</v>
      </c>
    </row>
    <row r="83" spans="2:24" x14ac:dyDescent="0.25">
      <c r="B83" s="239" t="s">
        <v>223</v>
      </c>
      <c r="C83" s="212" t="s">
        <v>224</v>
      </c>
      <c r="D83" s="34">
        <v>58</v>
      </c>
      <c r="E83" s="258">
        <f>+D83/17</f>
        <v>3.4117647058823528</v>
      </c>
      <c r="H83" s="82">
        <v>80</v>
      </c>
      <c r="I83" s="379" t="s">
        <v>139</v>
      </c>
      <c r="J83" s="379" t="s">
        <v>145</v>
      </c>
      <c r="K83" s="380">
        <f>E13+E35+(E31)</f>
        <v>11.265800865800866</v>
      </c>
      <c r="L83" s="381">
        <v>13</v>
      </c>
      <c r="M83" s="382">
        <f t="shared" si="9"/>
        <v>0.86660006660006661</v>
      </c>
      <c r="N83" s="383">
        <f t="shared" si="10"/>
        <v>33.797402597402595</v>
      </c>
      <c r="O83" s="384">
        <f t="shared" si="11"/>
        <v>-20.797402597402595</v>
      </c>
      <c r="P83" s="385">
        <v>15</v>
      </c>
      <c r="Q83" s="386">
        <f t="shared" si="12"/>
        <v>0.24894660894660892</v>
      </c>
      <c r="R83" s="387">
        <v>15</v>
      </c>
      <c r="S83" s="386">
        <f t="shared" si="13"/>
        <v>0.24894660894660892</v>
      </c>
      <c r="T83" s="269">
        <v>16</v>
      </c>
      <c r="U83" s="386">
        <f t="shared" si="14"/>
        <v>0.29588744588744587</v>
      </c>
      <c r="V83" s="384">
        <f t="shared" si="15"/>
        <v>-17.797402597402595</v>
      </c>
      <c r="X83" s="317">
        <f t="shared" si="16"/>
        <v>15.600000000000001</v>
      </c>
    </row>
    <row r="84" spans="2:24" ht="16.5" thickBot="1" x14ac:dyDescent="0.3">
      <c r="B84" s="241" t="s">
        <v>229</v>
      </c>
      <c r="C84" s="242"/>
      <c r="D84" s="260">
        <v>2</v>
      </c>
      <c r="E84" s="244">
        <f>+D84</f>
        <v>2</v>
      </c>
      <c r="H84" s="82">
        <v>81</v>
      </c>
      <c r="I84" s="379" t="s">
        <v>139</v>
      </c>
      <c r="J84" s="379" t="s">
        <v>146</v>
      </c>
      <c r="K84" s="380">
        <f>E13+E37</f>
        <v>3.7192771084337348</v>
      </c>
      <c r="L84" s="381">
        <v>13</v>
      </c>
      <c r="M84" s="382">
        <f t="shared" si="9"/>
        <v>0.28609823911028731</v>
      </c>
      <c r="N84" s="383">
        <f t="shared" si="10"/>
        <v>11.157831325301204</v>
      </c>
      <c r="O84" s="384">
        <f t="shared" si="11"/>
        <v>1.8421686746987955</v>
      </c>
      <c r="P84" s="385">
        <v>15</v>
      </c>
      <c r="Q84" s="386">
        <f t="shared" si="12"/>
        <v>0.75204819277108437</v>
      </c>
      <c r="R84" s="387">
        <v>15</v>
      </c>
      <c r="S84" s="386">
        <f t="shared" si="13"/>
        <v>0.75204819277108437</v>
      </c>
      <c r="T84" s="269">
        <v>16</v>
      </c>
      <c r="U84" s="386">
        <f t="shared" si="14"/>
        <v>0.76754518072289157</v>
      </c>
      <c r="V84" s="384">
        <f t="shared" si="15"/>
        <v>4.8421686746987955</v>
      </c>
      <c r="X84" s="317">
        <f t="shared" si="16"/>
        <v>15.600000000000001</v>
      </c>
    </row>
    <row r="85" spans="2:24" ht="16.5" thickBot="1" x14ac:dyDescent="0.3">
      <c r="H85" s="82">
        <v>82</v>
      </c>
      <c r="I85" s="379" t="s">
        <v>139</v>
      </c>
      <c r="J85" s="379" t="s">
        <v>154</v>
      </c>
      <c r="K85" s="380">
        <f>E13+(E21/2)</f>
        <v>10.358333333333334</v>
      </c>
      <c r="L85" s="381">
        <v>24</v>
      </c>
      <c r="M85" s="382">
        <f t="shared" si="9"/>
        <v>0.43159722222222224</v>
      </c>
      <c r="N85" s="383">
        <f t="shared" si="10"/>
        <v>31.075000000000003</v>
      </c>
      <c r="O85" s="384">
        <f t="shared" si="11"/>
        <v>-7.0750000000000028</v>
      </c>
      <c r="P85" s="385">
        <v>24</v>
      </c>
      <c r="Q85" s="386">
        <f t="shared" si="12"/>
        <v>0.5684027777777777</v>
      </c>
      <c r="R85" s="387">
        <v>25</v>
      </c>
      <c r="S85" s="386">
        <f t="shared" si="13"/>
        <v>0.58566666666666667</v>
      </c>
      <c r="T85" s="269">
        <v>26</v>
      </c>
      <c r="U85" s="386">
        <f t="shared" si="14"/>
        <v>0.60160256410256407</v>
      </c>
      <c r="V85" s="384">
        <f t="shared" si="15"/>
        <v>-5.0750000000000028</v>
      </c>
      <c r="X85" s="317">
        <f t="shared" si="16"/>
        <v>26</v>
      </c>
    </row>
    <row r="86" spans="2:24" ht="16.5" thickBot="1" x14ac:dyDescent="0.3">
      <c r="B86" s="507" t="s">
        <v>418</v>
      </c>
      <c r="C86" s="508"/>
      <c r="D86" s="509" t="s">
        <v>411</v>
      </c>
      <c r="E86" s="527">
        <f>SUM(E87:E92)/5</f>
        <v>202.28199999999998</v>
      </c>
      <c r="H86" s="82">
        <v>83</v>
      </c>
      <c r="I86" s="379" t="s">
        <v>139</v>
      </c>
      <c r="J86" s="379" t="s">
        <v>10</v>
      </c>
      <c r="K86" s="380">
        <f>E13+E24</f>
        <v>9.1083333333333325</v>
      </c>
      <c r="L86" s="381">
        <v>24</v>
      </c>
      <c r="M86" s="382">
        <f t="shared" si="9"/>
        <v>0.37951388888888887</v>
      </c>
      <c r="N86" s="383">
        <f t="shared" si="10"/>
        <v>27.324999999999996</v>
      </c>
      <c r="O86" s="384">
        <f t="shared" si="11"/>
        <v>-3.3249999999999957</v>
      </c>
      <c r="P86" s="385">
        <v>24</v>
      </c>
      <c r="Q86" s="386">
        <f t="shared" si="12"/>
        <v>0.62048611111111118</v>
      </c>
      <c r="R86" s="387">
        <v>25</v>
      </c>
      <c r="S86" s="386">
        <f t="shared" si="13"/>
        <v>0.63566666666666671</v>
      </c>
      <c r="T86" s="269">
        <v>26</v>
      </c>
      <c r="U86" s="386">
        <f t="shared" si="14"/>
        <v>0.64967948717948709</v>
      </c>
      <c r="V86" s="384">
        <f t="shared" si="15"/>
        <v>-1.3249999999999957</v>
      </c>
      <c r="X86" s="317">
        <f t="shared" si="16"/>
        <v>26</v>
      </c>
    </row>
    <row r="87" spans="2:24" x14ac:dyDescent="0.25">
      <c r="B87" s="263" t="s">
        <v>417</v>
      </c>
      <c r="C87" s="264" t="s">
        <v>16</v>
      </c>
      <c r="D87" s="266">
        <v>185</v>
      </c>
      <c r="E87" s="265">
        <f>+D87*5</f>
        <v>925</v>
      </c>
      <c r="H87" s="82">
        <v>84</v>
      </c>
      <c r="I87" s="401" t="s">
        <v>151</v>
      </c>
      <c r="J87" s="401" t="s">
        <v>140</v>
      </c>
      <c r="K87" s="402">
        <f>E12+(E19/2)</f>
        <v>4.3714999999999993</v>
      </c>
      <c r="L87" s="403">
        <v>13</v>
      </c>
      <c r="M87" s="404">
        <f t="shared" si="9"/>
        <v>0.33626923076923071</v>
      </c>
      <c r="N87" s="405">
        <f t="shared" si="10"/>
        <v>13.114499999999998</v>
      </c>
      <c r="O87" s="406">
        <f t="shared" si="11"/>
        <v>-0.11449999999999783</v>
      </c>
      <c r="P87" s="407">
        <v>15</v>
      </c>
      <c r="Q87" s="408">
        <f t="shared" si="12"/>
        <v>0.70856666666666668</v>
      </c>
      <c r="R87" s="409">
        <v>15</v>
      </c>
      <c r="S87" s="408">
        <f t="shared" si="13"/>
        <v>0.70856666666666668</v>
      </c>
      <c r="T87" s="410">
        <v>16</v>
      </c>
      <c r="U87" s="408">
        <f t="shared" si="14"/>
        <v>0.72678125000000005</v>
      </c>
      <c r="V87" s="406">
        <f t="shared" si="15"/>
        <v>2.8855000000000022</v>
      </c>
      <c r="X87" s="317">
        <f t="shared" si="16"/>
        <v>15.600000000000001</v>
      </c>
    </row>
    <row r="88" spans="2:24" x14ac:dyDescent="0.25">
      <c r="B88" s="236" t="s">
        <v>412</v>
      </c>
      <c r="C88" s="212" t="s">
        <v>16</v>
      </c>
      <c r="D88" s="34">
        <v>7.61</v>
      </c>
      <c r="E88" s="237">
        <f>+D88</f>
        <v>7.61</v>
      </c>
      <c r="H88" s="82">
        <v>85</v>
      </c>
      <c r="I88" s="401" t="s">
        <v>151</v>
      </c>
      <c r="J88" s="401" t="s">
        <v>141</v>
      </c>
      <c r="K88" s="402">
        <f>E12+(E32)</f>
        <v>7.45</v>
      </c>
      <c r="L88" s="403">
        <v>13</v>
      </c>
      <c r="M88" s="404">
        <f t="shared" si="9"/>
        <v>0.57307692307692304</v>
      </c>
      <c r="N88" s="405">
        <f t="shared" si="10"/>
        <v>22.35</v>
      </c>
      <c r="O88" s="406">
        <f t="shared" si="11"/>
        <v>-9.3500000000000014</v>
      </c>
      <c r="P88" s="407">
        <v>15</v>
      </c>
      <c r="Q88" s="408">
        <f t="shared" si="12"/>
        <v>0.5033333333333333</v>
      </c>
      <c r="R88" s="409">
        <v>15</v>
      </c>
      <c r="S88" s="408">
        <f t="shared" si="13"/>
        <v>0.5033333333333333</v>
      </c>
      <c r="T88" s="410">
        <v>16</v>
      </c>
      <c r="U88" s="408">
        <f t="shared" si="14"/>
        <v>0.53437500000000004</v>
      </c>
      <c r="V88" s="406">
        <f t="shared" si="15"/>
        <v>-6.3500000000000014</v>
      </c>
      <c r="X88" s="317">
        <f t="shared" si="16"/>
        <v>15.600000000000001</v>
      </c>
    </row>
    <row r="89" spans="2:24" x14ac:dyDescent="0.25">
      <c r="B89" s="236" t="s">
        <v>413</v>
      </c>
      <c r="C89" s="212" t="s">
        <v>16</v>
      </c>
      <c r="D89" s="34">
        <v>9.9</v>
      </c>
      <c r="E89" s="237">
        <f>(+D89)</f>
        <v>9.9</v>
      </c>
      <c r="H89" s="82">
        <v>86</v>
      </c>
      <c r="I89" s="401" t="s">
        <v>151</v>
      </c>
      <c r="J89" s="401" t="s">
        <v>142</v>
      </c>
      <c r="K89" s="402">
        <f>E12+E33</f>
        <v>3.7813253012048191</v>
      </c>
      <c r="L89" s="403">
        <v>13</v>
      </c>
      <c r="M89" s="404">
        <f t="shared" si="9"/>
        <v>0.29087117701575532</v>
      </c>
      <c r="N89" s="405">
        <f t="shared" si="10"/>
        <v>11.343975903614457</v>
      </c>
      <c r="O89" s="406">
        <f t="shared" si="11"/>
        <v>1.6560240963855435</v>
      </c>
      <c r="P89" s="407">
        <v>15</v>
      </c>
      <c r="Q89" s="408">
        <f t="shared" si="12"/>
        <v>0.74791164658634535</v>
      </c>
      <c r="R89" s="409">
        <v>15</v>
      </c>
      <c r="S89" s="408">
        <f t="shared" si="13"/>
        <v>0.74791164658634535</v>
      </c>
      <c r="T89" s="410">
        <v>16</v>
      </c>
      <c r="U89" s="408">
        <f t="shared" si="14"/>
        <v>0.76366716867469875</v>
      </c>
      <c r="V89" s="406">
        <f t="shared" si="15"/>
        <v>4.6560240963855435</v>
      </c>
      <c r="X89" s="317">
        <f t="shared" si="16"/>
        <v>15.600000000000001</v>
      </c>
    </row>
    <row r="90" spans="2:24" x14ac:dyDescent="0.25">
      <c r="B90" s="239" t="s">
        <v>414</v>
      </c>
      <c r="C90" s="214" t="s">
        <v>210</v>
      </c>
      <c r="D90" s="34">
        <v>104.5</v>
      </c>
      <c r="E90" s="237">
        <f>+D90/2</f>
        <v>52.25</v>
      </c>
      <c r="H90" s="82">
        <v>87</v>
      </c>
      <c r="I90" s="401" t="s">
        <v>151</v>
      </c>
      <c r="J90" s="401" t="s">
        <v>143</v>
      </c>
      <c r="K90" s="402">
        <f>E12+E34</f>
        <v>1.9740963855421685</v>
      </c>
      <c r="L90" s="403">
        <v>13</v>
      </c>
      <c r="M90" s="404">
        <f t="shared" si="9"/>
        <v>0.15185356811862835</v>
      </c>
      <c r="N90" s="405">
        <f t="shared" si="10"/>
        <v>5.9222891566265057</v>
      </c>
      <c r="O90" s="406">
        <f t="shared" si="11"/>
        <v>7.0777108433734943</v>
      </c>
      <c r="P90" s="407">
        <v>15</v>
      </c>
      <c r="Q90" s="408">
        <f t="shared" si="12"/>
        <v>0.86839357429718878</v>
      </c>
      <c r="R90" s="409">
        <v>15</v>
      </c>
      <c r="S90" s="408">
        <f t="shared" si="13"/>
        <v>0.86839357429718878</v>
      </c>
      <c r="T90" s="410">
        <v>16</v>
      </c>
      <c r="U90" s="408">
        <f t="shared" si="14"/>
        <v>0.87661897590361448</v>
      </c>
      <c r="V90" s="406">
        <f t="shared" si="15"/>
        <v>10.077710843373495</v>
      </c>
      <c r="X90" s="317">
        <f t="shared" si="16"/>
        <v>15.600000000000001</v>
      </c>
    </row>
    <row r="91" spans="2:24" x14ac:dyDescent="0.25">
      <c r="B91" s="236" t="s">
        <v>415</v>
      </c>
      <c r="C91" s="212" t="s">
        <v>16</v>
      </c>
      <c r="D91" s="34">
        <v>15</v>
      </c>
      <c r="E91" s="237">
        <f>(+D91)</f>
        <v>15</v>
      </c>
      <c r="H91" s="82">
        <v>88</v>
      </c>
      <c r="I91" s="401" t="s">
        <v>151</v>
      </c>
      <c r="J91" s="401" t="s">
        <v>144</v>
      </c>
      <c r="K91" s="402">
        <f>E12+E35</f>
        <v>6.1015151515151516</v>
      </c>
      <c r="L91" s="403">
        <v>13</v>
      </c>
      <c r="M91" s="404">
        <f t="shared" si="9"/>
        <v>0.46934731934731933</v>
      </c>
      <c r="N91" s="405">
        <f t="shared" si="10"/>
        <v>18.304545454545455</v>
      </c>
      <c r="O91" s="406">
        <f t="shared" si="11"/>
        <v>-5.3045454545454547</v>
      </c>
      <c r="P91" s="407">
        <v>15</v>
      </c>
      <c r="Q91" s="408">
        <f t="shared" si="12"/>
        <v>0.59323232323232322</v>
      </c>
      <c r="R91" s="409">
        <v>15</v>
      </c>
      <c r="S91" s="408">
        <f t="shared" si="13"/>
        <v>0.59323232323232322</v>
      </c>
      <c r="T91" s="410">
        <v>16</v>
      </c>
      <c r="U91" s="408">
        <f t="shared" si="14"/>
        <v>0.61865530303030303</v>
      </c>
      <c r="V91" s="406">
        <f t="shared" si="15"/>
        <v>-2.3045454545454547</v>
      </c>
      <c r="X91" s="317">
        <f t="shared" si="16"/>
        <v>15.600000000000001</v>
      </c>
    </row>
    <row r="92" spans="2:24" ht="16.5" thickBot="1" x14ac:dyDescent="0.3">
      <c r="B92" s="241" t="s">
        <v>416</v>
      </c>
      <c r="C92" s="259" t="s">
        <v>210</v>
      </c>
      <c r="D92" s="260">
        <v>6.6</v>
      </c>
      <c r="E92" s="262">
        <f>+D92*0.25</f>
        <v>1.65</v>
      </c>
      <c r="H92" s="82">
        <v>89</v>
      </c>
      <c r="I92" s="401" t="s">
        <v>151</v>
      </c>
      <c r="J92" s="401" t="s">
        <v>145</v>
      </c>
      <c r="K92" s="402">
        <f>E12+E35+(E31)</f>
        <v>10.815800865800867</v>
      </c>
      <c r="L92" s="403">
        <v>13</v>
      </c>
      <c r="M92" s="404">
        <f t="shared" si="9"/>
        <v>0.83198468198468212</v>
      </c>
      <c r="N92" s="405">
        <f t="shared" si="10"/>
        <v>32.447402597402601</v>
      </c>
      <c r="O92" s="406">
        <f t="shared" si="11"/>
        <v>-19.447402597402601</v>
      </c>
      <c r="P92" s="407">
        <v>15</v>
      </c>
      <c r="Q92" s="408">
        <f t="shared" si="12"/>
        <v>0.27894660894660889</v>
      </c>
      <c r="R92" s="409">
        <v>15</v>
      </c>
      <c r="S92" s="408">
        <f t="shared" si="13"/>
        <v>0.27894660894660889</v>
      </c>
      <c r="T92" s="410">
        <v>16</v>
      </c>
      <c r="U92" s="408">
        <f t="shared" si="14"/>
        <v>0.32401244588744582</v>
      </c>
      <c r="V92" s="406">
        <f t="shared" si="15"/>
        <v>-16.447402597402601</v>
      </c>
      <c r="X92" s="317">
        <f t="shared" si="16"/>
        <v>15.600000000000001</v>
      </c>
    </row>
    <row r="93" spans="2:24" ht="16.5" thickBot="1" x14ac:dyDescent="0.3">
      <c r="B93" s="228"/>
      <c r="H93" s="82">
        <v>90</v>
      </c>
      <c r="I93" s="401" t="s">
        <v>151</v>
      </c>
      <c r="J93" s="401" t="s">
        <v>146</v>
      </c>
      <c r="K93" s="402">
        <f>E12+E37</f>
        <v>3.2692771084337346</v>
      </c>
      <c r="L93" s="403">
        <v>13</v>
      </c>
      <c r="M93" s="404">
        <f t="shared" si="9"/>
        <v>0.25148285449490265</v>
      </c>
      <c r="N93" s="405">
        <f t="shared" si="10"/>
        <v>9.8078313253012048</v>
      </c>
      <c r="O93" s="406">
        <f t="shared" si="11"/>
        <v>3.1921686746987952</v>
      </c>
      <c r="P93" s="407">
        <v>15</v>
      </c>
      <c r="Q93" s="408">
        <f t="shared" si="12"/>
        <v>0.78204819277108439</v>
      </c>
      <c r="R93" s="409">
        <v>15</v>
      </c>
      <c r="S93" s="408">
        <f t="shared" si="13"/>
        <v>0.78204819277108439</v>
      </c>
      <c r="T93" s="410">
        <v>16</v>
      </c>
      <c r="U93" s="408">
        <f t="shared" si="14"/>
        <v>0.79567018072289164</v>
      </c>
      <c r="V93" s="406">
        <f t="shared" si="15"/>
        <v>6.1921686746987952</v>
      </c>
      <c r="X93" s="317">
        <f t="shared" si="16"/>
        <v>15.600000000000001</v>
      </c>
    </row>
    <row r="94" spans="2:24" ht="16.5" thickBot="1" x14ac:dyDescent="0.3">
      <c r="B94" s="510" t="s">
        <v>431</v>
      </c>
      <c r="C94" s="511"/>
      <c r="D94" s="512" t="s">
        <v>411</v>
      </c>
      <c r="E94" s="513">
        <f>SUM(E95:E100)</f>
        <v>380.45</v>
      </c>
      <c r="H94" s="82">
        <v>91</v>
      </c>
      <c r="I94" s="401" t="s">
        <v>151</v>
      </c>
      <c r="J94" s="401" t="s">
        <v>154</v>
      </c>
      <c r="K94" s="402">
        <f>E12+(E21/2)</f>
        <v>9.9083333333333332</v>
      </c>
      <c r="L94" s="403">
        <v>24</v>
      </c>
      <c r="M94" s="404">
        <f t="shared" si="9"/>
        <v>0.4128472222222222</v>
      </c>
      <c r="N94" s="405">
        <f t="shared" si="10"/>
        <v>29.725000000000001</v>
      </c>
      <c r="O94" s="406">
        <f t="shared" si="11"/>
        <v>-5.7250000000000014</v>
      </c>
      <c r="P94" s="407">
        <v>24</v>
      </c>
      <c r="Q94" s="408">
        <f t="shared" si="12"/>
        <v>0.58715277777777775</v>
      </c>
      <c r="R94" s="409">
        <v>25</v>
      </c>
      <c r="S94" s="408">
        <f t="shared" si="13"/>
        <v>0.60366666666666668</v>
      </c>
      <c r="T94" s="410">
        <v>26</v>
      </c>
      <c r="U94" s="408">
        <f t="shared" si="14"/>
        <v>0.61891025641025643</v>
      </c>
      <c r="V94" s="406">
        <f t="shared" si="15"/>
        <v>-3.7250000000000014</v>
      </c>
      <c r="X94" s="317">
        <f t="shared" si="16"/>
        <v>26</v>
      </c>
    </row>
    <row r="95" spans="2:24" x14ac:dyDescent="0.25">
      <c r="B95" s="517" t="s">
        <v>419</v>
      </c>
      <c r="C95" s="264" t="s">
        <v>16</v>
      </c>
      <c r="D95" s="266">
        <v>95</v>
      </c>
      <c r="E95" s="265">
        <f>+D95*3.5</f>
        <v>332.5</v>
      </c>
      <c r="F95" s="520"/>
      <c r="H95" s="82">
        <v>92</v>
      </c>
      <c r="I95" s="401" t="s">
        <v>151</v>
      </c>
      <c r="J95" s="401" t="s">
        <v>10</v>
      </c>
      <c r="K95" s="402">
        <f>E12+E24</f>
        <v>8.6583333333333332</v>
      </c>
      <c r="L95" s="403">
        <v>24</v>
      </c>
      <c r="M95" s="404">
        <f t="shared" si="9"/>
        <v>0.36076388888888888</v>
      </c>
      <c r="N95" s="405">
        <f t="shared" si="10"/>
        <v>25.975000000000001</v>
      </c>
      <c r="O95" s="406">
        <f t="shared" si="11"/>
        <v>-1.9750000000000014</v>
      </c>
      <c r="P95" s="407">
        <v>24</v>
      </c>
      <c r="Q95" s="408">
        <f t="shared" si="12"/>
        <v>0.63923611111111112</v>
      </c>
      <c r="R95" s="409">
        <v>25</v>
      </c>
      <c r="S95" s="408">
        <f t="shared" si="13"/>
        <v>0.65366666666666673</v>
      </c>
      <c r="T95" s="410">
        <v>26</v>
      </c>
      <c r="U95" s="408">
        <f t="shared" si="14"/>
        <v>0.66698717948717956</v>
      </c>
      <c r="V95" s="406">
        <f t="shared" si="15"/>
        <v>2.4999999999998579E-2</v>
      </c>
      <c r="X95" s="317">
        <f t="shared" si="16"/>
        <v>26</v>
      </c>
    </row>
    <row r="96" spans="2:24" x14ac:dyDescent="0.25">
      <c r="B96" s="518" t="s">
        <v>432</v>
      </c>
      <c r="C96" s="212" t="s">
        <v>16</v>
      </c>
      <c r="D96" s="34">
        <v>210</v>
      </c>
      <c r="E96" s="237">
        <f>+D96*0.05</f>
        <v>10.5</v>
      </c>
      <c r="F96" s="521"/>
      <c r="H96" s="82">
        <v>93</v>
      </c>
      <c r="I96" s="17" t="s">
        <v>152</v>
      </c>
      <c r="J96" s="17" t="s">
        <v>140</v>
      </c>
      <c r="K96" s="110">
        <f>E7+(E19)</f>
        <v>7.7429999999999994</v>
      </c>
      <c r="L96" s="83">
        <v>13</v>
      </c>
      <c r="M96" s="84">
        <f t="shared" si="9"/>
        <v>0.59561538461538455</v>
      </c>
      <c r="N96" s="101">
        <f t="shared" si="10"/>
        <v>23.228999999999999</v>
      </c>
      <c r="O96" s="85">
        <f t="shared" si="11"/>
        <v>-10.228999999999999</v>
      </c>
      <c r="P96" s="118">
        <v>15</v>
      </c>
      <c r="Q96" s="104">
        <f t="shared" si="12"/>
        <v>0.48380000000000006</v>
      </c>
      <c r="R96" s="201">
        <v>15</v>
      </c>
      <c r="S96" s="199">
        <f t="shared" si="13"/>
        <v>0.48380000000000006</v>
      </c>
      <c r="T96" s="268">
        <v>16</v>
      </c>
      <c r="U96" s="199">
        <f t="shared" si="14"/>
        <v>0.51606250000000009</v>
      </c>
      <c r="V96" s="85">
        <f t="shared" si="15"/>
        <v>-7.2289999999999992</v>
      </c>
      <c r="X96" s="317">
        <f t="shared" si="16"/>
        <v>15.600000000000001</v>
      </c>
    </row>
    <row r="97" spans="2:24" x14ac:dyDescent="0.25">
      <c r="B97" s="518" t="s">
        <v>420</v>
      </c>
      <c r="C97" s="212" t="s">
        <v>16</v>
      </c>
      <c r="D97" s="34">
        <v>3</v>
      </c>
      <c r="E97" s="237">
        <f>(+D97)</f>
        <v>3</v>
      </c>
      <c r="F97" s="521"/>
      <c r="H97" s="82">
        <v>94</v>
      </c>
      <c r="I97" s="17" t="s">
        <v>152</v>
      </c>
      <c r="J97" s="17" t="s">
        <v>141</v>
      </c>
      <c r="K97" s="110">
        <f>E7+(E32)</f>
        <v>7.4</v>
      </c>
      <c r="L97" s="83">
        <v>13</v>
      </c>
      <c r="M97" s="84">
        <f t="shared" si="9"/>
        <v>0.56923076923076921</v>
      </c>
      <c r="N97" s="101">
        <f t="shared" si="10"/>
        <v>22.200000000000003</v>
      </c>
      <c r="O97" s="85">
        <f t="shared" si="11"/>
        <v>-9.2000000000000028</v>
      </c>
      <c r="P97" s="118">
        <v>15</v>
      </c>
      <c r="Q97" s="104">
        <f t="shared" si="12"/>
        <v>0.5066666666666666</v>
      </c>
      <c r="R97" s="201">
        <v>15</v>
      </c>
      <c r="S97" s="199">
        <f t="shared" si="13"/>
        <v>0.5066666666666666</v>
      </c>
      <c r="T97" s="268">
        <v>16</v>
      </c>
      <c r="U97" s="199">
        <f t="shared" si="14"/>
        <v>0.53749999999999998</v>
      </c>
      <c r="V97" s="85">
        <f t="shared" si="15"/>
        <v>-6.2000000000000028</v>
      </c>
      <c r="X97" s="317">
        <f t="shared" si="16"/>
        <v>15.600000000000001</v>
      </c>
    </row>
    <row r="98" spans="2:24" x14ac:dyDescent="0.25">
      <c r="B98" s="518" t="s">
        <v>421</v>
      </c>
      <c r="C98" s="214" t="s">
        <v>210</v>
      </c>
      <c r="D98" s="34">
        <v>25</v>
      </c>
      <c r="E98" s="237">
        <f>+D98/2</f>
        <v>12.5</v>
      </c>
      <c r="F98" s="521"/>
      <c r="H98" s="82">
        <v>95</v>
      </c>
      <c r="I98" s="17" t="s">
        <v>152</v>
      </c>
      <c r="J98" s="17" t="s">
        <v>142</v>
      </c>
      <c r="K98" s="110">
        <f>E7+E33</f>
        <v>3.7313253012048189</v>
      </c>
      <c r="L98" s="83">
        <v>13</v>
      </c>
      <c r="M98" s="84">
        <f t="shared" si="9"/>
        <v>0.28702502316960143</v>
      </c>
      <c r="N98" s="101">
        <f t="shared" si="10"/>
        <v>11.193975903614456</v>
      </c>
      <c r="O98" s="85">
        <f t="shared" si="11"/>
        <v>1.8060240963855438</v>
      </c>
      <c r="P98" s="118">
        <v>15</v>
      </c>
      <c r="Q98" s="104">
        <f t="shared" si="12"/>
        <v>0.75124497991967876</v>
      </c>
      <c r="R98" s="201">
        <v>15</v>
      </c>
      <c r="S98" s="199">
        <f t="shared" si="13"/>
        <v>0.75124497991967876</v>
      </c>
      <c r="T98" s="268">
        <v>16</v>
      </c>
      <c r="U98" s="199">
        <f t="shared" si="14"/>
        <v>0.76679216867469879</v>
      </c>
      <c r="V98" s="85">
        <f t="shared" si="15"/>
        <v>4.8060240963855438</v>
      </c>
      <c r="X98" s="317">
        <f t="shared" si="16"/>
        <v>15.600000000000001</v>
      </c>
    </row>
    <row r="99" spans="2:24" x14ac:dyDescent="0.25">
      <c r="B99" s="518" t="s">
        <v>433</v>
      </c>
      <c r="C99" s="212" t="s">
        <v>16</v>
      </c>
      <c r="D99" s="34">
        <v>75</v>
      </c>
      <c r="E99" s="237">
        <f>+D99*0.09</f>
        <v>6.75</v>
      </c>
      <c r="F99" s="521"/>
      <c r="H99" s="82">
        <v>96</v>
      </c>
      <c r="I99" s="17" t="s">
        <v>152</v>
      </c>
      <c r="J99" s="17" t="s">
        <v>143</v>
      </c>
      <c r="K99" s="110">
        <f>E7+E34</f>
        <v>1.9240963855421684</v>
      </c>
      <c r="L99" s="83">
        <v>13</v>
      </c>
      <c r="M99" s="84">
        <f t="shared" si="9"/>
        <v>0.14800741427247449</v>
      </c>
      <c r="N99" s="101">
        <f t="shared" si="10"/>
        <v>5.7722891566265053</v>
      </c>
      <c r="O99" s="85">
        <f t="shared" si="11"/>
        <v>7.2277108433734947</v>
      </c>
      <c r="P99" s="118">
        <v>15</v>
      </c>
      <c r="Q99" s="104">
        <f t="shared" si="12"/>
        <v>0.87172690763052219</v>
      </c>
      <c r="R99" s="201">
        <v>15</v>
      </c>
      <c r="S99" s="199">
        <f t="shared" si="13"/>
        <v>0.87172690763052219</v>
      </c>
      <c r="T99" s="268">
        <v>16</v>
      </c>
      <c r="U99" s="199">
        <f t="shared" si="14"/>
        <v>0.87974397590361453</v>
      </c>
      <c r="V99" s="85">
        <f t="shared" si="15"/>
        <v>10.227710843373494</v>
      </c>
      <c r="X99" s="317">
        <f t="shared" si="16"/>
        <v>15.600000000000001</v>
      </c>
    </row>
    <row r="100" spans="2:24" x14ac:dyDescent="0.25">
      <c r="B100" s="518" t="s">
        <v>434</v>
      </c>
      <c r="C100" s="214" t="s">
        <v>210</v>
      </c>
      <c r="D100" s="34">
        <f>190</f>
        <v>190</v>
      </c>
      <c r="E100" s="237">
        <f>+D100*0.08</f>
        <v>15.200000000000001</v>
      </c>
      <c r="F100" s="521"/>
      <c r="H100" s="82">
        <v>97</v>
      </c>
      <c r="I100" s="17" t="s">
        <v>152</v>
      </c>
      <c r="J100" s="17" t="s">
        <v>144</v>
      </c>
      <c r="K100" s="110">
        <f>E7+E35</f>
        <v>6.0515151515151517</v>
      </c>
      <c r="L100" s="83">
        <v>13</v>
      </c>
      <c r="M100" s="84">
        <f t="shared" si="9"/>
        <v>0.46550116550116549</v>
      </c>
      <c r="N100" s="101">
        <f t="shared" si="10"/>
        <v>18.154545454545456</v>
      </c>
      <c r="O100" s="85">
        <f t="shared" si="11"/>
        <v>-5.1545454545454561</v>
      </c>
      <c r="P100" s="118">
        <v>15</v>
      </c>
      <c r="Q100" s="104">
        <f t="shared" si="12"/>
        <v>0.59656565656565663</v>
      </c>
      <c r="R100" s="201">
        <v>15</v>
      </c>
      <c r="S100" s="199">
        <f t="shared" si="13"/>
        <v>0.59656565656565663</v>
      </c>
      <c r="T100" s="268">
        <v>16</v>
      </c>
      <c r="U100" s="199">
        <f t="shared" si="14"/>
        <v>0.62178030303030307</v>
      </c>
      <c r="V100" s="85">
        <f t="shared" si="15"/>
        <v>-2.1545454545454561</v>
      </c>
      <c r="X100" s="317">
        <f t="shared" si="16"/>
        <v>15.600000000000001</v>
      </c>
    </row>
    <row r="101" spans="2:24" ht="16.5" thickBot="1" x14ac:dyDescent="0.3">
      <c r="B101" s="519" t="s">
        <v>422</v>
      </c>
      <c r="C101" s="242" t="s">
        <v>16</v>
      </c>
      <c r="D101" s="260">
        <v>50</v>
      </c>
      <c r="E101" s="262">
        <f>+D101*0.36</f>
        <v>18</v>
      </c>
      <c r="F101" s="521"/>
      <c r="H101" s="82">
        <v>98</v>
      </c>
      <c r="I101" s="17" t="s">
        <v>152</v>
      </c>
      <c r="J101" s="17" t="s">
        <v>145</v>
      </c>
      <c r="K101" s="110">
        <f>E7+E35+(E31)</f>
        <v>10.765800865800866</v>
      </c>
      <c r="L101" s="83">
        <v>13</v>
      </c>
      <c r="M101" s="84">
        <f t="shared" si="9"/>
        <v>0.82813852813852817</v>
      </c>
      <c r="N101" s="101">
        <f t="shared" si="10"/>
        <v>32.297402597402595</v>
      </c>
      <c r="O101" s="85">
        <f t="shared" si="11"/>
        <v>-19.297402597402595</v>
      </c>
      <c r="P101" s="118">
        <v>15</v>
      </c>
      <c r="Q101" s="104">
        <f t="shared" si="12"/>
        <v>0.28227994227994224</v>
      </c>
      <c r="R101" s="201">
        <v>15</v>
      </c>
      <c r="S101" s="199">
        <f t="shared" si="13"/>
        <v>0.28227994227994224</v>
      </c>
      <c r="T101" s="268">
        <v>16</v>
      </c>
      <c r="U101" s="199">
        <f t="shared" si="14"/>
        <v>0.32713744588744587</v>
      </c>
      <c r="V101" s="85">
        <f t="shared" si="15"/>
        <v>-16.297402597402595</v>
      </c>
      <c r="X101" s="317">
        <f t="shared" si="16"/>
        <v>15.600000000000001</v>
      </c>
    </row>
    <row r="102" spans="2:24" ht="16.5" thickBot="1" x14ac:dyDescent="0.3">
      <c r="H102" s="82">
        <v>99</v>
      </c>
      <c r="I102" s="17" t="s">
        <v>152</v>
      </c>
      <c r="J102" s="17" t="s">
        <v>146</v>
      </c>
      <c r="K102" s="110">
        <f>E7+E37</f>
        <v>3.2192771084337348</v>
      </c>
      <c r="L102" s="83">
        <v>13</v>
      </c>
      <c r="M102" s="84">
        <f t="shared" si="9"/>
        <v>0.24763670064874882</v>
      </c>
      <c r="N102" s="101">
        <f t="shared" si="10"/>
        <v>9.6578313253012045</v>
      </c>
      <c r="O102" s="85">
        <f t="shared" si="11"/>
        <v>3.3421686746987955</v>
      </c>
      <c r="P102" s="118">
        <v>15</v>
      </c>
      <c r="Q102" s="104">
        <f t="shared" si="12"/>
        <v>0.78538152610441769</v>
      </c>
      <c r="R102" s="201">
        <v>15</v>
      </c>
      <c r="S102" s="199">
        <f t="shared" si="13"/>
        <v>0.78538152610441769</v>
      </c>
      <c r="T102" s="268">
        <v>16</v>
      </c>
      <c r="U102" s="199">
        <f t="shared" si="14"/>
        <v>0.79879518072289157</v>
      </c>
      <c r="V102" s="85">
        <f t="shared" si="15"/>
        <v>6.3421686746987955</v>
      </c>
      <c r="X102" s="317">
        <f t="shared" si="16"/>
        <v>15.600000000000001</v>
      </c>
    </row>
    <row r="103" spans="2:24" x14ac:dyDescent="0.25">
      <c r="B103" s="514" t="s">
        <v>430</v>
      </c>
      <c r="C103" s="522"/>
      <c r="D103" s="515" t="s">
        <v>411</v>
      </c>
      <c r="E103" s="526">
        <f>SUM(E104:E109)</f>
        <v>315.51000000000005</v>
      </c>
      <c r="H103" s="82">
        <v>100</v>
      </c>
      <c r="I103" s="17" t="s">
        <v>152</v>
      </c>
      <c r="J103" s="17" t="s">
        <v>154</v>
      </c>
      <c r="K103" s="110">
        <f>E15+(E21/2)</f>
        <v>9.4583333333333339</v>
      </c>
      <c r="L103" s="83">
        <v>24</v>
      </c>
      <c r="M103" s="84">
        <f t="shared" si="9"/>
        <v>0.39409722222222227</v>
      </c>
      <c r="N103" s="101">
        <f t="shared" si="10"/>
        <v>28.375</v>
      </c>
      <c r="O103" s="85">
        <f t="shared" si="11"/>
        <v>-4.375</v>
      </c>
      <c r="P103" s="118">
        <v>24</v>
      </c>
      <c r="Q103" s="104">
        <f t="shared" si="12"/>
        <v>0.60590277777777779</v>
      </c>
      <c r="R103" s="201">
        <v>25</v>
      </c>
      <c r="S103" s="199">
        <f t="shared" si="13"/>
        <v>0.62166666666666659</v>
      </c>
      <c r="T103" s="268">
        <v>26</v>
      </c>
      <c r="U103" s="199">
        <f t="shared" si="14"/>
        <v>0.63621794871794868</v>
      </c>
      <c r="V103" s="85">
        <f t="shared" si="15"/>
        <v>-2.375</v>
      </c>
      <c r="X103" s="317">
        <f t="shared" si="16"/>
        <v>26</v>
      </c>
    </row>
    <row r="104" spans="2:24" x14ac:dyDescent="0.25">
      <c r="B104" s="523" t="s">
        <v>423</v>
      </c>
      <c r="C104" s="212" t="s">
        <v>16</v>
      </c>
      <c r="D104" s="34">
        <f>7.61</f>
        <v>7.61</v>
      </c>
      <c r="E104" s="237">
        <f>+D104*15</f>
        <v>114.15</v>
      </c>
      <c r="F104" s="520"/>
      <c r="H104" s="82">
        <v>101</v>
      </c>
      <c r="I104" s="17" t="s">
        <v>152</v>
      </c>
      <c r="J104" s="17" t="s">
        <v>10</v>
      </c>
      <c r="K104" s="110">
        <f>E15+E24</f>
        <v>8.2083333333333321</v>
      </c>
      <c r="L104" s="83">
        <v>24</v>
      </c>
      <c r="M104" s="84">
        <f t="shared" si="9"/>
        <v>0.34201388888888884</v>
      </c>
      <c r="N104" s="101">
        <f t="shared" si="10"/>
        <v>24.624999999999996</v>
      </c>
      <c r="O104" s="85">
        <f t="shared" si="11"/>
        <v>-0.62499999999999645</v>
      </c>
      <c r="P104" s="118">
        <v>24</v>
      </c>
      <c r="Q104" s="104">
        <f t="shared" si="12"/>
        <v>0.65798611111111116</v>
      </c>
      <c r="R104" s="201">
        <v>25</v>
      </c>
      <c r="S104" s="199">
        <f t="shared" si="13"/>
        <v>0.67166666666666675</v>
      </c>
      <c r="T104" s="268">
        <v>26</v>
      </c>
      <c r="U104" s="199">
        <f t="shared" si="14"/>
        <v>0.68429487179487181</v>
      </c>
      <c r="V104" s="85">
        <f t="shared" si="15"/>
        <v>1.3750000000000036</v>
      </c>
      <c r="X104" s="317">
        <f t="shared" si="16"/>
        <v>26</v>
      </c>
    </row>
    <row r="105" spans="2:24" x14ac:dyDescent="0.25">
      <c r="B105" s="518" t="s">
        <v>424</v>
      </c>
      <c r="C105" s="212" t="s">
        <v>16</v>
      </c>
      <c r="D105" s="34">
        <v>50</v>
      </c>
      <c r="E105" s="237">
        <f>+D105*0.08</f>
        <v>4</v>
      </c>
      <c r="F105" s="521"/>
      <c r="H105" s="82">
        <v>102</v>
      </c>
      <c r="I105" s="17" t="s">
        <v>253</v>
      </c>
      <c r="J105" s="17" t="s">
        <v>165</v>
      </c>
      <c r="K105" s="110">
        <f>E73</f>
        <v>21.721666666666664</v>
      </c>
      <c r="L105" s="83">
        <v>60</v>
      </c>
      <c r="M105" s="84">
        <f t="shared" si="9"/>
        <v>0.36202777777777773</v>
      </c>
      <c r="N105" s="101">
        <f t="shared" si="10"/>
        <v>65.164999999999992</v>
      </c>
      <c r="O105" s="85">
        <f t="shared" si="11"/>
        <v>-5.164999999999992</v>
      </c>
      <c r="P105" s="118">
        <v>70</v>
      </c>
      <c r="Q105" s="104">
        <f t="shared" si="12"/>
        <v>0.68969047619047619</v>
      </c>
      <c r="R105" s="201">
        <v>70</v>
      </c>
      <c r="S105" s="199">
        <f t="shared" si="13"/>
        <v>0.68969047619047619</v>
      </c>
      <c r="T105" s="268">
        <v>70</v>
      </c>
      <c r="U105" s="199">
        <f t="shared" si="14"/>
        <v>0.68969047619047619</v>
      </c>
      <c r="V105" s="85">
        <f t="shared" si="15"/>
        <v>4.835000000000008</v>
      </c>
      <c r="X105" s="317">
        <f t="shared" si="16"/>
        <v>72.8</v>
      </c>
    </row>
    <row r="106" spans="2:24" x14ac:dyDescent="0.25">
      <c r="B106" s="518" t="s">
        <v>435</v>
      </c>
      <c r="C106" s="212" t="s">
        <v>16</v>
      </c>
      <c r="D106" s="34">
        <f>43</f>
        <v>43</v>
      </c>
      <c r="E106" s="237">
        <f>+D106*0.75</f>
        <v>32.25</v>
      </c>
      <c r="F106" s="521"/>
      <c r="H106" s="82">
        <v>103</v>
      </c>
      <c r="I106" s="17" t="s">
        <v>166</v>
      </c>
      <c r="J106" s="17" t="s">
        <v>165</v>
      </c>
      <c r="K106" s="110">
        <f>+E7+(E73/2)</f>
        <v>11.760833333333332</v>
      </c>
      <c r="L106" s="83">
        <v>30</v>
      </c>
      <c r="M106" s="84">
        <f t="shared" si="9"/>
        <v>0.39202777777777775</v>
      </c>
      <c r="N106" s="101">
        <f t="shared" si="10"/>
        <v>35.282499999999999</v>
      </c>
      <c r="O106" s="85">
        <f t="shared" si="11"/>
        <v>-5.2824999999999989</v>
      </c>
      <c r="P106" s="118">
        <v>25</v>
      </c>
      <c r="Q106" s="104">
        <f t="shared" si="12"/>
        <v>0.52956666666666674</v>
      </c>
      <c r="R106" s="201">
        <v>25</v>
      </c>
      <c r="S106" s="199">
        <f t="shared" si="13"/>
        <v>0.52956666666666674</v>
      </c>
      <c r="T106" s="268">
        <v>26</v>
      </c>
      <c r="U106" s="199">
        <f t="shared" si="14"/>
        <v>0.5476602564102564</v>
      </c>
      <c r="V106" s="85">
        <f t="shared" si="15"/>
        <v>-9.2824999999999989</v>
      </c>
      <c r="X106" s="317">
        <f t="shared" si="16"/>
        <v>26</v>
      </c>
    </row>
    <row r="107" spans="2:24" x14ac:dyDescent="0.25">
      <c r="B107" s="518" t="s">
        <v>436</v>
      </c>
      <c r="C107" s="214" t="s">
        <v>210</v>
      </c>
      <c r="D107" s="34">
        <f>132</f>
        <v>132</v>
      </c>
      <c r="E107" s="237">
        <f>+D107*0.85</f>
        <v>112.2</v>
      </c>
      <c r="F107" s="521"/>
      <c r="H107" s="82">
        <v>104</v>
      </c>
      <c r="I107" s="17" t="s">
        <v>166</v>
      </c>
      <c r="J107" s="17" t="s">
        <v>89</v>
      </c>
      <c r="K107" s="110">
        <f>+E7+E28</f>
        <v>8.0384615384615383</v>
      </c>
      <c r="L107" s="83">
        <v>30</v>
      </c>
      <c r="M107" s="84">
        <f t="shared" si="9"/>
        <v>0.26794871794871794</v>
      </c>
      <c r="N107" s="101">
        <f t="shared" si="10"/>
        <v>24.115384615384613</v>
      </c>
      <c r="O107" s="85">
        <f t="shared" si="11"/>
        <v>5.8846153846153868</v>
      </c>
      <c r="P107" s="118">
        <v>25</v>
      </c>
      <c r="Q107" s="104">
        <f t="shared" si="12"/>
        <v>0.67846153846153845</v>
      </c>
      <c r="R107" s="201">
        <v>25</v>
      </c>
      <c r="S107" s="199">
        <f t="shared" si="13"/>
        <v>0.67846153846153845</v>
      </c>
      <c r="T107" s="268">
        <v>26</v>
      </c>
      <c r="U107" s="199">
        <f t="shared" si="14"/>
        <v>0.69082840236686383</v>
      </c>
      <c r="V107" s="85">
        <f t="shared" si="15"/>
        <v>1.8846153846153868</v>
      </c>
      <c r="X107" s="317">
        <f t="shared" si="16"/>
        <v>26</v>
      </c>
    </row>
    <row r="108" spans="2:24" x14ac:dyDescent="0.25">
      <c r="B108" s="518" t="s">
        <v>437</v>
      </c>
      <c r="C108" s="212" t="s">
        <v>16</v>
      </c>
      <c r="D108" s="34">
        <f>104.5</f>
        <v>104.5</v>
      </c>
      <c r="E108" s="237">
        <f>+D108/2</f>
        <v>52.25</v>
      </c>
      <c r="F108" s="521"/>
      <c r="H108" s="82">
        <v>105</v>
      </c>
      <c r="I108" s="17" t="s">
        <v>166</v>
      </c>
      <c r="J108" s="17" t="s">
        <v>158</v>
      </c>
      <c r="K108" s="110">
        <f>+E7+E22</f>
        <v>7.75</v>
      </c>
      <c r="L108" s="83">
        <v>30</v>
      </c>
      <c r="M108" s="84">
        <f t="shared" si="9"/>
        <v>0.25833333333333336</v>
      </c>
      <c r="N108" s="101">
        <f t="shared" si="10"/>
        <v>23.25</v>
      </c>
      <c r="O108" s="85">
        <f t="shared" si="11"/>
        <v>6.75</v>
      </c>
      <c r="P108" s="118">
        <v>25</v>
      </c>
      <c r="Q108" s="104">
        <f t="shared" si="12"/>
        <v>0.69</v>
      </c>
      <c r="R108" s="201">
        <v>25</v>
      </c>
      <c r="S108" s="199">
        <f t="shared" si="13"/>
        <v>0.69</v>
      </c>
      <c r="T108" s="268">
        <v>26</v>
      </c>
      <c r="U108" s="199">
        <f t="shared" si="14"/>
        <v>0.70192307692307687</v>
      </c>
      <c r="V108" s="85">
        <f t="shared" si="15"/>
        <v>2.75</v>
      </c>
      <c r="X108" s="317">
        <f t="shared" si="16"/>
        <v>26</v>
      </c>
    </row>
    <row r="109" spans="2:24" ht="16.5" thickBot="1" x14ac:dyDescent="0.3">
      <c r="B109" s="519" t="s">
        <v>438</v>
      </c>
      <c r="C109" s="259" t="s">
        <v>210</v>
      </c>
      <c r="D109" s="260">
        <f>6.6</f>
        <v>6.6</v>
      </c>
      <c r="E109" s="262">
        <f>+D109*0.1</f>
        <v>0.66</v>
      </c>
      <c r="F109" s="521"/>
      <c r="H109" s="82">
        <v>106</v>
      </c>
      <c r="I109" s="17" t="s">
        <v>166</v>
      </c>
      <c r="J109" s="17" t="s">
        <v>14</v>
      </c>
      <c r="K109" s="110">
        <f>+E7+E27</f>
        <v>11.257142857142858</v>
      </c>
      <c r="L109" s="83">
        <v>40</v>
      </c>
      <c r="M109" s="84">
        <f t="shared" si="9"/>
        <v>0.28142857142857147</v>
      </c>
      <c r="N109" s="101">
        <f t="shared" si="10"/>
        <v>33.771428571428572</v>
      </c>
      <c r="O109" s="85">
        <f t="shared" si="11"/>
        <v>6.2285714285714278</v>
      </c>
      <c r="P109" s="118">
        <v>33</v>
      </c>
      <c r="Q109" s="104">
        <f t="shared" si="12"/>
        <v>0.65887445887445883</v>
      </c>
      <c r="R109" s="201">
        <v>33</v>
      </c>
      <c r="S109" s="199">
        <f t="shared" si="13"/>
        <v>0.65887445887445883</v>
      </c>
      <c r="T109" s="268">
        <v>34</v>
      </c>
      <c r="U109" s="199">
        <f t="shared" si="14"/>
        <v>0.66890756302521004</v>
      </c>
      <c r="V109" s="85">
        <f t="shared" si="15"/>
        <v>0.22857142857142776</v>
      </c>
      <c r="X109" s="317">
        <f t="shared" si="16"/>
        <v>34.32</v>
      </c>
    </row>
    <row r="110" spans="2:24" x14ac:dyDescent="0.25">
      <c r="D110" s="209"/>
      <c r="H110" s="82">
        <v>107</v>
      </c>
      <c r="I110" s="17" t="s">
        <v>166</v>
      </c>
      <c r="J110" s="17" t="s">
        <v>154</v>
      </c>
      <c r="K110" s="110">
        <f>+E7+(E21/2)</f>
        <v>9.8583333333333343</v>
      </c>
      <c r="L110" s="83">
        <v>40</v>
      </c>
      <c r="M110" s="84">
        <f t="shared" si="9"/>
        <v>0.24645833333333336</v>
      </c>
      <c r="N110" s="101">
        <f t="shared" si="10"/>
        <v>29.575000000000003</v>
      </c>
      <c r="O110" s="85">
        <f t="shared" si="11"/>
        <v>10.424999999999997</v>
      </c>
      <c r="P110" s="118">
        <v>33</v>
      </c>
      <c r="Q110" s="104">
        <f t="shared" si="12"/>
        <v>0.70126262626262625</v>
      </c>
      <c r="R110" s="201">
        <v>33</v>
      </c>
      <c r="S110" s="199">
        <f t="shared" si="13"/>
        <v>0.70126262626262625</v>
      </c>
      <c r="T110" s="268">
        <v>34</v>
      </c>
      <c r="U110" s="199">
        <f t="shared" si="14"/>
        <v>0.71004901960784306</v>
      </c>
      <c r="V110" s="85">
        <f t="shared" si="15"/>
        <v>4.4249999999999972</v>
      </c>
      <c r="X110" s="317">
        <f t="shared" si="16"/>
        <v>34.32</v>
      </c>
    </row>
    <row r="111" spans="2:24" ht="16.5" thickBot="1" x14ac:dyDescent="0.3">
      <c r="D111" s="209"/>
      <c r="H111" s="82">
        <v>108</v>
      </c>
      <c r="I111" s="17" t="s">
        <v>166</v>
      </c>
      <c r="J111" s="17" t="s">
        <v>10</v>
      </c>
      <c r="K111" s="110">
        <f>+E7+E24</f>
        <v>8.6083333333333325</v>
      </c>
      <c r="L111" s="83">
        <v>40</v>
      </c>
      <c r="M111" s="84">
        <f t="shared" si="9"/>
        <v>0.21520833333333331</v>
      </c>
      <c r="N111" s="101">
        <f t="shared" si="10"/>
        <v>25.824999999999996</v>
      </c>
      <c r="O111" s="85">
        <f t="shared" si="11"/>
        <v>14.175000000000004</v>
      </c>
      <c r="P111" s="118">
        <v>33</v>
      </c>
      <c r="Q111" s="104">
        <f t="shared" si="12"/>
        <v>0.7391414141414141</v>
      </c>
      <c r="R111" s="201">
        <v>33</v>
      </c>
      <c r="S111" s="199">
        <f t="shared" si="13"/>
        <v>0.7391414141414141</v>
      </c>
      <c r="T111" s="268">
        <v>34</v>
      </c>
      <c r="U111" s="199">
        <f t="shared" si="14"/>
        <v>0.74681372549019609</v>
      </c>
      <c r="V111" s="85">
        <f t="shared" si="15"/>
        <v>8.1750000000000043</v>
      </c>
      <c r="X111" s="317">
        <f t="shared" si="16"/>
        <v>34.32</v>
      </c>
    </row>
    <row r="112" spans="2:24" ht="16.5" thickBot="1" x14ac:dyDescent="0.3">
      <c r="B112" s="514" t="s">
        <v>429</v>
      </c>
      <c r="C112" s="525"/>
      <c r="D112" s="515" t="s">
        <v>411</v>
      </c>
      <c r="E112" s="516">
        <f>SUM(E113:E116)</f>
        <v>6.4300000000000015</v>
      </c>
      <c r="H112" s="82">
        <v>109</v>
      </c>
      <c r="I112" s="17" t="s">
        <v>254</v>
      </c>
      <c r="J112" s="17" t="s">
        <v>167</v>
      </c>
      <c r="K112" s="110">
        <f>(+E22*4.16)</f>
        <v>28.495999999999999</v>
      </c>
      <c r="L112" s="83">
        <v>60</v>
      </c>
      <c r="M112" s="84">
        <f t="shared" si="9"/>
        <v>0.47493333333333332</v>
      </c>
      <c r="N112" s="101">
        <f t="shared" si="10"/>
        <v>85.488</v>
      </c>
      <c r="O112" s="85">
        <f t="shared" si="11"/>
        <v>-25.488</v>
      </c>
      <c r="P112" s="118">
        <v>70</v>
      </c>
      <c r="Q112" s="104">
        <f t="shared" si="12"/>
        <v>0.59291428571428584</v>
      </c>
      <c r="R112" s="201">
        <v>70</v>
      </c>
      <c r="S112" s="199">
        <f t="shared" si="13"/>
        <v>0.59291428571428584</v>
      </c>
      <c r="T112" s="268">
        <v>70</v>
      </c>
      <c r="U112" s="199">
        <f t="shared" si="14"/>
        <v>0.59291428571428584</v>
      </c>
      <c r="V112" s="85">
        <f t="shared" si="15"/>
        <v>-15.488</v>
      </c>
      <c r="X112" s="317">
        <f t="shared" si="16"/>
        <v>72.8</v>
      </c>
    </row>
    <row r="113" spans="2:24" x14ac:dyDescent="0.25">
      <c r="B113" s="517" t="s">
        <v>426</v>
      </c>
      <c r="C113" s="264" t="s">
        <v>16</v>
      </c>
      <c r="D113" s="266">
        <f>58</f>
        <v>58</v>
      </c>
      <c r="E113" s="265">
        <f>+D113*0.03</f>
        <v>1.74</v>
      </c>
      <c r="F113" s="520"/>
      <c r="H113" s="82">
        <v>110</v>
      </c>
      <c r="I113" s="17" t="s">
        <v>169</v>
      </c>
      <c r="J113" s="17" t="s">
        <v>170</v>
      </c>
      <c r="K113" s="110">
        <v>10</v>
      </c>
      <c r="L113" s="83">
        <v>22</v>
      </c>
      <c r="M113" s="84">
        <f t="shared" si="9"/>
        <v>0.45454545454545453</v>
      </c>
      <c r="N113" s="101">
        <f t="shared" si="10"/>
        <v>30</v>
      </c>
      <c r="O113" s="85">
        <f t="shared" si="11"/>
        <v>-8</v>
      </c>
      <c r="P113" s="118">
        <v>25</v>
      </c>
      <c r="Q113" s="104">
        <f t="shared" si="12"/>
        <v>0.6</v>
      </c>
      <c r="R113" s="201">
        <v>25</v>
      </c>
      <c r="S113" s="199">
        <f t="shared" si="13"/>
        <v>0.6</v>
      </c>
      <c r="T113" s="268">
        <v>25</v>
      </c>
      <c r="U113" s="199">
        <f t="shared" si="14"/>
        <v>0.6</v>
      </c>
      <c r="V113" s="85">
        <f t="shared" si="15"/>
        <v>-5</v>
      </c>
      <c r="X113" s="317">
        <f t="shared" si="16"/>
        <v>26</v>
      </c>
    </row>
    <row r="114" spans="2:24" x14ac:dyDescent="0.25">
      <c r="B114" s="518" t="s">
        <v>427</v>
      </c>
      <c r="C114" s="212" t="s">
        <v>16</v>
      </c>
      <c r="D114" s="34">
        <v>50</v>
      </c>
      <c r="E114" s="237">
        <f>+D114*0.08</f>
        <v>4</v>
      </c>
      <c r="F114" s="520"/>
      <c r="H114" s="82">
        <v>111</v>
      </c>
      <c r="I114" s="17" t="s">
        <v>169</v>
      </c>
      <c r="J114" s="17" t="s">
        <v>171</v>
      </c>
      <c r="K114" s="110">
        <v>14.5</v>
      </c>
      <c r="L114" s="83">
        <v>22</v>
      </c>
      <c r="M114" s="84">
        <f t="shared" si="9"/>
        <v>0.65909090909090906</v>
      </c>
      <c r="N114" s="101">
        <f t="shared" si="10"/>
        <v>43.5</v>
      </c>
      <c r="O114" s="85">
        <f t="shared" si="11"/>
        <v>-21.5</v>
      </c>
      <c r="P114" s="118">
        <v>30</v>
      </c>
      <c r="Q114" s="104">
        <f t="shared" si="12"/>
        <v>0.51666666666666672</v>
      </c>
      <c r="R114" s="201">
        <v>30</v>
      </c>
      <c r="S114" s="199">
        <f t="shared" si="13"/>
        <v>0.51666666666666672</v>
      </c>
      <c r="T114" s="268">
        <v>30</v>
      </c>
      <c r="U114" s="199">
        <f t="shared" si="14"/>
        <v>0.51666666666666672</v>
      </c>
      <c r="V114" s="85">
        <f t="shared" si="15"/>
        <v>-13.5</v>
      </c>
      <c r="X114" s="317">
        <f t="shared" si="16"/>
        <v>31.200000000000003</v>
      </c>
    </row>
    <row r="115" spans="2:24" x14ac:dyDescent="0.25">
      <c r="B115" s="518" t="s">
        <v>428</v>
      </c>
      <c r="C115" s="212" t="s">
        <v>16</v>
      </c>
      <c r="D115" s="235">
        <f>7.61</f>
        <v>7.61</v>
      </c>
      <c r="E115" s="237">
        <f>(+D115*13)-98.9</f>
        <v>3.0000000000001137E-2</v>
      </c>
      <c r="F115" s="520"/>
      <c r="H115" s="82">
        <v>112</v>
      </c>
      <c r="I115" s="17" t="s">
        <v>169</v>
      </c>
      <c r="J115" s="17" t="s">
        <v>172</v>
      </c>
      <c r="K115" s="110">
        <v>10</v>
      </c>
      <c r="L115" s="83">
        <v>18</v>
      </c>
      <c r="M115" s="84">
        <f t="shared" si="9"/>
        <v>0.55555555555555558</v>
      </c>
      <c r="N115" s="101">
        <f t="shared" si="10"/>
        <v>30</v>
      </c>
      <c r="O115" s="85">
        <f t="shared" si="11"/>
        <v>-12</v>
      </c>
      <c r="P115" s="118">
        <v>22</v>
      </c>
      <c r="Q115" s="104">
        <f t="shared" si="12"/>
        <v>0.54545454545454541</v>
      </c>
      <c r="R115" s="201">
        <v>22</v>
      </c>
      <c r="S115" s="199">
        <f t="shared" si="13"/>
        <v>0.54545454545454541</v>
      </c>
      <c r="T115" s="268">
        <v>22</v>
      </c>
      <c r="U115" s="199">
        <f t="shared" si="14"/>
        <v>0.54545454545454541</v>
      </c>
      <c r="V115" s="85">
        <f t="shared" si="15"/>
        <v>-8</v>
      </c>
      <c r="X115" s="317">
        <f t="shared" si="16"/>
        <v>22.880000000000003</v>
      </c>
    </row>
    <row r="116" spans="2:24" ht="16.5" thickBot="1" x14ac:dyDescent="0.3">
      <c r="B116" s="519" t="s">
        <v>425</v>
      </c>
      <c r="C116" s="259" t="s">
        <v>210</v>
      </c>
      <c r="D116" s="260">
        <f>6.6</f>
        <v>6.6</v>
      </c>
      <c r="E116" s="262">
        <f>+D116*0.1</f>
        <v>0.66</v>
      </c>
      <c r="F116" s="520"/>
      <c r="H116" s="82">
        <v>113</v>
      </c>
      <c r="I116" s="17" t="s">
        <v>169</v>
      </c>
      <c r="J116" s="17" t="s">
        <v>173</v>
      </c>
      <c r="K116" s="110">
        <v>10</v>
      </c>
      <c r="L116" s="83">
        <v>18</v>
      </c>
      <c r="M116" s="84">
        <f t="shared" si="9"/>
        <v>0.55555555555555558</v>
      </c>
      <c r="N116" s="101">
        <f t="shared" si="10"/>
        <v>30</v>
      </c>
      <c r="O116" s="85">
        <f t="shared" si="11"/>
        <v>-12</v>
      </c>
      <c r="P116" s="118">
        <v>22</v>
      </c>
      <c r="Q116" s="104">
        <f t="shared" si="12"/>
        <v>0.54545454545454541</v>
      </c>
      <c r="R116" s="201">
        <v>22</v>
      </c>
      <c r="S116" s="199">
        <f t="shared" si="13"/>
        <v>0.54545454545454541</v>
      </c>
      <c r="T116" s="268">
        <v>22</v>
      </c>
      <c r="U116" s="199">
        <f t="shared" si="14"/>
        <v>0.54545454545454541</v>
      </c>
      <c r="V116" s="85">
        <f t="shared" si="15"/>
        <v>-8</v>
      </c>
      <c r="X116" s="317">
        <f t="shared" si="16"/>
        <v>22.880000000000003</v>
      </c>
    </row>
    <row r="117" spans="2:24" x14ac:dyDescent="0.25">
      <c r="B117" s="524"/>
      <c r="C117" s="505"/>
      <c r="D117" s="203"/>
      <c r="E117" s="506"/>
      <c r="H117" s="82">
        <v>114</v>
      </c>
      <c r="I117" s="480" t="s">
        <v>311</v>
      </c>
      <c r="J117" s="480" t="s">
        <v>292</v>
      </c>
      <c r="K117" s="485">
        <v>13.72</v>
      </c>
      <c r="L117" s="486">
        <v>25</v>
      </c>
      <c r="M117" s="487">
        <f t="shared" si="9"/>
        <v>0.54880000000000007</v>
      </c>
      <c r="N117" s="488">
        <f t="shared" si="10"/>
        <v>41.160000000000004</v>
      </c>
      <c r="O117" s="489">
        <f t="shared" si="11"/>
        <v>-16.160000000000004</v>
      </c>
      <c r="P117" s="490">
        <v>25</v>
      </c>
      <c r="Q117" s="491">
        <f t="shared" si="12"/>
        <v>0.45119999999999999</v>
      </c>
      <c r="R117" s="492">
        <v>25</v>
      </c>
      <c r="S117" s="491">
        <f t="shared" si="13"/>
        <v>0.45119999999999999</v>
      </c>
      <c r="T117" s="493">
        <v>25</v>
      </c>
      <c r="U117" s="491">
        <f t="shared" si="14"/>
        <v>0.45119999999999999</v>
      </c>
      <c r="V117" s="489">
        <f t="shared" si="15"/>
        <v>-16.160000000000004</v>
      </c>
      <c r="X117" s="317">
        <f t="shared" si="16"/>
        <v>26</v>
      </c>
    </row>
    <row r="118" spans="2:24" x14ac:dyDescent="0.25">
      <c r="B118" s="524"/>
      <c r="C118" s="215"/>
      <c r="D118" s="203"/>
      <c r="E118" s="506"/>
      <c r="H118" s="82">
        <v>115</v>
      </c>
      <c r="I118" s="480" t="s">
        <v>311</v>
      </c>
      <c r="J118" s="480" t="s">
        <v>293</v>
      </c>
      <c r="K118" s="485">
        <v>12.39</v>
      </c>
      <c r="L118" s="486">
        <v>25</v>
      </c>
      <c r="M118" s="487">
        <f t="shared" si="9"/>
        <v>0.49560000000000004</v>
      </c>
      <c r="N118" s="488">
        <f t="shared" si="10"/>
        <v>37.17</v>
      </c>
      <c r="O118" s="489">
        <f t="shared" si="11"/>
        <v>-12.170000000000002</v>
      </c>
      <c r="P118" s="490">
        <v>25</v>
      </c>
      <c r="Q118" s="491">
        <f t="shared" si="12"/>
        <v>0.50439999999999996</v>
      </c>
      <c r="R118" s="492">
        <v>25</v>
      </c>
      <c r="S118" s="491">
        <f t="shared" si="13"/>
        <v>0.50439999999999996</v>
      </c>
      <c r="T118" s="493">
        <v>25</v>
      </c>
      <c r="U118" s="491">
        <f t="shared" si="14"/>
        <v>0.50439999999999996</v>
      </c>
      <c r="V118" s="489">
        <f t="shared" si="15"/>
        <v>-12.170000000000002</v>
      </c>
      <c r="X118" s="317">
        <f t="shared" si="16"/>
        <v>26</v>
      </c>
    </row>
    <row r="119" spans="2:24" x14ac:dyDescent="0.25">
      <c r="D119" s="209"/>
      <c r="H119" s="82">
        <v>116</v>
      </c>
      <c r="I119" s="480" t="s">
        <v>311</v>
      </c>
      <c r="J119" s="480" t="s">
        <v>294</v>
      </c>
      <c r="K119" s="485">
        <v>15.84</v>
      </c>
      <c r="L119" s="486">
        <v>35</v>
      </c>
      <c r="M119" s="487">
        <f t="shared" si="9"/>
        <v>0.45257142857142857</v>
      </c>
      <c r="N119" s="488">
        <f t="shared" si="10"/>
        <v>47.519999999999996</v>
      </c>
      <c r="O119" s="489">
        <f t="shared" si="11"/>
        <v>-12.519999999999996</v>
      </c>
      <c r="P119" s="490">
        <v>35</v>
      </c>
      <c r="Q119" s="491">
        <f t="shared" si="12"/>
        <v>0.54742857142857149</v>
      </c>
      <c r="R119" s="492">
        <v>35</v>
      </c>
      <c r="S119" s="491">
        <f t="shared" si="13"/>
        <v>0.54742857142857149</v>
      </c>
      <c r="T119" s="493">
        <v>35</v>
      </c>
      <c r="U119" s="491">
        <f t="shared" si="14"/>
        <v>0.54742857142857149</v>
      </c>
      <c r="V119" s="489">
        <f t="shared" si="15"/>
        <v>-12.519999999999996</v>
      </c>
      <c r="X119" s="317">
        <f t="shared" si="16"/>
        <v>36.4</v>
      </c>
    </row>
    <row r="120" spans="2:24" x14ac:dyDescent="0.25">
      <c r="D120" s="209"/>
      <c r="H120" s="82">
        <v>117</v>
      </c>
      <c r="I120" s="480" t="s">
        <v>311</v>
      </c>
      <c r="J120" s="480" t="s">
        <v>295</v>
      </c>
      <c r="K120" s="485">
        <v>15.17</v>
      </c>
      <c r="L120" s="486">
        <v>35</v>
      </c>
      <c r="M120" s="487">
        <f t="shared" si="9"/>
        <v>0.43342857142857144</v>
      </c>
      <c r="N120" s="488">
        <f t="shared" si="10"/>
        <v>45.51</v>
      </c>
      <c r="O120" s="489">
        <f t="shared" si="11"/>
        <v>-10.509999999999998</v>
      </c>
      <c r="P120" s="490">
        <v>35</v>
      </c>
      <c r="Q120" s="491">
        <f t="shared" si="12"/>
        <v>0.5665714285714285</v>
      </c>
      <c r="R120" s="492">
        <v>35</v>
      </c>
      <c r="S120" s="491">
        <f t="shared" si="13"/>
        <v>0.5665714285714285</v>
      </c>
      <c r="T120" s="493">
        <v>35</v>
      </c>
      <c r="U120" s="491">
        <f t="shared" si="14"/>
        <v>0.5665714285714285</v>
      </c>
      <c r="V120" s="489">
        <f t="shared" si="15"/>
        <v>-10.509999999999998</v>
      </c>
      <c r="X120" s="317">
        <f t="shared" si="16"/>
        <v>36.4</v>
      </c>
    </row>
    <row r="121" spans="2:24" x14ac:dyDescent="0.25">
      <c r="D121" s="209"/>
      <c r="H121" s="82">
        <v>118</v>
      </c>
      <c r="I121" s="17" t="s">
        <v>311</v>
      </c>
      <c r="J121" s="17" t="s">
        <v>296</v>
      </c>
      <c r="K121" s="110">
        <f>E41</f>
        <v>7.14</v>
      </c>
      <c r="L121" s="83">
        <v>27</v>
      </c>
      <c r="M121" s="84">
        <f t="shared" si="9"/>
        <v>0.26444444444444443</v>
      </c>
      <c r="N121" s="101">
        <f t="shared" si="10"/>
        <v>21.419999999999998</v>
      </c>
      <c r="O121" s="85">
        <f t="shared" si="11"/>
        <v>5.5800000000000018</v>
      </c>
      <c r="P121" s="118">
        <v>27</v>
      </c>
      <c r="Q121" s="104">
        <f t="shared" si="12"/>
        <v>0.73555555555555552</v>
      </c>
      <c r="R121" s="201">
        <v>27</v>
      </c>
      <c r="S121" s="199">
        <f t="shared" si="13"/>
        <v>0.73555555555555552</v>
      </c>
      <c r="T121" s="268">
        <v>28</v>
      </c>
      <c r="U121" s="199">
        <f t="shared" si="14"/>
        <v>0.745</v>
      </c>
      <c r="V121" s="85">
        <f t="shared" si="15"/>
        <v>6.5800000000000018</v>
      </c>
      <c r="X121" s="317">
        <f t="shared" si="16"/>
        <v>28.080000000000002</v>
      </c>
    </row>
    <row r="122" spans="2:24" x14ac:dyDescent="0.25">
      <c r="D122" s="209"/>
      <c r="H122" s="82">
        <v>119</v>
      </c>
      <c r="I122" s="17" t="s">
        <v>311</v>
      </c>
      <c r="J122" s="17" t="s">
        <v>297</v>
      </c>
      <c r="K122" s="110">
        <f>E41*2</f>
        <v>14.28</v>
      </c>
      <c r="L122" s="83">
        <v>42</v>
      </c>
      <c r="M122" s="84">
        <f t="shared" si="9"/>
        <v>0.33999999999999997</v>
      </c>
      <c r="N122" s="101">
        <f t="shared" si="10"/>
        <v>42.839999999999996</v>
      </c>
      <c r="O122" s="85">
        <f t="shared" si="11"/>
        <v>-0.83999999999999631</v>
      </c>
      <c r="P122" s="118">
        <v>42</v>
      </c>
      <c r="Q122" s="104">
        <f t="shared" si="12"/>
        <v>0.65999999999999992</v>
      </c>
      <c r="R122" s="201">
        <v>42</v>
      </c>
      <c r="S122" s="199">
        <f t="shared" si="13"/>
        <v>0.65999999999999992</v>
      </c>
      <c r="T122" s="268">
        <v>45</v>
      </c>
      <c r="U122" s="199">
        <f t="shared" si="14"/>
        <v>0.68266666666666664</v>
      </c>
      <c r="V122" s="85">
        <f t="shared" si="15"/>
        <v>2.1600000000000037</v>
      </c>
      <c r="X122" s="317">
        <f t="shared" si="16"/>
        <v>43.68</v>
      </c>
    </row>
    <row r="123" spans="2:24" x14ac:dyDescent="0.25">
      <c r="D123" s="209"/>
      <c r="H123" s="82">
        <v>120</v>
      </c>
      <c r="I123" s="17" t="s">
        <v>311</v>
      </c>
      <c r="J123" s="17" t="s">
        <v>298</v>
      </c>
      <c r="K123" s="110">
        <v>7</v>
      </c>
      <c r="L123" s="83">
        <v>19</v>
      </c>
      <c r="M123" s="84">
        <f t="shared" si="9"/>
        <v>0.36842105263157893</v>
      </c>
      <c r="N123" s="101">
        <f t="shared" si="10"/>
        <v>21</v>
      </c>
      <c r="O123" s="85">
        <f t="shared" si="11"/>
        <v>-2</v>
      </c>
      <c r="P123" s="118">
        <v>20</v>
      </c>
      <c r="Q123" s="104">
        <f t="shared" si="12"/>
        <v>0.65</v>
      </c>
      <c r="R123" s="201">
        <v>20</v>
      </c>
      <c r="S123" s="199">
        <f t="shared" si="13"/>
        <v>0.65</v>
      </c>
      <c r="T123" s="268">
        <v>21</v>
      </c>
      <c r="U123" s="502">
        <f t="shared" si="14"/>
        <v>0.66666666666666663</v>
      </c>
      <c r="V123" s="85">
        <f t="shared" si="15"/>
        <v>0</v>
      </c>
      <c r="X123" s="317">
        <f t="shared" si="16"/>
        <v>20.8</v>
      </c>
    </row>
    <row r="124" spans="2:24" x14ac:dyDescent="0.25">
      <c r="D124" s="209"/>
      <c r="H124" s="82">
        <v>121</v>
      </c>
      <c r="I124" s="17" t="s">
        <v>311</v>
      </c>
      <c r="J124" s="17" t="s">
        <v>299</v>
      </c>
      <c r="K124" s="110">
        <v>11.5</v>
      </c>
      <c r="L124" s="83">
        <v>25</v>
      </c>
      <c r="M124" s="84">
        <f t="shared" si="9"/>
        <v>0.46</v>
      </c>
      <c r="N124" s="101">
        <f t="shared" si="10"/>
        <v>34.5</v>
      </c>
      <c r="O124" s="85">
        <f t="shared" si="11"/>
        <v>-9.5</v>
      </c>
      <c r="P124" s="118">
        <v>25</v>
      </c>
      <c r="Q124" s="104">
        <f t="shared" si="12"/>
        <v>0.54</v>
      </c>
      <c r="R124" s="201">
        <v>25</v>
      </c>
      <c r="S124" s="199">
        <f t="shared" si="13"/>
        <v>0.54</v>
      </c>
      <c r="T124" s="268">
        <v>28</v>
      </c>
      <c r="U124" s="199">
        <f t="shared" si="14"/>
        <v>0.5892857142857143</v>
      </c>
      <c r="V124" s="85">
        <f t="shared" si="15"/>
        <v>-6.5</v>
      </c>
      <c r="X124" s="317">
        <f t="shared" si="16"/>
        <v>26</v>
      </c>
    </row>
    <row r="125" spans="2:24" x14ac:dyDescent="0.25">
      <c r="D125" s="209"/>
      <c r="H125" s="82">
        <v>122</v>
      </c>
      <c r="I125" s="17" t="s">
        <v>311</v>
      </c>
      <c r="J125" s="17" t="s">
        <v>257</v>
      </c>
      <c r="K125" s="110">
        <v>5.45</v>
      </c>
      <c r="L125" s="83">
        <v>18</v>
      </c>
      <c r="M125" s="84">
        <f t="shared" si="9"/>
        <v>0.30277777777777781</v>
      </c>
      <c r="N125" s="101">
        <f t="shared" si="10"/>
        <v>16.350000000000001</v>
      </c>
      <c r="O125" s="85">
        <f t="shared" si="11"/>
        <v>1.6499999999999986</v>
      </c>
      <c r="P125" s="118">
        <v>16</v>
      </c>
      <c r="Q125" s="104">
        <f t="shared" si="12"/>
        <v>0.65937500000000004</v>
      </c>
      <c r="R125" s="201">
        <v>16</v>
      </c>
      <c r="S125" s="199">
        <f t="shared" si="13"/>
        <v>0.65937500000000004</v>
      </c>
      <c r="T125" s="268">
        <v>17</v>
      </c>
      <c r="U125" s="199">
        <f t="shared" si="14"/>
        <v>0.67941176470588238</v>
      </c>
      <c r="V125" s="85">
        <f t="shared" si="15"/>
        <v>0.64999999999999858</v>
      </c>
      <c r="X125" s="317">
        <f t="shared" si="16"/>
        <v>16.64</v>
      </c>
    </row>
    <row r="126" spans="2:24" x14ac:dyDescent="0.25">
      <c r="D126" s="209"/>
      <c r="H126" s="82">
        <v>123</v>
      </c>
      <c r="I126" s="17" t="s">
        <v>311</v>
      </c>
      <c r="J126" s="17" t="s">
        <v>300</v>
      </c>
      <c r="K126" s="110">
        <v>6.9</v>
      </c>
      <c r="L126" s="83">
        <v>20</v>
      </c>
      <c r="M126" s="84">
        <f t="shared" si="9"/>
        <v>0.34500000000000003</v>
      </c>
      <c r="N126" s="101">
        <f t="shared" si="10"/>
        <v>20.700000000000003</v>
      </c>
      <c r="O126" s="85">
        <f t="shared" si="11"/>
        <v>-0.70000000000000284</v>
      </c>
      <c r="P126" s="118">
        <v>20</v>
      </c>
      <c r="Q126" s="104">
        <f t="shared" si="12"/>
        <v>0.65500000000000003</v>
      </c>
      <c r="R126" s="201">
        <v>20</v>
      </c>
      <c r="S126" s="199">
        <f t="shared" si="13"/>
        <v>0.65500000000000003</v>
      </c>
      <c r="T126" s="268">
        <v>21</v>
      </c>
      <c r="U126" s="199">
        <f t="shared" si="14"/>
        <v>0.67142857142857137</v>
      </c>
      <c r="V126" s="85">
        <f t="shared" si="15"/>
        <v>0.29999999999999716</v>
      </c>
      <c r="X126" s="317">
        <f t="shared" si="16"/>
        <v>20.8</v>
      </c>
    </row>
    <row r="127" spans="2:24" x14ac:dyDescent="0.25">
      <c r="D127" s="209"/>
      <c r="H127" s="82">
        <v>124</v>
      </c>
      <c r="I127" s="17" t="s">
        <v>311</v>
      </c>
      <c r="J127" s="17" t="s">
        <v>301</v>
      </c>
      <c r="K127" s="110">
        <v>5.89</v>
      </c>
      <c r="L127" s="83">
        <v>19</v>
      </c>
      <c r="M127" s="84">
        <f t="shared" si="9"/>
        <v>0.31</v>
      </c>
      <c r="N127" s="101">
        <f t="shared" si="10"/>
        <v>17.669999999999998</v>
      </c>
      <c r="O127" s="85">
        <f t="shared" si="11"/>
        <v>1.3300000000000018</v>
      </c>
      <c r="P127" s="118">
        <v>20</v>
      </c>
      <c r="Q127" s="104">
        <f t="shared" si="12"/>
        <v>0.70550000000000002</v>
      </c>
      <c r="R127" s="201">
        <v>20</v>
      </c>
      <c r="S127" s="199">
        <f t="shared" si="13"/>
        <v>0.70550000000000002</v>
      </c>
      <c r="T127" s="268">
        <v>21</v>
      </c>
      <c r="U127" s="501">
        <f t="shared" si="14"/>
        <v>0.71952380952380945</v>
      </c>
      <c r="V127" s="85">
        <f t="shared" si="15"/>
        <v>3.3300000000000018</v>
      </c>
      <c r="X127" s="317">
        <f t="shared" si="16"/>
        <v>20.8</v>
      </c>
    </row>
    <row r="128" spans="2:24" x14ac:dyDescent="0.25">
      <c r="D128" s="209"/>
      <c r="H128" s="82">
        <v>125</v>
      </c>
      <c r="I128" s="17" t="s">
        <v>311</v>
      </c>
      <c r="J128" s="17" t="s">
        <v>302</v>
      </c>
      <c r="K128" s="110">
        <v>10.7</v>
      </c>
      <c r="L128" s="83">
        <v>19</v>
      </c>
      <c r="M128" s="84">
        <f t="shared" si="9"/>
        <v>0.56315789473684208</v>
      </c>
      <c r="N128" s="101">
        <f t="shared" si="10"/>
        <v>32.099999999999994</v>
      </c>
      <c r="O128" s="85">
        <f t="shared" si="11"/>
        <v>-13.099999999999994</v>
      </c>
      <c r="P128" s="118">
        <v>20</v>
      </c>
      <c r="Q128" s="104">
        <f t="shared" si="12"/>
        <v>0.46500000000000002</v>
      </c>
      <c r="R128" s="201">
        <v>20</v>
      </c>
      <c r="S128" s="199">
        <f t="shared" si="13"/>
        <v>0.46500000000000002</v>
      </c>
      <c r="T128" s="268">
        <v>21</v>
      </c>
      <c r="U128" s="199">
        <f t="shared" si="14"/>
        <v>0.49047619047619051</v>
      </c>
      <c r="V128" s="85">
        <f t="shared" si="15"/>
        <v>-11.099999999999994</v>
      </c>
      <c r="X128" s="317">
        <f t="shared" si="16"/>
        <v>20.8</v>
      </c>
    </row>
    <row r="129" spans="2:26" x14ac:dyDescent="0.25">
      <c r="D129" s="209"/>
      <c r="H129" s="290">
        <v>126</v>
      </c>
      <c r="I129" s="291" t="s">
        <v>311</v>
      </c>
      <c r="J129" s="291" t="s">
        <v>303</v>
      </c>
      <c r="K129" s="438">
        <f>+E79</f>
        <v>23.411764705882351</v>
      </c>
      <c r="L129" s="439">
        <v>50</v>
      </c>
      <c r="M129" s="440">
        <f t="shared" si="9"/>
        <v>0.46823529411764703</v>
      </c>
      <c r="N129" s="441">
        <f t="shared" si="10"/>
        <v>70.235294117647058</v>
      </c>
      <c r="O129" s="442">
        <f t="shared" si="11"/>
        <v>-20.235294117647058</v>
      </c>
      <c r="P129" s="443">
        <v>50</v>
      </c>
      <c r="Q129" s="444">
        <f t="shared" si="12"/>
        <v>0.53176470588235292</v>
      </c>
      <c r="R129" s="445">
        <v>50</v>
      </c>
      <c r="S129" s="444">
        <f t="shared" si="13"/>
        <v>0.53176470588235292</v>
      </c>
      <c r="T129" s="446">
        <v>50</v>
      </c>
      <c r="U129" s="444">
        <f t="shared" si="14"/>
        <v>0.53176470588235292</v>
      </c>
      <c r="V129" s="442">
        <f t="shared" si="15"/>
        <v>-20.235294117647058</v>
      </c>
      <c r="X129" s="317">
        <f t="shared" si="16"/>
        <v>52</v>
      </c>
    </row>
    <row r="130" spans="2:26" x14ac:dyDescent="0.25">
      <c r="D130" s="209"/>
      <c r="H130" s="290">
        <v>127</v>
      </c>
      <c r="I130" s="291" t="s">
        <v>311</v>
      </c>
      <c r="J130" s="291" t="s">
        <v>304</v>
      </c>
      <c r="K130" s="438">
        <f>+D79</f>
        <v>199</v>
      </c>
      <c r="L130" s="439">
        <v>250</v>
      </c>
      <c r="M130" s="440">
        <f t="shared" si="9"/>
        <v>0.79600000000000004</v>
      </c>
      <c r="N130" s="441">
        <f t="shared" si="10"/>
        <v>597</v>
      </c>
      <c r="O130" s="442">
        <f t="shared" si="11"/>
        <v>-347</v>
      </c>
      <c r="P130" s="443">
        <v>250</v>
      </c>
      <c r="Q130" s="444">
        <f t="shared" si="12"/>
        <v>0.20399999999999999</v>
      </c>
      <c r="R130" s="445">
        <v>250</v>
      </c>
      <c r="S130" s="444">
        <f t="shared" si="13"/>
        <v>0.20399999999999999</v>
      </c>
      <c r="T130" s="446">
        <v>250</v>
      </c>
      <c r="U130" s="444">
        <f t="shared" si="14"/>
        <v>0.20399999999999999</v>
      </c>
      <c r="V130" s="442">
        <f t="shared" si="15"/>
        <v>-347</v>
      </c>
      <c r="X130" s="317">
        <f t="shared" si="16"/>
        <v>260</v>
      </c>
    </row>
    <row r="131" spans="2:26" x14ac:dyDescent="0.25">
      <c r="D131" s="209"/>
      <c r="H131" s="290">
        <v>128</v>
      </c>
      <c r="I131" s="291" t="s">
        <v>311</v>
      </c>
      <c r="J131" s="291" t="s">
        <v>316</v>
      </c>
      <c r="K131" s="438">
        <f>+E79+E82</f>
        <v>29.304564705882349</v>
      </c>
      <c r="L131" s="439">
        <v>50</v>
      </c>
      <c r="M131" s="440">
        <f t="shared" si="9"/>
        <v>0.58609129411764693</v>
      </c>
      <c r="N131" s="441">
        <f t="shared" si="10"/>
        <v>87.913694117647054</v>
      </c>
      <c r="O131" s="442">
        <f t="shared" si="11"/>
        <v>-37.913694117647054</v>
      </c>
      <c r="P131" s="443">
        <v>60</v>
      </c>
      <c r="Q131" s="444">
        <f t="shared" si="12"/>
        <v>0.51159058823529413</v>
      </c>
      <c r="R131" s="445">
        <v>60</v>
      </c>
      <c r="S131" s="444">
        <f t="shared" si="13"/>
        <v>0.51159058823529413</v>
      </c>
      <c r="T131" s="446">
        <v>60</v>
      </c>
      <c r="U131" s="444">
        <f t="shared" si="14"/>
        <v>0.51159058823529413</v>
      </c>
      <c r="V131" s="442">
        <f t="shared" si="15"/>
        <v>-27.913694117647054</v>
      </c>
      <c r="X131" s="317">
        <f t="shared" si="16"/>
        <v>62.400000000000006</v>
      </c>
    </row>
    <row r="132" spans="2:26" x14ac:dyDescent="0.25">
      <c r="D132" s="209"/>
      <c r="H132" s="82">
        <v>129</v>
      </c>
      <c r="I132" s="17" t="s">
        <v>311</v>
      </c>
      <c r="J132" s="17" t="s">
        <v>313</v>
      </c>
      <c r="K132" s="110">
        <v>9.0500000000000007</v>
      </c>
      <c r="L132" s="83">
        <v>24</v>
      </c>
      <c r="M132" s="84">
        <f t="shared" ref="M132:M139" si="17">K132/L132</f>
        <v>0.37708333333333338</v>
      </c>
      <c r="N132" s="101">
        <f t="shared" si="10"/>
        <v>27.150000000000002</v>
      </c>
      <c r="O132" s="85">
        <f t="shared" si="11"/>
        <v>-3.1500000000000021</v>
      </c>
      <c r="P132" s="118">
        <v>25</v>
      </c>
      <c r="Q132" s="104">
        <f t="shared" si="12"/>
        <v>0.63800000000000001</v>
      </c>
      <c r="R132" s="201">
        <v>25</v>
      </c>
      <c r="S132" s="199">
        <f t="shared" si="13"/>
        <v>0.63800000000000001</v>
      </c>
      <c r="T132" s="268">
        <v>30</v>
      </c>
      <c r="U132" s="500">
        <f t="shared" si="14"/>
        <v>0.69833333333333336</v>
      </c>
      <c r="V132" s="85">
        <f t="shared" si="15"/>
        <v>2.8499999999999979</v>
      </c>
      <c r="X132" s="317">
        <f t="shared" si="16"/>
        <v>26</v>
      </c>
    </row>
    <row r="133" spans="2:26" x14ac:dyDescent="0.25">
      <c r="D133" s="209"/>
      <c r="H133" s="82">
        <v>130</v>
      </c>
      <c r="I133" s="17" t="s">
        <v>311</v>
      </c>
      <c r="J133" s="17" t="s">
        <v>314</v>
      </c>
      <c r="K133" s="110">
        <v>12.07</v>
      </c>
      <c r="L133" s="83">
        <v>30</v>
      </c>
      <c r="M133" s="84">
        <f t="shared" si="17"/>
        <v>0.40233333333333332</v>
      </c>
      <c r="N133" s="101">
        <f t="shared" ref="N133:N139" si="18">K133*3</f>
        <v>36.21</v>
      </c>
      <c r="O133" s="85">
        <f t="shared" si="11"/>
        <v>-6.2100000000000009</v>
      </c>
      <c r="P133" s="118">
        <v>30</v>
      </c>
      <c r="Q133" s="104">
        <f t="shared" si="12"/>
        <v>0.59766666666666668</v>
      </c>
      <c r="R133" s="201">
        <v>30</v>
      </c>
      <c r="S133" s="199">
        <f t="shared" ref="S133:S139" si="19">(R133-K133)/R133</f>
        <v>0.59766666666666668</v>
      </c>
      <c r="T133" s="268">
        <v>30</v>
      </c>
      <c r="U133" s="199">
        <f t="shared" ref="U133:U139" si="20">(T133-K133)/T133</f>
        <v>0.59766666666666668</v>
      </c>
      <c r="V133" s="85">
        <f t="shared" ref="V133:V139" si="21">T133-N133</f>
        <v>-6.2100000000000009</v>
      </c>
      <c r="X133" s="317">
        <f t="shared" ref="X133:X139" si="22">+R133*$X$3</f>
        <v>31.200000000000003</v>
      </c>
    </row>
    <row r="134" spans="2:26" x14ac:dyDescent="0.25">
      <c r="D134" s="209"/>
      <c r="H134" s="82">
        <v>131</v>
      </c>
      <c r="I134" s="17" t="s">
        <v>311</v>
      </c>
      <c r="J134" s="17" t="s">
        <v>305</v>
      </c>
      <c r="K134" s="110">
        <f>(+E80*1.5)+E84</f>
        <v>15.571999999999999</v>
      </c>
      <c r="L134" s="83">
        <v>34</v>
      </c>
      <c r="M134" s="84">
        <f t="shared" si="17"/>
        <v>0.45799999999999996</v>
      </c>
      <c r="N134" s="101">
        <f t="shared" si="18"/>
        <v>46.715999999999994</v>
      </c>
      <c r="O134" s="85">
        <f t="shared" si="11"/>
        <v>-12.715999999999994</v>
      </c>
      <c r="P134" s="118">
        <v>34</v>
      </c>
      <c r="Q134" s="104">
        <f t="shared" si="12"/>
        <v>0.54200000000000004</v>
      </c>
      <c r="R134" s="201">
        <v>34</v>
      </c>
      <c r="S134" s="199">
        <f t="shared" si="19"/>
        <v>0.54200000000000004</v>
      </c>
      <c r="T134" s="268">
        <v>38</v>
      </c>
      <c r="U134" s="199">
        <f t="shared" si="20"/>
        <v>0.59021052631578952</v>
      </c>
      <c r="V134" s="85">
        <f t="shared" si="21"/>
        <v>-8.715999999999994</v>
      </c>
      <c r="X134" s="317">
        <f t="shared" si="22"/>
        <v>35.36</v>
      </c>
    </row>
    <row r="135" spans="2:26" x14ac:dyDescent="0.25">
      <c r="D135" s="209"/>
      <c r="H135" s="82">
        <v>132</v>
      </c>
      <c r="I135" s="17" t="s">
        <v>311</v>
      </c>
      <c r="J135" s="17" t="s">
        <v>306</v>
      </c>
      <c r="K135" s="110">
        <f>(+E80*3)+E84</f>
        <v>29.143999999999998</v>
      </c>
      <c r="L135" s="83">
        <v>50</v>
      </c>
      <c r="M135" s="84">
        <f t="shared" si="17"/>
        <v>0.58287999999999995</v>
      </c>
      <c r="N135" s="101">
        <f t="shared" si="18"/>
        <v>87.431999999999988</v>
      </c>
      <c r="O135" s="85">
        <f t="shared" si="11"/>
        <v>-37.431999999999988</v>
      </c>
      <c r="P135" s="118">
        <v>50</v>
      </c>
      <c r="Q135" s="104">
        <f t="shared" si="12"/>
        <v>0.41712000000000005</v>
      </c>
      <c r="R135" s="201">
        <v>50</v>
      </c>
      <c r="S135" s="199">
        <f t="shared" si="19"/>
        <v>0.41712000000000005</v>
      </c>
      <c r="T135" s="268">
        <v>60</v>
      </c>
      <c r="U135" s="199">
        <f t="shared" si="20"/>
        <v>0.51426666666666665</v>
      </c>
      <c r="V135" s="85">
        <f t="shared" si="21"/>
        <v>-27.431999999999988</v>
      </c>
      <c r="X135" s="317">
        <f t="shared" si="22"/>
        <v>52</v>
      </c>
    </row>
    <row r="136" spans="2:26" x14ac:dyDescent="0.25">
      <c r="D136" s="209"/>
      <c r="H136" s="82">
        <v>133</v>
      </c>
      <c r="I136" s="17" t="s">
        <v>311</v>
      </c>
      <c r="J136" s="17" t="s">
        <v>307</v>
      </c>
      <c r="K136" s="110">
        <f>(+E80*1.5)+E83+E84</f>
        <v>18.983764705882351</v>
      </c>
      <c r="L136" s="83">
        <v>39</v>
      </c>
      <c r="M136" s="84">
        <f t="shared" si="17"/>
        <v>0.48676319758672693</v>
      </c>
      <c r="N136" s="101">
        <f t="shared" si="18"/>
        <v>56.951294117647052</v>
      </c>
      <c r="O136" s="85">
        <f t="shared" si="11"/>
        <v>-17.951294117647052</v>
      </c>
      <c r="P136" s="118">
        <v>39</v>
      </c>
      <c r="Q136" s="104">
        <f t="shared" si="12"/>
        <v>0.51323680241327307</v>
      </c>
      <c r="R136" s="201">
        <v>39</v>
      </c>
      <c r="S136" s="199">
        <f t="shared" si="19"/>
        <v>0.51323680241327307</v>
      </c>
      <c r="T136" s="268">
        <v>40</v>
      </c>
      <c r="U136" s="199">
        <f t="shared" si="20"/>
        <v>0.52540588235294128</v>
      </c>
      <c r="V136" s="85">
        <f t="shared" si="21"/>
        <v>-16.951294117647052</v>
      </c>
      <c r="X136" s="317">
        <f t="shared" si="22"/>
        <v>40.56</v>
      </c>
    </row>
    <row r="137" spans="2:26" s="496" customFormat="1" x14ac:dyDescent="0.25">
      <c r="B137" s="494"/>
      <c r="C137" s="494"/>
      <c r="D137" s="495"/>
      <c r="E137" s="494"/>
      <c r="H137" s="497">
        <v>134</v>
      </c>
      <c r="I137" s="480" t="s">
        <v>311</v>
      </c>
      <c r="J137" s="480" t="s">
        <v>308</v>
      </c>
      <c r="K137" s="485">
        <f>(+E80*1.5)+E84</f>
        <v>15.571999999999999</v>
      </c>
      <c r="L137" s="486">
        <v>34</v>
      </c>
      <c r="M137" s="487">
        <f t="shared" si="17"/>
        <v>0.45799999999999996</v>
      </c>
      <c r="N137" s="488">
        <f t="shared" si="18"/>
        <v>46.715999999999994</v>
      </c>
      <c r="O137" s="489">
        <f t="shared" si="11"/>
        <v>-12.715999999999994</v>
      </c>
      <c r="P137" s="490">
        <v>34</v>
      </c>
      <c r="Q137" s="491">
        <f t="shared" si="12"/>
        <v>0.54200000000000004</v>
      </c>
      <c r="R137" s="492">
        <v>34</v>
      </c>
      <c r="S137" s="491">
        <f t="shared" si="19"/>
        <v>0.54200000000000004</v>
      </c>
      <c r="T137" s="493">
        <v>38</v>
      </c>
      <c r="U137" s="491">
        <f t="shared" si="20"/>
        <v>0.59021052631578952</v>
      </c>
      <c r="V137" s="489">
        <f t="shared" si="21"/>
        <v>-8.715999999999994</v>
      </c>
      <c r="X137" s="498">
        <f t="shared" si="22"/>
        <v>35.36</v>
      </c>
      <c r="Y137" s="499"/>
      <c r="Z137" s="499"/>
    </row>
    <row r="138" spans="2:26" x14ac:dyDescent="0.25">
      <c r="H138" s="82">
        <v>135</v>
      </c>
      <c r="I138" s="17" t="s">
        <v>311</v>
      </c>
      <c r="J138" s="17" t="s">
        <v>309</v>
      </c>
      <c r="K138" s="110">
        <f>(+E80*3)+E83+E84</f>
        <v>32.555764705882353</v>
      </c>
      <c r="L138" s="83">
        <v>55</v>
      </c>
      <c r="M138" s="84">
        <f t="shared" si="17"/>
        <v>0.59192299465240639</v>
      </c>
      <c r="N138" s="101">
        <f t="shared" si="18"/>
        <v>97.66729411764706</v>
      </c>
      <c r="O138" s="85">
        <f t="shared" si="11"/>
        <v>-42.66729411764706</v>
      </c>
      <c r="P138" s="118">
        <v>55</v>
      </c>
      <c r="Q138" s="104">
        <f t="shared" si="12"/>
        <v>0.40807700534759356</v>
      </c>
      <c r="R138" s="201">
        <v>55</v>
      </c>
      <c r="S138" s="199">
        <f t="shared" si="19"/>
        <v>0.40807700534759356</v>
      </c>
      <c r="T138" s="268">
        <v>65</v>
      </c>
      <c r="U138" s="199">
        <f t="shared" si="20"/>
        <v>0.49914208144796379</v>
      </c>
      <c r="V138" s="85">
        <f t="shared" si="21"/>
        <v>-32.66729411764706</v>
      </c>
      <c r="X138" s="317">
        <f t="shared" si="22"/>
        <v>57.2</v>
      </c>
    </row>
    <row r="139" spans="2:26" s="496" customFormat="1" x14ac:dyDescent="0.25">
      <c r="B139" s="494"/>
      <c r="C139" s="494"/>
      <c r="D139" s="495"/>
      <c r="E139" s="494"/>
      <c r="H139" s="497">
        <v>136</v>
      </c>
      <c r="I139" s="480" t="s">
        <v>311</v>
      </c>
      <c r="J139" s="480" t="s">
        <v>310</v>
      </c>
      <c r="K139" s="485">
        <f>(+E80*3)+E84</f>
        <v>29.143999999999998</v>
      </c>
      <c r="L139" s="486">
        <v>50</v>
      </c>
      <c r="M139" s="487">
        <f t="shared" si="17"/>
        <v>0.58287999999999995</v>
      </c>
      <c r="N139" s="488">
        <f t="shared" si="18"/>
        <v>87.431999999999988</v>
      </c>
      <c r="O139" s="489">
        <f t="shared" ref="O139" si="23">L139-N139</f>
        <v>-37.431999999999988</v>
      </c>
      <c r="P139" s="490">
        <v>50</v>
      </c>
      <c r="Q139" s="491">
        <f t="shared" ref="Q139" si="24">(P139-K139)/P139</f>
        <v>0.41712000000000005</v>
      </c>
      <c r="R139" s="492">
        <v>50</v>
      </c>
      <c r="S139" s="491">
        <f t="shared" si="19"/>
        <v>0.41712000000000005</v>
      </c>
      <c r="T139" s="493">
        <v>60</v>
      </c>
      <c r="U139" s="491">
        <f t="shared" si="20"/>
        <v>0.51426666666666665</v>
      </c>
      <c r="V139" s="489">
        <f t="shared" si="21"/>
        <v>-27.431999999999988</v>
      </c>
      <c r="X139" s="498">
        <f t="shared" si="22"/>
        <v>52</v>
      </c>
      <c r="Y139" s="499"/>
      <c r="Z139" s="499"/>
    </row>
    <row r="140" spans="2:26" x14ac:dyDescent="0.25">
      <c r="H140" s="82"/>
      <c r="I140" s="17"/>
      <c r="J140" s="17"/>
      <c r="K140" s="110"/>
      <c r="L140" s="83"/>
      <c r="M140" s="84"/>
      <c r="N140" s="101"/>
      <c r="O140" s="85"/>
      <c r="P140" s="118"/>
      <c r="Q140" s="122"/>
      <c r="R140" s="198"/>
      <c r="S140" s="198"/>
      <c r="T140" s="270"/>
      <c r="U140" s="98"/>
      <c r="V140" s="85"/>
    </row>
    <row r="141" spans="2:26" x14ac:dyDescent="0.25">
      <c r="H141" s="82"/>
      <c r="I141" s="17"/>
      <c r="J141" s="17"/>
      <c r="K141" s="110"/>
      <c r="L141" s="83"/>
      <c r="M141" s="84"/>
      <c r="N141" s="101"/>
      <c r="O141" s="85"/>
      <c r="P141" s="118"/>
      <c r="Q141" s="122"/>
      <c r="R141" s="198"/>
      <c r="S141" s="198"/>
      <c r="T141" s="270"/>
      <c r="U141" s="98"/>
      <c r="V141" s="85"/>
    </row>
    <row r="142" spans="2:26" x14ac:dyDescent="0.25">
      <c r="H142" s="82"/>
      <c r="I142" s="17"/>
      <c r="J142" s="17"/>
      <c r="K142" s="110"/>
      <c r="L142" s="83"/>
      <c r="M142" s="84"/>
      <c r="N142" s="101"/>
      <c r="O142" s="85"/>
      <c r="P142" s="118"/>
      <c r="Q142" s="122"/>
      <c r="R142" s="198"/>
      <c r="S142" s="198"/>
      <c r="T142" s="270"/>
      <c r="U142" s="98"/>
      <c r="V142" s="85"/>
    </row>
    <row r="143" spans="2:26" x14ac:dyDescent="0.25">
      <c r="H143" s="82"/>
      <c r="I143" s="17"/>
      <c r="J143" s="17"/>
      <c r="K143" s="110"/>
      <c r="L143" s="83"/>
      <c r="M143" s="84"/>
      <c r="N143" s="101"/>
      <c r="O143" s="85"/>
      <c r="P143" s="118"/>
      <c r="Q143" s="122"/>
      <c r="R143" s="198"/>
      <c r="S143" s="198"/>
      <c r="T143" s="270"/>
      <c r="U143" s="98"/>
      <c r="V143" s="85"/>
    </row>
    <row r="144" spans="2:26" x14ac:dyDescent="0.25">
      <c r="H144" s="82"/>
      <c r="I144" s="17"/>
      <c r="J144" s="17"/>
      <c r="K144" s="110"/>
      <c r="L144" s="83"/>
      <c r="M144" s="84"/>
      <c r="N144" s="101"/>
      <c r="O144" s="85"/>
      <c r="P144" s="118"/>
      <c r="Q144" s="122"/>
      <c r="R144" s="198"/>
      <c r="S144" s="198"/>
      <c r="T144" s="270"/>
      <c r="U144" s="98"/>
      <c r="V144" s="85"/>
    </row>
    <row r="145" spans="4:22" x14ac:dyDescent="0.25">
      <c r="D145" s="209"/>
      <c r="H145" s="82"/>
      <c r="I145" s="17"/>
      <c r="J145" s="17"/>
      <c r="K145" s="110"/>
      <c r="L145" s="83"/>
      <c r="M145" s="84"/>
      <c r="N145" s="101"/>
      <c r="O145" s="85"/>
      <c r="P145" s="118"/>
      <c r="Q145" s="122"/>
      <c r="R145" s="198"/>
      <c r="S145" s="198"/>
      <c r="T145" s="270"/>
      <c r="U145" s="98"/>
      <c r="V145" s="85"/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rgb="FFFFFF00"/>
  </sheetPr>
  <dimension ref="A1:Z149"/>
  <sheetViews>
    <sheetView topLeftCell="I1" zoomScale="90" zoomScaleNormal="90" workbookViewId="0">
      <pane ySplit="3" topLeftCell="A101" activePane="bottomLeft" state="frozen"/>
      <selection activeCell="H1" sqref="H1"/>
      <selection pane="bottomLeft" activeCell="AA111" sqref="AA111"/>
    </sheetView>
  </sheetViews>
  <sheetFormatPr baseColWidth="10" defaultRowHeight="15.75" x14ac:dyDescent="0.25"/>
  <cols>
    <col min="1" max="1" width="1.5" customWidth="1"/>
    <col min="2" max="2" width="34" style="209" customWidth="1"/>
    <col min="3" max="3" width="15.375" style="209" bestFit="1" customWidth="1"/>
    <col min="4" max="4" width="9.25" style="31" customWidth="1"/>
    <col min="5" max="5" width="17.625" style="209" customWidth="1"/>
    <col min="6" max="6" width="6.625" customWidth="1"/>
    <col min="7" max="7" width="6" customWidth="1"/>
    <col min="8" max="8" width="3.875" style="81" bestFit="1" customWidth="1"/>
    <col min="9" max="9" width="19.75" style="80" customWidth="1"/>
    <col min="10" max="10" width="33" style="80" customWidth="1"/>
    <col min="11" max="11" width="11" style="108" customWidth="1"/>
    <col min="12" max="12" width="11" style="80" hidden="1" customWidth="1"/>
    <col min="13" max="13" width="10.625" style="81" hidden="1" customWidth="1"/>
    <col min="14" max="14" width="11" style="95" customWidth="1"/>
    <col min="15" max="15" width="9.375" style="95" hidden="1" customWidth="1"/>
    <col min="16" max="16" width="8.125" style="115" hidden="1" customWidth="1"/>
    <col min="17" max="17" width="14.375" style="115" hidden="1" customWidth="1"/>
    <col min="18" max="18" width="7.875" style="81" customWidth="1"/>
    <col min="19" max="19" width="12.125" style="81" customWidth="1"/>
    <col min="20" max="20" width="14.375" style="267" customWidth="1"/>
    <col min="21" max="21" width="10.875" style="80" customWidth="1"/>
    <col min="22" max="22" width="10" style="80" bestFit="1" customWidth="1"/>
    <col min="23" max="23" width="8.375" customWidth="1"/>
    <col min="24" max="24" width="11" style="317"/>
    <col min="25" max="25" width="12" style="319" customWidth="1"/>
    <col min="26" max="26" width="11.75" style="319" customWidth="1"/>
  </cols>
  <sheetData>
    <row r="1" spans="1:26" x14ac:dyDescent="0.25">
      <c r="I1" s="200" t="s">
        <v>439</v>
      </c>
      <c r="N1" s="108" t="s">
        <v>288</v>
      </c>
      <c r="P1" s="81"/>
      <c r="Q1" s="81"/>
      <c r="U1" s="80" t="s">
        <v>291</v>
      </c>
    </row>
    <row r="2" spans="1:26" ht="16.5" thickBot="1" x14ac:dyDescent="0.3">
      <c r="L2" s="81"/>
      <c r="P2" s="197"/>
      <c r="Q2" s="81"/>
    </row>
    <row r="3" spans="1:26" ht="45" customHeight="1" thickBot="1" x14ac:dyDescent="0.3">
      <c r="B3" s="287" t="s">
        <v>319</v>
      </c>
      <c r="C3" s="288" t="s">
        <v>320</v>
      </c>
      <c r="D3" s="289" t="s">
        <v>317</v>
      </c>
      <c r="E3" s="289" t="s">
        <v>318</v>
      </c>
      <c r="H3" s="82"/>
      <c r="I3" s="322" t="s">
        <v>73</v>
      </c>
      <c r="J3" s="322" t="s">
        <v>25</v>
      </c>
      <c r="K3" s="323" t="s">
        <v>287</v>
      </c>
      <c r="L3" s="324" t="s">
        <v>240</v>
      </c>
      <c r="M3" s="324" t="s">
        <v>238</v>
      </c>
      <c r="N3" s="325" t="s">
        <v>315</v>
      </c>
      <c r="O3" s="326" t="s">
        <v>259</v>
      </c>
      <c r="P3" s="327">
        <v>42767</v>
      </c>
      <c r="Q3" s="328" t="s">
        <v>269</v>
      </c>
      <c r="R3" s="329">
        <v>43101</v>
      </c>
      <c r="S3" s="330" t="s">
        <v>285</v>
      </c>
      <c r="T3" s="528" t="s">
        <v>440</v>
      </c>
      <c r="U3" s="330" t="s">
        <v>289</v>
      </c>
      <c r="V3" s="323" t="s">
        <v>290</v>
      </c>
      <c r="X3" s="318">
        <v>1.04</v>
      </c>
      <c r="Y3" s="320" t="s">
        <v>405</v>
      </c>
      <c r="Z3" s="320" t="s">
        <v>401</v>
      </c>
    </row>
    <row r="4" spans="1:26" x14ac:dyDescent="0.25">
      <c r="B4" s="210" t="s">
        <v>0</v>
      </c>
      <c r="C4" s="210" t="s">
        <v>19</v>
      </c>
      <c r="D4" s="202">
        <v>3.5</v>
      </c>
      <c r="E4" s="211">
        <f>D4</f>
        <v>3.5</v>
      </c>
      <c r="H4" s="170">
        <v>1</v>
      </c>
      <c r="I4" s="389" t="s">
        <v>270</v>
      </c>
      <c r="J4" s="390" t="s">
        <v>29</v>
      </c>
      <c r="K4" s="391">
        <f>E4+(E19*2)</f>
        <v>17.186</v>
      </c>
      <c r="L4" s="392">
        <v>45</v>
      </c>
      <c r="M4" s="393">
        <f>K4/L4</f>
        <v>0.38191111111111109</v>
      </c>
      <c r="N4" s="394">
        <f>K4*3</f>
        <v>51.558</v>
      </c>
      <c r="O4" s="395">
        <f>L4-N4</f>
        <v>-6.5579999999999998</v>
      </c>
      <c r="P4" s="396">
        <v>48</v>
      </c>
      <c r="Q4" s="397">
        <f>(P4-K4)/P4</f>
        <v>0.6419583333333333</v>
      </c>
      <c r="R4" s="398">
        <v>50</v>
      </c>
      <c r="S4" s="397">
        <f>(R4-K4)/R4</f>
        <v>0.65627999999999997</v>
      </c>
      <c r="T4" s="529">
        <v>52</v>
      </c>
      <c r="U4" s="397">
        <f>(T4-K4)/T4</f>
        <v>0.66949999999999998</v>
      </c>
      <c r="V4" s="400">
        <f>T4-N4</f>
        <v>0.44200000000000017</v>
      </c>
      <c r="X4" s="317">
        <f>+R4*$X$3</f>
        <v>52</v>
      </c>
      <c r="Y4" s="319">
        <v>55</v>
      </c>
      <c r="Z4" s="319">
        <v>40</v>
      </c>
    </row>
    <row r="5" spans="1:26" ht="16.5" thickBot="1" x14ac:dyDescent="0.3">
      <c r="B5" s="212" t="s">
        <v>1</v>
      </c>
      <c r="C5" s="212" t="s">
        <v>19</v>
      </c>
      <c r="D5" s="33">
        <v>2.5</v>
      </c>
      <c r="E5" s="213">
        <f>D5</f>
        <v>2.5</v>
      </c>
      <c r="H5" s="170">
        <v>2</v>
      </c>
      <c r="I5" s="411" t="s">
        <v>270</v>
      </c>
      <c r="J5" s="412" t="s">
        <v>30</v>
      </c>
      <c r="K5" s="413">
        <f>E5+E19</f>
        <v>9.343</v>
      </c>
      <c r="L5" s="414">
        <v>26</v>
      </c>
      <c r="M5" s="415">
        <f>K5/L5</f>
        <v>0.35934615384615387</v>
      </c>
      <c r="N5" s="416">
        <f t="shared" ref="N5:N68" si="0">K5*3</f>
        <v>28.029</v>
      </c>
      <c r="O5" s="417">
        <f t="shared" ref="O5:O68" si="1">L5-N5</f>
        <v>-2.0289999999999999</v>
      </c>
      <c r="P5" s="418">
        <v>27</v>
      </c>
      <c r="Q5" s="419">
        <f t="shared" ref="Q5:Q68" si="2">(P5-K5)/P5</f>
        <v>0.65396296296296297</v>
      </c>
      <c r="R5" s="420">
        <v>28</v>
      </c>
      <c r="S5" s="419">
        <f t="shared" ref="S5:S68" si="3">(R5-K5)/R5</f>
        <v>0.66632142857142862</v>
      </c>
      <c r="T5" s="421">
        <v>28</v>
      </c>
      <c r="U5" s="419">
        <f t="shared" ref="U5:U68" si="4">(T5-K5)/T5</f>
        <v>0.66632142857142862</v>
      </c>
      <c r="V5" s="422">
        <f t="shared" ref="V5:V68" si="5">T5-N5</f>
        <v>-2.8999999999999915E-2</v>
      </c>
      <c r="X5" s="317">
        <f t="shared" ref="X5:X68" si="6">+R5*$X$3</f>
        <v>29.12</v>
      </c>
    </row>
    <row r="6" spans="1:26" x14ac:dyDescent="0.25">
      <c r="B6" s="212" t="s">
        <v>2</v>
      </c>
      <c r="C6" s="212" t="s">
        <v>19</v>
      </c>
      <c r="D6" s="33">
        <f>(2.3+2.3+3.5)/3</f>
        <v>2.6999999999999997</v>
      </c>
      <c r="E6" s="213">
        <f>D6</f>
        <v>2.6999999999999997</v>
      </c>
      <c r="H6" s="170">
        <v>3</v>
      </c>
      <c r="I6" s="354" t="s">
        <v>271</v>
      </c>
      <c r="J6" s="355" t="s">
        <v>31</v>
      </c>
      <c r="K6" s="356">
        <f>E4+(E20*6)</f>
        <v>23.346153846153847</v>
      </c>
      <c r="L6" s="357">
        <v>55</v>
      </c>
      <c r="M6" s="358">
        <f t="shared" ref="M6:M69" si="7">K6/L6</f>
        <v>0.4244755244755245</v>
      </c>
      <c r="N6" s="359">
        <f t="shared" si="0"/>
        <v>70.038461538461547</v>
      </c>
      <c r="O6" s="360">
        <f t="shared" si="1"/>
        <v>-15.038461538461547</v>
      </c>
      <c r="P6" s="361">
        <v>58</v>
      </c>
      <c r="Q6" s="362">
        <f t="shared" si="2"/>
        <v>0.59748010610079572</v>
      </c>
      <c r="R6" s="363">
        <v>62</v>
      </c>
      <c r="S6" s="362">
        <f t="shared" si="3"/>
        <v>0.62344913151364767</v>
      </c>
      <c r="T6" s="529">
        <v>65</v>
      </c>
      <c r="U6" s="362">
        <f t="shared" si="4"/>
        <v>0.64082840236686389</v>
      </c>
      <c r="V6" s="365">
        <f t="shared" si="5"/>
        <v>-5.0384615384615472</v>
      </c>
      <c r="X6" s="317">
        <f t="shared" si="6"/>
        <v>64.48</v>
      </c>
      <c r="Y6" s="319">
        <v>65</v>
      </c>
      <c r="Z6" s="319">
        <v>70</v>
      </c>
    </row>
    <row r="7" spans="1:26" x14ac:dyDescent="0.25">
      <c r="B7" s="214" t="s">
        <v>333</v>
      </c>
      <c r="C7" s="212" t="s">
        <v>326</v>
      </c>
      <c r="D7" s="34">
        <v>18</v>
      </c>
      <c r="E7" s="217">
        <f>D7/20</f>
        <v>0.9</v>
      </c>
      <c r="H7" s="170">
        <v>4</v>
      </c>
      <c r="I7" s="378" t="s">
        <v>271</v>
      </c>
      <c r="J7" s="379" t="s">
        <v>35</v>
      </c>
      <c r="K7" s="380">
        <f>E5+(E20*3)</f>
        <v>12.423076923076923</v>
      </c>
      <c r="L7" s="381">
        <v>31</v>
      </c>
      <c r="M7" s="382">
        <f>K7/L7</f>
        <v>0.40074441687344914</v>
      </c>
      <c r="N7" s="383">
        <f t="shared" si="0"/>
        <v>37.269230769230774</v>
      </c>
      <c r="O7" s="384">
        <f t="shared" si="1"/>
        <v>-6.2692307692307736</v>
      </c>
      <c r="P7" s="385">
        <v>32</v>
      </c>
      <c r="Q7" s="386">
        <f t="shared" si="2"/>
        <v>0.61177884615384615</v>
      </c>
      <c r="R7" s="387">
        <v>33</v>
      </c>
      <c r="S7" s="386">
        <f t="shared" si="3"/>
        <v>0.62354312354312358</v>
      </c>
      <c r="T7" s="530">
        <v>34</v>
      </c>
      <c r="U7" s="386">
        <f t="shared" si="4"/>
        <v>0.63461538461538458</v>
      </c>
      <c r="V7" s="388">
        <f t="shared" si="5"/>
        <v>-3.2692307692307736</v>
      </c>
      <c r="X7" s="317">
        <f t="shared" si="6"/>
        <v>34.32</v>
      </c>
    </row>
    <row r="8" spans="1:26" x14ac:dyDescent="0.25">
      <c r="A8" s="26"/>
      <c r="B8" s="214" t="s">
        <v>322</v>
      </c>
      <c r="C8" s="212" t="s">
        <v>327</v>
      </c>
      <c r="D8" s="34">
        <f>13+1</f>
        <v>14</v>
      </c>
      <c r="E8" s="217">
        <f>D8/45</f>
        <v>0.31111111111111112</v>
      </c>
      <c r="H8" s="170">
        <v>5</v>
      </c>
      <c r="I8" s="378" t="s">
        <v>271</v>
      </c>
      <c r="J8" s="379" t="s">
        <v>32</v>
      </c>
      <c r="K8" s="380">
        <f>E4+(E24*2)</f>
        <v>18.916666666666664</v>
      </c>
      <c r="L8" s="381">
        <v>55</v>
      </c>
      <c r="M8" s="382">
        <f t="shared" si="7"/>
        <v>0.34393939393939388</v>
      </c>
      <c r="N8" s="383">
        <f t="shared" si="0"/>
        <v>56.749999999999993</v>
      </c>
      <c r="O8" s="384">
        <f t="shared" si="1"/>
        <v>-1.7499999999999929</v>
      </c>
      <c r="P8" s="385">
        <v>58</v>
      </c>
      <c r="Q8" s="386">
        <f t="shared" si="2"/>
        <v>0.67385057471264376</v>
      </c>
      <c r="R8" s="387">
        <v>62</v>
      </c>
      <c r="S8" s="386">
        <f t="shared" si="3"/>
        <v>0.69489247311827962</v>
      </c>
      <c r="T8" s="530">
        <v>65</v>
      </c>
      <c r="U8" s="386">
        <f t="shared" si="4"/>
        <v>0.70897435897435901</v>
      </c>
      <c r="V8" s="388">
        <f t="shared" si="5"/>
        <v>8.2500000000000071</v>
      </c>
      <c r="X8" s="317">
        <f t="shared" si="6"/>
        <v>64.48</v>
      </c>
    </row>
    <row r="9" spans="1:26" ht="16.5" thickBot="1" x14ac:dyDescent="0.3">
      <c r="B9" s="214" t="s">
        <v>77</v>
      </c>
      <c r="C9" s="212" t="s">
        <v>18</v>
      </c>
      <c r="D9" s="34">
        <v>17</v>
      </c>
      <c r="E9" s="217">
        <f>D9/10</f>
        <v>1.7</v>
      </c>
      <c r="H9" s="170">
        <v>6</v>
      </c>
      <c r="I9" s="366" t="s">
        <v>271</v>
      </c>
      <c r="J9" s="367" t="s">
        <v>36</v>
      </c>
      <c r="K9" s="368">
        <f>E5+E24</f>
        <v>10.208333333333332</v>
      </c>
      <c r="L9" s="369">
        <v>31</v>
      </c>
      <c r="M9" s="370">
        <f t="shared" si="7"/>
        <v>0.32930107526881719</v>
      </c>
      <c r="N9" s="371">
        <f t="shared" si="0"/>
        <v>30.624999999999996</v>
      </c>
      <c r="O9" s="372">
        <f t="shared" si="1"/>
        <v>0.37500000000000355</v>
      </c>
      <c r="P9" s="373">
        <v>32</v>
      </c>
      <c r="Q9" s="374">
        <f t="shared" si="2"/>
        <v>0.68098958333333337</v>
      </c>
      <c r="R9" s="375">
        <v>33</v>
      </c>
      <c r="S9" s="374">
        <f t="shared" si="3"/>
        <v>0.69065656565656575</v>
      </c>
      <c r="T9" s="531">
        <v>34</v>
      </c>
      <c r="U9" s="374">
        <f t="shared" si="4"/>
        <v>0.69975490196078438</v>
      </c>
      <c r="V9" s="377">
        <f t="shared" si="5"/>
        <v>3.3750000000000036</v>
      </c>
      <c r="X9" s="317">
        <f t="shared" si="6"/>
        <v>34.32</v>
      </c>
    </row>
    <row r="10" spans="1:26" x14ac:dyDescent="0.25">
      <c r="B10" s="214" t="s">
        <v>323</v>
      </c>
      <c r="C10" s="212" t="s">
        <v>18</v>
      </c>
      <c r="D10" s="34">
        <v>15</v>
      </c>
      <c r="E10" s="217">
        <f>D10/10</f>
        <v>1.5</v>
      </c>
      <c r="H10" s="170">
        <v>7</v>
      </c>
      <c r="I10" s="335" t="s">
        <v>272</v>
      </c>
      <c r="J10" s="336" t="s">
        <v>274</v>
      </c>
      <c r="K10" s="146">
        <f>E4+(E20*6)+E23</f>
        <v>27.011153846153846</v>
      </c>
      <c r="L10" s="147">
        <v>60</v>
      </c>
      <c r="M10" s="148">
        <f t="shared" si="7"/>
        <v>0.45018589743589743</v>
      </c>
      <c r="N10" s="337">
        <f t="shared" si="0"/>
        <v>81.033461538461538</v>
      </c>
      <c r="O10" s="150">
        <f t="shared" si="1"/>
        <v>-21.033461538461538</v>
      </c>
      <c r="P10" s="352">
        <v>60</v>
      </c>
      <c r="Q10" s="339">
        <f t="shared" si="2"/>
        <v>0.54981410256410257</v>
      </c>
      <c r="R10" s="338">
        <v>68</v>
      </c>
      <c r="S10" s="339">
        <f t="shared" si="3"/>
        <v>0.60277714932126703</v>
      </c>
      <c r="T10" s="529">
        <v>70</v>
      </c>
      <c r="U10" s="339">
        <f t="shared" si="4"/>
        <v>0.61412637362637368</v>
      </c>
      <c r="V10" s="341">
        <f t="shared" si="5"/>
        <v>-11.033461538461538</v>
      </c>
      <c r="X10" s="317">
        <f t="shared" si="6"/>
        <v>70.72</v>
      </c>
    </row>
    <row r="11" spans="1:26" ht="16.5" thickBot="1" x14ac:dyDescent="0.3">
      <c r="B11" s="214" t="s">
        <v>4</v>
      </c>
      <c r="C11" s="212" t="s">
        <v>21</v>
      </c>
      <c r="D11" s="33">
        <v>100</v>
      </c>
      <c r="E11" s="217">
        <f>D11/100</f>
        <v>1</v>
      </c>
      <c r="H11" s="170">
        <v>8</v>
      </c>
      <c r="I11" s="342" t="s">
        <v>272</v>
      </c>
      <c r="J11" s="343" t="s">
        <v>275</v>
      </c>
      <c r="K11" s="156">
        <f>E5+(E20*3)+E23</f>
        <v>16.088076923076922</v>
      </c>
      <c r="L11" s="157">
        <v>33</v>
      </c>
      <c r="M11" s="158">
        <f t="shared" si="7"/>
        <v>0.4875174825174825</v>
      </c>
      <c r="N11" s="344">
        <f t="shared" si="0"/>
        <v>48.264230769230764</v>
      </c>
      <c r="O11" s="160">
        <f t="shared" si="1"/>
        <v>-15.264230769230764</v>
      </c>
      <c r="P11" s="353">
        <v>33</v>
      </c>
      <c r="Q11" s="346">
        <f t="shared" si="2"/>
        <v>0.5124825174825175</v>
      </c>
      <c r="R11" s="345">
        <v>36</v>
      </c>
      <c r="S11" s="346">
        <f t="shared" si="3"/>
        <v>0.55310897435897433</v>
      </c>
      <c r="T11" s="531">
        <v>37</v>
      </c>
      <c r="U11" s="346">
        <f t="shared" si="4"/>
        <v>0.56518711018711021</v>
      </c>
      <c r="V11" s="348">
        <f t="shared" si="5"/>
        <v>-11.264230769230764</v>
      </c>
      <c r="X11" s="317">
        <f t="shared" si="6"/>
        <v>37.44</v>
      </c>
    </row>
    <row r="12" spans="1:26" x14ac:dyDescent="0.25">
      <c r="B12" s="214" t="s">
        <v>7</v>
      </c>
      <c r="C12" s="212" t="s">
        <v>76</v>
      </c>
      <c r="D12" s="33">
        <v>47.5</v>
      </c>
      <c r="E12" s="217">
        <f>D12/50</f>
        <v>0.95</v>
      </c>
      <c r="H12" s="170">
        <v>9</v>
      </c>
      <c r="I12" s="335" t="s">
        <v>273</v>
      </c>
      <c r="J12" s="336" t="s">
        <v>40</v>
      </c>
      <c r="K12" s="146">
        <f>E4+(E22*2)</f>
        <v>17.2</v>
      </c>
      <c r="L12" s="147">
        <v>45</v>
      </c>
      <c r="M12" s="148">
        <f t="shared" si="7"/>
        <v>0.38222222222222219</v>
      </c>
      <c r="N12" s="337">
        <f t="shared" si="0"/>
        <v>51.599999999999994</v>
      </c>
      <c r="O12" s="150">
        <f t="shared" si="1"/>
        <v>-6.5999999999999943</v>
      </c>
      <c r="P12" s="151">
        <v>48</v>
      </c>
      <c r="Q12" s="152">
        <f t="shared" si="2"/>
        <v>0.64166666666666672</v>
      </c>
      <c r="R12" s="338">
        <v>50</v>
      </c>
      <c r="S12" s="339">
        <f t="shared" si="3"/>
        <v>0.65599999999999992</v>
      </c>
      <c r="T12" s="529">
        <v>52</v>
      </c>
      <c r="U12" s="339">
        <f t="shared" si="4"/>
        <v>0.66923076923076918</v>
      </c>
      <c r="V12" s="341">
        <f t="shared" si="5"/>
        <v>0.40000000000000568</v>
      </c>
      <c r="X12" s="317">
        <f t="shared" si="6"/>
        <v>52</v>
      </c>
    </row>
    <row r="13" spans="1:26" x14ac:dyDescent="0.25">
      <c r="B13" s="214" t="s">
        <v>5</v>
      </c>
      <c r="C13" s="212" t="s">
        <v>17</v>
      </c>
      <c r="D13" s="33">
        <v>35</v>
      </c>
      <c r="E13" s="217">
        <f>D13/25</f>
        <v>1.4</v>
      </c>
      <c r="H13" s="170">
        <v>10</v>
      </c>
      <c r="I13" s="350" t="s">
        <v>273</v>
      </c>
      <c r="J13" s="17" t="s">
        <v>41</v>
      </c>
      <c r="K13" s="110">
        <f>E5+E22</f>
        <v>9.35</v>
      </c>
      <c r="L13" s="83">
        <v>26</v>
      </c>
      <c r="M13" s="84">
        <f t="shared" si="7"/>
        <v>0.35961538461538461</v>
      </c>
      <c r="N13" s="101">
        <f t="shared" si="0"/>
        <v>28.049999999999997</v>
      </c>
      <c r="O13" s="85">
        <f t="shared" si="1"/>
        <v>-2.0499999999999972</v>
      </c>
      <c r="P13" s="118">
        <v>27</v>
      </c>
      <c r="Q13" s="104">
        <f t="shared" si="2"/>
        <v>0.65370370370370368</v>
      </c>
      <c r="R13" s="201">
        <v>28</v>
      </c>
      <c r="S13" s="199">
        <f t="shared" si="3"/>
        <v>0.66607142857142854</v>
      </c>
      <c r="T13" s="268">
        <v>28</v>
      </c>
      <c r="U13" s="199">
        <f t="shared" si="4"/>
        <v>0.66607142857142854</v>
      </c>
      <c r="V13" s="351">
        <f t="shared" si="5"/>
        <v>-4.9999999999997158E-2</v>
      </c>
      <c r="X13" s="317">
        <f t="shared" si="6"/>
        <v>29.12</v>
      </c>
    </row>
    <row r="14" spans="1:26" x14ac:dyDescent="0.25">
      <c r="B14" s="214" t="s">
        <v>6</v>
      </c>
      <c r="C14" s="212" t="s">
        <v>17</v>
      </c>
      <c r="D14" s="33">
        <v>45</v>
      </c>
      <c r="E14" s="217">
        <f>D14/25</f>
        <v>1.8</v>
      </c>
      <c r="H14" s="170">
        <v>11</v>
      </c>
      <c r="I14" s="350" t="s">
        <v>273</v>
      </c>
      <c r="J14" s="17" t="s">
        <v>91</v>
      </c>
      <c r="K14" s="110">
        <f>E4+(E28*2)</f>
        <v>17.776923076923076</v>
      </c>
      <c r="L14" s="83">
        <v>48</v>
      </c>
      <c r="M14" s="84">
        <f t="shared" si="7"/>
        <v>0.37035256410256406</v>
      </c>
      <c r="N14" s="101">
        <f t="shared" si="0"/>
        <v>53.330769230769228</v>
      </c>
      <c r="O14" s="85">
        <f t="shared" si="1"/>
        <v>-5.3307692307692278</v>
      </c>
      <c r="P14" s="198">
        <v>48</v>
      </c>
      <c r="Q14" s="199">
        <f t="shared" si="2"/>
        <v>0.62964743589743588</v>
      </c>
      <c r="R14" s="201">
        <v>50</v>
      </c>
      <c r="S14" s="199">
        <f t="shared" si="3"/>
        <v>0.64446153846153853</v>
      </c>
      <c r="T14" s="530">
        <v>52</v>
      </c>
      <c r="U14" s="199">
        <f t="shared" si="4"/>
        <v>0.65813609467455625</v>
      </c>
      <c r="V14" s="351">
        <f t="shared" si="5"/>
        <v>-1.3307692307692278</v>
      </c>
      <c r="X14" s="317">
        <f t="shared" si="6"/>
        <v>52</v>
      </c>
    </row>
    <row r="15" spans="1:26" ht="16.5" thickBot="1" x14ac:dyDescent="0.3">
      <c r="B15" s="214" t="s">
        <v>325</v>
      </c>
      <c r="C15" s="212" t="s">
        <v>324</v>
      </c>
      <c r="D15" s="33">
        <v>25</v>
      </c>
      <c r="E15" s="217">
        <f>D15/50</f>
        <v>0.5</v>
      </c>
      <c r="H15" s="170">
        <v>12</v>
      </c>
      <c r="I15" s="342" t="s">
        <v>273</v>
      </c>
      <c r="J15" s="343" t="s">
        <v>92</v>
      </c>
      <c r="K15" s="156">
        <f>E5+E28</f>
        <v>9.638461538461538</v>
      </c>
      <c r="L15" s="157">
        <v>27</v>
      </c>
      <c r="M15" s="158">
        <f t="shared" si="7"/>
        <v>0.35698005698005697</v>
      </c>
      <c r="N15" s="344">
        <f t="shared" si="0"/>
        <v>28.915384615384614</v>
      </c>
      <c r="O15" s="160">
        <f t="shared" si="1"/>
        <v>-1.9153846153846139</v>
      </c>
      <c r="P15" s="353">
        <v>27</v>
      </c>
      <c r="Q15" s="346">
        <f t="shared" si="2"/>
        <v>0.64301994301994303</v>
      </c>
      <c r="R15" s="345">
        <v>28</v>
      </c>
      <c r="S15" s="346">
        <f t="shared" si="3"/>
        <v>0.65576923076923077</v>
      </c>
      <c r="T15" s="347">
        <v>28</v>
      </c>
      <c r="U15" s="346">
        <f t="shared" si="4"/>
        <v>0.65576923076923077</v>
      </c>
      <c r="V15" s="348">
        <f t="shared" si="5"/>
        <v>-0.91538461538461391</v>
      </c>
      <c r="X15" s="317">
        <f t="shared" si="6"/>
        <v>29.12</v>
      </c>
    </row>
    <row r="16" spans="1:26" x14ac:dyDescent="0.25">
      <c r="A16" s="26"/>
      <c r="B16" s="215"/>
      <c r="C16" s="215"/>
      <c r="D16" s="203"/>
      <c r="E16" s="216"/>
      <c r="H16" s="82">
        <v>13</v>
      </c>
      <c r="I16" s="428" t="s">
        <v>246</v>
      </c>
      <c r="J16" s="428" t="s">
        <v>55</v>
      </c>
      <c r="K16" s="429">
        <f>E6</f>
        <v>2.6999999999999997</v>
      </c>
      <c r="L16" s="430">
        <v>11</v>
      </c>
      <c r="M16" s="431">
        <f t="shared" si="7"/>
        <v>0.24545454545454543</v>
      </c>
      <c r="N16" s="432">
        <f t="shared" si="0"/>
        <v>8.1</v>
      </c>
      <c r="O16" s="433">
        <f t="shared" si="1"/>
        <v>2.9000000000000004</v>
      </c>
      <c r="P16" s="434">
        <v>11</v>
      </c>
      <c r="Q16" s="435">
        <f t="shared" si="2"/>
        <v>0.75454545454545463</v>
      </c>
      <c r="R16" s="436">
        <v>12</v>
      </c>
      <c r="S16" s="435">
        <f t="shared" si="3"/>
        <v>0.77500000000000002</v>
      </c>
      <c r="T16" s="437">
        <v>12</v>
      </c>
      <c r="U16" s="435">
        <f t="shared" si="4"/>
        <v>0.77500000000000002</v>
      </c>
      <c r="V16" s="433">
        <f t="shared" si="5"/>
        <v>3.9000000000000004</v>
      </c>
      <c r="X16" s="317">
        <f t="shared" si="6"/>
        <v>12.48</v>
      </c>
      <c r="Y16" s="319">
        <v>13</v>
      </c>
      <c r="Z16" s="321" t="s">
        <v>402</v>
      </c>
    </row>
    <row r="17" spans="2:26" ht="16.5" thickBot="1" x14ac:dyDescent="0.3">
      <c r="H17" s="82">
        <v>14</v>
      </c>
      <c r="I17" s="401" t="s">
        <v>246</v>
      </c>
      <c r="J17" s="401" t="s">
        <v>93</v>
      </c>
      <c r="K17" s="402">
        <f>E6+E19</f>
        <v>9.5429999999999993</v>
      </c>
      <c r="L17" s="403">
        <v>24</v>
      </c>
      <c r="M17" s="404">
        <f t="shared" si="7"/>
        <v>0.39762499999999995</v>
      </c>
      <c r="N17" s="405">
        <f t="shared" si="0"/>
        <v>28.628999999999998</v>
      </c>
      <c r="O17" s="406">
        <f t="shared" si="1"/>
        <v>-4.6289999999999978</v>
      </c>
      <c r="P17" s="407">
        <v>25</v>
      </c>
      <c r="Q17" s="408">
        <f t="shared" si="2"/>
        <v>0.61828000000000005</v>
      </c>
      <c r="R17" s="409">
        <v>26</v>
      </c>
      <c r="S17" s="408">
        <f t="shared" si="3"/>
        <v>0.63296153846153846</v>
      </c>
      <c r="T17" s="410">
        <v>26</v>
      </c>
      <c r="U17" s="408">
        <f t="shared" si="4"/>
        <v>0.63296153846153846</v>
      </c>
      <c r="V17" s="406">
        <f t="shared" si="5"/>
        <v>-2.6289999999999978</v>
      </c>
      <c r="X17" s="317">
        <f t="shared" si="6"/>
        <v>27.04</v>
      </c>
      <c r="Y17" s="319">
        <v>28</v>
      </c>
      <c r="Z17" s="319">
        <v>20</v>
      </c>
    </row>
    <row r="18" spans="2:26" ht="16.5" thickBot="1" x14ac:dyDescent="0.3">
      <c r="B18" s="283" t="s">
        <v>335</v>
      </c>
      <c r="C18" s="284" t="s">
        <v>336</v>
      </c>
      <c r="D18" s="285">
        <v>43101</v>
      </c>
      <c r="E18" s="286"/>
      <c r="H18" s="170">
        <v>15</v>
      </c>
      <c r="I18" s="401" t="s">
        <v>262</v>
      </c>
      <c r="J18" s="401" t="s">
        <v>51</v>
      </c>
      <c r="K18" s="402">
        <f>E7+E19</f>
        <v>7.7429999999999994</v>
      </c>
      <c r="L18" s="403">
        <v>24</v>
      </c>
      <c r="M18" s="404">
        <f t="shared" si="7"/>
        <v>0.322625</v>
      </c>
      <c r="N18" s="405">
        <f t="shared" si="0"/>
        <v>23.228999999999999</v>
      </c>
      <c r="O18" s="406">
        <f t="shared" si="1"/>
        <v>0.7710000000000008</v>
      </c>
      <c r="P18" s="407">
        <v>25</v>
      </c>
      <c r="Q18" s="408">
        <f t="shared" si="2"/>
        <v>0.69028</v>
      </c>
      <c r="R18" s="409">
        <v>26</v>
      </c>
      <c r="S18" s="408">
        <f t="shared" si="3"/>
        <v>0.70219230769230778</v>
      </c>
      <c r="T18" s="410">
        <v>26</v>
      </c>
      <c r="U18" s="408">
        <f t="shared" si="4"/>
        <v>0.70219230769230778</v>
      </c>
      <c r="V18" s="406">
        <f t="shared" si="5"/>
        <v>2.7710000000000008</v>
      </c>
      <c r="X18" s="317">
        <f t="shared" si="6"/>
        <v>27.04</v>
      </c>
    </row>
    <row r="19" spans="2:26" x14ac:dyDescent="0.25">
      <c r="B19" s="245" t="s">
        <v>8</v>
      </c>
      <c r="C19" s="210" t="s">
        <v>23</v>
      </c>
      <c r="D19" s="202">
        <f>+E43</f>
        <v>114.04999999999998</v>
      </c>
      <c r="E19" s="255">
        <f>D19*0.06</f>
        <v>6.8429999999999991</v>
      </c>
      <c r="H19" s="170">
        <v>16</v>
      </c>
      <c r="I19" s="17" t="s">
        <v>249</v>
      </c>
      <c r="J19" s="17" t="s">
        <v>52</v>
      </c>
      <c r="K19" s="110">
        <f>E15+E20+E20</f>
        <v>7.115384615384615</v>
      </c>
      <c r="L19" s="83">
        <v>24</v>
      </c>
      <c r="M19" s="84">
        <f t="shared" si="7"/>
        <v>0.29647435897435898</v>
      </c>
      <c r="N19" s="101">
        <f t="shared" si="0"/>
        <v>21.346153846153847</v>
      </c>
      <c r="O19" s="85">
        <f t="shared" si="1"/>
        <v>2.6538461538461533</v>
      </c>
      <c r="P19" s="198">
        <v>25</v>
      </c>
      <c r="Q19" s="199">
        <f t="shared" si="2"/>
        <v>0.71538461538461551</v>
      </c>
      <c r="R19" s="201">
        <v>26</v>
      </c>
      <c r="S19" s="199">
        <f t="shared" si="3"/>
        <v>0.72633136094674566</v>
      </c>
      <c r="T19" s="268">
        <v>26</v>
      </c>
      <c r="U19" s="199">
        <f t="shared" si="4"/>
        <v>0.72633136094674566</v>
      </c>
      <c r="V19" s="85">
        <f t="shared" si="5"/>
        <v>4.6538461538461533</v>
      </c>
      <c r="X19" s="317">
        <f t="shared" si="6"/>
        <v>27.04</v>
      </c>
    </row>
    <row r="20" spans="2:26" x14ac:dyDescent="0.25">
      <c r="B20" s="236" t="s">
        <v>12</v>
      </c>
      <c r="C20" s="212" t="s">
        <v>24</v>
      </c>
      <c r="D20" s="33">
        <v>215</v>
      </c>
      <c r="E20" s="256">
        <f>D20/65</f>
        <v>3.3076923076923075</v>
      </c>
      <c r="F20" s="7"/>
      <c r="H20" s="170">
        <v>17</v>
      </c>
      <c r="I20" s="401" t="s">
        <v>406</v>
      </c>
      <c r="J20" s="401" t="s">
        <v>247</v>
      </c>
      <c r="K20" s="402">
        <f>E9+E21+E29</f>
        <v>25.796666666666667</v>
      </c>
      <c r="L20" s="403">
        <v>45</v>
      </c>
      <c r="M20" s="404">
        <f t="shared" si="7"/>
        <v>0.57325925925925925</v>
      </c>
      <c r="N20" s="405">
        <f t="shared" si="0"/>
        <v>77.39</v>
      </c>
      <c r="O20" s="406">
        <f t="shared" si="1"/>
        <v>-32.39</v>
      </c>
      <c r="P20" s="407">
        <v>65</v>
      </c>
      <c r="Q20" s="408">
        <f t="shared" si="2"/>
        <v>0.60312820512820509</v>
      </c>
      <c r="R20" s="409">
        <v>68</v>
      </c>
      <c r="S20" s="408">
        <f t="shared" si="3"/>
        <v>0.62063725490196076</v>
      </c>
      <c r="T20" s="530">
        <v>70</v>
      </c>
      <c r="U20" s="408">
        <f t="shared" si="4"/>
        <v>0.63147619047619052</v>
      </c>
      <c r="V20" s="406">
        <f t="shared" si="5"/>
        <v>-7.3900000000000006</v>
      </c>
      <c r="X20" s="317">
        <f t="shared" si="6"/>
        <v>70.72</v>
      </c>
    </row>
    <row r="21" spans="2:26" x14ac:dyDescent="0.25">
      <c r="B21" s="236" t="s">
        <v>11</v>
      </c>
      <c r="C21" s="212" t="s">
        <v>277</v>
      </c>
      <c r="D21" s="34">
        <v>215</v>
      </c>
      <c r="E21" s="256">
        <f>D21/12</f>
        <v>17.916666666666668</v>
      </c>
      <c r="F21" s="7"/>
      <c r="H21" s="82">
        <v>18</v>
      </c>
      <c r="I21" s="401" t="s">
        <v>406</v>
      </c>
      <c r="J21" s="401" t="s">
        <v>248</v>
      </c>
      <c r="K21" s="402">
        <f>E9+E29+E24</f>
        <v>15.588333333333333</v>
      </c>
      <c r="L21" s="403">
        <v>45</v>
      </c>
      <c r="M21" s="404">
        <f t="shared" si="7"/>
        <v>0.34640740740740739</v>
      </c>
      <c r="N21" s="405">
        <f t="shared" si="0"/>
        <v>46.765000000000001</v>
      </c>
      <c r="O21" s="406">
        <f t="shared" si="1"/>
        <v>-1.7650000000000006</v>
      </c>
      <c r="P21" s="407">
        <v>65</v>
      </c>
      <c r="Q21" s="408">
        <f t="shared" si="2"/>
        <v>0.76017948717948725</v>
      </c>
      <c r="R21" s="409">
        <v>68</v>
      </c>
      <c r="S21" s="408">
        <f t="shared" si="3"/>
        <v>0.77075980392156862</v>
      </c>
      <c r="T21" s="530">
        <v>70</v>
      </c>
      <c r="U21" s="408">
        <f t="shared" si="4"/>
        <v>0.77730952380952389</v>
      </c>
      <c r="V21" s="406">
        <f t="shared" si="5"/>
        <v>23.234999999999999</v>
      </c>
      <c r="X21" s="317">
        <f t="shared" si="6"/>
        <v>70.72</v>
      </c>
    </row>
    <row r="22" spans="2:26" x14ac:dyDescent="0.25">
      <c r="B22" s="236" t="s">
        <v>9</v>
      </c>
      <c r="C22" s="212" t="s">
        <v>212</v>
      </c>
      <c r="D22" s="34">
        <v>68.5</v>
      </c>
      <c r="E22" s="256">
        <f>D22/10</f>
        <v>6.85</v>
      </c>
      <c r="H22" s="82">
        <v>19</v>
      </c>
      <c r="I22" s="401" t="s">
        <v>407</v>
      </c>
      <c r="J22" s="401" t="s">
        <v>280</v>
      </c>
      <c r="K22" s="402">
        <f>(E21/2)+E29+E10</f>
        <v>16.638333333333335</v>
      </c>
      <c r="L22" s="403">
        <v>40</v>
      </c>
      <c r="M22" s="404">
        <f t="shared" si="7"/>
        <v>0.41595833333333337</v>
      </c>
      <c r="N22" s="405">
        <f t="shared" si="0"/>
        <v>49.915000000000006</v>
      </c>
      <c r="O22" s="406">
        <f t="shared" si="1"/>
        <v>-9.9150000000000063</v>
      </c>
      <c r="P22" s="407">
        <v>40</v>
      </c>
      <c r="Q22" s="408">
        <f t="shared" si="2"/>
        <v>0.58404166666666657</v>
      </c>
      <c r="R22" s="409">
        <v>42</v>
      </c>
      <c r="S22" s="408">
        <f t="shared" si="3"/>
        <v>0.60384920634920625</v>
      </c>
      <c r="T22" s="410">
        <v>42</v>
      </c>
      <c r="U22" s="408">
        <f t="shared" si="4"/>
        <v>0.60384920634920625</v>
      </c>
      <c r="V22" s="406">
        <f t="shared" si="5"/>
        <v>-7.9150000000000063</v>
      </c>
      <c r="X22" s="317">
        <f t="shared" si="6"/>
        <v>43.68</v>
      </c>
    </row>
    <row r="23" spans="2:26" x14ac:dyDescent="0.25">
      <c r="B23" s="236" t="s">
        <v>83</v>
      </c>
      <c r="C23" s="212" t="s">
        <v>84</v>
      </c>
      <c r="D23" s="34">
        <v>21.99</v>
      </c>
      <c r="E23" s="256">
        <f>D23/6</f>
        <v>3.6649999999999996</v>
      </c>
      <c r="H23" s="170">
        <v>20</v>
      </c>
      <c r="I23" s="401" t="s">
        <v>407</v>
      </c>
      <c r="J23" s="401" t="s">
        <v>98</v>
      </c>
      <c r="K23" s="402">
        <f>(E24/2)+E30+E11</f>
        <v>7.2827380952380949</v>
      </c>
      <c r="L23" s="403">
        <v>35</v>
      </c>
      <c r="M23" s="404">
        <f t="shared" si="7"/>
        <v>0.20807823129251699</v>
      </c>
      <c r="N23" s="405">
        <f t="shared" si="0"/>
        <v>21.848214285714285</v>
      </c>
      <c r="O23" s="406">
        <f t="shared" si="1"/>
        <v>13.151785714285715</v>
      </c>
      <c r="P23" s="407">
        <v>40</v>
      </c>
      <c r="Q23" s="408">
        <f t="shared" si="2"/>
        <v>0.81793154761904763</v>
      </c>
      <c r="R23" s="409">
        <v>42</v>
      </c>
      <c r="S23" s="408">
        <f t="shared" si="3"/>
        <v>0.82660147392290251</v>
      </c>
      <c r="T23" s="410">
        <v>42</v>
      </c>
      <c r="U23" s="408">
        <f t="shared" si="4"/>
        <v>0.82660147392290251</v>
      </c>
      <c r="V23" s="406">
        <f t="shared" si="5"/>
        <v>20.151785714285715</v>
      </c>
      <c r="X23" s="317">
        <f t="shared" si="6"/>
        <v>43.68</v>
      </c>
    </row>
    <row r="24" spans="2:26" x14ac:dyDescent="0.25">
      <c r="B24" s="236" t="s">
        <v>10</v>
      </c>
      <c r="C24" s="212" t="s">
        <v>16</v>
      </c>
      <c r="D24" s="34">
        <v>185</v>
      </c>
      <c r="E24" s="257">
        <f>D24/24</f>
        <v>7.708333333333333</v>
      </c>
      <c r="H24" s="170">
        <v>21</v>
      </c>
      <c r="I24" s="17" t="s">
        <v>276</v>
      </c>
      <c r="J24" s="17" t="s">
        <v>103</v>
      </c>
      <c r="K24" s="110">
        <f>(E21/2)+E8</f>
        <v>9.2694444444444457</v>
      </c>
      <c r="L24" s="83">
        <v>24</v>
      </c>
      <c r="M24" s="84">
        <f t="shared" si="7"/>
        <v>0.3862268518518519</v>
      </c>
      <c r="N24" s="101">
        <f t="shared" si="0"/>
        <v>27.808333333333337</v>
      </c>
      <c r="O24" s="85">
        <f t="shared" si="1"/>
        <v>-3.8083333333333371</v>
      </c>
      <c r="P24" s="118">
        <v>25</v>
      </c>
      <c r="Q24" s="104">
        <f>(P24-K24)/P24</f>
        <v>0.62922222222222213</v>
      </c>
      <c r="R24" s="201">
        <v>26</v>
      </c>
      <c r="S24" s="199">
        <f t="shared" si="3"/>
        <v>0.64348290598290592</v>
      </c>
      <c r="T24" s="268">
        <v>26</v>
      </c>
      <c r="U24" s="199">
        <f t="shared" si="4"/>
        <v>0.64348290598290592</v>
      </c>
      <c r="V24" s="85">
        <f t="shared" si="5"/>
        <v>-1.8083333333333371</v>
      </c>
      <c r="X24" s="317">
        <f t="shared" si="6"/>
        <v>27.04</v>
      </c>
    </row>
    <row r="25" spans="2:26" x14ac:dyDescent="0.25">
      <c r="B25" s="236" t="s">
        <v>13</v>
      </c>
      <c r="C25" s="212" t="s">
        <v>16</v>
      </c>
      <c r="D25" s="33">
        <v>122</v>
      </c>
      <c r="E25" s="256">
        <f>D25/14</f>
        <v>8.7142857142857135</v>
      </c>
      <c r="H25" s="170">
        <v>22</v>
      </c>
      <c r="I25" s="17" t="s">
        <v>276</v>
      </c>
      <c r="J25" s="17" t="s">
        <v>104</v>
      </c>
      <c r="K25" s="110">
        <f>(E24)+E8</f>
        <v>8.0194444444444439</v>
      </c>
      <c r="L25" s="83">
        <v>24</v>
      </c>
      <c r="M25" s="84">
        <f t="shared" si="7"/>
        <v>0.33414351851851848</v>
      </c>
      <c r="N25" s="101">
        <f t="shared" si="0"/>
        <v>24.05833333333333</v>
      </c>
      <c r="O25" s="85">
        <f t="shared" si="1"/>
        <v>-5.8333333333330017E-2</v>
      </c>
      <c r="P25" s="118">
        <v>25</v>
      </c>
      <c r="Q25" s="104">
        <f t="shared" si="2"/>
        <v>0.67922222222222217</v>
      </c>
      <c r="R25" s="201">
        <v>26</v>
      </c>
      <c r="S25" s="199">
        <f t="shared" si="3"/>
        <v>0.69155982905982905</v>
      </c>
      <c r="T25" s="268">
        <v>26</v>
      </c>
      <c r="U25" s="199">
        <f t="shared" si="4"/>
        <v>0.69155982905982905</v>
      </c>
      <c r="V25" s="85">
        <f t="shared" si="5"/>
        <v>1.94166666666667</v>
      </c>
      <c r="X25" s="317">
        <f t="shared" si="6"/>
        <v>27.04</v>
      </c>
    </row>
    <row r="26" spans="2:26" x14ac:dyDescent="0.25">
      <c r="B26" s="236" t="s">
        <v>82</v>
      </c>
      <c r="C26" s="212" t="s">
        <v>16</v>
      </c>
      <c r="D26" s="33">
        <v>82</v>
      </c>
      <c r="E26" s="256">
        <f>D26/14</f>
        <v>5.8571428571428568</v>
      </c>
      <c r="H26" s="170">
        <v>23</v>
      </c>
      <c r="I26" s="17" t="s">
        <v>250</v>
      </c>
      <c r="J26" s="17" t="s">
        <v>136</v>
      </c>
      <c r="K26" s="110">
        <f>E7+E29</f>
        <v>7.08</v>
      </c>
      <c r="L26" s="83">
        <v>23</v>
      </c>
      <c r="M26" s="84">
        <f t="shared" si="7"/>
        <v>0.30782608695652175</v>
      </c>
      <c r="N26" s="101">
        <f t="shared" si="0"/>
        <v>21.240000000000002</v>
      </c>
      <c r="O26" s="85">
        <f t="shared" si="1"/>
        <v>1.759999999999998</v>
      </c>
      <c r="P26" s="118">
        <v>24</v>
      </c>
      <c r="Q26" s="104">
        <f t="shared" si="2"/>
        <v>0.70500000000000007</v>
      </c>
      <c r="R26" s="201">
        <v>24</v>
      </c>
      <c r="S26" s="199">
        <f t="shared" si="3"/>
        <v>0.70500000000000007</v>
      </c>
      <c r="T26" s="268">
        <v>24</v>
      </c>
      <c r="U26" s="199">
        <f t="shared" si="4"/>
        <v>0.70500000000000007</v>
      </c>
      <c r="V26" s="85">
        <f t="shared" si="5"/>
        <v>2.759999999999998</v>
      </c>
      <c r="X26" s="317">
        <f t="shared" si="6"/>
        <v>24.96</v>
      </c>
    </row>
    <row r="27" spans="2:26" x14ac:dyDescent="0.25">
      <c r="B27" s="236" t="s">
        <v>14</v>
      </c>
      <c r="C27" s="212" t="s">
        <v>16</v>
      </c>
      <c r="D27" s="33">
        <v>145</v>
      </c>
      <c r="E27" s="256">
        <f>D27/14</f>
        <v>10.357142857142858</v>
      </c>
      <c r="H27" s="82">
        <v>24</v>
      </c>
      <c r="I27" s="17" t="s">
        <v>410</v>
      </c>
      <c r="J27" s="17" t="s">
        <v>53</v>
      </c>
      <c r="K27" s="110">
        <f>E7+E25</f>
        <v>9.6142857142857139</v>
      </c>
      <c r="L27" s="83">
        <v>24</v>
      </c>
      <c r="M27" s="84">
        <f t="shared" si="7"/>
        <v>0.40059523809523806</v>
      </c>
      <c r="N27" s="101">
        <f t="shared" si="0"/>
        <v>28.842857142857142</v>
      </c>
      <c r="O27" s="85">
        <f t="shared" si="1"/>
        <v>-4.8428571428571416</v>
      </c>
      <c r="P27" s="118">
        <v>25</v>
      </c>
      <c r="Q27" s="104">
        <f t="shared" si="2"/>
        <v>0.61542857142857144</v>
      </c>
      <c r="R27" s="201">
        <v>26</v>
      </c>
      <c r="S27" s="199">
        <f t="shared" si="3"/>
        <v>0.6302197802197802</v>
      </c>
      <c r="T27" s="268">
        <v>26</v>
      </c>
      <c r="U27" s="199">
        <f t="shared" si="4"/>
        <v>0.6302197802197802</v>
      </c>
      <c r="V27" s="85">
        <f t="shared" si="5"/>
        <v>-2.8428571428571416</v>
      </c>
      <c r="X27" s="317">
        <f t="shared" si="6"/>
        <v>27.04</v>
      </c>
    </row>
    <row r="28" spans="2:26" x14ac:dyDescent="0.25">
      <c r="B28" s="236" t="s">
        <v>89</v>
      </c>
      <c r="C28" s="212" t="s">
        <v>16</v>
      </c>
      <c r="D28" s="33">
        <v>92.8</v>
      </c>
      <c r="E28" s="256">
        <f>D28/13</f>
        <v>7.138461538461538</v>
      </c>
      <c r="H28" s="82">
        <v>25</v>
      </c>
      <c r="I28" s="17" t="s">
        <v>410</v>
      </c>
      <c r="J28" s="17" t="s">
        <v>71</v>
      </c>
      <c r="K28" s="110">
        <f>E7+E26</f>
        <v>6.7571428571428571</v>
      </c>
      <c r="L28" s="83">
        <v>24</v>
      </c>
      <c r="M28" s="84">
        <f t="shared" si="7"/>
        <v>0.28154761904761905</v>
      </c>
      <c r="N28" s="101">
        <f t="shared" si="0"/>
        <v>20.271428571428572</v>
      </c>
      <c r="O28" s="85">
        <f t="shared" si="1"/>
        <v>3.7285714285714278</v>
      </c>
      <c r="P28" s="118">
        <v>25</v>
      </c>
      <c r="Q28" s="104">
        <f t="shared" si="2"/>
        <v>0.72971428571428576</v>
      </c>
      <c r="R28" s="201">
        <v>26</v>
      </c>
      <c r="S28" s="199">
        <f t="shared" si="3"/>
        <v>0.74010989010989015</v>
      </c>
      <c r="T28" s="268">
        <v>26</v>
      </c>
      <c r="U28" s="199">
        <f t="shared" si="4"/>
        <v>0.74010989010989015</v>
      </c>
      <c r="V28" s="85">
        <f t="shared" si="5"/>
        <v>5.7285714285714278</v>
      </c>
      <c r="X28" s="317">
        <f t="shared" si="6"/>
        <v>27.04</v>
      </c>
    </row>
    <row r="29" spans="2:26" x14ac:dyDescent="0.25">
      <c r="B29" s="236" t="s">
        <v>242</v>
      </c>
      <c r="C29" s="212" t="s">
        <v>16</v>
      </c>
      <c r="D29" s="34">
        <v>103</v>
      </c>
      <c r="E29" s="256">
        <f>(D29/1000)*60</f>
        <v>6.18</v>
      </c>
      <c r="H29" s="82">
        <v>26</v>
      </c>
      <c r="I29" s="17" t="s">
        <v>410</v>
      </c>
      <c r="J29" s="17" t="s">
        <v>137</v>
      </c>
      <c r="K29" s="110">
        <f>E7+E22</f>
        <v>7.75</v>
      </c>
      <c r="L29" s="83">
        <v>25</v>
      </c>
      <c r="M29" s="84">
        <f t="shared" si="7"/>
        <v>0.31</v>
      </c>
      <c r="N29" s="101">
        <f t="shared" si="0"/>
        <v>23.25</v>
      </c>
      <c r="O29" s="85">
        <f t="shared" si="1"/>
        <v>1.75</v>
      </c>
      <c r="P29" s="118">
        <v>25</v>
      </c>
      <c r="Q29" s="104">
        <f t="shared" si="2"/>
        <v>0.69</v>
      </c>
      <c r="R29" s="201">
        <v>26</v>
      </c>
      <c r="S29" s="199">
        <f t="shared" si="3"/>
        <v>0.70192307692307687</v>
      </c>
      <c r="T29" s="268">
        <v>26</v>
      </c>
      <c r="U29" s="199">
        <f t="shared" si="4"/>
        <v>0.70192307692307687</v>
      </c>
      <c r="V29" s="85">
        <f t="shared" si="5"/>
        <v>2.75</v>
      </c>
      <c r="X29" s="317">
        <f t="shared" si="6"/>
        <v>27.04</v>
      </c>
    </row>
    <row r="30" spans="2:26" x14ac:dyDescent="0.25">
      <c r="B30" s="239" t="s">
        <v>243</v>
      </c>
      <c r="C30" s="214" t="s">
        <v>16</v>
      </c>
      <c r="D30" s="34">
        <v>34</v>
      </c>
      <c r="E30" s="256">
        <f>D30/14</f>
        <v>2.4285714285714284</v>
      </c>
      <c r="H30" s="82">
        <v>27</v>
      </c>
      <c r="I30" s="17" t="s">
        <v>410</v>
      </c>
      <c r="J30" s="17" t="s">
        <v>106</v>
      </c>
      <c r="K30" s="110">
        <f>E7+E28</f>
        <v>8.0384615384615383</v>
      </c>
      <c r="L30" s="83">
        <v>25</v>
      </c>
      <c r="M30" s="84">
        <f t="shared" si="7"/>
        <v>0.32153846153846155</v>
      </c>
      <c r="N30" s="101">
        <f t="shared" si="0"/>
        <v>24.115384615384613</v>
      </c>
      <c r="O30" s="85">
        <f t="shared" si="1"/>
        <v>0.8846153846153868</v>
      </c>
      <c r="P30" s="118">
        <v>25</v>
      </c>
      <c r="Q30" s="104">
        <f t="shared" si="2"/>
        <v>0.67846153846153845</v>
      </c>
      <c r="R30" s="201">
        <v>26</v>
      </c>
      <c r="S30" s="199">
        <f t="shared" si="3"/>
        <v>0.69082840236686383</v>
      </c>
      <c r="T30" s="268">
        <v>26</v>
      </c>
      <c r="U30" s="199">
        <f t="shared" si="4"/>
        <v>0.69082840236686383</v>
      </c>
      <c r="V30" s="85">
        <f t="shared" si="5"/>
        <v>1.8846153846153868</v>
      </c>
      <c r="X30" s="317">
        <f t="shared" si="6"/>
        <v>27.04</v>
      </c>
    </row>
    <row r="31" spans="2:26" ht="16.5" thickBot="1" x14ac:dyDescent="0.3">
      <c r="B31" s="239" t="s">
        <v>80</v>
      </c>
      <c r="C31" s="214" t="s">
        <v>16</v>
      </c>
      <c r="D31" s="34">
        <v>66</v>
      </c>
      <c r="E31" s="256">
        <f>D31/14</f>
        <v>4.7142857142857144</v>
      </c>
      <c r="H31" s="82">
        <v>28</v>
      </c>
      <c r="I31" s="17" t="s">
        <v>410</v>
      </c>
      <c r="J31" s="125" t="s">
        <v>54</v>
      </c>
      <c r="K31" s="126">
        <f>E7+E27</f>
        <v>11.257142857142858</v>
      </c>
      <c r="L31" s="127">
        <v>28</v>
      </c>
      <c r="M31" s="128">
        <f t="shared" si="7"/>
        <v>0.40204081632653066</v>
      </c>
      <c r="N31" s="447">
        <f t="shared" si="0"/>
        <v>33.771428571428572</v>
      </c>
      <c r="O31" s="130">
        <f t="shared" si="1"/>
        <v>-5.7714285714285722</v>
      </c>
      <c r="P31" s="131">
        <v>33</v>
      </c>
      <c r="Q31" s="132">
        <f t="shared" si="2"/>
        <v>0.65887445887445883</v>
      </c>
      <c r="R31" s="448">
        <v>34</v>
      </c>
      <c r="S31" s="449">
        <f t="shared" si="3"/>
        <v>0.66890756302521004</v>
      </c>
      <c r="T31" s="450">
        <v>34</v>
      </c>
      <c r="U31" s="449">
        <f t="shared" si="4"/>
        <v>0.66890756302521004</v>
      </c>
      <c r="V31" s="130">
        <f t="shared" si="5"/>
        <v>0.22857142857142776</v>
      </c>
      <c r="X31" s="317">
        <f t="shared" si="6"/>
        <v>35.36</v>
      </c>
    </row>
    <row r="32" spans="2:26" x14ac:dyDescent="0.25">
      <c r="B32" s="239" t="s">
        <v>141</v>
      </c>
      <c r="C32" s="214" t="s">
        <v>16</v>
      </c>
      <c r="D32" s="34">
        <v>78</v>
      </c>
      <c r="E32" s="257">
        <f>+D32/12</f>
        <v>6.5</v>
      </c>
      <c r="F32" s="26"/>
      <c r="G32" s="26"/>
      <c r="H32" s="170">
        <v>29</v>
      </c>
      <c r="I32" s="451" t="s">
        <v>408</v>
      </c>
      <c r="J32" s="452" t="s">
        <v>114</v>
      </c>
      <c r="K32" s="453">
        <f>+E25+E25+E35</f>
        <v>22.580086580086579</v>
      </c>
      <c r="L32" s="454">
        <v>65</v>
      </c>
      <c r="M32" s="455">
        <f t="shared" si="7"/>
        <v>0.34738594738594736</v>
      </c>
      <c r="N32" s="456">
        <f t="shared" si="0"/>
        <v>67.740259740259745</v>
      </c>
      <c r="O32" s="457">
        <f t="shared" si="1"/>
        <v>-2.7402597402597451</v>
      </c>
      <c r="P32" s="458">
        <v>65</v>
      </c>
      <c r="Q32" s="459">
        <f t="shared" si="2"/>
        <v>0.65261405261405259</v>
      </c>
      <c r="R32" s="460">
        <v>68</v>
      </c>
      <c r="S32" s="459">
        <f t="shared" si="3"/>
        <v>0.66793990323402086</v>
      </c>
      <c r="T32" s="461">
        <v>68</v>
      </c>
      <c r="U32" s="459">
        <f t="shared" si="4"/>
        <v>0.66793990323402086</v>
      </c>
      <c r="V32" s="462">
        <f t="shared" si="5"/>
        <v>0.25974025974025494</v>
      </c>
      <c r="X32" s="317">
        <f t="shared" si="6"/>
        <v>70.72</v>
      </c>
    </row>
    <row r="33" spans="2:24" x14ac:dyDescent="0.25">
      <c r="B33" s="239" t="s">
        <v>142</v>
      </c>
      <c r="C33" s="214" t="s">
        <v>16</v>
      </c>
      <c r="D33" s="34">
        <v>47</v>
      </c>
      <c r="E33" s="257">
        <f>+D33/16.6</f>
        <v>2.831325301204819</v>
      </c>
      <c r="F33" s="26"/>
      <c r="G33" s="26"/>
      <c r="H33" s="170">
        <v>30</v>
      </c>
      <c r="I33" s="463" t="s">
        <v>109</v>
      </c>
      <c r="J33" s="401" t="s">
        <v>115</v>
      </c>
      <c r="K33" s="402">
        <f>E26+E26+E35</f>
        <v>16.865800865800864</v>
      </c>
      <c r="L33" s="403">
        <v>65</v>
      </c>
      <c r="M33" s="404">
        <f t="shared" si="7"/>
        <v>0.25947385947385943</v>
      </c>
      <c r="N33" s="405">
        <f t="shared" si="0"/>
        <v>50.597402597402592</v>
      </c>
      <c r="O33" s="406">
        <f t="shared" si="1"/>
        <v>14.402597402597408</v>
      </c>
      <c r="P33" s="407">
        <v>65</v>
      </c>
      <c r="Q33" s="408">
        <f t="shared" si="2"/>
        <v>0.74052614052614052</v>
      </c>
      <c r="R33" s="409">
        <v>68</v>
      </c>
      <c r="S33" s="408">
        <f t="shared" si="3"/>
        <v>0.75197351667939905</v>
      </c>
      <c r="T33" s="410">
        <v>68</v>
      </c>
      <c r="U33" s="408">
        <f t="shared" si="4"/>
        <v>0.75197351667939905</v>
      </c>
      <c r="V33" s="464">
        <f t="shared" si="5"/>
        <v>17.402597402597408</v>
      </c>
      <c r="X33" s="317">
        <f t="shared" si="6"/>
        <v>70.72</v>
      </c>
    </row>
    <row r="34" spans="2:24" ht="16.5" thickBot="1" x14ac:dyDescent="0.3">
      <c r="B34" s="239" t="s">
        <v>328</v>
      </c>
      <c r="C34" s="214" t="s">
        <v>16</v>
      </c>
      <c r="D34" s="34">
        <v>17</v>
      </c>
      <c r="E34" s="257">
        <f>+D34/16.6</f>
        <v>1.0240963855421685</v>
      </c>
      <c r="H34" s="170">
        <v>31</v>
      </c>
      <c r="I34" s="465" t="s">
        <v>109</v>
      </c>
      <c r="J34" s="466" t="s">
        <v>116</v>
      </c>
      <c r="K34" s="467">
        <f>E28+E28+E35</f>
        <v>19.428438228438228</v>
      </c>
      <c r="L34" s="468">
        <v>65</v>
      </c>
      <c r="M34" s="469">
        <f t="shared" si="7"/>
        <v>0.29889904966828046</v>
      </c>
      <c r="N34" s="470">
        <f t="shared" si="0"/>
        <v>58.285314685314688</v>
      </c>
      <c r="O34" s="471">
        <f t="shared" si="1"/>
        <v>6.7146853146853118</v>
      </c>
      <c r="P34" s="472">
        <v>65</v>
      </c>
      <c r="Q34" s="473">
        <f t="shared" si="2"/>
        <v>0.7011009503317196</v>
      </c>
      <c r="R34" s="474">
        <v>68</v>
      </c>
      <c r="S34" s="473">
        <f t="shared" si="3"/>
        <v>0.71428767311120256</v>
      </c>
      <c r="T34" s="475">
        <v>68</v>
      </c>
      <c r="U34" s="473">
        <f t="shared" si="4"/>
        <v>0.71428767311120256</v>
      </c>
      <c r="V34" s="476">
        <f t="shared" si="5"/>
        <v>9.7146853146853118</v>
      </c>
      <c r="X34" s="317">
        <f t="shared" si="6"/>
        <v>70.72</v>
      </c>
    </row>
    <row r="35" spans="2:24" x14ac:dyDescent="0.25">
      <c r="B35" s="236" t="s">
        <v>120</v>
      </c>
      <c r="C35" s="212" t="s">
        <v>16</v>
      </c>
      <c r="D35" s="34">
        <v>17</v>
      </c>
      <c r="E35" s="257">
        <f>+D35/3.3</f>
        <v>5.1515151515151514</v>
      </c>
      <c r="H35" s="170">
        <v>32</v>
      </c>
      <c r="I35" s="477" t="s">
        <v>109</v>
      </c>
      <c r="J35" s="428" t="s">
        <v>117</v>
      </c>
      <c r="K35" s="429">
        <f>E27+E27+E35</f>
        <v>25.865800865800868</v>
      </c>
      <c r="L35" s="430">
        <v>75</v>
      </c>
      <c r="M35" s="431">
        <f t="shared" si="7"/>
        <v>0.34487734487734489</v>
      </c>
      <c r="N35" s="432">
        <f t="shared" si="0"/>
        <v>77.597402597402606</v>
      </c>
      <c r="O35" s="433">
        <f t="shared" si="1"/>
        <v>-2.5974025974026063</v>
      </c>
      <c r="P35" s="434">
        <v>75</v>
      </c>
      <c r="Q35" s="435">
        <f t="shared" si="2"/>
        <v>0.65512265512265511</v>
      </c>
      <c r="R35" s="436">
        <v>78</v>
      </c>
      <c r="S35" s="435">
        <f t="shared" si="3"/>
        <v>0.66838716838716838</v>
      </c>
      <c r="T35" s="530">
        <v>85</v>
      </c>
      <c r="U35" s="435">
        <f t="shared" si="4"/>
        <v>0.69569646040234279</v>
      </c>
      <c r="V35" s="478">
        <f t="shared" si="5"/>
        <v>7.4025974025973937</v>
      </c>
      <c r="X35" s="317">
        <f t="shared" si="6"/>
        <v>81.12</v>
      </c>
    </row>
    <row r="36" spans="2:24" x14ac:dyDescent="0.25">
      <c r="B36" s="239" t="s">
        <v>245</v>
      </c>
      <c r="C36" s="214" t="s">
        <v>16</v>
      </c>
      <c r="D36" s="34">
        <v>0</v>
      </c>
      <c r="E36" s="256">
        <f>D36/14</f>
        <v>0</v>
      </c>
      <c r="H36" s="170">
        <v>33</v>
      </c>
      <c r="I36" s="463" t="s">
        <v>109</v>
      </c>
      <c r="J36" s="401" t="s">
        <v>118</v>
      </c>
      <c r="K36" s="402">
        <f>E21+E21+E35</f>
        <v>40.984848484848484</v>
      </c>
      <c r="L36" s="403">
        <v>75</v>
      </c>
      <c r="M36" s="404">
        <f t="shared" si="7"/>
        <v>0.54646464646464643</v>
      </c>
      <c r="N36" s="405">
        <f t="shared" si="0"/>
        <v>122.95454545454545</v>
      </c>
      <c r="O36" s="406">
        <f t="shared" si="1"/>
        <v>-47.954545454545453</v>
      </c>
      <c r="P36" s="407">
        <v>75</v>
      </c>
      <c r="Q36" s="408">
        <f t="shared" si="2"/>
        <v>0.45353535353535351</v>
      </c>
      <c r="R36" s="409">
        <v>78</v>
      </c>
      <c r="S36" s="408">
        <f t="shared" si="3"/>
        <v>0.47455322455322457</v>
      </c>
      <c r="T36" s="530">
        <v>85</v>
      </c>
      <c r="U36" s="408">
        <f t="shared" si="4"/>
        <v>0.517825311942959</v>
      </c>
      <c r="V36" s="464">
        <f t="shared" si="5"/>
        <v>-37.954545454545453</v>
      </c>
      <c r="X36" s="317">
        <f t="shared" si="6"/>
        <v>81.12</v>
      </c>
    </row>
    <row r="37" spans="2:24" ht="16.5" thickBot="1" x14ac:dyDescent="0.3">
      <c r="B37" s="239" t="s">
        <v>146</v>
      </c>
      <c r="C37" s="214" t="s">
        <v>16</v>
      </c>
      <c r="D37" s="34">
        <v>38.5</v>
      </c>
      <c r="E37" s="257">
        <f>+D37/16.6</f>
        <v>2.3192771084337349</v>
      </c>
      <c r="H37" s="170">
        <v>34</v>
      </c>
      <c r="I37" s="465" t="s">
        <v>109</v>
      </c>
      <c r="J37" s="466" t="s">
        <v>119</v>
      </c>
      <c r="K37" s="467">
        <f>E24+E24+E35</f>
        <v>20.568181818181817</v>
      </c>
      <c r="L37" s="468">
        <v>75</v>
      </c>
      <c r="M37" s="469">
        <f t="shared" si="7"/>
        <v>0.27424242424242423</v>
      </c>
      <c r="N37" s="470">
        <f t="shared" si="0"/>
        <v>61.704545454545453</v>
      </c>
      <c r="O37" s="471">
        <f t="shared" si="1"/>
        <v>13.295454545454547</v>
      </c>
      <c r="P37" s="472">
        <v>75</v>
      </c>
      <c r="Q37" s="473">
        <f t="shared" si="2"/>
        <v>0.72575757575757582</v>
      </c>
      <c r="R37" s="474">
        <v>78</v>
      </c>
      <c r="S37" s="473">
        <f t="shared" si="3"/>
        <v>0.73630536130536139</v>
      </c>
      <c r="T37" s="532">
        <v>85</v>
      </c>
      <c r="U37" s="473">
        <f t="shared" si="4"/>
        <v>0.75802139037433158</v>
      </c>
      <c r="V37" s="476">
        <f t="shared" si="5"/>
        <v>23.295454545454547</v>
      </c>
      <c r="X37" s="317">
        <f t="shared" si="6"/>
        <v>81.12</v>
      </c>
    </row>
    <row r="38" spans="2:24" x14ac:dyDescent="0.25">
      <c r="B38" s="239" t="s">
        <v>193</v>
      </c>
      <c r="C38" s="214" t="s">
        <v>16</v>
      </c>
      <c r="D38" s="34">
        <v>68</v>
      </c>
      <c r="E38" s="247">
        <f>+D38/16</f>
        <v>4.25</v>
      </c>
      <c r="H38" s="82">
        <v>35</v>
      </c>
      <c r="I38" s="135" t="s">
        <v>107</v>
      </c>
      <c r="J38" s="135" t="s">
        <v>45</v>
      </c>
      <c r="K38" s="136">
        <f>E9+E29+E19</f>
        <v>14.722999999999999</v>
      </c>
      <c r="L38" s="137">
        <v>45</v>
      </c>
      <c r="M38" s="138">
        <f t="shared" si="7"/>
        <v>0.32717777777777773</v>
      </c>
      <c r="N38" s="331">
        <f t="shared" si="0"/>
        <v>44.168999999999997</v>
      </c>
      <c r="O38" s="140">
        <f t="shared" si="1"/>
        <v>0.83100000000000307</v>
      </c>
      <c r="P38" s="349">
        <v>45</v>
      </c>
      <c r="Q38" s="333">
        <f t="shared" si="2"/>
        <v>0.67282222222222221</v>
      </c>
      <c r="R38" s="332">
        <v>45</v>
      </c>
      <c r="S38" s="333">
        <f t="shared" si="3"/>
        <v>0.67282222222222221</v>
      </c>
      <c r="T38" s="334">
        <v>45</v>
      </c>
      <c r="U38" s="333">
        <f t="shared" si="4"/>
        <v>0.67282222222222221</v>
      </c>
      <c r="V38" s="140">
        <f t="shared" si="5"/>
        <v>0.83100000000000307</v>
      </c>
      <c r="X38" s="317">
        <f>+R38*$X$3</f>
        <v>46.800000000000004</v>
      </c>
    </row>
    <row r="39" spans="2:24" x14ac:dyDescent="0.25">
      <c r="B39" s="239" t="s">
        <v>278</v>
      </c>
      <c r="C39" s="212" t="s">
        <v>16</v>
      </c>
      <c r="D39" s="34">
        <v>63</v>
      </c>
      <c r="E39" s="258">
        <f>+D39/5</f>
        <v>12.6</v>
      </c>
      <c r="H39" s="82">
        <v>36</v>
      </c>
      <c r="I39" s="379" t="s">
        <v>107</v>
      </c>
      <c r="J39" s="379" t="s">
        <v>46</v>
      </c>
      <c r="K39" s="380">
        <f>E9+E25+E29</f>
        <v>16.594285714285711</v>
      </c>
      <c r="L39" s="381">
        <v>42</v>
      </c>
      <c r="M39" s="382">
        <f t="shared" si="7"/>
        <v>0.39510204081632644</v>
      </c>
      <c r="N39" s="383">
        <f t="shared" si="0"/>
        <v>49.782857142857132</v>
      </c>
      <c r="O39" s="384">
        <f t="shared" si="1"/>
        <v>-7.7828571428571323</v>
      </c>
      <c r="P39" s="385">
        <v>50</v>
      </c>
      <c r="Q39" s="386">
        <f t="shared" si="2"/>
        <v>0.66811428571428577</v>
      </c>
      <c r="R39" s="387">
        <v>52</v>
      </c>
      <c r="S39" s="386">
        <f t="shared" si="3"/>
        <v>0.68087912087912095</v>
      </c>
      <c r="T39" s="269">
        <v>52</v>
      </c>
      <c r="U39" s="386">
        <f t="shared" si="4"/>
        <v>0.68087912087912095</v>
      </c>
      <c r="V39" s="384">
        <f t="shared" si="5"/>
        <v>2.2171428571428677</v>
      </c>
      <c r="X39" s="317">
        <f t="shared" si="6"/>
        <v>54.08</v>
      </c>
    </row>
    <row r="40" spans="2:24" x14ac:dyDescent="0.25">
      <c r="B40" s="239" t="s">
        <v>211</v>
      </c>
      <c r="C40" s="212" t="s">
        <v>16</v>
      </c>
      <c r="D40" s="34">
        <v>30</v>
      </c>
      <c r="E40" s="258">
        <f>+D40/6.6</f>
        <v>4.5454545454545459</v>
      </c>
      <c r="H40" s="82">
        <v>37</v>
      </c>
      <c r="I40" s="379" t="s">
        <v>107</v>
      </c>
      <c r="J40" s="379" t="s">
        <v>47</v>
      </c>
      <c r="K40" s="380">
        <f>E9+E29+E26</f>
        <v>13.737142857142857</v>
      </c>
      <c r="L40" s="381">
        <v>42</v>
      </c>
      <c r="M40" s="382">
        <f t="shared" si="7"/>
        <v>0.32707482993197279</v>
      </c>
      <c r="N40" s="383">
        <f t="shared" si="0"/>
        <v>41.21142857142857</v>
      </c>
      <c r="O40" s="384">
        <f t="shared" si="1"/>
        <v>0.78857142857143003</v>
      </c>
      <c r="P40" s="385">
        <v>50</v>
      </c>
      <c r="Q40" s="386">
        <f t="shared" si="2"/>
        <v>0.72525714285714282</v>
      </c>
      <c r="R40" s="387">
        <v>52</v>
      </c>
      <c r="S40" s="386">
        <f t="shared" si="3"/>
        <v>0.73582417582417581</v>
      </c>
      <c r="T40" s="269">
        <v>52</v>
      </c>
      <c r="U40" s="386">
        <f t="shared" si="4"/>
        <v>0.73582417582417581</v>
      </c>
      <c r="V40" s="384">
        <f t="shared" si="5"/>
        <v>10.78857142857143</v>
      </c>
      <c r="X40" s="317">
        <f t="shared" si="6"/>
        <v>54.08</v>
      </c>
    </row>
    <row r="41" spans="2:24" ht="16.5" thickBot="1" x14ac:dyDescent="0.3">
      <c r="B41" s="241" t="s">
        <v>188</v>
      </c>
      <c r="C41" s="259" t="s">
        <v>16</v>
      </c>
      <c r="D41" s="260">
        <v>7.14</v>
      </c>
      <c r="E41" s="261">
        <f>+D41</f>
        <v>7.14</v>
      </c>
      <c r="H41" s="82">
        <v>38</v>
      </c>
      <c r="I41" s="379" t="s">
        <v>107</v>
      </c>
      <c r="J41" s="379" t="s">
        <v>113</v>
      </c>
      <c r="K41" s="380">
        <f>E28+E29+E9</f>
        <v>15.018461538461537</v>
      </c>
      <c r="L41" s="381">
        <v>50</v>
      </c>
      <c r="M41" s="382">
        <f t="shared" si="7"/>
        <v>0.30036923076923072</v>
      </c>
      <c r="N41" s="383">
        <f t="shared" si="0"/>
        <v>45.055384615384611</v>
      </c>
      <c r="O41" s="384">
        <f t="shared" si="1"/>
        <v>4.9446153846153891</v>
      </c>
      <c r="P41" s="385">
        <v>50</v>
      </c>
      <c r="Q41" s="386">
        <f t="shared" si="2"/>
        <v>0.69963076923076928</v>
      </c>
      <c r="R41" s="387">
        <v>52</v>
      </c>
      <c r="S41" s="386">
        <f t="shared" si="3"/>
        <v>0.71118343195266276</v>
      </c>
      <c r="T41" s="269">
        <v>52</v>
      </c>
      <c r="U41" s="386">
        <f t="shared" si="4"/>
        <v>0.71118343195266276</v>
      </c>
      <c r="V41" s="384">
        <f t="shared" si="5"/>
        <v>6.9446153846153891</v>
      </c>
      <c r="X41" s="317">
        <f t="shared" si="6"/>
        <v>54.08</v>
      </c>
    </row>
    <row r="42" spans="2:24" ht="16.5" thickBot="1" x14ac:dyDescent="0.3">
      <c r="H42" s="82">
        <v>39</v>
      </c>
      <c r="I42" s="379" t="s">
        <v>107</v>
      </c>
      <c r="J42" s="379" t="s">
        <v>48</v>
      </c>
      <c r="K42" s="380">
        <f>E27+E29+E9</f>
        <v>18.237142857142857</v>
      </c>
      <c r="L42" s="381">
        <v>45</v>
      </c>
      <c r="M42" s="382">
        <f t="shared" si="7"/>
        <v>0.40526984126984128</v>
      </c>
      <c r="N42" s="383">
        <f t="shared" si="0"/>
        <v>54.71142857142857</v>
      </c>
      <c r="O42" s="384">
        <f t="shared" si="1"/>
        <v>-9.71142857142857</v>
      </c>
      <c r="P42" s="385">
        <v>60</v>
      </c>
      <c r="Q42" s="386">
        <f t="shared" si="2"/>
        <v>0.69604761904761903</v>
      </c>
      <c r="R42" s="387">
        <v>62</v>
      </c>
      <c r="S42" s="386">
        <f t="shared" si="3"/>
        <v>0.70585253456221198</v>
      </c>
      <c r="T42" s="269">
        <v>62</v>
      </c>
      <c r="U42" s="386">
        <f t="shared" si="4"/>
        <v>0.70585253456221198</v>
      </c>
      <c r="V42" s="384">
        <f t="shared" si="5"/>
        <v>7.28857142857143</v>
      </c>
      <c r="X42" s="317">
        <f t="shared" si="6"/>
        <v>64.48</v>
      </c>
    </row>
    <row r="43" spans="2:24" ht="16.5" thickBot="1" x14ac:dyDescent="0.3">
      <c r="B43" s="271" t="s">
        <v>334</v>
      </c>
      <c r="C43" s="272" t="s">
        <v>321</v>
      </c>
      <c r="D43" s="276">
        <v>43118</v>
      </c>
      <c r="E43" s="282">
        <f>SUM(E44:E47)</f>
        <v>114.04999999999998</v>
      </c>
      <c r="H43" s="82">
        <v>40</v>
      </c>
      <c r="I43" s="17" t="s">
        <v>108</v>
      </c>
      <c r="J43" s="17" t="s">
        <v>56</v>
      </c>
      <c r="K43" s="110">
        <f>E8+E25+E29</f>
        <v>15.205396825396825</v>
      </c>
      <c r="L43" s="83">
        <v>38</v>
      </c>
      <c r="M43" s="84">
        <f t="shared" si="7"/>
        <v>0.40014202172096908</v>
      </c>
      <c r="N43" s="101">
        <f t="shared" si="0"/>
        <v>45.616190476190475</v>
      </c>
      <c r="O43" s="85">
        <f t="shared" si="1"/>
        <v>-7.6161904761904751</v>
      </c>
      <c r="P43" s="118">
        <v>40</v>
      </c>
      <c r="Q43" s="104">
        <f t="shared" si="2"/>
        <v>0.6198650793650794</v>
      </c>
      <c r="R43" s="201">
        <v>42</v>
      </c>
      <c r="S43" s="199">
        <f t="shared" si="3"/>
        <v>0.63796674225245653</v>
      </c>
      <c r="T43" s="268">
        <v>42</v>
      </c>
      <c r="U43" s="199">
        <f t="shared" si="4"/>
        <v>0.63796674225245653</v>
      </c>
      <c r="V43" s="85">
        <f t="shared" si="5"/>
        <v>-3.6161904761904751</v>
      </c>
      <c r="X43" s="317">
        <f t="shared" si="6"/>
        <v>43.68</v>
      </c>
    </row>
    <row r="44" spans="2:24" x14ac:dyDescent="0.25">
      <c r="B44" s="251" t="s">
        <v>237</v>
      </c>
      <c r="C44" s="252">
        <v>0.6</v>
      </c>
      <c r="D44" s="253">
        <v>102</v>
      </c>
      <c r="E44" s="254">
        <f>+C44*D44</f>
        <v>61.199999999999996</v>
      </c>
      <c r="H44" s="82">
        <v>41</v>
      </c>
      <c r="I44" s="17" t="s">
        <v>108</v>
      </c>
      <c r="J44" s="17" t="s">
        <v>57</v>
      </c>
      <c r="K44" s="110">
        <f>E26+E29+E8</f>
        <v>12.348253968253969</v>
      </c>
      <c r="L44" s="83">
        <v>38</v>
      </c>
      <c r="M44" s="84">
        <f t="shared" si="7"/>
        <v>0.32495405179615711</v>
      </c>
      <c r="N44" s="101">
        <f t="shared" si="0"/>
        <v>37.044761904761906</v>
      </c>
      <c r="O44" s="85">
        <f t="shared" si="1"/>
        <v>0.95523809523809433</v>
      </c>
      <c r="P44" s="118">
        <v>40</v>
      </c>
      <c r="Q44" s="104">
        <f t="shared" si="2"/>
        <v>0.69129365079365068</v>
      </c>
      <c r="R44" s="201">
        <v>42</v>
      </c>
      <c r="S44" s="199">
        <f t="shared" si="3"/>
        <v>0.70599395313681024</v>
      </c>
      <c r="T44" s="268">
        <v>42</v>
      </c>
      <c r="U44" s="199">
        <f t="shared" si="4"/>
        <v>0.70599395313681024</v>
      </c>
      <c r="V44" s="85">
        <f t="shared" si="5"/>
        <v>4.9552380952380943</v>
      </c>
      <c r="X44" s="317">
        <f t="shared" si="6"/>
        <v>43.68</v>
      </c>
    </row>
    <row r="45" spans="2:24" x14ac:dyDescent="0.25">
      <c r="B45" s="239" t="s">
        <v>68</v>
      </c>
      <c r="C45" s="218">
        <v>0.18</v>
      </c>
      <c r="D45" s="39">
        <v>140</v>
      </c>
      <c r="E45" s="247">
        <f t="shared" ref="E45:E47" si="8">+C45*D45</f>
        <v>25.2</v>
      </c>
      <c r="H45" s="82">
        <v>42</v>
      </c>
      <c r="I45" s="17" t="s">
        <v>108</v>
      </c>
      <c r="J45" s="17" t="s">
        <v>112</v>
      </c>
      <c r="K45" s="110">
        <f>E8+E29+E28</f>
        <v>13.629572649572648</v>
      </c>
      <c r="L45" s="83">
        <v>40</v>
      </c>
      <c r="M45" s="84">
        <f t="shared" si="7"/>
        <v>0.34073931623931619</v>
      </c>
      <c r="N45" s="101">
        <f t="shared" si="0"/>
        <v>40.88871794871794</v>
      </c>
      <c r="O45" s="85">
        <f t="shared" si="1"/>
        <v>-0.88871794871793952</v>
      </c>
      <c r="P45" s="118">
        <v>40</v>
      </c>
      <c r="Q45" s="104">
        <f t="shared" si="2"/>
        <v>0.65926068376068381</v>
      </c>
      <c r="R45" s="201">
        <v>42</v>
      </c>
      <c r="S45" s="199">
        <f t="shared" si="3"/>
        <v>0.67548636548636554</v>
      </c>
      <c r="T45" s="268">
        <v>42</v>
      </c>
      <c r="U45" s="199">
        <f t="shared" si="4"/>
        <v>0.67548636548636554</v>
      </c>
      <c r="V45" s="85">
        <f t="shared" si="5"/>
        <v>1.1112820512820605</v>
      </c>
      <c r="X45" s="317">
        <f t="shared" si="6"/>
        <v>43.68</v>
      </c>
    </row>
    <row r="46" spans="2:24" x14ac:dyDescent="0.25">
      <c r="B46" s="239" t="s">
        <v>69</v>
      </c>
      <c r="C46" s="218">
        <v>0.11</v>
      </c>
      <c r="D46" s="39">
        <v>135</v>
      </c>
      <c r="E46" s="247">
        <f t="shared" si="8"/>
        <v>14.85</v>
      </c>
      <c r="H46" s="82">
        <v>43</v>
      </c>
      <c r="I46" s="17" t="s">
        <v>108</v>
      </c>
      <c r="J46" s="17" t="s">
        <v>58</v>
      </c>
      <c r="K46" s="110">
        <f>E8+E29+E27</f>
        <v>16.848253968253967</v>
      </c>
      <c r="L46" s="83">
        <v>45</v>
      </c>
      <c r="M46" s="84">
        <f t="shared" si="7"/>
        <v>0.37440564373897706</v>
      </c>
      <c r="N46" s="101">
        <f t="shared" si="0"/>
        <v>50.544761904761899</v>
      </c>
      <c r="O46" s="85">
        <f t="shared" si="1"/>
        <v>-5.5447619047618986</v>
      </c>
      <c r="P46" s="118">
        <v>50</v>
      </c>
      <c r="Q46" s="104">
        <f t="shared" si="2"/>
        <v>0.66303492063492053</v>
      </c>
      <c r="R46" s="201">
        <v>52</v>
      </c>
      <c r="S46" s="199">
        <f t="shared" si="3"/>
        <v>0.67599511599511597</v>
      </c>
      <c r="T46" s="268">
        <v>52</v>
      </c>
      <c r="U46" s="199">
        <f t="shared" si="4"/>
        <v>0.67599511599511597</v>
      </c>
      <c r="V46" s="85">
        <f t="shared" si="5"/>
        <v>1.4552380952381014</v>
      </c>
      <c r="X46" s="317">
        <f t="shared" si="6"/>
        <v>54.08</v>
      </c>
    </row>
    <row r="47" spans="2:24" ht="16.5" thickBot="1" x14ac:dyDescent="0.3">
      <c r="B47" s="241" t="s">
        <v>70</v>
      </c>
      <c r="C47" s="248">
        <v>0.10666666666666667</v>
      </c>
      <c r="D47" s="249">
        <v>120</v>
      </c>
      <c r="E47" s="250">
        <f t="shared" si="8"/>
        <v>12.8</v>
      </c>
      <c r="H47" s="82">
        <v>44</v>
      </c>
      <c r="I47" s="17" t="s">
        <v>251</v>
      </c>
      <c r="J47" s="17" t="s">
        <v>252</v>
      </c>
      <c r="K47" s="110">
        <f>E4+(E25*2)</f>
        <v>20.928571428571427</v>
      </c>
      <c r="L47" s="83">
        <v>45</v>
      </c>
      <c r="M47" s="84">
        <f t="shared" si="7"/>
        <v>0.46507936507936504</v>
      </c>
      <c r="N47" s="101">
        <f t="shared" si="0"/>
        <v>62.785714285714278</v>
      </c>
      <c r="O47" s="85">
        <f t="shared" si="1"/>
        <v>-17.785714285714278</v>
      </c>
      <c r="P47" s="118">
        <v>58</v>
      </c>
      <c r="Q47" s="104">
        <f t="shared" si="2"/>
        <v>0.63916256157635465</v>
      </c>
      <c r="R47" s="201">
        <v>60</v>
      </c>
      <c r="S47" s="199">
        <f t="shared" si="3"/>
        <v>0.65119047619047621</v>
      </c>
      <c r="T47" s="268">
        <v>60</v>
      </c>
      <c r="U47" s="199">
        <f t="shared" si="4"/>
        <v>0.65119047619047621</v>
      </c>
      <c r="V47" s="85">
        <f t="shared" si="5"/>
        <v>-2.7857142857142776</v>
      </c>
      <c r="X47" s="317">
        <f t="shared" si="6"/>
        <v>62.400000000000006</v>
      </c>
    </row>
    <row r="48" spans="2:24" x14ac:dyDescent="0.25">
      <c r="H48" s="82">
        <v>45</v>
      </c>
      <c r="I48" s="17" t="s">
        <v>251</v>
      </c>
      <c r="J48" s="17" t="s">
        <v>82</v>
      </c>
      <c r="K48" s="110">
        <f>E4+E26+E26</f>
        <v>15.214285714285715</v>
      </c>
      <c r="L48" s="83">
        <v>58</v>
      </c>
      <c r="M48" s="84">
        <f t="shared" si="7"/>
        <v>0.26231527093596063</v>
      </c>
      <c r="N48" s="101">
        <f t="shared" si="0"/>
        <v>45.642857142857146</v>
      </c>
      <c r="O48" s="85">
        <f t="shared" si="1"/>
        <v>12.357142857142854</v>
      </c>
      <c r="P48" s="118">
        <v>58</v>
      </c>
      <c r="Q48" s="104">
        <f t="shared" si="2"/>
        <v>0.73768472906403937</v>
      </c>
      <c r="R48" s="201">
        <v>60</v>
      </c>
      <c r="S48" s="199">
        <f t="shared" si="3"/>
        <v>0.74642857142857144</v>
      </c>
      <c r="T48" s="268">
        <v>60</v>
      </c>
      <c r="U48" s="199">
        <f t="shared" si="4"/>
        <v>0.74642857142857144</v>
      </c>
      <c r="V48" s="85">
        <f t="shared" si="5"/>
        <v>14.357142857142854</v>
      </c>
      <c r="X48" s="317">
        <f t="shared" si="6"/>
        <v>62.400000000000006</v>
      </c>
    </row>
    <row r="49" spans="2:26" x14ac:dyDescent="0.25">
      <c r="B49" s="212" t="s">
        <v>149</v>
      </c>
      <c r="C49" s="219"/>
      <c r="D49" s="207">
        <f>+E71</f>
        <v>85.773333333333326</v>
      </c>
      <c r="E49" s="213">
        <f>+D49/30</f>
        <v>2.8591111111111109</v>
      </c>
      <c r="H49" s="82">
        <v>46</v>
      </c>
      <c r="I49" s="102" t="s">
        <v>251</v>
      </c>
      <c r="J49" s="102" t="s">
        <v>89</v>
      </c>
      <c r="K49" s="196">
        <f>E4+E28+E28</f>
        <v>17.776923076923076</v>
      </c>
      <c r="L49" s="423">
        <v>58</v>
      </c>
      <c r="M49" s="122">
        <f t="shared" si="7"/>
        <v>0.30649867374005302</v>
      </c>
      <c r="N49" s="424">
        <f t="shared" si="0"/>
        <v>53.330769230769228</v>
      </c>
      <c r="O49" s="425">
        <f t="shared" si="1"/>
        <v>4.6692307692307722</v>
      </c>
      <c r="P49" s="118">
        <v>58</v>
      </c>
      <c r="Q49" s="104">
        <f t="shared" si="2"/>
        <v>0.69350132625994698</v>
      </c>
      <c r="R49" s="426">
        <v>60</v>
      </c>
      <c r="S49" s="104">
        <f t="shared" si="3"/>
        <v>0.70371794871794868</v>
      </c>
      <c r="T49" s="427">
        <v>60</v>
      </c>
      <c r="U49" s="104">
        <f t="shared" si="4"/>
        <v>0.70371794871794868</v>
      </c>
      <c r="V49" s="425">
        <f t="shared" si="5"/>
        <v>6.6692307692307722</v>
      </c>
      <c r="W49" t="s">
        <v>409</v>
      </c>
      <c r="X49" s="317">
        <f t="shared" si="6"/>
        <v>62.400000000000006</v>
      </c>
    </row>
    <row r="50" spans="2:26" ht="16.5" thickBot="1" x14ac:dyDescent="0.3">
      <c r="H50" s="82">
        <v>47</v>
      </c>
      <c r="I50" s="17" t="s">
        <v>251</v>
      </c>
      <c r="J50" s="17" t="s">
        <v>14</v>
      </c>
      <c r="K50" s="110">
        <f>E4+(E27*2)</f>
        <v>24.214285714285715</v>
      </c>
      <c r="L50" s="83">
        <v>75</v>
      </c>
      <c r="M50" s="84">
        <f t="shared" si="7"/>
        <v>0.3228571428571429</v>
      </c>
      <c r="N50" s="101">
        <f t="shared" si="0"/>
        <v>72.642857142857139</v>
      </c>
      <c r="O50" s="85">
        <f t="shared" si="1"/>
        <v>2.3571428571428612</v>
      </c>
      <c r="P50" s="118">
        <v>65</v>
      </c>
      <c r="Q50" s="104">
        <f t="shared" si="2"/>
        <v>0.62747252747252746</v>
      </c>
      <c r="R50" s="201">
        <v>67</v>
      </c>
      <c r="S50" s="199">
        <f t="shared" si="3"/>
        <v>0.63859275053304898</v>
      </c>
      <c r="T50" s="268">
        <v>67</v>
      </c>
      <c r="U50" s="199">
        <f t="shared" si="4"/>
        <v>0.63859275053304898</v>
      </c>
      <c r="V50" s="85">
        <f t="shared" si="5"/>
        <v>-5.6428571428571388</v>
      </c>
      <c r="X50" s="317">
        <f t="shared" si="6"/>
        <v>69.680000000000007</v>
      </c>
    </row>
    <row r="51" spans="2:26" ht="16.5" thickBot="1" x14ac:dyDescent="0.3">
      <c r="B51" s="278" t="s">
        <v>194</v>
      </c>
      <c r="C51" s="279" t="s">
        <v>336</v>
      </c>
      <c r="D51" s="280">
        <v>43118</v>
      </c>
      <c r="E51" s="281">
        <f>SUM(E52:E60)</f>
        <v>17.659060240963857</v>
      </c>
      <c r="H51" s="82">
        <v>48</v>
      </c>
      <c r="I51" s="17" t="s">
        <v>251</v>
      </c>
      <c r="J51" s="17" t="s">
        <v>37</v>
      </c>
      <c r="K51" s="110">
        <f>E5+E25</f>
        <v>11.214285714285714</v>
      </c>
      <c r="L51" s="83">
        <v>32</v>
      </c>
      <c r="M51" s="84">
        <f t="shared" si="7"/>
        <v>0.35044642857142855</v>
      </c>
      <c r="N51" s="101">
        <f t="shared" si="0"/>
        <v>33.642857142857139</v>
      </c>
      <c r="O51" s="85">
        <f t="shared" si="1"/>
        <v>-1.6428571428571388</v>
      </c>
      <c r="P51" s="118">
        <v>32</v>
      </c>
      <c r="Q51" s="104">
        <f t="shared" si="2"/>
        <v>0.6495535714285714</v>
      </c>
      <c r="R51" s="201">
        <v>33</v>
      </c>
      <c r="S51" s="199">
        <f t="shared" si="3"/>
        <v>0.66017316017316019</v>
      </c>
      <c r="T51" s="268">
        <v>33</v>
      </c>
      <c r="U51" s="199">
        <f t="shared" si="4"/>
        <v>0.66017316017316019</v>
      </c>
      <c r="V51" s="85">
        <f t="shared" si="5"/>
        <v>-0.6428571428571388</v>
      </c>
      <c r="X51" s="317">
        <f t="shared" si="6"/>
        <v>34.32</v>
      </c>
    </row>
    <row r="52" spans="2:26" x14ac:dyDescent="0.25">
      <c r="B52" s="245" t="s">
        <v>195</v>
      </c>
      <c r="C52" s="210" t="s">
        <v>16</v>
      </c>
      <c r="D52" s="235">
        <v>21</v>
      </c>
      <c r="E52" s="246">
        <f>+D52/16.6</f>
        <v>1.2650602409638554</v>
      </c>
      <c r="H52" s="82">
        <v>49</v>
      </c>
      <c r="I52" s="17" t="s">
        <v>251</v>
      </c>
      <c r="J52" s="17" t="s">
        <v>38</v>
      </c>
      <c r="K52" s="110">
        <f>E5+E26</f>
        <v>8.3571428571428577</v>
      </c>
      <c r="L52" s="83">
        <v>32</v>
      </c>
      <c r="M52" s="84">
        <f t="shared" si="7"/>
        <v>0.2611607142857143</v>
      </c>
      <c r="N52" s="101">
        <f t="shared" si="0"/>
        <v>25.071428571428573</v>
      </c>
      <c r="O52" s="85">
        <f t="shared" si="1"/>
        <v>6.928571428571427</v>
      </c>
      <c r="P52" s="118">
        <v>32</v>
      </c>
      <c r="Q52" s="104">
        <f t="shared" si="2"/>
        <v>0.7388392857142857</v>
      </c>
      <c r="R52" s="201">
        <v>33</v>
      </c>
      <c r="S52" s="199">
        <f t="shared" si="3"/>
        <v>0.74675324675324672</v>
      </c>
      <c r="T52" s="268">
        <v>33</v>
      </c>
      <c r="U52" s="199">
        <f t="shared" si="4"/>
        <v>0.74675324675324672</v>
      </c>
      <c r="V52" s="85">
        <f t="shared" si="5"/>
        <v>7.928571428571427</v>
      </c>
      <c r="X52" s="317">
        <f t="shared" si="6"/>
        <v>34.32</v>
      </c>
    </row>
    <row r="53" spans="2:26" x14ac:dyDescent="0.25">
      <c r="B53" s="236" t="s">
        <v>286</v>
      </c>
      <c r="C53" s="212" t="s">
        <v>16</v>
      </c>
      <c r="D53" s="34">
        <v>66</v>
      </c>
      <c r="E53" s="237">
        <f>(+D53/1000)*114</f>
        <v>7.524</v>
      </c>
      <c r="H53" s="82">
        <v>50</v>
      </c>
      <c r="I53" s="102" t="s">
        <v>251</v>
      </c>
      <c r="J53" s="102" t="s">
        <v>92</v>
      </c>
      <c r="K53" s="196">
        <f>E5+E28</f>
        <v>9.638461538461538</v>
      </c>
      <c r="L53" s="423">
        <v>32</v>
      </c>
      <c r="M53" s="122">
        <f t="shared" si="7"/>
        <v>0.30120192307692306</v>
      </c>
      <c r="N53" s="424">
        <f t="shared" si="0"/>
        <v>28.915384615384614</v>
      </c>
      <c r="O53" s="425">
        <f t="shared" si="1"/>
        <v>3.0846153846153861</v>
      </c>
      <c r="P53" s="118">
        <v>32</v>
      </c>
      <c r="Q53" s="104">
        <f t="shared" si="2"/>
        <v>0.69879807692307694</v>
      </c>
      <c r="R53" s="426">
        <v>33</v>
      </c>
      <c r="S53" s="104">
        <f t="shared" si="3"/>
        <v>0.70792540792540792</v>
      </c>
      <c r="T53" s="427">
        <v>33</v>
      </c>
      <c r="U53" s="104">
        <f t="shared" si="4"/>
        <v>0.70792540792540792</v>
      </c>
      <c r="V53" s="425">
        <f t="shared" si="5"/>
        <v>4.0846153846153861</v>
      </c>
      <c r="W53" t="s">
        <v>409</v>
      </c>
      <c r="X53" s="317">
        <f t="shared" si="6"/>
        <v>34.32</v>
      </c>
    </row>
    <row r="54" spans="2:26" x14ac:dyDescent="0.25">
      <c r="B54" s="236" t="s">
        <v>196</v>
      </c>
      <c r="C54" s="212" t="s">
        <v>16</v>
      </c>
      <c r="D54" s="34">
        <v>34</v>
      </c>
      <c r="E54" s="238">
        <f>(+D54*2.5)/20</f>
        <v>4.25</v>
      </c>
      <c r="H54" s="82">
        <v>51</v>
      </c>
      <c r="I54" s="17" t="s">
        <v>251</v>
      </c>
      <c r="J54" s="17" t="s">
        <v>135</v>
      </c>
      <c r="K54" s="110">
        <f>E5+E27</f>
        <v>12.857142857142858</v>
      </c>
      <c r="L54" s="83">
        <v>34</v>
      </c>
      <c r="M54" s="84">
        <f t="shared" si="7"/>
        <v>0.37815126050420167</v>
      </c>
      <c r="N54" s="101">
        <f t="shared" si="0"/>
        <v>38.571428571428569</v>
      </c>
      <c r="O54" s="85">
        <f t="shared" si="1"/>
        <v>-4.5714285714285694</v>
      </c>
      <c r="P54" s="118">
        <v>35</v>
      </c>
      <c r="Q54" s="104">
        <f t="shared" si="2"/>
        <v>0.63265306122448983</v>
      </c>
      <c r="R54" s="201">
        <v>36</v>
      </c>
      <c r="S54" s="199">
        <f t="shared" si="3"/>
        <v>0.64285714285714279</v>
      </c>
      <c r="T54" s="268">
        <v>36</v>
      </c>
      <c r="U54" s="199">
        <f t="shared" si="4"/>
        <v>0.64285714285714279</v>
      </c>
      <c r="V54" s="85">
        <f t="shared" si="5"/>
        <v>-2.5714285714285694</v>
      </c>
      <c r="X54" s="317">
        <f t="shared" si="6"/>
        <v>37.44</v>
      </c>
    </row>
    <row r="55" spans="2:26" x14ac:dyDescent="0.25">
      <c r="B55" s="239" t="s">
        <v>197</v>
      </c>
      <c r="C55" s="212"/>
      <c r="D55" s="34">
        <v>77</v>
      </c>
      <c r="E55" s="237">
        <f>+D55/40</f>
        <v>1.925</v>
      </c>
      <c r="H55" s="82">
        <v>52</v>
      </c>
      <c r="I55" s="533" t="s">
        <v>153</v>
      </c>
      <c r="J55" s="481" t="s">
        <v>140</v>
      </c>
      <c r="K55" s="402">
        <f>E14+(E19/2)</f>
        <v>5.2214999999999998</v>
      </c>
      <c r="L55" s="403">
        <v>16</v>
      </c>
      <c r="M55" s="404">
        <f t="shared" si="7"/>
        <v>0.32634374999999999</v>
      </c>
      <c r="N55" s="405">
        <f t="shared" si="0"/>
        <v>15.6645</v>
      </c>
      <c r="O55" s="406">
        <f t="shared" si="1"/>
        <v>0.33549999999999969</v>
      </c>
      <c r="P55" s="407">
        <v>18</v>
      </c>
      <c r="Q55" s="408">
        <f t="shared" si="2"/>
        <v>0.70991666666666675</v>
      </c>
      <c r="R55" s="409">
        <v>19</v>
      </c>
      <c r="S55" s="408">
        <f t="shared" si="3"/>
        <v>0.72518421052631588</v>
      </c>
      <c r="T55" s="530">
        <v>20</v>
      </c>
      <c r="U55" s="408">
        <f t="shared" si="4"/>
        <v>0.73892500000000005</v>
      </c>
      <c r="V55" s="406">
        <f t="shared" si="5"/>
        <v>4.3354999999999997</v>
      </c>
      <c r="X55" s="317">
        <f t="shared" si="6"/>
        <v>19.760000000000002</v>
      </c>
    </row>
    <row r="56" spans="2:26" x14ac:dyDescent="0.25">
      <c r="B56" s="239" t="s">
        <v>198</v>
      </c>
      <c r="C56" s="212"/>
      <c r="D56" s="34">
        <v>47.8</v>
      </c>
      <c r="E56" s="237">
        <f>+D56/40</f>
        <v>1.1949999999999998</v>
      </c>
      <c r="H56" s="82">
        <v>53</v>
      </c>
      <c r="I56" s="401" t="s">
        <v>153</v>
      </c>
      <c r="J56" s="481" t="s">
        <v>141</v>
      </c>
      <c r="K56" s="402">
        <f>E14+(E32)</f>
        <v>8.3000000000000007</v>
      </c>
      <c r="L56" s="403">
        <v>16</v>
      </c>
      <c r="M56" s="404">
        <f t="shared" si="7"/>
        <v>0.51875000000000004</v>
      </c>
      <c r="N56" s="405">
        <f t="shared" si="0"/>
        <v>24.900000000000002</v>
      </c>
      <c r="O56" s="406">
        <f t="shared" si="1"/>
        <v>-8.9000000000000021</v>
      </c>
      <c r="P56" s="407">
        <v>18</v>
      </c>
      <c r="Q56" s="408">
        <f t="shared" si="2"/>
        <v>0.53888888888888886</v>
      </c>
      <c r="R56" s="409">
        <v>19</v>
      </c>
      <c r="S56" s="408">
        <f t="shared" si="3"/>
        <v>0.56315789473684208</v>
      </c>
      <c r="T56" s="530">
        <v>20</v>
      </c>
      <c r="U56" s="408">
        <f t="shared" si="4"/>
        <v>0.58499999999999996</v>
      </c>
      <c r="V56" s="406">
        <f t="shared" si="5"/>
        <v>-4.9000000000000021</v>
      </c>
      <c r="X56" s="317">
        <f t="shared" si="6"/>
        <v>19.760000000000002</v>
      </c>
    </row>
    <row r="57" spans="2:26" x14ac:dyDescent="0.25">
      <c r="B57" s="239" t="s">
        <v>199</v>
      </c>
      <c r="C57" s="212"/>
      <c r="D57" s="36"/>
      <c r="E57" s="240">
        <v>0.5</v>
      </c>
      <c r="H57" s="82">
        <v>54</v>
      </c>
      <c r="I57" s="401" t="s">
        <v>153</v>
      </c>
      <c r="J57" s="481" t="s">
        <v>142</v>
      </c>
      <c r="K57" s="402">
        <f>E14+E33</f>
        <v>4.6313253012048188</v>
      </c>
      <c r="L57" s="403">
        <v>16</v>
      </c>
      <c r="M57" s="404">
        <f t="shared" si="7"/>
        <v>0.28945783132530117</v>
      </c>
      <c r="N57" s="405">
        <f t="shared" si="0"/>
        <v>13.893975903614457</v>
      </c>
      <c r="O57" s="406">
        <f t="shared" si="1"/>
        <v>2.1060240963855428</v>
      </c>
      <c r="P57" s="407">
        <v>18</v>
      </c>
      <c r="Q57" s="408">
        <f t="shared" si="2"/>
        <v>0.74270414993306566</v>
      </c>
      <c r="R57" s="409">
        <v>19</v>
      </c>
      <c r="S57" s="408">
        <f t="shared" si="3"/>
        <v>0.75624603677869384</v>
      </c>
      <c r="T57" s="530">
        <v>20</v>
      </c>
      <c r="U57" s="408">
        <f t="shared" si="4"/>
        <v>0.76843373493975908</v>
      </c>
      <c r="V57" s="406">
        <f t="shared" si="5"/>
        <v>6.1060240963855428</v>
      </c>
      <c r="X57" s="317">
        <f t="shared" si="6"/>
        <v>19.760000000000002</v>
      </c>
    </row>
    <row r="58" spans="2:26" x14ac:dyDescent="0.25">
      <c r="B58" s="239" t="s">
        <v>200</v>
      </c>
      <c r="C58" s="212"/>
      <c r="D58" s="36"/>
      <c r="E58" s="240">
        <v>0.5</v>
      </c>
      <c r="H58" s="82">
        <v>55</v>
      </c>
      <c r="I58" s="401" t="s">
        <v>153</v>
      </c>
      <c r="J58" s="291" t="s">
        <v>143</v>
      </c>
      <c r="K58" s="402">
        <f>E14+E34</f>
        <v>2.8240963855421688</v>
      </c>
      <c r="L58" s="403">
        <v>16</v>
      </c>
      <c r="M58" s="404">
        <f t="shared" si="7"/>
        <v>0.17650602409638555</v>
      </c>
      <c r="N58" s="405">
        <f t="shared" si="0"/>
        <v>8.4722891566265055</v>
      </c>
      <c r="O58" s="406">
        <f t="shared" si="1"/>
        <v>7.5277108433734945</v>
      </c>
      <c r="P58" s="407">
        <v>18</v>
      </c>
      <c r="Q58" s="408">
        <f t="shared" si="2"/>
        <v>0.84310575635876839</v>
      </c>
      <c r="R58" s="409">
        <v>19</v>
      </c>
      <c r="S58" s="408">
        <f t="shared" si="3"/>
        <v>0.85136334812935954</v>
      </c>
      <c r="T58" s="410">
        <v>19</v>
      </c>
      <c r="U58" s="408">
        <f t="shared" si="4"/>
        <v>0.85136334812935954</v>
      </c>
      <c r="V58" s="406">
        <f t="shared" si="5"/>
        <v>10.527710843373494</v>
      </c>
      <c r="X58" s="317">
        <f t="shared" si="6"/>
        <v>19.760000000000002</v>
      </c>
    </row>
    <row r="59" spans="2:26" x14ac:dyDescent="0.25">
      <c r="B59" s="239" t="s">
        <v>201</v>
      </c>
      <c r="C59" s="212"/>
      <c r="D59" s="36"/>
      <c r="E59" s="240">
        <v>0.5</v>
      </c>
      <c r="H59" s="82">
        <v>56</v>
      </c>
      <c r="I59" s="401" t="s">
        <v>153</v>
      </c>
      <c r="J59" s="481" t="s">
        <v>144</v>
      </c>
      <c r="K59" s="402">
        <f>E14+E35</f>
        <v>6.9515151515151512</v>
      </c>
      <c r="L59" s="403">
        <v>16</v>
      </c>
      <c r="M59" s="404">
        <f t="shared" si="7"/>
        <v>0.43446969696969695</v>
      </c>
      <c r="N59" s="405">
        <f t="shared" si="0"/>
        <v>20.854545454545452</v>
      </c>
      <c r="O59" s="406">
        <f t="shared" si="1"/>
        <v>-4.8545454545454518</v>
      </c>
      <c r="P59" s="407">
        <v>18</v>
      </c>
      <c r="Q59" s="408">
        <f t="shared" si="2"/>
        <v>0.6138047138047138</v>
      </c>
      <c r="R59" s="409">
        <v>19</v>
      </c>
      <c r="S59" s="408">
        <f t="shared" si="3"/>
        <v>0.63413078149920254</v>
      </c>
      <c r="T59" s="530">
        <v>20</v>
      </c>
      <c r="U59" s="408">
        <f t="shared" si="4"/>
        <v>0.65242424242424246</v>
      </c>
      <c r="V59" s="406">
        <f t="shared" si="5"/>
        <v>-0.85454545454545183</v>
      </c>
      <c r="X59" s="317">
        <f t="shared" si="6"/>
        <v>19.760000000000002</v>
      </c>
    </row>
    <row r="60" spans="2:26" ht="16.5" thickBot="1" x14ac:dyDescent="0.3">
      <c r="B60" s="241" t="s">
        <v>202</v>
      </c>
      <c r="C60" s="242"/>
      <c r="D60" s="243"/>
      <c r="E60" s="244">
        <v>0</v>
      </c>
      <c r="H60" s="82">
        <v>57</v>
      </c>
      <c r="I60" s="401" t="s">
        <v>153</v>
      </c>
      <c r="J60" s="291" t="s">
        <v>145</v>
      </c>
      <c r="K60" s="402">
        <f>E14+E35+(E31)</f>
        <v>11.665800865800865</v>
      </c>
      <c r="L60" s="403">
        <v>16</v>
      </c>
      <c r="M60" s="404">
        <f t="shared" si="7"/>
        <v>0.72911255411255405</v>
      </c>
      <c r="N60" s="405">
        <f t="shared" si="0"/>
        <v>34.997402597402598</v>
      </c>
      <c r="O60" s="406">
        <f t="shared" si="1"/>
        <v>-18.997402597402598</v>
      </c>
      <c r="P60" s="407">
        <v>18</v>
      </c>
      <c r="Q60" s="408">
        <f t="shared" si="2"/>
        <v>0.35189995189995193</v>
      </c>
      <c r="R60" s="409">
        <v>19</v>
      </c>
      <c r="S60" s="408">
        <f t="shared" si="3"/>
        <v>0.38601048074732291</v>
      </c>
      <c r="T60" s="410">
        <v>19</v>
      </c>
      <c r="U60" s="408">
        <f t="shared" si="4"/>
        <v>0.38601048074732291</v>
      </c>
      <c r="V60" s="406">
        <f t="shared" si="5"/>
        <v>-15.997402597402598</v>
      </c>
      <c r="X60" s="317">
        <f t="shared" si="6"/>
        <v>19.760000000000002</v>
      </c>
    </row>
    <row r="61" spans="2:26" ht="16.5" thickBot="1" x14ac:dyDescent="0.3">
      <c r="H61" s="82">
        <v>58</v>
      </c>
      <c r="I61" s="401" t="s">
        <v>153</v>
      </c>
      <c r="J61" s="481" t="s">
        <v>146</v>
      </c>
      <c r="K61" s="402">
        <f>E14+E37</f>
        <v>4.1192771084337352</v>
      </c>
      <c r="L61" s="403">
        <v>16</v>
      </c>
      <c r="M61" s="404">
        <f t="shared" si="7"/>
        <v>0.25745481927710845</v>
      </c>
      <c r="N61" s="405">
        <f t="shared" si="0"/>
        <v>12.357831325301206</v>
      </c>
      <c r="O61" s="406">
        <f t="shared" si="1"/>
        <v>3.6421686746987945</v>
      </c>
      <c r="P61" s="407">
        <v>18</v>
      </c>
      <c r="Q61" s="408">
        <f t="shared" si="2"/>
        <v>0.77115127175368137</v>
      </c>
      <c r="R61" s="409">
        <v>19</v>
      </c>
      <c r="S61" s="408">
        <f t="shared" si="3"/>
        <v>0.7831959416613824</v>
      </c>
      <c r="T61" s="530">
        <v>20</v>
      </c>
      <c r="U61" s="408">
        <f t="shared" si="4"/>
        <v>0.79403614457831329</v>
      </c>
      <c r="V61" s="406">
        <f t="shared" si="5"/>
        <v>7.6421686746987945</v>
      </c>
      <c r="X61" s="317">
        <f t="shared" si="6"/>
        <v>19.760000000000002</v>
      </c>
    </row>
    <row r="62" spans="2:26" s="26" customFormat="1" ht="16.5" thickBot="1" x14ac:dyDescent="0.3">
      <c r="B62" s="503" t="s">
        <v>129</v>
      </c>
      <c r="C62" s="284" t="s">
        <v>329</v>
      </c>
      <c r="D62" s="504">
        <v>43118</v>
      </c>
      <c r="E62" s="482"/>
      <c r="H62" s="82">
        <v>59</v>
      </c>
      <c r="I62" s="17" t="s">
        <v>153</v>
      </c>
      <c r="J62" s="291" t="s">
        <v>14</v>
      </c>
      <c r="K62" s="110">
        <f>E14+E27</f>
        <v>12.157142857142858</v>
      </c>
      <c r="L62" s="83">
        <v>24</v>
      </c>
      <c r="M62" s="84">
        <f t="shared" si="7"/>
        <v>0.50654761904761914</v>
      </c>
      <c r="N62" s="101">
        <f t="shared" si="0"/>
        <v>36.471428571428575</v>
      </c>
      <c r="O62" s="85">
        <f t="shared" si="1"/>
        <v>-12.471428571428575</v>
      </c>
      <c r="P62" s="198">
        <v>25</v>
      </c>
      <c r="Q62" s="199">
        <f t="shared" si="2"/>
        <v>0.51371428571428568</v>
      </c>
      <c r="R62" s="201">
        <v>26</v>
      </c>
      <c r="S62" s="199">
        <f t="shared" si="3"/>
        <v>0.53241758241758241</v>
      </c>
      <c r="T62" s="268">
        <v>26</v>
      </c>
      <c r="U62" s="199">
        <f t="shared" si="4"/>
        <v>0.53241758241758241</v>
      </c>
      <c r="V62" s="85">
        <f t="shared" si="5"/>
        <v>-10.471428571428575</v>
      </c>
      <c r="X62" s="483">
        <f t="shared" si="6"/>
        <v>27.04</v>
      </c>
      <c r="Y62" s="484"/>
      <c r="Z62" s="484"/>
    </row>
    <row r="63" spans="2:26" s="26" customFormat="1" x14ac:dyDescent="0.25">
      <c r="B63" s="229" t="s">
        <v>121</v>
      </c>
      <c r="C63" s="220">
        <v>2</v>
      </c>
      <c r="D63" s="205">
        <v>9.08</v>
      </c>
      <c r="E63" s="221">
        <f>+C63*D63</f>
        <v>18.16</v>
      </c>
      <c r="H63" s="82">
        <v>60</v>
      </c>
      <c r="I63" s="17" t="s">
        <v>153</v>
      </c>
      <c r="J63" s="291" t="s">
        <v>89</v>
      </c>
      <c r="K63" s="110">
        <f>E14+E28</f>
        <v>8.9384615384615387</v>
      </c>
      <c r="L63" s="83">
        <v>24</v>
      </c>
      <c r="M63" s="84">
        <f t="shared" si="7"/>
        <v>0.37243589743589745</v>
      </c>
      <c r="N63" s="101">
        <f t="shared" si="0"/>
        <v>26.815384615384616</v>
      </c>
      <c r="O63" s="85">
        <f t="shared" si="1"/>
        <v>-2.815384615384616</v>
      </c>
      <c r="P63" s="198">
        <v>25</v>
      </c>
      <c r="Q63" s="199">
        <f t="shared" si="2"/>
        <v>0.64246153846153842</v>
      </c>
      <c r="R63" s="201">
        <v>26</v>
      </c>
      <c r="S63" s="199">
        <f t="shared" si="3"/>
        <v>0.65621301775147933</v>
      </c>
      <c r="T63" s="268">
        <v>26</v>
      </c>
      <c r="U63" s="199">
        <f t="shared" si="4"/>
        <v>0.65621301775147933</v>
      </c>
      <c r="V63" s="85">
        <f t="shared" si="5"/>
        <v>-0.81538461538461604</v>
      </c>
      <c r="X63" s="483">
        <f t="shared" si="6"/>
        <v>27.04</v>
      </c>
      <c r="Y63" s="484"/>
      <c r="Z63" s="484"/>
    </row>
    <row r="64" spans="2:26" x14ac:dyDescent="0.25">
      <c r="B64" s="230" t="s">
        <v>332</v>
      </c>
      <c r="C64" s="215">
        <v>5</v>
      </c>
      <c r="D64" s="222">
        <f>7.8*1.16</f>
        <v>9.048</v>
      </c>
      <c r="E64" s="223">
        <f>+C64*D64</f>
        <v>45.24</v>
      </c>
      <c r="H64" s="82">
        <v>61</v>
      </c>
      <c r="I64" s="401" t="s">
        <v>153</v>
      </c>
      <c r="J64" s="401" t="s">
        <v>154</v>
      </c>
      <c r="K64" s="402">
        <f>E14+(E21/2)</f>
        <v>10.758333333333335</v>
      </c>
      <c r="L64" s="403">
        <v>24</v>
      </c>
      <c r="M64" s="404">
        <f t="shared" si="7"/>
        <v>0.44826388888888896</v>
      </c>
      <c r="N64" s="405">
        <f t="shared" si="0"/>
        <v>32.275000000000006</v>
      </c>
      <c r="O64" s="406">
        <f t="shared" si="1"/>
        <v>-8.2750000000000057</v>
      </c>
      <c r="P64" s="407">
        <v>25</v>
      </c>
      <c r="Q64" s="408">
        <f t="shared" si="2"/>
        <v>0.56966666666666665</v>
      </c>
      <c r="R64" s="409">
        <v>26</v>
      </c>
      <c r="S64" s="408">
        <f t="shared" si="3"/>
        <v>0.58621794871794863</v>
      </c>
      <c r="T64" s="530">
        <v>28</v>
      </c>
      <c r="U64" s="408">
        <f t="shared" si="4"/>
        <v>0.61577380952380956</v>
      </c>
      <c r="V64" s="406">
        <f t="shared" si="5"/>
        <v>-4.2750000000000057</v>
      </c>
      <c r="X64" s="317">
        <f t="shared" si="6"/>
        <v>27.04</v>
      </c>
    </row>
    <row r="65" spans="1:24" x14ac:dyDescent="0.25">
      <c r="B65" s="230" t="s">
        <v>330</v>
      </c>
      <c r="C65" s="215">
        <v>8</v>
      </c>
      <c r="D65" s="204">
        <v>33.5</v>
      </c>
      <c r="E65" s="223">
        <f>+(D65/30)*C65</f>
        <v>8.9333333333333336</v>
      </c>
      <c r="H65" s="82">
        <v>62</v>
      </c>
      <c r="I65" s="401" t="s">
        <v>153</v>
      </c>
      <c r="J65" s="401" t="s">
        <v>10</v>
      </c>
      <c r="K65" s="402">
        <f>E14+E24</f>
        <v>9.5083333333333329</v>
      </c>
      <c r="L65" s="403">
        <v>24</v>
      </c>
      <c r="M65" s="404">
        <f t="shared" si="7"/>
        <v>0.39618055555555554</v>
      </c>
      <c r="N65" s="405">
        <f t="shared" si="0"/>
        <v>28.524999999999999</v>
      </c>
      <c r="O65" s="406">
        <f t="shared" si="1"/>
        <v>-4.5249999999999986</v>
      </c>
      <c r="P65" s="407">
        <v>25</v>
      </c>
      <c r="Q65" s="408">
        <f t="shared" si="2"/>
        <v>0.6196666666666667</v>
      </c>
      <c r="R65" s="409">
        <v>26</v>
      </c>
      <c r="S65" s="408">
        <f t="shared" si="3"/>
        <v>0.63429487179487176</v>
      </c>
      <c r="T65" s="530">
        <v>28</v>
      </c>
      <c r="U65" s="408">
        <f t="shared" si="4"/>
        <v>0.66041666666666665</v>
      </c>
      <c r="V65" s="406">
        <f t="shared" si="5"/>
        <v>-0.52499999999999858</v>
      </c>
      <c r="X65" s="317">
        <f t="shared" si="6"/>
        <v>27.04</v>
      </c>
    </row>
    <row r="66" spans="1:24" x14ac:dyDescent="0.25">
      <c r="B66" s="230" t="s">
        <v>124</v>
      </c>
      <c r="C66" s="224">
        <v>0.3</v>
      </c>
      <c r="D66" s="225">
        <v>18.41</v>
      </c>
      <c r="E66" s="223">
        <f>+C66*D66</f>
        <v>5.5229999999999997</v>
      </c>
      <c r="H66" s="82">
        <v>63</v>
      </c>
      <c r="I66" s="17" t="s">
        <v>156</v>
      </c>
      <c r="J66" s="17" t="s">
        <v>140</v>
      </c>
      <c r="K66" s="110">
        <f>E11+(E19/2)</f>
        <v>4.4215</v>
      </c>
      <c r="L66" s="83">
        <v>40</v>
      </c>
      <c r="M66" s="84">
        <f t="shared" si="7"/>
        <v>0.1105375</v>
      </c>
      <c r="N66" s="101">
        <f t="shared" si="0"/>
        <v>13.2645</v>
      </c>
      <c r="O66" s="85">
        <f t="shared" si="1"/>
        <v>26.735500000000002</v>
      </c>
      <c r="P66" s="198">
        <v>40</v>
      </c>
      <c r="Q66" s="199">
        <f t="shared" si="2"/>
        <v>0.88946249999999993</v>
      </c>
      <c r="R66" s="201">
        <v>40</v>
      </c>
      <c r="S66" s="199">
        <f t="shared" si="3"/>
        <v>0.88946249999999993</v>
      </c>
      <c r="T66" s="268">
        <v>40</v>
      </c>
      <c r="U66" s="199">
        <f t="shared" si="4"/>
        <v>0.88946249999999993</v>
      </c>
      <c r="V66" s="85">
        <f t="shared" si="5"/>
        <v>26.735500000000002</v>
      </c>
      <c r="X66" s="317">
        <f t="shared" si="6"/>
        <v>41.6</v>
      </c>
    </row>
    <row r="67" spans="1:24" x14ac:dyDescent="0.25">
      <c r="B67" s="230" t="s">
        <v>125</v>
      </c>
      <c r="C67" s="224">
        <v>0.06</v>
      </c>
      <c r="D67" s="204">
        <v>30</v>
      </c>
      <c r="E67" s="223">
        <f>+C67*D67</f>
        <v>1.7999999999999998</v>
      </c>
      <c r="H67" s="82">
        <v>64</v>
      </c>
      <c r="I67" s="17" t="s">
        <v>156</v>
      </c>
      <c r="J67" s="17" t="s">
        <v>141</v>
      </c>
      <c r="K67" s="110">
        <f>E11+(E32)</f>
        <v>7.5</v>
      </c>
      <c r="L67" s="83">
        <v>40</v>
      </c>
      <c r="M67" s="84">
        <f t="shared" si="7"/>
        <v>0.1875</v>
      </c>
      <c r="N67" s="101">
        <f t="shared" si="0"/>
        <v>22.5</v>
      </c>
      <c r="O67" s="85">
        <f t="shared" si="1"/>
        <v>17.5</v>
      </c>
      <c r="P67" s="198">
        <v>40</v>
      </c>
      <c r="Q67" s="199">
        <f t="shared" si="2"/>
        <v>0.8125</v>
      </c>
      <c r="R67" s="201">
        <v>40</v>
      </c>
      <c r="S67" s="199">
        <f t="shared" si="3"/>
        <v>0.8125</v>
      </c>
      <c r="T67" s="268">
        <v>40</v>
      </c>
      <c r="U67" s="199">
        <f t="shared" si="4"/>
        <v>0.8125</v>
      </c>
      <c r="V67" s="85">
        <f t="shared" si="5"/>
        <v>17.5</v>
      </c>
      <c r="X67" s="317">
        <f t="shared" si="6"/>
        <v>41.6</v>
      </c>
    </row>
    <row r="68" spans="1:24" x14ac:dyDescent="0.25">
      <c r="B68" s="230" t="s">
        <v>126</v>
      </c>
      <c r="C68" s="224">
        <v>0.06</v>
      </c>
      <c r="D68" s="225">
        <v>47.95</v>
      </c>
      <c r="E68" s="223">
        <f>+C68*D68</f>
        <v>2.8770000000000002</v>
      </c>
      <c r="H68" s="82">
        <v>65</v>
      </c>
      <c r="I68" s="17" t="s">
        <v>156</v>
      </c>
      <c r="J68" s="17" t="s">
        <v>193</v>
      </c>
      <c r="K68" s="110">
        <f>E11+E38</f>
        <v>5.25</v>
      </c>
      <c r="L68" s="83">
        <v>40</v>
      </c>
      <c r="M68" s="84">
        <f t="shared" si="7"/>
        <v>0.13125000000000001</v>
      </c>
      <c r="N68" s="101">
        <f t="shared" si="0"/>
        <v>15.75</v>
      </c>
      <c r="O68" s="85">
        <f t="shared" si="1"/>
        <v>24.25</v>
      </c>
      <c r="P68" s="198">
        <v>40</v>
      </c>
      <c r="Q68" s="199">
        <f t="shared" si="2"/>
        <v>0.86875000000000002</v>
      </c>
      <c r="R68" s="201">
        <v>40</v>
      </c>
      <c r="S68" s="199">
        <f t="shared" si="3"/>
        <v>0.86875000000000002</v>
      </c>
      <c r="T68" s="268">
        <v>40</v>
      </c>
      <c r="U68" s="199">
        <f t="shared" si="4"/>
        <v>0.86875000000000002</v>
      </c>
      <c r="V68" s="85">
        <f t="shared" si="5"/>
        <v>24.25</v>
      </c>
      <c r="X68" s="317">
        <f t="shared" si="6"/>
        <v>41.6</v>
      </c>
    </row>
    <row r="69" spans="1:24" x14ac:dyDescent="0.25">
      <c r="A69" s="15"/>
      <c r="B69" s="230" t="s">
        <v>331</v>
      </c>
      <c r="C69" s="224">
        <v>0.08</v>
      </c>
      <c r="D69" s="204">
        <v>18</v>
      </c>
      <c r="E69" s="223">
        <f>+C69*D69</f>
        <v>1.44</v>
      </c>
      <c r="H69" s="82">
        <v>66</v>
      </c>
      <c r="I69" s="17" t="s">
        <v>156</v>
      </c>
      <c r="J69" s="17" t="s">
        <v>158</v>
      </c>
      <c r="K69" s="110">
        <f>E11+E22</f>
        <v>7.85</v>
      </c>
      <c r="L69" s="83">
        <v>40</v>
      </c>
      <c r="M69" s="84">
        <f t="shared" si="7"/>
        <v>0.19624999999999998</v>
      </c>
      <c r="N69" s="101">
        <f t="shared" ref="N69:N132" si="9">K69*3</f>
        <v>23.549999999999997</v>
      </c>
      <c r="O69" s="85">
        <f t="shared" ref="O69:O140" si="10">L69-N69</f>
        <v>16.450000000000003</v>
      </c>
      <c r="P69" s="198">
        <v>40</v>
      </c>
      <c r="Q69" s="199">
        <f t="shared" ref="Q69:Q140" si="11">(P69-K69)/P69</f>
        <v>0.80374999999999996</v>
      </c>
      <c r="R69" s="201">
        <v>40</v>
      </c>
      <c r="S69" s="199">
        <f t="shared" ref="S69:S132" si="12">(R69-K69)/R69</f>
        <v>0.80374999999999996</v>
      </c>
      <c r="T69" s="268">
        <v>40</v>
      </c>
      <c r="U69" s="199">
        <f t="shared" ref="U69:U132" si="13">(T69-K69)/T69</f>
        <v>0.80374999999999996</v>
      </c>
      <c r="V69" s="85">
        <f t="shared" ref="V69:V132" si="14">T69-N69</f>
        <v>16.450000000000003</v>
      </c>
      <c r="X69" s="317">
        <f t="shared" ref="X69:X132" si="15">+R69*$X$3</f>
        <v>41.6</v>
      </c>
    </row>
    <row r="70" spans="1:24" ht="16.5" thickBot="1" x14ac:dyDescent="0.3">
      <c r="B70" s="231" t="s">
        <v>128</v>
      </c>
      <c r="C70" s="232">
        <v>0.12</v>
      </c>
      <c r="D70" s="233">
        <v>15</v>
      </c>
      <c r="E70" s="234">
        <f>+C70*D70</f>
        <v>1.7999999999999998</v>
      </c>
      <c r="H70" s="82">
        <v>67</v>
      </c>
      <c r="I70" s="17" t="s">
        <v>156</v>
      </c>
      <c r="J70" s="17" t="s">
        <v>10</v>
      </c>
      <c r="K70" s="110">
        <f>E11+E24</f>
        <v>8.7083333333333321</v>
      </c>
      <c r="L70" s="83">
        <v>40</v>
      </c>
      <c r="M70" s="84">
        <f t="shared" ref="M70:M133" si="16">K70/L70</f>
        <v>0.21770833333333331</v>
      </c>
      <c r="N70" s="101">
        <f t="shared" si="9"/>
        <v>26.124999999999996</v>
      </c>
      <c r="O70" s="85">
        <f t="shared" si="10"/>
        <v>13.875000000000004</v>
      </c>
      <c r="P70" s="198">
        <v>40</v>
      </c>
      <c r="Q70" s="199">
        <f t="shared" si="11"/>
        <v>0.78229166666666672</v>
      </c>
      <c r="R70" s="201">
        <v>40</v>
      </c>
      <c r="S70" s="199">
        <f t="shared" si="12"/>
        <v>0.78229166666666672</v>
      </c>
      <c r="T70" s="268">
        <v>40</v>
      </c>
      <c r="U70" s="199">
        <f t="shared" si="13"/>
        <v>0.78229166666666672</v>
      </c>
      <c r="V70" s="85">
        <f t="shared" si="14"/>
        <v>13.875000000000004</v>
      </c>
      <c r="X70" s="317">
        <f t="shared" si="15"/>
        <v>41.6</v>
      </c>
    </row>
    <row r="71" spans="1:24" ht="16.5" thickBot="1" x14ac:dyDescent="0.3">
      <c r="B71" s="226"/>
      <c r="C71" s="227"/>
      <c r="D71" s="206"/>
      <c r="E71" s="273">
        <f>SUM(E63:E70)</f>
        <v>85.773333333333326</v>
      </c>
      <c r="H71" s="82">
        <v>68</v>
      </c>
      <c r="I71" s="17" t="s">
        <v>156</v>
      </c>
      <c r="J71" s="17" t="s">
        <v>159</v>
      </c>
      <c r="K71" s="110">
        <f>E11+E19</f>
        <v>7.8429999999999991</v>
      </c>
      <c r="L71" s="83">
        <v>40</v>
      </c>
      <c r="M71" s="84">
        <f t="shared" si="16"/>
        <v>0.19607499999999997</v>
      </c>
      <c r="N71" s="101">
        <f t="shared" si="9"/>
        <v>23.528999999999996</v>
      </c>
      <c r="O71" s="85">
        <f t="shared" si="10"/>
        <v>16.471000000000004</v>
      </c>
      <c r="P71" s="198">
        <v>40</v>
      </c>
      <c r="Q71" s="199">
        <f t="shared" si="11"/>
        <v>0.80392500000000011</v>
      </c>
      <c r="R71" s="201">
        <v>40</v>
      </c>
      <c r="S71" s="199">
        <f t="shared" si="12"/>
        <v>0.80392500000000011</v>
      </c>
      <c r="T71" s="268">
        <v>40</v>
      </c>
      <c r="U71" s="199">
        <f t="shared" si="13"/>
        <v>0.80392500000000011</v>
      </c>
      <c r="V71" s="85">
        <f t="shared" si="14"/>
        <v>16.471000000000004</v>
      </c>
      <c r="X71" s="317">
        <f t="shared" si="15"/>
        <v>41.6</v>
      </c>
    </row>
    <row r="72" spans="1:24" ht="16.5" thickBot="1" x14ac:dyDescent="0.3">
      <c r="H72" s="82">
        <v>69</v>
      </c>
      <c r="I72" s="479" t="s">
        <v>160</v>
      </c>
      <c r="J72" s="401" t="s">
        <v>161</v>
      </c>
      <c r="K72" s="402">
        <f>E51</f>
        <v>17.659060240963857</v>
      </c>
      <c r="L72" s="403">
        <v>50</v>
      </c>
      <c r="M72" s="404">
        <f t="shared" si="16"/>
        <v>0.35318120481927712</v>
      </c>
      <c r="N72" s="405">
        <f t="shared" si="9"/>
        <v>52.977180722891575</v>
      </c>
      <c r="O72" s="406">
        <f t="shared" si="10"/>
        <v>-2.9771807228915748</v>
      </c>
      <c r="P72" s="407">
        <v>50</v>
      </c>
      <c r="Q72" s="408">
        <f t="shared" si="11"/>
        <v>0.64681879518072294</v>
      </c>
      <c r="R72" s="409">
        <v>55</v>
      </c>
      <c r="S72" s="408">
        <f t="shared" si="12"/>
        <v>0.67892617743702088</v>
      </c>
      <c r="T72" s="530">
        <v>55</v>
      </c>
      <c r="U72" s="408">
        <f t="shared" si="13"/>
        <v>0.67892617743702088</v>
      </c>
      <c r="V72" s="406">
        <f t="shared" si="14"/>
        <v>2.0228192771084252</v>
      </c>
      <c r="X72" s="317">
        <f t="shared" si="15"/>
        <v>57.2</v>
      </c>
    </row>
    <row r="73" spans="1:24" ht="16.5" thickBot="1" x14ac:dyDescent="0.3">
      <c r="B73" s="274" t="s">
        <v>236</v>
      </c>
      <c r="C73" s="275"/>
      <c r="D73" s="276">
        <v>43118</v>
      </c>
      <c r="E73" s="277">
        <f>SUM(E74:E77)</f>
        <v>21.721666666666664</v>
      </c>
      <c r="H73" s="82">
        <v>70</v>
      </c>
      <c r="I73" s="479" t="s">
        <v>160</v>
      </c>
      <c r="J73" s="401" t="s">
        <v>162</v>
      </c>
      <c r="K73" s="402">
        <f>+E51*1.5</f>
        <v>26.488590361445787</v>
      </c>
      <c r="L73" s="403">
        <v>60</v>
      </c>
      <c r="M73" s="404">
        <f t="shared" si="16"/>
        <v>0.44147650602409644</v>
      </c>
      <c r="N73" s="405">
        <f t="shared" si="9"/>
        <v>79.465771084337362</v>
      </c>
      <c r="O73" s="406">
        <f t="shared" si="10"/>
        <v>-19.465771084337362</v>
      </c>
      <c r="P73" s="407">
        <v>60</v>
      </c>
      <c r="Q73" s="408">
        <f t="shared" si="11"/>
        <v>0.55852349397590351</v>
      </c>
      <c r="R73" s="409">
        <v>70</v>
      </c>
      <c r="S73" s="408">
        <f t="shared" si="12"/>
        <v>0.62159156626506018</v>
      </c>
      <c r="T73" s="530">
        <v>75</v>
      </c>
      <c r="U73" s="408">
        <f t="shared" si="13"/>
        <v>0.64681879518072283</v>
      </c>
      <c r="V73" s="406">
        <f t="shared" si="14"/>
        <v>-4.4657710843373621</v>
      </c>
      <c r="X73" s="317">
        <f t="shared" si="15"/>
        <v>72.8</v>
      </c>
    </row>
    <row r="74" spans="1:24" x14ac:dyDescent="0.25">
      <c r="B74" s="245" t="s">
        <v>207</v>
      </c>
      <c r="C74" s="210" t="s">
        <v>16</v>
      </c>
      <c r="D74" s="235">
        <v>15</v>
      </c>
      <c r="E74" s="246">
        <f>+D74/5</f>
        <v>3</v>
      </c>
      <c r="H74" s="82">
        <v>71</v>
      </c>
      <c r="I74" s="479" t="s">
        <v>160</v>
      </c>
      <c r="J74" s="401" t="s">
        <v>163</v>
      </c>
      <c r="K74" s="402">
        <f>+E51*2</f>
        <v>35.318120481927714</v>
      </c>
      <c r="L74" s="403">
        <v>70</v>
      </c>
      <c r="M74" s="404">
        <f t="shared" si="16"/>
        <v>0.50454457831325306</v>
      </c>
      <c r="N74" s="405">
        <f t="shared" si="9"/>
        <v>105.95436144578315</v>
      </c>
      <c r="O74" s="406">
        <f t="shared" si="10"/>
        <v>-35.95436144578315</v>
      </c>
      <c r="P74" s="407">
        <v>70</v>
      </c>
      <c r="Q74" s="408">
        <f t="shared" si="11"/>
        <v>0.49545542168674694</v>
      </c>
      <c r="R74" s="409">
        <v>80</v>
      </c>
      <c r="S74" s="408">
        <f t="shared" si="12"/>
        <v>0.55852349397590362</v>
      </c>
      <c r="T74" s="530">
        <v>85</v>
      </c>
      <c r="U74" s="408">
        <f t="shared" si="13"/>
        <v>0.58449270021261512</v>
      </c>
      <c r="V74" s="406">
        <f t="shared" si="14"/>
        <v>-20.95436144578315</v>
      </c>
      <c r="X74" s="317">
        <f t="shared" si="15"/>
        <v>83.2</v>
      </c>
    </row>
    <row r="75" spans="1:24" x14ac:dyDescent="0.25">
      <c r="B75" s="236" t="s">
        <v>208</v>
      </c>
      <c r="C75" s="212" t="s">
        <v>16</v>
      </c>
      <c r="D75" s="34">
        <v>9</v>
      </c>
      <c r="E75" s="237">
        <f>+D75/5</f>
        <v>1.8</v>
      </c>
      <c r="H75" s="82">
        <v>72</v>
      </c>
      <c r="I75" s="291" t="s">
        <v>164</v>
      </c>
      <c r="J75" s="291" t="s">
        <v>204</v>
      </c>
      <c r="K75" s="438">
        <f>E39</f>
        <v>12.6</v>
      </c>
      <c r="L75" s="439">
        <v>20</v>
      </c>
      <c r="M75" s="440">
        <f t="shared" si="16"/>
        <v>0.63</v>
      </c>
      <c r="N75" s="441">
        <f t="shared" si="9"/>
        <v>37.799999999999997</v>
      </c>
      <c r="O75" s="442">
        <f t="shared" si="10"/>
        <v>-17.799999999999997</v>
      </c>
      <c r="P75" s="443">
        <v>20</v>
      </c>
      <c r="Q75" s="444">
        <f t="shared" si="11"/>
        <v>0.37</v>
      </c>
      <c r="R75" s="445">
        <v>25</v>
      </c>
      <c r="S75" s="444">
        <f t="shared" si="12"/>
        <v>0.496</v>
      </c>
      <c r="T75" s="446">
        <v>25</v>
      </c>
      <c r="U75" s="444">
        <f t="shared" si="13"/>
        <v>0.496</v>
      </c>
      <c r="V75" s="442">
        <f t="shared" si="14"/>
        <v>-12.799999999999997</v>
      </c>
      <c r="X75" s="317">
        <f t="shared" si="15"/>
        <v>26</v>
      </c>
    </row>
    <row r="76" spans="1:24" x14ac:dyDescent="0.25">
      <c r="B76" s="236" t="s">
        <v>89</v>
      </c>
      <c r="C76" s="212" t="s">
        <v>16</v>
      </c>
      <c r="D76" s="34">
        <v>92.8</v>
      </c>
      <c r="E76" s="237">
        <f>(+D76)/6</f>
        <v>15.466666666666667</v>
      </c>
      <c r="H76" s="82">
        <v>73</v>
      </c>
      <c r="I76" s="291" t="s">
        <v>164</v>
      </c>
      <c r="J76" s="291" t="s">
        <v>205</v>
      </c>
      <c r="K76" s="438">
        <f>E39*2</f>
        <v>25.2</v>
      </c>
      <c r="L76" s="439">
        <v>30</v>
      </c>
      <c r="M76" s="440">
        <f t="shared" si="16"/>
        <v>0.84</v>
      </c>
      <c r="N76" s="441">
        <f t="shared" si="9"/>
        <v>75.599999999999994</v>
      </c>
      <c r="O76" s="442">
        <f t="shared" si="10"/>
        <v>-45.599999999999994</v>
      </c>
      <c r="P76" s="443">
        <v>35</v>
      </c>
      <c r="Q76" s="444">
        <f t="shared" si="11"/>
        <v>0.28000000000000003</v>
      </c>
      <c r="R76" s="445">
        <v>40</v>
      </c>
      <c r="S76" s="444">
        <f t="shared" si="12"/>
        <v>0.37</v>
      </c>
      <c r="T76" s="446">
        <v>40</v>
      </c>
      <c r="U76" s="444">
        <f t="shared" si="13"/>
        <v>0.37</v>
      </c>
      <c r="V76" s="442">
        <f t="shared" si="14"/>
        <v>-35.599999999999994</v>
      </c>
      <c r="X76" s="317">
        <f t="shared" si="15"/>
        <v>41.6</v>
      </c>
    </row>
    <row r="77" spans="1:24" ht="16.5" thickBot="1" x14ac:dyDescent="0.3">
      <c r="B77" s="241" t="s">
        <v>209</v>
      </c>
      <c r="C77" s="259" t="s">
        <v>210</v>
      </c>
      <c r="D77" s="260">
        <v>14.55</v>
      </c>
      <c r="E77" s="262">
        <f>+D77/10</f>
        <v>1.4550000000000001</v>
      </c>
      <c r="H77" s="82">
        <v>74</v>
      </c>
      <c r="I77" s="291" t="s">
        <v>164</v>
      </c>
      <c r="J77" s="291" t="s">
        <v>206</v>
      </c>
      <c r="K77" s="438">
        <f>E39*4</f>
        <v>50.4</v>
      </c>
      <c r="L77" s="439">
        <v>50</v>
      </c>
      <c r="M77" s="440">
        <f t="shared" si="16"/>
        <v>1.008</v>
      </c>
      <c r="N77" s="441">
        <f t="shared" si="9"/>
        <v>151.19999999999999</v>
      </c>
      <c r="O77" s="442">
        <f t="shared" si="10"/>
        <v>-101.19999999999999</v>
      </c>
      <c r="P77" s="443">
        <v>60</v>
      </c>
      <c r="Q77" s="444">
        <f t="shared" si="11"/>
        <v>0.16000000000000003</v>
      </c>
      <c r="R77" s="445">
        <v>75</v>
      </c>
      <c r="S77" s="444">
        <f t="shared" si="12"/>
        <v>0.32800000000000001</v>
      </c>
      <c r="T77" s="446">
        <v>75</v>
      </c>
      <c r="U77" s="444">
        <f t="shared" si="13"/>
        <v>0.32800000000000001</v>
      </c>
      <c r="V77" s="442">
        <f t="shared" si="14"/>
        <v>-76.199999999999989</v>
      </c>
      <c r="X77" s="317">
        <f t="shared" si="15"/>
        <v>78</v>
      </c>
    </row>
    <row r="78" spans="1:24" ht="16.5" thickBot="1" x14ac:dyDescent="0.3">
      <c r="H78" s="82">
        <v>75</v>
      </c>
      <c r="I78" s="379" t="s">
        <v>139</v>
      </c>
      <c r="J78" s="379" t="s">
        <v>140</v>
      </c>
      <c r="K78" s="380">
        <f>E13+(E19/2)</f>
        <v>4.8214999999999995</v>
      </c>
      <c r="L78" s="381">
        <v>13</v>
      </c>
      <c r="M78" s="382">
        <f t="shared" si="16"/>
        <v>0.37088461538461537</v>
      </c>
      <c r="N78" s="383">
        <f t="shared" si="9"/>
        <v>14.464499999999997</v>
      </c>
      <c r="O78" s="384">
        <f t="shared" si="10"/>
        <v>-1.4644999999999975</v>
      </c>
      <c r="P78" s="385">
        <v>15</v>
      </c>
      <c r="Q78" s="386">
        <f t="shared" si="11"/>
        <v>0.67856666666666665</v>
      </c>
      <c r="R78" s="387">
        <v>16</v>
      </c>
      <c r="S78" s="386">
        <f t="shared" si="12"/>
        <v>0.69865624999999998</v>
      </c>
      <c r="T78" s="269">
        <v>16</v>
      </c>
      <c r="U78" s="386">
        <f t="shared" si="13"/>
        <v>0.69865624999999998</v>
      </c>
      <c r="V78" s="384">
        <f t="shared" si="14"/>
        <v>1.5355000000000025</v>
      </c>
      <c r="X78" s="317">
        <f t="shared" si="15"/>
        <v>16.64</v>
      </c>
    </row>
    <row r="79" spans="1:24" x14ac:dyDescent="0.25">
      <c r="B79" s="263" t="s">
        <v>312</v>
      </c>
      <c r="C79" s="264" t="s">
        <v>210</v>
      </c>
      <c r="D79" s="266">
        <v>199</v>
      </c>
      <c r="E79" s="265">
        <f>+D79/8.5</f>
        <v>23.411764705882351</v>
      </c>
      <c r="H79" s="82">
        <v>76</v>
      </c>
      <c r="I79" s="379" t="s">
        <v>139</v>
      </c>
      <c r="J79" s="379" t="s">
        <v>141</v>
      </c>
      <c r="K79" s="380">
        <f>E13+(E32)</f>
        <v>7.9</v>
      </c>
      <c r="L79" s="381">
        <v>13</v>
      </c>
      <c r="M79" s="382">
        <f t="shared" si="16"/>
        <v>0.60769230769230775</v>
      </c>
      <c r="N79" s="383">
        <f t="shared" si="9"/>
        <v>23.700000000000003</v>
      </c>
      <c r="O79" s="384">
        <f t="shared" si="10"/>
        <v>-10.700000000000003</v>
      </c>
      <c r="P79" s="385">
        <v>17</v>
      </c>
      <c r="Q79" s="386">
        <f t="shared" si="11"/>
        <v>0.53529411764705881</v>
      </c>
      <c r="R79" s="387">
        <v>16</v>
      </c>
      <c r="S79" s="386">
        <f t="shared" si="12"/>
        <v>0.50624999999999998</v>
      </c>
      <c r="T79" s="269">
        <v>16</v>
      </c>
      <c r="U79" s="386">
        <f t="shared" si="13"/>
        <v>0.50624999999999998</v>
      </c>
      <c r="V79" s="384">
        <f t="shared" si="14"/>
        <v>-7.7000000000000028</v>
      </c>
      <c r="X79" s="317">
        <f t="shared" si="15"/>
        <v>16.64</v>
      </c>
    </row>
    <row r="80" spans="1:24" x14ac:dyDescent="0.25">
      <c r="B80" s="239" t="s">
        <v>183</v>
      </c>
      <c r="C80" s="212" t="s">
        <v>222</v>
      </c>
      <c r="D80" s="222">
        <f>7.8*1.16</f>
        <v>9.048</v>
      </c>
      <c r="E80" s="256">
        <f>+D80</f>
        <v>9.048</v>
      </c>
      <c r="H80" s="82">
        <v>77</v>
      </c>
      <c r="I80" s="379" t="s">
        <v>139</v>
      </c>
      <c r="J80" s="379" t="s">
        <v>142</v>
      </c>
      <c r="K80" s="380">
        <f>E13+E33</f>
        <v>4.2313253012048193</v>
      </c>
      <c r="L80" s="381">
        <v>13</v>
      </c>
      <c r="M80" s="382">
        <f t="shared" si="16"/>
        <v>0.32548656163113993</v>
      </c>
      <c r="N80" s="383">
        <f t="shared" si="9"/>
        <v>12.693975903614458</v>
      </c>
      <c r="O80" s="384">
        <f t="shared" si="10"/>
        <v>0.30602409638554207</v>
      </c>
      <c r="P80" s="385">
        <v>15</v>
      </c>
      <c r="Q80" s="386">
        <f t="shared" si="11"/>
        <v>0.71791164658634543</v>
      </c>
      <c r="R80" s="387">
        <v>16</v>
      </c>
      <c r="S80" s="386">
        <f t="shared" si="12"/>
        <v>0.73554216867469879</v>
      </c>
      <c r="T80" s="269">
        <v>16</v>
      </c>
      <c r="U80" s="386">
        <f t="shared" si="13"/>
        <v>0.73554216867469879</v>
      </c>
      <c r="V80" s="384">
        <f t="shared" si="14"/>
        <v>3.3060240963855421</v>
      </c>
      <c r="X80" s="317">
        <f t="shared" si="15"/>
        <v>16.64</v>
      </c>
    </row>
    <row r="81" spans="2:24" x14ac:dyDescent="0.25">
      <c r="B81" s="239" t="s">
        <v>221</v>
      </c>
      <c r="C81" s="212" t="s">
        <v>222</v>
      </c>
      <c r="D81" s="34">
        <v>12.07</v>
      </c>
      <c r="E81" s="256">
        <f>+D81</f>
        <v>12.07</v>
      </c>
      <c r="H81" s="82">
        <v>78</v>
      </c>
      <c r="I81" s="379" t="s">
        <v>139</v>
      </c>
      <c r="J81" s="379" t="s">
        <v>143</v>
      </c>
      <c r="K81" s="380">
        <f>E13+E34</f>
        <v>2.4240963855421684</v>
      </c>
      <c r="L81" s="381">
        <v>13</v>
      </c>
      <c r="M81" s="382">
        <f t="shared" si="16"/>
        <v>0.18646895273401295</v>
      </c>
      <c r="N81" s="383">
        <f t="shared" si="9"/>
        <v>7.2722891566265053</v>
      </c>
      <c r="O81" s="384">
        <f t="shared" si="10"/>
        <v>5.7277108433734947</v>
      </c>
      <c r="P81" s="385">
        <v>15</v>
      </c>
      <c r="Q81" s="386">
        <f t="shared" si="11"/>
        <v>0.83839357429718886</v>
      </c>
      <c r="R81" s="387">
        <v>16</v>
      </c>
      <c r="S81" s="386">
        <f t="shared" si="12"/>
        <v>0.84849397590361453</v>
      </c>
      <c r="T81" s="269">
        <v>16</v>
      </c>
      <c r="U81" s="386">
        <f t="shared" si="13"/>
        <v>0.84849397590361453</v>
      </c>
      <c r="V81" s="384">
        <f t="shared" si="14"/>
        <v>8.7277108433734938</v>
      </c>
      <c r="X81" s="317">
        <f t="shared" si="15"/>
        <v>16.64</v>
      </c>
    </row>
    <row r="82" spans="2:24" x14ac:dyDescent="0.25">
      <c r="B82" s="239" t="s">
        <v>181</v>
      </c>
      <c r="C82" s="212" t="s">
        <v>222</v>
      </c>
      <c r="D82" s="34">
        <f>5.08*1.16</f>
        <v>5.8927999999999994</v>
      </c>
      <c r="E82" s="256">
        <f>+D82</f>
        <v>5.8927999999999994</v>
      </c>
      <c r="H82" s="82">
        <v>79</v>
      </c>
      <c r="I82" s="379" t="s">
        <v>139</v>
      </c>
      <c r="J82" s="379" t="s">
        <v>144</v>
      </c>
      <c r="K82" s="380">
        <f>E13+E35</f>
        <v>6.5515151515151508</v>
      </c>
      <c r="L82" s="381">
        <v>13</v>
      </c>
      <c r="M82" s="382">
        <f t="shared" si="16"/>
        <v>0.50396270396270393</v>
      </c>
      <c r="N82" s="383">
        <f t="shared" si="9"/>
        <v>19.654545454545453</v>
      </c>
      <c r="O82" s="384">
        <f t="shared" si="10"/>
        <v>-6.6545454545454525</v>
      </c>
      <c r="P82" s="385">
        <v>15</v>
      </c>
      <c r="Q82" s="386">
        <f t="shared" si="11"/>
        <v>0.56323232323232331</v>
      </c>
      <c r="R82" s="387">
        <v>16</v>
      </c>
      <c r="S82" s="386">
        <f t="shared" si="12"/>
        <v>0.59053030303030307</v>
      </c>
      <c r="T82" s="269">
        <v>16</v>
      </c>
      <c r="U82" s="386">
        <f t="shared" si="13"/>
        <v>0.59053030303030307</v>
      </c>
      <c r="V82" s="384">
        <f t="shared" si="14"/>
        <v>-3.6545454545454525</v>
      </c>
      <c r="X82" s="317">
        <f t="shared" si="15"/>
        <v>16.64</v>
      </c>
    </row>
    <row r="83" spans="2:24" x14ac:dyDescent="0.25">
      <c r="B83" s="239" t="s">
        <v>223</v>
      </c>
      <c r="C83" s="212" t="s">
        <v>224</v>
      </c>
      <c r="D83" s="34">
        <v>58</v>
      </c>
      <c r="E83" s="258">
        <f>+D83/17</f>
        <v>3.4117647058823528</v>
      </c>
      <c r="H83" s="82">
        <v>80</v>
      </c>
      <c r="I83" s="379" t="s">
        <v>139</v>
      </c>
      <c r="J83" s="379" t="s">
        <v>145</v>
      </c>
      <c r="K83" s="380">
        <f>E13+E35+(E31)</f>
        <v>11.265800865800866</v>
      </c>
      <c r="L83" s="381">
        <v>13</v>
      </c>
      <c r="M83" s="382">
        <f t="shared" si="16"/>
        <v>0.86660006660006661</v>
      </c>
      <c r="N83" s="383">
        <f t="shared" si="9"/>
        <v>33.797402597402595</v>
      </c>
      <c r="O83" s="384">
        <f t="shared" si="10"/>
        <v>-20.797402597402595</v>
      </c>
      <c r="P83" s="385">
        <v>15</v>
      </c>
      <c r="Q83" s="386">
        <f t="shared" si="11"/>
        <v>0.24894660894660892</v>
      </c>
      <c r="R83" s="387">
        <v>16</v>
      </c>
      <c r="S83" s="386">
        <f t="shared" si="12"/>
        <v>0.29588744588744587</v>
      </c>
      <c r="T83" s="269">
        <v>16</v>
      </c>
      <c r="U83" s="386">
        <f t="shared" si="13"/>
        <v>0.29588744588744587</v>
      </c>
      <c r="V83" s="384">
        <f t="shared" si="14"/>
        <v>-17.797402597402595</v>
      </c>
      <c r="X83" s="317">
        <f t="shared" si="15"/>
        <v>16.64</v>
      </c>
    </row>
    <row r="84" spans="2:24" ht="16.5" thickBot="1" x14ac:dyDescent="0.3">
      <c r="B84" s="241" t="s">
        <v>229</v>
      </c>
      <c r="C84" s="242"/>
      <c r="D84" s="260">
        <v>2</v>
      </c>
      <c r="E84" s="244">
        <f>+D84</f>
        <v>2</v>
      </c>
      <c r="H84" s="82">
        <v>81</v>
      </c>
      <c r="I84" s="379" t="s">
        <v>139</v>
      </c>
      <c r="J84" s="379" t="s">
        <v>146</v>
      </c>
      <c r="K84" s="380">
        <f>E13+E37</f>
        <v>3.7192771084337348</v>
      </c>
      <c r="L84" s="381">
        <v>13</v>
      </c>
      <c r="M84" s="382">
        <f t="shared" si="16"/>
        <v>0.28609823911028731</v>
      </c>
      <c r="N84" s="383">
        <f t="shared" si="9"/>
        <v>11.157831325301204</v>
      </c>
      <c r="O84" s="384">
        <f t="shared" si="10"/>
        <v>1.8421686746987955</v>
      </c>
      <c r="P84" s="385">
        <v>15</v>
      </c>
      <c r="Q84" s="386">
        <f t="shared" si="11"/>
        <v>0.75204819277108437</v>
      </c>
      <c r="R84" s="387">
        <v>16</v>
      </c>
      <c r="S84" s="386">
        <f t="shared" si="12"/>
        <v>0.76754518072289157</v>
      </c>
      <c r="T84" s="269">
        <v>16</v>
      </c>
      <c r="U84" s="386">
        <f t="shared" si="13"/>
        <v>0.76754518072289157</v>
      </c>
      <c r="V84" s="384">
        <f t="shared" si="14"/>
        <v>4.8421686746987955</v>
      </c>
      <c r="X84" s="317">
        <f t="shared" si="15"/>
        <v>16.64</v>
      </c>
    </row>
    <row r="85" spans="2:24" ht="16.5" thickBot="1" x14ac:dyDescent="0.3">
      <c r="H85" s="82">
        <v>82</v>
      </c>
      <c r="I85" s="379" t="s">
        <v>139</v>
      </c>
      <c r="J85" s="379" t="s">
        <v>154</v>
      </c>
      <c r="K85" s="380">
        <f>E13+(E21/2)</f>
        <v>10.358333333333334</v>
      </c>
      <c r="L85" s="381">
        <v>24</v>
      </c>
      <c r="M85" s="382">
        <f t="shared" si="16"/>
        <v>0.43159722222222224</v>
      </c>
      <c r="N85" s="383">
        <f t="shared" si="9"/>
        <v>31.075000000000003</v>
      </c>
      <c r="O85" s="384">
        <f t="shared" si="10"/>
        <v>-7.0750000000000028</v>
      </c>
      <c r="P85" s="385">
        <v>24</v>
      </c>
      <c r="Q85" s="386">
        <f t="shared" si="11"/>
        <v>0.5684027777777777</v>
      </c>
      <c r="R85" s="387">
        <v>26</v>
      </c>
      <c r="S85" s="386">
        <f t="shared" si="12"/>
        <v>0.60160256410256407</v>
      </c>
      <c r="T85" s="269">
        <v>26</v>
      </c>
      <c r="U85" s="386">
        <f t="shared" si="13"/>
        <v>0.60160256410256407</v>
      </c>
      <c r="V85" s="384">
        <f t="shared" si="14"/>
        <v>-5.0750000000000028</v>
      </c>
      <c r="X85" s="317">
        <f t="shared" si="15"/>
        <v>27.04</v>
      </c>
    </row>
    <row r="86" spans="2:24" ht="16.5" thickBot="1" x14ac:dyDescent="0.3">
      <c r="B86" s="507" t="s">
        <v>418</v>
      </c>
      <c r="C86" s="508"/>
      <c r="D86" s="509" t="s">
        <v>411</v>
      </c>
      <c r="E86" s="527">
        <f>SUM(E87:E92)/5</f>
        <v>202.28199999999998</v>
      </c>
      <c r="H86" s="82">
        <v>83</v>
      </c>
      <c r="I86" s="379" t="s">
        <v>139</v>
      </c>
      <c r="J86" s="379" t="s">
        <v>10</v>
      </c>
      <c r="K86" s="380">
        <f>E13+E24</f>
        <v>9.1083333333333325</v>
      </c>
      <c r="L86" s="381">
        <v>24</v>
      </c>
      <c r="M86" s="382">
        <f t="shared" si="16"/>
        <v>0.37951388888888887</v>
      </c>
      <c r="N86" s="383">
        <f t="shared" si="9"/>
        <v>27.324999999999996</v>
      </c>
      <c r="O86" s="384">
        <f t="shared" si="10"/>
        <v>-3.3249999999999957</v>
      </c>
      <c r="P86" s="385">
        <v>24</v>
      </c>
      <c r="Q86" s="386">
        <f t="shared" si="11"/>
        <v>0.62048611111111118</v>
      </c>
      <c r="R86" s="387">
        <v>26</v>
      </c>
      <c r="S86" s="386">
        <f t="shared" si="12"/>
        <v>0.64967948717948709</v>
      </c>
      <c r="T86" s="269">
        <v>26</v>
      </c>
      <c r="U86" s="386">
        <f t="shared" si="13"/>
        <v>0.64967948717948709</v>
      </c>
      <c r="V86" s="384">
        <f t="shared" si="14"/>
        <v>-1.3249999999999957</v>
      </c>
      <c r="X86" s="317">
        <f t="shared" si="15"/>
        <v>27.04</v>
      </c>
    </row>
    <row r="87" spans="2:24" x14ac:dyDescent="0.25">
      <c r="B87" s="263" t="s">
        <v>417</v>
      </c>
      <c r="C87" s="264" t="s">
        <v>16</v>
      </c>
      <c r="D87" s="266">
        <v>185</v>
      </c>
      <c r="E87" s="265">
        <f>+D87*5</f>
        <v>925</v>
      </c>
      <c r="H87" s="82">
        <v>84</v>
      </c>
      <c r="I87" s="401" t="s">
        <v>151</v>
      </c>
      <c r="J87" s="401" t="s">
        <v>140</v>
      </c>
      <c r="K87" s="402">
        <f>E12+(E19/2)</f>
        <v>4.3714999999999993</v>
      </c>
      <c r="L87" s="403">
        <v>13</v>
      </c>
      <c r="M87" s="404">
        <f t="shared" si="16"/>
        <v>0.33626923076923071</v>
      </c>
      <c r="N87" s="405">
        <f t="shared" si="9"/>
        <v>13.114499999999998</v>
      </c>
      <c r="O87" s="406">
        <f t="shared" si="10"/>
        <v>-0.11449999999999783</v>
      </c>
      <c r="P87" s="407">
        <v>15</v>
      </c>
      <c r="Q87" s="408">
        <f t="shared" si="11"/>
        <v>0.70856666666666668</v>
      </c>
      <c r="R87" s="409">
        <v>16</v>
      </c>
      <c r="S87" s="408">
        <f t="shared" si="12"/>
        <v>0.72678125000000005</v>
      </c>
      <c r="T87" s="410">
        <v>16</v>
      </c>
      <c r="U87" s="408">
        <f t="shared" si="13"/>
        <v>0.72678125000000005</v>
      </c>
      <c r="V87" s="406">
        <f t="shared" si="14"/>
        <v>2.8855000000000022</v>
      </c>
      <c r="X87" s="317">
        <f t="shared" si="15"/>
        <v>16.64</v>
      </c>
    </row>
    <row r="88" spans="2:24" x14ac:dyDescent="0.25">
      <c r="B88" s="236" t="s">
        <v>412</v>
      </c>
      <c r="C88" s="212" t="s">
        <v>16</v>
      </c>
      <c r="D88" s="34">
        <v>7.61</v>
      </c>
      <c r="E88" s="237">
        <f>+D88</f>
        <v>7.61</v>
      </c>
      <c r="H88" s="82">
        <v>85</v>
      </c>
      <c r="I88" s="401" t="s">
        <v>151</v>
      </c>
      <c r="J88" s="401" t="s">
        <v>141</v>
      </c>
      <c r="K88" s="402">
        <f>E12+(E32)</f>
        <v>7.45</v>
      </c>
      <c r="L88" s="403">
        <v>13</v>
      </c>
      <c r="M88" s="404">
        <f t="shared" si="16"/>
        <v>0.57307692307692304</v>
      </c>
      <c r="N88" s="405">
        <f t="shared" si="9"/>
        <v>22.35</v>
      </c>
      <c r="O88" s="406">
        <f t="shared" si="10"/>
        <v>-9.3500000000000014</v>
      </c>
      <c r="P88" s="407">
        <v>15</v>
      </c>
      <c r="Q88" s="408">
        <f t="shared" si="11"/>
        <v>0.5033333333333333</v>
      </c>
      <c r="R88" s="409">
        <v>16</v>
      </c>
      <c r="S88" s="408">
        <f t="shared" si="12"/>
        <v>0.53437500000000004</v>
      </c>
      <c r="T88" s="410">
        <v>16</v>
      </c>
      <c r="U88" s="408">
        <f t="shared" si="13"/>
        <v>0.53437500000000004</v>
      </c>
      <c r="V88" s="406">
        <f t="shared" si="14"/>
        <v>-6.3500000000000014</v>
      </c>
      <c r="X88" s="317">
        <f t="shared" si="15"/>
        <v>16.64</v>
      </c>
    </row>
    <row r="89" spans="2:24" x14ac:dyDescent="0.25">
      <c r="B89" s="236" t="s">
        <v>413</v>
      </c>
      <c r="C89" s="212" t="s">
        <v>16</v>
      </c>
      <c r="D89" s="34">
        <v>9.9</v>
      </c>
      <c r="E89" s="237">
        <f>(+D89)</f>
        <v>9.9</v>
      </c>
      <c r="H89" s="82">
        <v>86</v>
      </c>
      <c r="I89" s="401" t="s">
        <v>151</v>
      </c>
      <c r="J89" s="401" t="s">
        <v>142</v>
      </c>
      <c r="K89" s="402">
        <f>E12+E33</f>
        <v>3.7813253012048191</v>
      </c>
      <c r="L89" s="403">
        <v>13</v>
      </c>
      <c r="M89" s="404">
        <f t="shared" si="16"/>
        <v>0.29087117701575532</v>
      </c>
      <c r="N89" s="405">
        <f t="shared" si="9"/>
        <v>11.343975903614457</v>
      </c>
      <c r="O89" s="406">
        <f t="shared" si="10"/>
        <v>1.6560240963855435</v>
      </c>
      <c r="P89" s="407">
        <v>15</v>
      </c>
      <c r="Q89" s="408">
        <f t="shared" si="11"/>
        <v>0.74791164658634535</v>
      </c>
      <c r="R89" s="409">
        <v>16</v>
      </c>
      <c r="S89" s="408">
        <f t="shared" si="12"/>
        <v>0.76366716867469875</v>
      </c>
      <c r="T89" s="410">
        <v>16</v>
      </c>
      <c r="U89" s="408">
        <f t="shared" si="13"/>
        <v>0.76366716867469875</v>
      </c>
      <c r="V89" s="406">
        <f t="shared" si="14"/>
        <v>4.6560240963855435</v>
      </c>
      <c r="X89" s="317">
        <f t="shared" si="15"/>
        <v>16.64</v>
      </c>
    </row>
    <row r="90" spans="2:24" x14ac:dyDescent="0.25">
      <c r="B90" s="239" t="s">
        <v>414</v>
      </c>
      <c r="C90" s="214" t="s">
        <v>210</v>
      </c>
      <c r="D90" s="34">
        <v>104.5</v>
      </c>
      <c r="E90" s="237">
        <f>+D90/2</f>
        <v>52.25</v>
      </c>
      <c r="H90" s="82">
        <v>87</v>
      </c>
      <c r="I90" s="401" t="s">
        <v>151</v>
      </c>
      <c r="J90" s="401" t="s">
        <v>143</v>
      </c>
      <c r="K90" s="438">
        <f>E12+E34</f>
        <v>1.9740963855421685</v>
      </c>
      <c r="L90" s="403">
        <v>13</v>
      </c>
      <c r="M90" s="404">
        <f t="shared" si="16"/>
        <v>0.15185356811862835</v>
      </c>
      <c r="N90" s="405">
        <f t="shared" si="9"/>
        <v>5.9222891566265057</v>
      </c>
      <c r="O90" s="406">
        <f t="shared" si="10"/>
        <v>7.0777108433734943</v>
      </c>
      <c r="P90" s="407">
        <v>15</v>
      </c>
      <c r="Q90" s="408">
        <f t="shared" si="11"/>
        <v>0.86839357429718878</v>
      </c>
      <c r="R90" s="409">
        <v>16</v>
      </c>
      <c r="S90" s="408">
        <f t="shared" si="12"/>
        <v>0.87661897590361448</v>
      </c>
      <c r="T90" s="410">
        <v>16</v>
      </c>
      <c r="U90" s="408">
        <f t="shared" si="13"/>
        <v>0.87661897590361448</v>
      </c>
      <c r="V90" s="406">
        <f t="shared" si="14"/>
        <v>10.077710843373495</v>
      </c>
      <c r="X90" s="317">
        <f t="shared" si="15"/>
        <v>16.64</v>
      </c>
    </row>
    <row r="91" spans="2:24" x14ac:dyDescent="0.25">
      <c r="B91" s="236" t="s">
        <v>415</v>
      </c>
      <c r="C91" s="212" t="s">
        <v>16</v>
      </c>
      <c r="D91" s="34">
        <v>15</v>
      </c>
      <c r="E91" s="237">
        <f>(+D91)</f>
        <v>15</v>
      </c>
      <c r="H91" s="82">
        <v>88</v>
      </c>
      <c r="I91" s="401" t="s">
        <v>151</v>
      </c>
      <c r="J91" s="401" t="s">
        <v>144</v>
      </c>
      <c r="K91" s="402">
        <f>E12+E35</f>
        <v>6.1015151515151516</v>
      </c>
      <c r="L91" s="403">
        <v>13</v>
      </c>
      <c r="M91" s="404">
        <f t="shared" si="16"/>
        <v>0.46934731934731933</v>
      </c>
      <c r="N91" s="405">
        <f t="shared" si="9"/>
        <v>18.304545454545455</v>
      </c>
      <c r="O91" s="406">
        <f t="shared" si="10"/>
        <v>-5.3045454545454547</v>
      </c>
      <c r="P91" s="407">
        <v>15</v>
      </c>
      <c r="Q91" s="408">
        <f t="shared" si="11"/>
        <v>0.59323232323232322</v>
      </c>
      <c r="R91" s="409">
        <v>16</v>
      </c>
      <c r="S91" s="408">
        <f t="shared" si="12"/>
        <v>0.61865530303030303</v>
      </c>
      <c r="T91" s="410">
        <v>16</v>
      </c>
      <c r="U91" s="408">
        <f t="shared" si="13"/>
        <v>0.61865530303030303</v>
      </c>
      <c r="V91" s="406">
        <f t="shared" si="14"/>
        <v>-2.3045454545454547</v>
      </c>
      <c r="X91" s="317">
        <f t="shared" si="15"/>
        <v>16.64</v>
      </c>
    </row>
    <row r="92" spans="2:24" ht="16.5" thickBot="1" x14ac:dyDescent="0.3">
      <c r="B92" s="241" t="s">
        <v>416</v>
      </c>
      <c r="C92" s="259" t="s">
        <v>210</v>
      </c>
      <c r="D92" s="260">
        <v>6.6</v>
      </c>
      <c r="E92" s="262">
        <f>+D92*0.25</f>
        <v>1.65</v>
      </c>
      <c r="H92" s="82">
        <v>89</v>
      </c>
      <c r="I92" s="401" t="s">
        <v>151</v>
      </c>
      <c r="J92" s="401" t="s">
        <v>145</v>
      </c>
      <c r="K92" s="438">
        <f>E12+E35+(E31)</f>
        <v>10.815800865800867</v>
      </c>
      <c r="L92" s="403">
        <v>13</v>
      </c>
      <c r="M92" s="404">
        <f t="shared" si="16"/>
        <v>0.83198468198468212</v>
      </c>
      <c r="N92" s="405">
        <f t="shared" si="9"/>
        <v>32.447402597402601</v>
      </c>
      <c r="O92" s="406">
        <f t="shared" si="10"/>
        <v>-19.447402597402601</v>
      </c>
      <c r="P92" s="407">
        <v>15</v>
      </c>
      <c r="Q92" s="408">
        <f t="shared" si="11"/>
        <v>0.27894660894660889</v>
      </c>
      <c r="R92" s="409">
        <v>16</v>
      </c>
      <c r="S92" s="408">
        <f t="shared" si="12"/>
        <v>0.32401244588744582</v>
      </c>
      <c r="T92" s="410">
        <v>16</v>
      </c>
      <c r="U92" s="408">
        <f t="shared" si="13"/>
        <v>0.32401244588744582</v>
      </c>
      <c r="V92" s="406">
        <f t="shared" si="14"/>
        <v>-16.447402597402601</v>
      </c>
      <c r="X92" s="317">
        <f t="shared" si="15"/>
        <v>16.64</v>
      </c>
    </row>
    <row r="93" spans="2:24" ht="16.5" thickBot="1" x14ac:dyDescent="0.3">
      <c r="B93" s="228"/>
      <c r="H93" s="82">
        <v>90</v>
      </c>
      <c r="I93" s="401" t="s">
        <v>151</v>
      </c>
      <c r="J93" s="401" t="s">
        <v>146</v>
      </c>
      <c r="K93" s="402">
        <f>E12+E37</f>
        <v>3.2692771084337346</v>
      </c>
      <c r="L93" s="403">
        <v>13</v>
      </c>
      <c r="M93" s="404">
        <f t="shared" si="16"/>
        <v>0.25148285449490265</v>
      </c>
      <c r="N93" s="405">
        <f t="shared" si="9"/>
        <v>9.8078313253012048</v>
      </c>
      <c r="O93" s="406">
        <f t="shared" si="10"/>
        <v>3.1921686746987952</v>
      </c>
      <c r="P93" s="407">
        <v>15</v>
      </c>
      <c r="Q93" s="408">
        <f t="shared" si="11"/>
        <v>0.78204819277108439</v>
      </c>
      <c r="R93" s="409">
        <v>16</v>
      </c>
      <c r="S93" s="408">
        <f t="shared" si="12"/>
        <v>0.79567018072289164</v>
      </c>
      <c r="T93" s="410">
        <v>16</v>
      </c>
      <c r="U93" s="408">
        <f t="shared" si="13"/>
        <v>0.79567018072289164</v>
      </c>
      <c r="V93" s="406">
        <f t="shared" si="14"/>
        <v>6.1921686746987952</v>
      </c>
      <c r="X93" s="317">
        <f t="shared" si="15"/>
        <v>16.64</v>
      </c>
    </row>
    <row r="94" spans="2:24" ht="16.5" thickBot="1" x14ac:dyDescent="0.3">
      <c r="B94" s="510" t="s">
        <v>431</v>
      </c>
      <c r="C94" s="511"/>
      <c r="D94" s="512" t="s">
        <v>411</v>
      </c>
      <c r="E94" s="513">
        <f>SUM(E95:E100)</f>
        <v>380.45</v>
      </c>
      <c r="H94" s="82">
        <v>91</v>
      </c>
      <c r="I94" s="401" t="s">
        <v>151</v>
      </c>
      <c r="J94" s="401" t="s">
        <v>154</v>
      </c>
      <c r="K94" s="402">
        <f>E12+(E21/2)</f>
        <v>9.9083333333333332</v>
      </c>
      <c r="L94" s="403">
        <v>24</v>
      </c>
      <c r="M94" s="404">
        <f t="shared" si="16"/>
        <v>0.4128472222222222</v>
      </c>
      <c r="N94" s="405">
        <f t="shared" si="9"/>
        <v>29.725000000000001</v>
      </c>
      <c r="O94" s="406">
        <f t="shared" si="10"/>
        <v>-5.7250000000000014</v>
      </c>
      <c r="P94" s="407">
        <v>24</v>
      </c>
      <c r="Q94" s="408">
        <f t="shared" si="11"/>
        <v>0.58715277777777775</v>
      </c>
      <c r="R94" s="409">
        <v>26</v>
      </c>
      <c r="S94" s="408">
        <f t="shared" si="12"/>
        <v>0.61891025641025643</v>
      </c>
      <c r="T94" s="410">
        <v>26</v>
      </c>
      <c r="U94" s="408">
        <f t="shared" si="13"/>
        <v>0.61891025641025643</v>
      </c>
      <c r="V94" s="406">
        <f t="shared" si="14"/>
        <v>-3.7250000000000014</v>
      </c>
      <c r="X94" s="317">
        <f t="shared" si="15"/>
        <v>27.04</v>
      </c>
    </row>
    <row r="95" spans="2:24" x14ac:dyDescent="0.25">
      <c r="B95" s="517" t="s">
        <v>419</v>
      </c>
      <c r="C95" s="264" t="s">
        <v>16</v>
      </c>
      <c r="D95" s="266">
        <v>95</v>
      </c>
      <c r="E95" s="265">
        <f>+D95*3.5</f>
        <v>332.5</v>
      </c>
      <c r="F95" s="520"/>
      <c r="H95" s="82">
        <v>92</v>
      </c>
      <c r="I95" s="401" t="s">
        <v>151</v>
      </c>
      <c r="J95" s="401" t="s">
        <v>10</v>
      </c>
      <c r="K95" s="402">
        <f>E12+E24</f>
        <v>8.6583333333333332</v>
      </c>
      <c r="L95" s="403">
        <v>24</v>
      </c>
      <c r="M95" s="404">
        <f t="shared" si="16"/>
        <v>0.36076388888888888</v>
      </c>
      <c r="N95" s="405">
        <f t="shared" si="9"/>
        <v>25.975000000000001</v>
      </c>
      <c r="O95" s="406">
        <f t="shared" si="10"/>
        <v>-1.9750000000000014</v>
      </c>
      <c r="P95" s="407">
        <v>24</v>
      </c>
      <c r="Q95" s="408">
        <f t="shared" si="11"/>
        <v>0.63923611111111112</v>
      </c>
      <c r="R95" s="409">
        <v>26</v>
      </c>
      <c r="S95" s="408">
        <f t="shared" si="12"/>
        <v>0.66698717948717956</v>
      </c>
      <c r="T95" s="410">
        <v>26</v>
      </c>
      <c r="U95" s="408">
        <f t="shared" si="13"/>
        <v>0.66698717948717956</v>
      </c>
      <c r="V95" s="406">
        <f t="shared" si="14"/>
        <v>2.4999999999998579E-2</v>
      </c>
      <c r="X95" s="317">
        <f t="shared" si="15"/>
        <v>27.04</v>
      </c>
    </row>
    <row r="96" spans="2:24" x14ac:dyDescent="0.25">
      <c r="B96" s="518" t="s">
        <v>432</v>
      </c>
      <c r="C96" s="212" t="s">
        <v>16</v>
      </c>
      <c r="D96" s="34">
        <v>210</v>
      </c>
      <c r="E96" s="237">
        <f>+D96*0.05</f>
        <v>10.5</v>
      </c>
      <c r="F96" s="521"/>
      <c r="H96" s="82">
        <v>93</v>
      </c>
      <c r="I96" s="17" t="s">
        <v>152</v>
      </c>
      <c r="J96" s="17" t="s">
        <v>140</v>
      </c>
      <c r="K96" s="110">
        <f>E7+(E19)</f>
        <v>7.7429999999999994</v>
      </c>
      <c r="L96" s="83">
        <v>13</v>
      </c>
      <c r="M96" s="84">
        <f t="shared" si="16"/>
        <v>0.59561538461538455</v>
      </c>
      <c r="N96" s="101">
        <f t="shared" si="9"/>
        <v>23.228999999999999</v>
      </c>
      <c r="O96" s="85">
        <f t="shared" si="10"/>
        <v>-10.228999999999999</v>
      </c>
      <c r="P96" s="118">
        <v>15</v>
      </c>
      <c r="Q96" s="104">
        <f t="shared" si="11"/>
        <v>0.48380000000000006</v>
      </c>
      <c r="R96" s="201">
        <v>16</v>
      </c>
      <c r="S96" s="199">
        <f t="shared" si="12"/>
        <v>0.51606250000000009</v>
      </c>
      <c r="T96" s="268">
        <v>16</v>
      </c>
      <c r="U96" s="199">
        <f t="shared" si="13"/>
        <v>0.51606250000000009</v>
      </c>
      <c r="V96" s="85">
        <f t="shared" si="14"/>
        <v>-7.2289999999999992</v>
      </c>
      <c r="X96" s="317">
        <f t="shared" si="15"/>
        <v>16.64</v>
      </c>
    </row>
    <row r="97" spans="2:24" x14ac:dyDescent="0.25">
      <c r="B97" s="518" t="s">
        <v>420</v>
      </c>
      <c r="C97" s="212" t="s">
        <v>16</v>
      </c>
      <c r="D97" s="34">
        <v>3</v>
      </c>
      <c r="E97" s="237">
        <f>(+D97)</f>
        <v>3</v>
      </c>
      <c r="F97" s="521"/>
      <c r="H97" s="82">
        <v>94</v>
      </c>
      <c r="I97" s="17" t="s">
        <v>152</v>
      </c>
      <c r="J97" s="17" t="s">
        <v>141</v>
      </c>
      <c r="K97" s="110">
        <f>E7+(E32)</f>
        <v>7.4</v>
      </c>
      <c r="L97" s="83">
        <v>13</v>
      </c>
      <c r="M97" s="84">
        <f t="shared" si="16"/>
        <v>0.56923076923076921</v>
      </c>
      <c r="N97" s="101">
        <f t="shared" si="9"/>
        <v>22.200000000000003</v>
      </c>
      <c r="O97" s="85">
        <f t="shared" si="10"/>
        <v>-9.2000000000000028</v>
      </c>
      <c r="P97" s="118">
        <v>15</v>
      </c>
      <c r="Q97" s="104">
        <f t="shared" si="11"/>
        <v>0.5066666666666666</v>
      </c>
      <c r="R97" s="201">
        <v>16</v>
      </c>
      <c r="S97" s="199">
        <f t="shared" si="12"/>
        <v>0.53749999999999998</v>
      </c>
      <c r="T97" s="268">
        <v>16</v>
      </c>
      <c r="U97" s="199">
        <f t="shared" si="13"/>
        <v>0.53749999999999998</v>
      </c>
      <c r="V97" s="85">
        <f t="shared" si="14"/>
        <v>-6.2000000000000028</v>
      </c>
      <c r="X97" s="317">
        <f t="shared" si="15"/>
        <v>16.64</v>
      </c>
    </row>
    <row r="98" spans="2:24" x14ac:dyDescent="0.25">
      <c r="B98" s="518" t="s">
        <v>421</v>
      </c>
      <c r="C98" s="214" t="s">
        <v>210</v>
      </c>
      <c r="D98" s="34">
        <v>25</v>
      </c>
      <c r="E98" s="237">
        <f>+D98/2</f>
        <v>12.5</v>
      </c>
      <c r="F98" s="521"/>
      <c r="H98" s="82">
        <v>95</v>
      </c>
      <c r="I98" s="17" t="s">
        <v>152</v>
      </c>
      <c r="J98" s="17" t="s">
        <v>142</v>
      </c>
      <c r="K98" s="110">
        <f>E7+E33</f>
        <v>3.7313253012048189</v>
      </c>
      <c r="L98" s="83">
        <v>13</v>
      </c>
      <c r="M98" s="84">
        <f t="shared" si="16"/>
        <v>0.28702502316960143</v>
      </c>
      <c r="N98" s="101">
        <f t="shared" si="9"/>
        <v>11.193975903614456</v>
      </c>
      <c r="O98" s="85">
        <f t="shared" si="10"/>
        <v>1.8060240963855438</v>
      </c>
      <c r="P98" s="118">
        <v>15</v>
      </c>
      <c r="Q98" s="104">
        <f t="shared" si="11"/>
        <v>0.75124497991967876</v>
      </c>
      <c r="R98" s="201">
        <v>16</v>
      </c>
      <c r="S98" s="199">
        <f t="shared" si="12"/>
        <v>0.76679216867469879</v>
      </c>
      <c r="T98" s="268">
        <v>16</v>
      </c>
      <c r="U98" s="199">
        <f t="shared" si="13"/>
        <v>0.76679216867469879</v>
      </c>
      <c r="V98" s="85">
        <f t="shared" si="14"/>
        <v>4.8060240963855438</v>
      </c>
      <c r="X98" s="317">
        <f t="shared" si="15"/>
        <v>16.64</v>
      </c>
    </row>
    <row r="99" spans="2:24" x14ac:dyDescent="0.25">
      <c r="B99" s="518" t="s">
        <v>433</v>
      </c>
      <c r="C99" s="212" t="s">
        <v>16</v>
      </c>
      <c r="D99" s="34">
        <v>75</v>
      </c>
      <c r="E99" s="237">
        <f>+D99*0.09</f>
        <v>6.75</v>
      </c>
      <c r="F99" s="521"/>
      <c r="H99" s="82">
        <v>96</v>
      </c>
      <c r="I99" s="17" t="s">
        <v>152</v>
      </c>
      <c r="J99" s="17" t="s">
        <v>143</v>
      </c>
      <c r="K99" s="110">
        <f>E7+E34</f>
        <v>1.9240963855421684</v>
      </c>
      <c r="L99" s="83">
        <v>13</v>
      </c>
      <c r="M99" s="84">
        <f t="shared" si="16"/>
        <v>0.14800741427247449</v>
      </c>
      <c r="N99" s="101">
        <f t="shared" si="9"/>
        <v>5.7722891566265053</v>
      </c>
      <c r="O99" s="85">
        <f t="shared" si="10"/>
        <v>7.2277108433734947</v>
      </c>
      <c r="P99" s="118">
        <v>15</v>
      </c>
      <c r="Q99" s="104">
        <f t="shared" si="11"/>
        <v>0.87172690763052219</v>
      </c>
      <c r="R99" s="201">
        <v>16</v>
      </c>
      <c r="S99" s="199">
        <f t="shared" si="12"/>
        <v>0.87974397590361453</v>
      </c>
      <c r="T99" s="268">
        <v>16</v>
      </c>
      <c r="U99" s="199">
        <f t="shared" si="13"/>
        <v>0.87974397590361453</v>
      </c>
      <c r="V99" s="85">
        <f t="shared" si="14"/>
        <v>10.227710843373494</v>
      </c>
      <c r="X99" s="317">
        <f t="shared" si="15"/>
        <v>16.64</v>
      </c>
    </row>
    <row r="100" spans="2:24" x14ac:dyDescent="0.25">
      <c r="B100" s="518" t="s">
        <v>434</v>
      </c>
      <c r="C100" s="214" t="s">
        <v>210</v>
      </c>
      <c r="D100" s="34">
        <f>190</f>
        <v>190</v>
      </c>
      <c r="E100" s="237">
        <f>+D100*0.08</f>
        <v>15.200000000000001</v>
      </c>
      <c r="F100" s="521"/>
      <c r="H100" s="82">
        <v>97</v>
      </c>
      <c r="I100" s="17" t="s">
        <v>152</v>
      </c>
      <c r="J100" s="17" t="s">
        <v>144</v>
      </c>
      <c r="K100" s="110">
        <f>E7+E35</f>
        <v>6.0515151515151517</v>
      </c>
      <c r="L100" s="83">
        <v>13</v>
      </c>
      <c r="M100" s="84">
        <f t="shared" si="16"/>
        <v>0.46550116550116549</v>
      </c>
      <c r="N100" s="101">
        <f t="shared" si="9"/>
        <v>18.154545454545456</v>
      </c>
      <c r="O100" s="85">
        <f t="shared" si="10"/>
        <v>-5.1545454545454561</v>
      </c>
      <c r="P100" s="118">
        <v>15</v>
      </c>
      <c r="Q100" s="104">
        <f t="shared" si="11"/>
        <v>0.59656565656565663</v>
      </c>
      <c r="R100" s="201">
        <v>16</v>
      </c>
      <c r="S100" s="199">
        <f t="shared" si="12"/>
        <v>0.62178030303030307</v>
      </c>
      <c r="T100" s="268">
        <v>16</v>
      </c>
      <c r="U100" s="199">
        <f t="shared" si="13"/>
        <v>0.62178030303030307</v>
      </c>
      <c r="V100" s="85">
        <f t="shared" si="14"/>
        <v>-2.1545454545454561</v>
      </c>
      <c r="X100" s="317">
        <f t="shared" si="15"/>
        <v>16.64</v>
      </c>
    </row>
    <row r="101" spans="2:24" ht="16.5" thickBot="1" x14ac:dyDescent="0.3">
      <c r="B101" s="519" t="s">
        <v>422</v>
      </c>
      <c r="C101" s="242" t="s">
        <v>16</v>
      </c>
      <c r="D101" s="260">
        <v>50</v>
      </c>
      <c r="E101" s="262">
        <f>+D101*0.36</f>
        <v>18</v>
      </c>
      <c r="F101" s="521"/>
      <c r="H101" s="82">
        <v>98</v>
      </c>
      <c r="I101" s="17" t="s">
        <v>152</v>
      </c>
      <c r="J101" s="17" t="s">
        <v>145</v>
      </c>
      <c r="K101" s="110">
        <f>E7+E35+(E31)</f>
        <v>10.765800865800866</v>
      </c>
      <c r="L101" s="83">
        <v>13</v>
      </c>
      <c r="M101" s="84">
        <f t="shared" si="16"/>
        <v>0.82813852813852817</v>
      </c>
      <c r="N101" s="101">
        <f t="shared" si="9"/>
        <v>32.297402597402595</v>
      </c>
      <c r="O101" s="85">
        <f t="shared" si="10"/>
        <v>-19.297402597402595</v>
      </c>
      <c r="P101" s="118">
        <v>15</v>
      </c>
      <c r="Q101" s="104">
        <f t="shared" si="11"/>
        <v>0.28227994227994224</v>
      </c>
      <c r="R101" s="201">
        <v>16</v>
      </c>
      <c r="S101" s="199">
        <f t="shared" si="12"/>
        <v>0.32713744588744587</v>
      </c>
      <c r="T101" s="268">
        <v>16</v>
      </c>
      <c r="U101" s="199">
        <f t="shared" si="13"/>
        <v>0.32713744588744587</v>
      </c>
      <c r="V101" s="85">
        <f t="shared" si="14"/>
        <v>-16.297402597402595</v>
      </c>
      <c r="X101" s="317">
        <f t="shared" si="15"/>
        <v>16.64</v>
      </c>
    </row>
    <row r="102" spans="2:24" ht="16.5" thickBot="1" x14ac:dyDescent="0.3">
      <c r="H102" s="82">
        <v>99</v>
      </c>
      <c r="I102" s="17" t="s">
        <v>152</v>
      </c>
      <c r="J102" s="17" t="s">
        <v>146</v>
      </c>
      <c r="K102" s="110">
        <f>E7+E37</f>
        <v>3.2192771084337348</v>
      </c>
      <c r="L102" s="83">
        <v>13</v>
      </c>
      <c r="M102" s="84">
        <f t="shared" si="16"/>
        <v>0.24763670064874882</v>
      </c>
      <c r="N102" s="101">
        <f t="shared" si="9"/>
        <v>9.6578313253012045</v>
      </c>
      <c r="O102" s="85">
        <f t="shared" si="10"/>
        <v>3.3421686746987955</v>
      </c>
      <c r="P102" s="118">
        <v>15</v>
      </c>
      <c r="Q102" s="104">
        <f t="shared" si="11"/>
        <v>0.78538152610441769</v>
      </c>
      <c r="R102" s="201">
        <v>16</v>
      </c>
      <c r="S102" s="199">
        <f t="shared" si="12"/>
        <v>0.79879518072289157</v>
      </c>
      <c r="T102" s="268">
        <v>16</v>
      </c>
      <c r="U102" s="199">
        <f t="shared" si="13"/>
        <v>0.79879518072289157</v>
      </c>
      <c r="V102" s="85">
        <f t="shared" si="14"/>
        <v>6.3421686746987955</v>
      </c>
      <c r="X102" s="317">
        <f t="shared" si="15"/>
        <v>16.64</v>
      </c>
    </row>
    <row r="103" spans="2:24" x14ac:dyDescent="0.25">
      <c r="B103" s="514" t="s">
        <v>430</v>
      </c>
      <c r="C103" s="522"/>
      <c r="D103" s="515" t="s">
        <v>411</v>
      </c>
      <c r="E103" s="526">
        <f>SUM(E104:E109)</f>
        <v>315.51000000000005</v>
      </c>
      <c r="H103" s="82">
        <v>100</v>
      </c>
      <c r="I103" s="17" t="s">
        <v>152</v>
      </c>
      <c r="J103" s="17" t="s">
        <v>154</v>
      </c>
      <c r="K103" s="110">
        <f>E15+(E21/2)</f>
        <v>9.4583333333333339</v>
      </c>
      <c r="L103" s="83">
        <v>24</v>
      </c>
      <c r="M103" s="84">
        <f t="shared" si="16"/>
        <v>0.39409722222222227</v>
      </c>
      <c r="N103" s="101">
        <f t="shared" si="9"/>
        <v>28.375</v>
      </c>
      <c r="O103" s="85">
        <f t="shared" si="10"/>
        <v>-4.375</v>
      </c>
      <c r="P103" s="118">
        <v>24</v>
      </c>
      <c r="Q103" s="104">
        <f t="shared" si="11"/>
        <v>0.60590277777777779</v>
      </c>
      <c r="R103" s="201">
        <v>26</v>
      </c>
      <c r="S103" s="199">
        <f t="shared" si="12"/>
        <v>0.63621794871794868</v>
      </c>
      <c r="T103" s="268">
        <v>26</v>
      </c>
      <c r="U103" s="199">
        <f t="shared" si="13"/>
        <v>0.63621794871794868</v>
      </c>
      <c r="V103" s="85">
        <f t="shared" si="14"/>
        <v>-2.375</v>
      </c>
      <c r="X103" s="317">
        <f t="shared" si="15"/>
        <v>27.04</v>
      </c>
    </row>
    <row r="104" spans="2:24" x14ac:dyDescent="0.25">
      <c r="B104" s="523" t="s">
        <v>423</v>
      </c>
      <c r="C104" s="212" t="s">
        <v>16</v>
      </c>
      <c r="D104" s="34">
        <f>7.61</f>
        <v>7.61</v>
      </c>
      <c r="E104" s="237">
        <f>+D104*15</f>
        <v>114.15</v>
      </c>
      <c r="F104" s="520"/>
      <c r="H104" s="82">
        <v>101</v>
      </c>
      <c r="I104" s="17" t="s">
        <v>152</v>
      </c>
      <c r="J104" s="17" t="s">
        <v>10</v>
      </c>
      <c r="K104" s="110">
        <f>E15+E24</f>
        <v>8.2083333333333321</v>
      </c>
      <c r="L104" s="83">
        <v>24</v>
      </c>
      <c r="M104" s="84">
        <f t="shared" si="16"/>
        <v>0.34201388888888884</v>
      </c>
      <c r="N104" s="101">
        <f t="shared" si="9"/>
        <v>24.624999999999996</v>
      </c>
      <c r="O104" s="85">
        <f t="shared" si="10"/>
        <v>-0.62499999999999645</v>
      </c>
      <c r="P104" s="118">
        <v>24</v>
      </c>
      <c r="Q104" s="104">
        <f t="shared" si="11"/>
        <v>0.65798611111111116</v>
      </c>
      <c r="R104" s="201">
        <v>26</v>
      </c>
      <c r="S104" s="199">
        <f t="shared" si="12"/>
        <v>0.68429487179487181</v>
      </c>
      <c r="T104" s="268">
        <v>26</v>
      </c>
      <c r="U104" s="199">
        <f t="shared" si="13"/>
        <v>0.68429487179487181</v>
      </c>
      <c r="V104" s="85">
        <f t="shared" si="14"/>
        <v>1.3750000000000036</v>
      </c>
      <c r="X104" s="317">
        <f t="shared" si="15"/>
        <v>27.04</v>
      </c>
    </row>
    <row r="105" spans="2:24" x14ac:dyDescent="0.25">
      <c r="B105" s="518" t="s">
        <v>424</v>
      </c>
      <c r="C105" s="212" t="s">
        <v>16</v>
      </c>
      <c r="D105" s="34">
        <v>50</v>
      </c>
      <c r="E105" s="237">
        <f>+D105*0.08</f>
        <v>4</v>
      </c>
      <c r="F105" s="521"/>
      <c r="H105" s="82">
        <v>102</v>
      </c>
      <c r="I105" s="17" t="s">
        <v>253</v>
      </c>
      <c r="J105" s="17" t="s">
        <v>165</v>
      </c>
      <c r="K105" s="110">
        <f>E73</f>
        <v>21.721666666666664</v>
      </c>
      <c r="L105" s="83">
        <v>60</v>
      </c>
      <c r="M105" s="84">
        <f t="shared" si="16"/>
        <v>0.36202777777777773</v>
      </c>
      <c r="N105" s="101">
        <f t="shared" si="9"/>
        <v>65.164999999999992</v>
      </c>
      <c r="O105" s="85">
        <f t="shared" si="10"/>
        <v>-5.164999999999992</v>
      </c>
      <c r="P105" s="118">
        <v>70</v>
      </c>
      <c r="Q105" s="104">
        <f t="shared" si="11"/>
        <v>0.68969047619047619</v>
      </c>
      <c r="R105" s="201">
        <v>70</v>
      </c>
      <c r="S105" s="199">
        <f t="shared" si="12"/>
        <v>0.68969047619047619</v>
      </c>
      <c r="T105" s="268">
        <v>70</v>
      </c>
      <c r="U105" s="199">
        <f t="shared" si="13"/>
        <v>0.68969047619047619</v>
      </c>
      <c r="V105" s="85">
        <f t="shared" si="14"/>
        <v>4.835000000000008</v>
      </c>
      <c r="X105" s="317">
        <f t="shared" si="15"/>
        <v>72.8</v>
      </c>
    </row>
    <row r="106" spans="2:24" x14ac:dyDescent="0.25">
      <c r="B106" s="518" t="s">
        <v>435</v>
      </c>
      <c r="C106" s="212" t="s">
        <v>16</v>
      </c>
      <c r="D106" s="34">
        <f>43</f>
        <v>43</v>
      </c>
      <c r="E106" s="237">
        <f>+D106*0.75</f>
        <v>32.25</v>
      </c>
      <c r="F106" s="521"/>
      <c r="H106" s="82">
        <v>103</v>
      </c>
      <c r="I106" s="17" t="s">
        <v>166</v>
      </c>
      <c r="J106" s="17" t="s">
        <v>165</v>
      </c>
      <c r="K106" s="110">
        <f>+E7+(E73/2)</f>
        <v>11.760833333333332</v>
      </c>
      <c r="L106" s="83">
        <v>30</v>
      </c>
      <c r="M106" s="84">
        <f t="shared" si="16"/>
        <v>0.39202777777777775</v>
      </c>
      <c r="N106" s="101">
        <f t="shared" si="9"/>
        <v>35.282499999999999</v>
      </c>
      <c r="O106" s="85">
        <f t="shared" si="10"/>
        <v>-5.2824999999999989</v>
      </c>
      <c r="P106" s="118">
        <v>25</v>
      </c>
      <c r="Q106" s="104">
        <f t="shared" si="11"/>
        <v>0.52956666666666674</v>
      </c>
      <c r="R106" s="201">
        <v>26</v>
      </c>
      <c r="S106" s="199">
        <f t="shared" si="12"/>
        <v>0.5476602564102564</v>
      </c>
      <c r="T106" s="268">
        <v>26</v>
      </c>
      <c r="U106" s="199">
        <f t="shared" si="13"/>
        <v>0.5476602564102564</v>
      </c>
      <c r="V106" s="85">
        <f t="shared" si="14"/>
        <v>-9.2824999999999989</v>
      </c>
      <c r="X106" s="317">
        <f t="shared" si="15"/>
        <v>27.04</v>
      </c>
    </row>
    <row r="107" spans="2:24" x14ac:dyDescent="0.25">
      <c r="B107" s="518" t="s">
        <v>436</v>
      </c>
      <c r="C107" s="214" t="s">
        <v>210</v>
      </c>
      <c r="D107" s="34">
        <f>132</f>
        <v>132</v>
      </c>
      <c r="E107" s="237">
        <f>+D107*0.85</f>
        <v>112.2</v>
      </c>
      <c r="F107" s="521"/>
      <c r="H107" s="82">
        <v>104</v>
      </c>
      <c r="I107" s="17" t="s">
        <v>166</v>
      </c>
      <c r="J107" s="17" t="s">
        <v>89</v>
      </c>
      <c r="K107" s="110">
        <f>+E7+E28</f>
        <v>8.0384615384615383</v>
      </c>
      <c r="L107" s="83">
        <v>30</v>
      </c>
      <c r="M107" s="84">
        <f t="shared" si="16"/>
        <v>0.26794871794871794</v>
      </c>
      <c r="N107" s="101">
        <f t="shared" si="9"/>
        <v>24.115384615384613</v>
      </c>
      <c r="O107" s="85">
        <f t="shared" si="10"/>
        <v>5.8846153846153868</v>
      </c>
      <c r="P107" s="118">
        <v>25</v>
      </c>
      <c r="Q107" s="104">
        <f t="shared" si="11"/>
        <v>0.67846153846153845</v>
      </c>
      <c r="R107" s="201">
        <v>26</v>
      </c>
      <c r="S107" s="199">
        <f t="shared" si="12"/>
        <v>0.69082840236686383</v>
      </c>
      <c r="T107" s="268">
        <v>26</v>
      </c>
      <c r="U107" s="199">
        <f t="shared" si="13"/>
        <v>0.69082840236686383</v>
      </c>
      <c r="V107" s="85">
        <f t="shared" si="14"/>
        <v>1.8846153846153868</v>
      </c>
      <c r="X107" s="317">
        <f t="shared" si="15"/>
        <v>27.04</v>
      </c>
    </row>
    <row r="108" spans="2:24" x14ac:dyDescent="0.25">
      <c r="B108" s="518" t="s">
        <v>437</v>
      </c>
      <c r="C108" s="212" t="s">
        <v>16</v>
      </c>
      <c r="D108" s="34">
        <f>104.5</f>
        <v>104.5</v>
      </c>
      <c r="E108" s="237">
        <f>+D108/2</f>
        <v>52.25</v>
      </c>
      <c r="F108" s="521"/>
      <c r="H108" s="82">
        <v>105</v>
      </c>
      <c r="I108" s="17" t="s">
        <v>166</v>
      </c>
      <c r="J108" s="17" t="s">
        <v>158</v>
      </c>
      <c r="K108" s="110">
        <f>+E7+E22</f>
        <v>7.75</v>
      </c>
      <c r="L108" s="83">
        <v>30</v>
      </c>
      <c r="M108" s="84">
        <f t="shared" si="16"/>
        <v>0.25833333333333336</v>
      </c>
      <c r="N108" s="101">
        <f t="shared" si="9"/>
        <v>23.25</v>
      </c>
      <c r="O108" s="85">
        <f t="shared" si="10"/>
        <v>6.75</v>
      </c>
      <c r="P108" s="118">
        <v>25</v>
      </c>
      <c r="Q108" s="104">
        <f t="shared" si="11"/>
        <v>0.69</v>
      </c>
      <c r="R108" s="201">
        <v>26</v>
      </c>
      <c r="S108" s="199">
        <f t="shared" si="12"/>
        <v>0.70192307692307687</v>
      </c>
      <c r="T108" s="268">
        <v>26</v>
      </c>
      <c r="U108" s="199">
        <f t="shared" si="13"/>
        <v>0.70192307692307687</v>
      </c>
      <c r="V108" s="85">
        <f t="shared" si="14"/>
        <v>2.75</v>
      </c>
      <c r="X108" s="317">
        <f t="shared" si="15"/>
        <v>27.04</v>
      </c>
    </row>
    <row r="109" spans="2:24" ht="16.5" thickBot="1" x14ac:dyDescent="0.3">
      <c r="B109" s="519" t="s">
        <v>438</v>
      </c>
      <c r="C109" s="259" t="s">
        <v>210</v>
      </c>
      <c r="D109" s="260">
        <f>6.6</f>
        <v>6.6</v>
      </c>
      <c r="E109" s="262">
        <f>+D109*0.1</f>
        <v>0.66</v>
      </c>
      <c r="F109" s="521"/>
      <c r="H109" s="82">
        <v>106</v>
      </c>
      <c r="I109" s="17" t="s">
        <v>166</v>
      </c>
      <c r="J109" s="17" t="s">
        <v>14</v>
      </c>
      <c r="K109" s="110">
        <f>+E7+E27</f>
        <v>11.257142857142858</v>
      </c>
      <c r="L109" s="83">
        <v>40</v>
      </c>
      <c r="M109" s="84">
        <f t="shared" si="16"/>
        <v>0.28142857142857147</v>
      </c>
      <c r="N109" s="101">
        <f t="shared" si="9"/>
        <v>33.771428571428572</v>
      </c>
      <c r="O109" s="85">
        <f t="shared" si="10"/>
        <v>6.2285714285714278</v>
      </c>
      <c r="P109" s="118">
        <v>33</v>
      </c>
      <c r="Q109" s="104">
        <f t="shared" si="11"/>
        <v>0.65887445887445883</v>
      </c>
      <c r="R109" s="201">
        <v>34</v>
      </c>
      <c r="S109" s="199">
        <f t="shared" si="12"/>
        <v>0.66890756302521004</v>
      </c>
      <c r="T109" s="268">
        <v>34</v>
      </c>
      <c r="U109" s="199">
        <f t="shared" si="13"/>
        <v>0.66890756302521004</v>
      </c>
      <c r="V109" s="85">
        <f t="shared" si="14"/>
        <v>0.22857142857142776</v>
      </c>
      <c r="X109" s="317">
        <f t="shared" si="15"/>
        <v>35.36</v>
      </c>
    </row>
    <row r="110" spans="2:24" x14ac:dyDescent="0.25">
      <c r="D110" s="209"/>
      <c r="H110" s="82">
        <v>107</v>
      </c>
      <c r="I110" s="17" t="s">
        <v>166</v>
      </c>
      <c r="J110" s="17" t="s">
        <v>154</v>
      </c>
      <c r="K110" s="110">
        <f>+E7+(E21/2)</f>
        <v>9.8583333333333343</v>
      </c>
      <c r="L110" s="83">
        <v>40</v>
      </c>
      <c r="M110" s="84">
        <f t="shared" si="16"/>
        <v>0.24645833333333336</v>
      </c>
      <c r="N110" s="101">
        <f t="shared" si="9"/>
        <v>29.575000000000003</v>
      </c>
      <c r="O110" s="85">
        <f t="shared" si="10"/>
        <v>10.424999999999997</v>
      </c>
      <c r="P110" s="118">
        <v>33</v>
      </c>
      <c r="Q110" s="104">
        <f t="shared" si="11"/>
        <v>0.70126262626262625</v>
      </c>
      <c r="R110" s="201">
        <v>34</v>
      </c>
      <c r="S110" s="199">
        <f t="shared" si="12"/>
        <v>0.71004901960784306</v>
      </c>
      <c r="T110" s="268">
        <v>34</v>
      </c>
      <c r="U110" s="199">
        <f t="shared" si="13"/>
        <v>0.71004901960784306</v>
      </c>
      <c r="V110" s="85">
        <f t="shared" si="14"/>
        <v>4.4249999999999972</v>
      </c>
      <c r="X110" s="317">
        <f t="shared" si="15"/>
        <v>35.36</v>
      </c>
    </row>
    <row r="111" spans="2:24" ht="16.5" thickBot="1" x14ac:dyDescent="0.3">
      <c r="D111" s="209"/>
      <c r="H111" s="82">
        <v>108</v>
      </c>
      <c r="I111" s="17" t="s">
        <v>166</v>
      </c>
      <c r="J111" s="17" t="s">
        <v>10</v>
      </c>
      <c r="K111" s="110">
        <f>+E7+E24</f>
        <v>8.6083333333333325</v>
      </c>
      <c r="L111" s="83">
        <v>40</v>
      </c>
      <c r="M111" s="84">
        <f t="shared" si="16"/>
        <v>0.21520833333333331</v>
      </c>
      <c r="N111" s="101">
        <f t="shared" si="9"/>
        <v>25.824999999999996</v>
      </c>
      <c r="O111" s="85">
        <f t="shared" si="10"/>
        <v>14.175000000000004</v>
      </c>
      <c r="P111" s="118">
        <v>33</v>
      </c>
      <c r="Q111" s="104">
        <f t="shared" si="11"/>
        <v>0.7391414141414141</v>
      </c>
      <c r="R111" s="201">
        <v>34</v>
      </c>
      <c r="S111" s="199">
        <f t="shared" si="12"/>
        <v>0.74681372549019609</v>
      </c>
      <c r="T111" s="268">
        <v>34</v>
      </c>
      <c r="U111" s="199">
        <f t="shared" si="13"/>
        <v>0.74681372549019609</v>
      </c>
      <c r="V111" s="85">
        <f t="shared" si="14"/>
        <v>8.1750000000000043</v>
      </c>
      <c r="X111" s="317">
        <f t="shared" si="15"/>
        <v>35.36</v>
      </c>
    </row>
    <row r="112" spans="2:24" ht="16.5" thickBot="1" x14ac:dyDescent="0.3">
      <c r="B112" s="514" t="s">
        <v>429</v>
      </c>
      <c r="C112" s="525"/>
      <c r="D112" s="515" t="s">
        <v>411</v>
      </c>
      <c r="E112" s="516">
        <f>SUM(E113:E116)</f>
        <v>6.4300000000000015</v>
      </c>
      <c r="H112" s="82">
        <v>109</v>
      </c>
      <c r="I112" s="17" t="s">
        <v>254</v>
      </c>
      <c r="J112" s="17" t="s">
        <v>167</v>
      </c>
      <c r="K112" s="110">
        <f>(+E22*4.16)</f>
        <v>28.495999999999999</v>
      </c>
      <c r="L112" s="83">
        <v>60</v>
      </c>
      <c r="M112" s="84">
        <f t="shared" si="16"/>
        <v>0.47493333333333332</v>
      </c>
      <c r="N112" s="101">
        <f t="shared" si="9"/>
        <v>85.488</v>
      </c>
      <c r="O112" s="85">
        <f t="shared" si="10"/>
        <v>-25.488</v>
      </c>
      <c r="P112" s="118">
        <v>70</v>
      </c>
      <c r="Q112" s="104">
        <f t="shared" si="11"/>
        <v>0.59291428571428584</v>
      </c>
      <c r="R112" s="201">
        <v>70</v>
      </c>
      <c r="S112" s="199">
        <f t="shared" si="12"/>
        <v>0.59291428571428584</v>
      </c>
      <c r="T112" s="268">
        <v>70</v>
      </c>
      <c r="U112" s="199">
        <f t="shared" si="13"/>
        <v>0.59291428571428584</v>
      </c>
      <c r="V112" s="85">
        <f t="shared" si="14"/>
        <v>-15.488</v>
      </c>
      <c r="X112" s="317">
        <f t="shared" si="15"/>
        <v>72.8</v>
      </c>
    </row>
    <row r="113" spans="2:24" x14ac:dyDescent="0.25">
      <c r="B113" s="517" t="s">
        <v>426</v>
      </c>
      <c r="C113" s="264" t="s">
        <v>16</v>
      </c>
      <c r="D113" s="266">
        <f>58</f>
        <v>58</v>
      </c>
      <c r="E113" s="265">
        <f>+D113*0.03</f>
        <v>1.74</v>
      </c>
      <c r="F113" s="520"/>
      <c r="H113" s="82">
        <v>110</v>
      </c>
      <c r="I113" s="17" t="s">
        <v>169</v>
      </c>
      <c r="J113" s="17" t="s">
        <v>170</v>
      </c>
      <c r="K113" s="110">
        <v>10</v>
      </c>
      <c r="L113" s="83">
        <v>22</v>
      </c>
      <c r="M113" s="84">
        <f t="shared" si="16"/>
        <v>0.45454545454545453</v>
      </c>
      <c r="N113" s="101">
        <f t="shared" si="9"/>
        <v>30</v>
      </c>
      <c r="O113" s="85">
        <f t="shared" si="10"/>
        <v>-8</v>
      </c>
      <c r="P113" s="118">
        <v>25</v>
      </c>
      <c r="Q113" s="104">
        <f t="shared" si="11"/>
        <v>0.6</v>
      </c>
      <c r="R113" s="201">
        <v>25</v>
      </c>
      <c r="S113" s="199">
        <f t="shared" si="12"/>
        <v>0.6</v>
      </c>
      <c r="T113" s="268">
        <v>25</v>
      </c>
      <c r="U113" s="199">
        <f t="shared" si="13"/>
        <v>0.6</v>
      </c>
      <c r="V113" s="85">
        <f t="shared" si="14"/>
        <v>-5</v>
      </c>
      <c r="X113" s="317">
        <f t="shared" si="15"/>
        <v>26</v>
      </c>
    </row>
    <row r="114" spans="2:24" x14ac:dyDescent="0.25">
      <c r="B114" s="518" t="s">
        <v>427</v>
      </c>
      <c r="C114" s="212" t="s">
        <v>16</v>
      </c>
      <c r="D114" s="34">
        <v>50</v>
      </c>
      <c r="E114" s="237">
        <f>+D114*0.08</f>
        <v>4</v>
      </c>
      <c r="F114" s="520"/>
      <c r="H114" s="82">
        <v>111</v>
      </c>
      <c r="I114" s="17" t="s">
        <v>169</v>
      </c>
      <c r="J114" s="17" t="s">
        <v>171</v>
      </c>
      <c r="K114" s="110">
        <v>14.5</v>
      </c>
      <c r="L114" s="83">
        <v>22</v>
      </c>
      <c r="M114" s="84">
        <f t="shared" si="16"/>
        <v>0.65909090909090906</v>
      </c>
      <c r="N114" s="101">
        <f t="shared" si="9"/>
        <v>43.5</v>
      </c>
      <c r="O114" s="85">
        <f t="shared" si="10"/>
        <v>-21.5</v>
      </c>
      <c r="P114" s="118">
        <v>30</v>
      </c>
      <c r="Q114" s="104">
        <f t="shared" si="11"/>
        <v>0.51666666666666672</v>
      </c>
      <c r="R114" s="201">
        <v>30</v>
      </c>
      <c r="S114" s="199">
        <f t="shared" si="12"/>
        <v>0.51666666666666672</v>
      </c>
      <c r="T114" s="268">
        <v>30</v>
      </c>
      <c r="U114" s="199">
        <f t="shared" si="13"/>
        <v>0.51666666666666672</v>
      </c>
      <c r="V114" s="85">
        <f t="shared" si="14"/>
        <v>-13.5</v>
      </c>
      <c r="X114" s="317">
        <f t="shared" si="15"/>
        <v>31.200000000000003</v>
      </c>
    </row>
    <row r="115" spans="2:24" x14ac:dyDescent="0.25">
      <c r="B115" s="518" t="s">
        <v>428</v>
      </c>
      <c r="C115" s="212" t="s">
        <v>16</v>
      </c>
      <c r="D115" s="235">
        <f>7.61</f>
        <v>7.61</v>
      </c>
      <c r="E115" s="237">
        <f>(+D115*13)-98.9</f>
        <v>3.0000000000001137E-2</v>
      </c>
      <c r="F115" s="520"/>
      <c r="H115" s="82">
        <v>112</v>
      </c>
      <c r="I115" s="17" t="s">
        <v>169</v>
      </c>
      <c r="J115" s="17" t="s">
        <v>172</v>
      </c>
      <c r="K115" s="110">
        <v>10</v>
      </c>
      <c r="L115" s="83">
        <v>18</v>
      </c>
      <c r="M115" s="84">
        <f t="shared" si="16"/>
        <v>0.55555555555555558</v>
      </c>
      <c r="N115" s="101">
        <f t="shared" si="9"/>
        <v>30</v>
      </c>
      <c r="O115" s="85">
        <f t="shared" si="10"/>
        <v>-12</v>
      </c>
      <c r="P115" s="118">
        <v>22</v>
      </c>
      <c r="Q115" s="104">
        <f t="shared" si="11"/>
        <v>0.54545454545454541</v>
      </c>
      <c r="R115" s="201">
        <v>22</v>
      </c>
      <c r="S115" s="199">
        <f t="shared" si="12"/>
        <v>0.54545454545454541</v>
      </c>
      <c r="T115" s="268">
        <v>22</v>
      </c>
      <c r="U115" s="199">
        <f t="shared" si="13"/>
        <v>0.54545454545454541</v>
      </c>
      <c r="V115" s="85">
        <f t="shared" si="14"/>
        <v>-8</v>
      </c>
      <c r="X115" s="317">
        <f t="shared" si="15"/>
        <v>22.880000000000003</v>
      </c>
    </row>
    <row r="116" spans="2:24" ht="16.5" thickBot="1" x14ac:dyDescent="0.3">
      <c r="B116" s="519" t="s">
        <v>425</v>
      </c>
      <c r="C116" s="259" t="s">
        <v>210</v>
      </c>
      <c r="D116" s="260">
        <f>6.6</f>
        <v>6.6</v>
      </c>
      <c r="E116" s="262">
        <f>+D116*0.1</f>
        <v>0.66</v>
      </c>
      <c r="F116" s="520"/>
      <c r="H116" s="82">
        <v>113</v>
      </c>
      <c r="I116" s="17" t="s">
        <v>169</v>
      </c>
      <c r="J116" s="17" t="s">
        <v>173</v>
      </c>
      <c r="K116" s="110">
        <v>10</v>
      </c>
      <c r="L116" s="83">
        <v>18</v>
      </c>
      <c r="M116" s="84">
        <f t="shared" si="16"/>
        <v>0.55555555555555558</v>
      </c>
      <c r="N116" s="101">
        <f t="shared" si="9"/>
        <v>30</v>
      </c>
      <c r="O116" s="85">
        <f t="shared" si="10"/>
        <v>-12</v>
      </c>
      <c r="P116" s="118">
        <v>22</v>
      </c>
      <c r="Q116" s="104">
        <f t="shared" si="11"/>
        <v>0.54545454545454541</v>
      </c>
      <c r="R116" s="201">
        <v>22</v>
      </c>
      <c r="S116" s="199">
        <f t="shared" si="12"/>
        <v>0.54545454545454541</v>
      </c>
      <c r="T116" s="268">
        <v>22</v>
      </c>
      <c r="U116" s="199">
        <f t="shared" si="13"/>
        <v>0.54545454545454541</v>
      </c>
      <c r="V116" s="85">
        <f t="shared" si="14"/>
        <v>-8</v>
      </c>
      <c r="X116" s="317">
        <f t="shared" si="15"/>
        <v>22.880000000000003</v>
      </c>
    </row>
    <row r="117" spans="2:24" x14ac:dyDescent="0.25">
      <c r="B117" s="524"/>
      <c r="C117" s="505"/>
      <c r="D117" s="203"/>
      <c r="E117" s="506"/>
      <c r="H117" s="82">
        <v>114</v>
      </c>
      <c r="I117" s="480" t="s">
        <v>311</v>
      </c>
      <c r="J117" s="480" t="s">
        <v>292</v>
      </c>
      <c r="K117" s="485">
        <v>13.72</v>
      </c>
      <c r="L117" s="486">
        <v>25</v>
      </c>
      <c r="M117" s="487">
        <f t="shared" si="16"/>
        <v>0.54880000000000007</v>
      </c>
      <c r="N117" s="488">
        <f t="shared" si="9"/>
        <v>41.160000000000004</v>
      </c>
      <c r="O117" s="489">
        <f t="shared" si="10"/>
        <v>-16.160000000000004</v>
      </c>
      <c r="P117" s="490">
        <v>25</v>
      </c>
      <c r="Q117" s="491">
        <f t="shared" si="11"/>
        <v>0.45119999999999999</v>
      </c>
      <c r="R117" s="492">
        <v>25</v>
      </c>
      <c r="S117" s="491">
        <f t="shared" si="12"/>
        <v>0.45119999999999999</v>
      </c>
      <c r="T117" s="493">
        <v>25</v>
      </c>
      <c r="U117" s="491">
        <f t="shared" si="13"/>
        <v>0.45119999999999999</v>
      </c>
      <c r="V117" s="489">
        <f t="shared" si="14"/>
        <v>-16.160000000000004</v>
      </c>
      <c r="X117" s="317">
        <f t="shared" si="15"/>
        <v>26</v>
      </c>
    </row>
    <row r="118" spans="2:24" x14ac:dyDescent="0.25">
      <c r="B118" s="524"/>
      <c r="C118" s="215"/>
      <c r="D118" s="203"/>
      <c r="E118" s="506"/>
      <c r="H118" s="82">
        <v>115</v>
      </c>
      <c r="I118" s="480" t="s">
        <v>311</v>
      </c>
      <c r="J118" s="480" t="s">
        <v>293</v>
      </c>
      <c r="K118" s="485">
        <v>12.39</v>
      </c>
      <c r="L118" s="486">
        <v>25</v>
      </c>
      <c r="M118" s="487">
        <f t="shared" si="16"/>
        <v>0.49560000000000004</v>
      </c>
      <c r="N118" s="488">
        <f t="shared" si="9"/>
        <v>37.17</v>
      </c>
      <c r="O118" s="489">
        <f t="shared" si="10"/>
        <v>-12.170000000000002</v>
      </c>
      <c r="P118" s="490">
        <v>25</v>
      </c>
      <c r="Q118" s="491">
        <f t="shared" si="11"/>
        <v>0.50439999999999996</v>
      </c>
      <c r="R118" s="492">
        <v>25</v>
      </c>
      <c r="S118" s="491">
        <f t="shared" si="12"/>
        <v>0.50439999999999996</v>
      </c>
      <c r="T118" s="493">
        <v>25</v>
      </c>
      <c r="U118" s="491">
        <f t="shared" si="13"/>
        <v>0.50439999999999996</v>
      </c>
      <c r="V118" s="489">
        <f t="shared" si="14"/>
        <v>-12.170000000000002</v>
      </c>
      <c r="X118" s="317">
        <f t="shared" si="15"/>
        <v>26</v>
      </c>
    </row>
    <row r="119" spans="2:24" x14ac:dyDescent="0.25">
      <c r="D119" s="209"/>
      <c r="H119" s="82">
        <v>116</v>
      </c>
      <c r="I119" s="480" t="s">
        <v>311</v>
      </c>
      <c r="J119" s="480" t="s">
        <v>294</v>
      </c>
      <c r="K119" s="485">
        <v>15.84</v>
      </c>
      <c r="L119" s="486">
        <v>35</v>
      </c>
      <c r="M119" s="487">
        <f t="shared" si="16"/>
        <v>0.45257142857142857</v>
      </c>
      <c r="N119" s="488">
        <f t="shared" si="9"/>
        <v>47.519999999999996</v>
      </c>
      <c r="O119" s="489">
        <f t="shared" si="10"/>
        <v>-12.519999999999996</v>
      </c>
      <c r="P119" s="490">
        <v>35</v>
      </c>
      <c r="Q119" s="491">
        <f t="shared" si="11"/>
        <v>0.54742857142857149</v>
      </c>
      <c r="R119" s="492">
        <v>35</v>
      </c>
      <c r="S119" s="491">
        <f t="shared" si="12"/>
        <v>0.54742857142857149</v>
      </c>
      <c r="T119" s="493">
        <v>35</v>
      </c>
      <c r="U119" s="491">
        <f t="shared" si="13"/>
        <v>0.54742857142857149</v>
      </c>
      <c r="V119" s="489">
        <f t="shared" si="14"/>
        <v>-12.519999999999996</v>
      </c>
      <c r="X119" s="317">
        <f t="shared" si="15"/>
        <v>36.4</v>
      </c>
    </row>
    <row r="120" spans="2:24" x14ac:dyDescent="0.25">
      <c r="D120" s="209"/>
      <c r="H120" s="82">
        <v>117</v>
      </c>
      <c r="I120" s="480" t="s">
        <v>311</v>
      </c>
      <c r="J120" s="480" t="s">
        <v>295</v>
      </c>
      <c r="K120" s="485">
        <v>15.17</v>
      </c>
      <c r="L120" s="486">
        <v>35</v>
      </c>
      <c r="M120" s="487">
        <f t="shared" si="16"/>
        <v>0.43342857142857144</v>
      </c>
      <c r="N120" s="488">
        <f t="shared" si="9"/>
        <v>45.51</v>
      </c>
      <c r="O120" s="489">
        <f t="shared" si="10"/>
        <v>-10.509999999999998</v>
      </c>
      <c r="P120" s="490">
        <v>35</v>
      </c>
      <c r="Q120" s="491">
        <f t="shared" si="11"/>
        <v>0.5665714285714285</v>
      </c>
      <c r="R120" s="492">
        <v>35</v>
      </c>
      <c r="S120" s="491">
        <f t="shared" si="12"/>
        <v>0.5665714285714285</v>
      </c>
      <c r="T120" s="493">
        <v>35</v>
      </c>
      <c r="U120" s="491">
        <f t="shared" si="13"/>
        <v>0.5665714285714285</v>
      </c>
      <c r="V120" s="489">
        <f t="shared" si="14"/>
        <v>-10.509999999999998</v>
      </c>
      <c r="X120" s="317">
        <f t="shared" si="15"/>
        <v>36.4</v>
      </c>
    </row>
    <row r="121" spans="2:24" x14ac:dyDescent="0.25">
      <c r="D121" s="209"/>
      <c r="H121" s="82">
        <v>118</v>
      </c>
      <c r="I121" s="17" t="s">
        <v>311</v>
      </c>
      <c r="J121" s="17" t="s">
        <v>296</v>
      </c>
      <c r="K121" s="110">
        <f>E41</f>
        <v>7.14</v>
      </c>
      <c r="L121" s="83">
        <v>27</v>
      </c>
      <c r="M121" s="84">
        <f t="shared" si="16"/>
        <v>0.26444444444444443</v>
      </c>
      <c r="N121" s="101">
        <f t="shared" si="9"/>
        <v>21.419999999999998</v>
      </c>
      <c r="O121" s="85">
        <f t="shared" si="10"/>
        <v>5.5800000000000018</v>
      </c>
      <c r="P121" s="118">
        <v>27</v>
      </c>
      <c r="Q121" s="104">
        <f t="shared" si="11"/>
        <v>0.73555555555555552</v>
      </c>
      <c r="R121" s="201">
        <v>28</v>
      </c>
      <c r="S121" s="199">
        <f t="shared" si="12"/>
        <v>0.745</v>
      </c>
      <c r="T121" s="268">
        <v>28</v>
      </c>
      <c r="U121" s="199">
        <f t="shared" si="13"/>
        <v>0.745</v>
      </c>
      <c r="V121" s="85">
        <f t="shared" si="14"/>
        <v>6.5800000000000018</v>
      </c>
      <c r="X121" s="317">
        <f t="shared" si="15"/>
        <v>29.12</v>
      </c>
    </row>
    <row r="122" spans="2:24" x14ac:dyDescent="0.25">
      <c r="D122" s="209"/>
      <c r="H122" s="82">
        <v>119</v>
      </c>
      <c r="I122" s="17" t="s">
        <v>311</v>
      </c>
      <c r="J122" s="17" t="s">
        <v>297</v>
      </c>
      <c r="K122" s="110">
        <f>E41*2</f>
        <v>14.28</v>
      </c>
      <c r="L122" s="83">
        <v>42</v>
      </c>
      <c r="M122" s="84">
        <f t="shared" si="16"/>
        <v>0.33999999999999997</v>
      </c>
      <c r="N122" s="101">
        <f t="shared" si="9"/>
        <v>42.839999999999996</v>
      </c>
      <c r="O122" s="85">
        <f t="shared" si="10"/>
        <v>-0.83999999999999631</v>
      </c>
      <c r="P122" s="118">
        <v>42</v>
      </c>
      <c r="Q122" s="104">
        <f t="shared" si="11"/>
        <v>0.65999999999999992</v>
      </c>
      <c r="R122" s="201">
        <v>45</v>
      </c>
      <c r="S122" s="199">
        <f t="shared" si="12"/>
        <v>0.68266666666666664</v>
      </c>
      <c r="T122" s="268">
        <v>45</v>
      </c>
      <c r="U122" s="199">
        <f t="shared" si="13"/>
        <v>0.68266666666666664</v>
      </c>
      <c r="V122" s="85">
        <f t="shared" si="14"/>
        <v>2.1600000000000037</v>
      </c>
      <c r="X122" s="317">
        <f t="shared" si="15"/>
        <v>46.800000000000004</v>
      </c>
    </row>
    <row r="123" spans="2:24" x14ac:dyDescent="0.25">
      <c r="D123" s="209"/>
      <c r="H123" s="82">
        <v>120</v>
      </c>
      <c r="I123" s="17" t="s">
        <v>311</v>
      </c>
      <c r="J123" s="17" t="s">
        <v>298</v>
      </c>
      <c r="K123" s="110">
        <v>7</v>
      </c>
      <c r="L123" s="83">
        <v>19</v>
      </c>
      <c r="M123" s="84">
        <f t="shared" si="16"/>
        <v>0.36842105263157893</v>
      </c>
      <c r="N123" s="101">
        <f t="shared" si="9"/>
        <v>21</v>
      </c>
      <c r="O123" s="85">
        <f t="shared" si="10"/>
        <v>-2</v>
      </c>
      <c r="P123" s="118">
        <v>20</v>
      </c>
      <c r="Q123" s="104">
        <f t="shared" si="11"/>
        <v>0.65</v>
      </c>
      <c r="R123" s="201">
        <v>21</v>
      </c>
      <c r="S123" s="199">
        <f t="shared" si="12"/>
        <v>0.66666666666666663</v>
      </c>
      <c r="T123" s="530">
        <v>22</v>
      </c>
      <c r="U123" s="502">
        <f t="shared" si="13"/>
        <v>0.68181818181818177</v>
      </c>
      <c r="V123" s="85">
        <f t="shared" si="14"/>
        <v>1</v>
      </c>
      <c r="X123" s="317">
        <f t="shared" si="15"/>
        <v>21.84</v>
      </c>
    </row>
    <row r="124" spans="2:24" x14ac:dyDescent="0.25">
      <c r="D124" s="209"/>
      <c r="H124" s="82">
        <v>121</v>
      </c>
      <c r="I124" s="17" t="s">
        <v>311</v>
      </c>
      <c r="J124" s="17" t="s">
        <v>299</v>
      </c>
      <c r="K124" s="110">
        <v>11.5</v>
      </c>
      <c r="L124" s="83">
        <v>25</v>
      </c>
      <c r="M124" s="84">
        <f t="shared" si="16"/>
        <v>0.46</v>
      </c>
      <c r="N124" s="101">
        <f t="shared" si="9"/>
        <v>34.5</v>
      </c>
      <c r="O124" s="85">
        <f t="shared" si="10"/>
        <v>-9.5</v>
      </c>
      <c r="P124" s="118">
        <v>25</v>
      </c>
      <c r="Q124" s="104">
        <f t="shared" si="11"/>
        <v>0.54</v>
      </c>
      <c r="R124" s="201">
        <v>28</v>
      </c>
      <c r="S124" s="199">
        <f t="shared" si="12"/>
        <v>0.5892857142857143</v>
      </c>
      <c r="T124" s="530">
        <v>30</v>
      </c>
      <c r="U124" s="199">
        <f t="shared" si="13"/>
        <v>0.6166666666666667</v>
      </c>
      <c r="V124" s="85">
        <f t="shared" si="14"/>
        <v>-4.5</v>
      </c>
      <c r="X124" s="317">
        <f t="shared" si="15"/>
        <v>29.12</v>
      </c>
    </row>
    <row r="125" spans="2:24" x14ac:dyDescent="0.25">
      <c r="D125" s="209"/>
      <c r="H125" s="82">
        <v>122</v>
      </c>
      <c r="I125" s="17" t="s">
        <v>311</v>
      </c>
      <c r="J125" s="17" t="s">
        <v>257</v>
      </c>
      <c r="K125" s="110">
        <v>5.45</v>
      </c>
      <c r="L125" s="83">
        <v>18</v>
      </c>
      <c r="M125" s="84">
        <f t="shared" si="16"/>
        <v>0.30277777777777781</v>
      </c>
      <c r="N125" s="101">
        <f t="shared" si="9"/>
        <v>16.350000000000001</v>
      </c>
      <c r="O125" s="85">
        <f t="shared" si="10"/>
        <v>1.6499999999999986</v>
      </c>
      <c r="P125" s="118">
        <v>16</v>
      </c>
      <c r="Q125" s="104">
        <f t="shared" si="11"/>
        <v>0.65937500000000004</v>
      </c>
      <c r="R125" s="201">
        <v>17</v>
      </c>
      <c r="S125" s="199">
        <f t="shared" si="12"/>
        <v>0.67941176470588238</v>
      </c>
      <c r="T125" s="268">
        <v>17</v>
      </c>
      <c r="U125" s="199">
        <f t="shared" si="13"/>
        <v>0.67941176470588238</v>
      </c>
      <c r="V125" s="85">
        <f t="shared" si="14"/>
        <v>0.64999999999999858</v>
      </c>
      <c r="X125" s="317">
        <f t="shared" si="15"/>
        <v>17.68</v>
      </c>
    </row>
    <row r="126" spans="2:24" x14ac:dyDescent="0.25">
      <c r="D126" s="209"/>
      <c r="H126" s="82">
        <v>123</v>
      </c>
      <c r="I126" s="17" t="s">
        <v>311</v>
      </c>
      <c r="J126" s="17" t="s">
        <v>300</v>
      </c>
      <c r="K126" s="110">
        <v>6.9</v>
      </c>
      <c r="L126" s="83">
        <v>20</v>
      </c>
      <c r="M126" s="84">
        <f t="shared" si="16"/>
        <v>0.34500000000000003</v>
      </c>
      <c r="N126" s="101">
        <f t="shared" si="9"/>
        <v>20.700000000000003</v>
      </c>
      <c r="O126" s="85">
        <f t="shared" si="10"/>
        <v>-0.70000000000000284</v>
      </c>
      <c r="P126" s="118">
        <v>20</v>
      </c>
      <c r="Q126" s="104">
        <f t="shared" si="11"/>
        <v>0.65500000000000003</v>
      </c>
      <c r="R126" s="201">
        <v>21</v>
      </c>
      <c r="S126" s="199">
        <f t="shared" si="12"/>
        <v>0.67142857142857137</v>
      </c>
      <c r="T126" s="530">
        <v>22</v>
      </c>
      <c r="U126" s="199">
        <f t="shared" si="13"/>
        <v>0.6863636363636364</v>
      </c>
      <c r="V126" s="85">
        <f t="shared" si="14"/>
        <v>1.2999999999999972</v>
      </c>
      <c r="X126" s="317">
        <f t="shared" si="15"/>
        <v>21.84</v>
      </c>
    </row>
    <row r="127" spans="2:24" x14ac:dyDescent="0.25">
      <c r="D127" s="209"/>
      <c r="H127" s="82">
        <v>124</v>
      </c>
      <c r="I127" s="17" t="s">
        <v>311</v>
      </c>
      <c r="J127" s="17" t="s">
        <v>301</v>
      </c>
      <c r="K127" s="110">
        <v>5.89</v>
      </c>
      <c r="L127" s="83">
        <v>19</v>
      </c>
      <c r="M127" s="84">
        <f t="shared" si="16"/>
        <v>0.31</v>
      </c>
      <c r="N127" s="101">
        <f t="shared" si="9"/>
        <v>17.669999999999998</v>
      </c>
      <c r="O127" s="85">
        <f t="shared" si="10"/>
        <v>1.3300000000000018</v>
      </c>
      <c r="P127" s="118">
        <v>20</v>
      </c>
      <c r="Q127" s="104">
        <f t="shared" si="11"/>
        <v>0.70550000000000002</v>
      </c>
      <c r="R127" s="201">
        <v>21</v>
      </c>
      <c r="S127" s="199">
        <f t="shared" si="12"/>
        <v>0.71952380952380945</v>
      </c>
      <c r="T127" s="530">
        <v>22</v>
      </c>
      <c r="U127" s="501">
        <f t="shared" si="13"/>
        <v>0.7322727272727273</v>
      </c>
      <c r="V127" s="85">
        <f t="shared" si="14"/>
        <v>4.3300000000000018</v>
      </c>
      <c r="X127" s="317">
        <f t="shared" si="15"/>
        <v>21.84</v>
      </c>
    </row>
    <row r="128" spans="2:24" x14ac:dyDescent="0.25">
      <c r="D128" s="209"/>
      <c r="H128" s="82">
        <v>125</v>
      </c>
      <c r="I128" s="17" t="s">
        <v>311</v>
      </c>
      <c r="J128" s="17" t="s">
        <v>302</v>
      </c>
      <c r="K128" s="110">
        <v>10.7</v>
      </c>
      <c r="L128" s="83">
        <v>19</v>
      </c>
      <c r="M128" s="84">
        <f t="shared" si="16"/>
        <v>0.56315789473684208</v>
      </c>
      <c r="N128" s="101">
        <f t="shared" si="9"/>
        <v>32.099999999999994</v>
      </c>
      <c r="O128" s="85">
        <f t="shared" si="10"/>
        <v>-13.099999999999994</v>
      </c>
      <c r="P128" s="118">
        <v>20</v>
      </c>
      <c r="Q128" s="104">
        <f t="shared" si="11"/>
        <v>0.46500000000000002</v>
      </c>
      <c r="R128" s="201">
        <v>21</v>
      </c>
      <c r="S128" s="199">
        <f t="shared" si="12"/>
        <v>0.49047619047619051</v>
      </c>
      <c r="T128" s="530">
        <v>22</v>
      </c>
      <c r="U128" s="199">
        <f t="shared" si="13"/>
        <v>0.51363636363636367</v>
      </c>
      <c r="V128" s="85">
        <f t="shared" si="14"/>
        <v>-10.099999999999994</v>
      </c>
      <c r="X128" s="317">
        <f t="shared" si="15"/>
        <v>21.84</v>
      </c>
    </row>
    <row r="129" spans="2:26" x14ac:dyDescent="0.25">
      <c r="D129" s="209"/>
      <c r="H129" s="290">
        <v>126</v>
      </c>
      <c r="I129" s="291" t="s">
        <v>311</v>
      </c>
      <c r="J129" s="291" t="s">
        <v>303</v>
      </c>
      <c r="K129" s="438">
        <f>+E79</f>
        <v>23.411764705882351</v>
      </c>
      <c r="L129" s="439">
        <v>50</v>
      </c>
      <c r="M129" s="440">
        <f t="shared" si="16"/>
        <v>0.46823529411764703</v>
      </c>
      <c r="N129" s="441">
        <f t="shared" si="9"/>
        <v>70.235294117647058</v>
      </c>
      <c r="O129" s="442">
        <f t="shared" si="10"/>
        <v>-20.235294117647058</v>
      </c>
      <c r="P129" s="443">
        <v>50</v>
      </c>
      <c r="Q129" s="444">
        <f t="shared" si="11"/>
        <v>0.53176470588235292</v>
      </c>
      <c r="R129" s="445">
        <v>50</v>
      </c>
      <c r="S129" s="444">
        <f t="shared" si="12"/>
        <v>0.53176470588235292</v>
      </c>
      <c r="T129" s="446">
        <v>50</v>
      </c>
      <c r="U129" s="444">
        <f t="shared" si="13"/>
        <v>0.53176470588235292</v>
      </c>
      <c r="V129" s="442">
        <f t="shared" si="14"/>
        <v>-20.235294117647058</v>
      </c>
      <c r="X129" s="317">
        <f t="shared" si="15"/>
        <v>52</v>
      </c>
    </row>
    <row r="130" spans="2:26" x14ac:dyDescent="0.25">
      <c r="D130" s="209"/>
      <c r="H130" s="290">
        <v>127</v>
      </c>
      <c r="I130" s="291" t="s">
        <v>311</v>
      </c>
      <c r="J130" s="291" t="s">
        <v>304</v>
      </c>
      <c r="K130" s="438">
        <f>+D79</f>
        <v>199</v>
      </c>
      <c r="L130" s="439">
        <v>250</v>
      </c>
      <c r="M130" s="440">
        <f t="shared" si="16"/>
        <v>0.79600000000000004</v>
      </c>
      <c r="N130" s="441">
        <f t="shared" si="9"/>
        <v>597</v>
      </c>
      <c r="O130" s="442">
        <f t="shared" si="10"/>
        <v>-347</v>
      </c>
      <c r="P130" s="443">
        <v>250</v>
      </c>
      <c r="Q130" s="444">
        <f t="shared" si="11"/>
        <v>0.20399999999999999</v>
      </c>
      <c r="R130" s="445">
        <v>250</v>
      </c>
      <c r="S130" s="444">
        <f t="shared" si="12"/>
        <v>0.20399999999999999</v>
      </c>
      <c r="T130" s="446">
        <v>250</v>
      </c>
      <c r="U130" s="444">
        <f t="shared" si="13"/>
        <v>0.20399999999999999</v>
      </c>
      <c r="V130" s="442">
        <f t="shared" si="14"/>
        <v>-347</v>
      </c>
      <c r="X130" s="317">
        <f t="shared" si="15"/>
        <v>260</v>
      </c>
    </row>
    <row r="131" spans="2:26" x14ac:dyDescent="0.25">
      <c r="D131" s="209"/>
      <c r="H131" s="290">
        <v>128</v>
      </c>
      <c r="I131" s="291" t="s">
        <v>311</v>
      </c>
      <c r="J131" s="291" t="s">
        <v>316</v>
      </c>
      <c r="K131" s="438">
        <f>+E79+E82</f>
        <v>29.304564705882349</v>
      </c>
      <c r="L131" s="439">
        <v>50</v>
      </c>
      <c r="M131" s="440">
        <f t="shared" si="16"/>
        <v>0.58609129411764693</v>
      </c>
      <c r="N131" s="441">
        <f t="shared" si="9"/>
        <v>87.913694117647054</v>
      </c>
      <c r="O131" s="442">
        <f t="shared" si="10"/>
        <v>-37.913694117647054</v>
      </c>
      <c r="P131" s="443">
        <v>60</v>
      </c>
      <c r="Q131" s="444">
        <f t="shared" si="11"/>
        <v>0.51159058823529413</v>
      </c>
      <c r="R131" s="445">
        <v>60</v>
      </c>
      <c r="S131" s="444">
        <f t="shared" si="12"/>
        <v>0.51159058823529413</v>
      </c>
      <c r="T131" s="446">
        <v>60</v>
      </c>
      <c r="U131" s="444">
        <f t="shared" si="13"/>
        <v>0.51159058823529413</v>
      </c>
      <c r="V131" s="442">
        <f t="shared" si="14"/>
        <v>-27.913694117647054</v>
      </c>
      <c r="X131" s="317">
        <f t="shared" si="15"/>
        <v>62.400000000000006</v>
      </c>
    </row>
    <row r="132" spans="2:26" x14ac:dyDescent="0.25">
      <c r="D132" s="209"/>
      <c r="H132" s="82">
        <v>129</v>
      </c>
      <c r="I132" s="17" t="s">
        <v>311</v>
      </c>
      <c r="J132" s="17" t="s">
        <v>313</v>
      </c>
      <c r="K132" s="110">
        <v>9.0500000000000007</v>
      </c>
      <c r="L132" s="83">
        <v>24</v>
      </c>
      <c r="M132" s="84">
        <f t="shared" si="16"/>
        <v>0.37708333333333338</v>
      </c>
      <c r="N132" s="101">
        <f t="shared" si="9"/>
        <v>27.150000000000002</v>
      </c>
      <c r="O132" s="85">
        <f t="shared" si="10"/>
        <v>-3.1500000000000021</v>
      </c>
      <c r="P132" s="118">
        <v>25</v>
      </c>
      <c r="Q132" s="104">
        <f t="shared" si="11"/>
        <v>0.63800000000000001</v>
      </c>
      <c r="R132" s="201">
        <v>30</v>
      </c>
      <c r="S132" s="199">
        <f t="shared" si="12"/>
        <v>0.69833333333333336</v>
      </c>
      <c r="T132" s="268">
        <v>30</v>
      </c>
      <c r="U132" s="500">
        <f t="shared" si="13"/>
        <v>0.69833333333333336</v>
      </c>
      <c r="V132" s="85">
        <f t="shared" si="14"/>
        <v>2.8499999999999979</v>
      </c>
      <c r="X132" s="317">
        <f t="shared" si="15"/>
        <v>31.200000000000003</v>
      </c>
    </row>
    <row r="133" spans="2:26" ht="16.5" thickBot="1" x14ac:dyDescent="0.3">
      <c r="D133" s="209"/>
      <c r="H133" s="82">
        <v>130</v>
      </c>
      <c r="I133" s="125" t="s">
        <v>311</v>
      </c>
      <c r="J133" s="125" t="s">
        <v>314</v>
      </c>
      <c r="K133" s="126">
        <v>12.07</v>
      </c>
      <c r="L133" s="127">
        <v>30</v>
      </c>
      <c r="M133" s="128">
        <f t="shared" si="16"/>
        <v>0.40233333333333332</v>
      </c>
      <c r="N133" s="447">
        <f t="shared" ref="N133:N143" si="17">K133*3</f>
        <v>36.21</v>
      </c>
      <c r="O133" s="130">
        <f t="shared" si="10"/>
        <v>-6.2100000000000009</v>
      </c>
      <c r="P133" s="131">
        <v>30</v>
      </c>
      <c r="Q133" s="132">
        <f t="shared" si="11"/>
        <v>0.59766666666666668</v>
      </c>
      <c r="R133" s="448">
        <v>30</v>
      </c>
      <c r="S133" s="449">
        <f t="shared" ref="S133:S143" si="18">(R133-K133)/R133</f>
        <v>0.59766666666666668</v>
      </c>
      <c r="T133" s="534">
        <v>35</v>
      </c>
      <c r="U133" s="449">
        <f t="shared" ref="U133:U143" si="19">(T133-K133)/T133</f>
        <v>0.65514285714285714</v>
      </c>
      <c r="V133" s="130">
        <f t="shared" ref="V133:V143" si="20">T133-N133</f>
        <v>-1.2100000000000009</v>
      </c>
      <c r="X133" s="317">
        <f t="shared" ref="X133:X143" si="21">+R133*$X$3</f>
        <v>31.200000000000003</v>
      </c>
    </row>
    <row r="134" spans="2:26" x14ac:dyDescent="0.25">
      <c r="D134" s="209"/>
      <c r="H134" s="170">
        <v>131</v>
      </c>
      <c r="I134" s="554" t="s">
        <v>311</v>
      </c>
      <c r="J134" s="555" t="s">
        <v>305</v>
      </c>
      <c r="K134" s="556">
        <f>(+E80*1.5)+E84</f>
        <v>15.571999999999999</v>
      </c>
      <c r="L134" s="556">
        <v>34</v>
      </c>
      <c r="M134" s="557">
        <f t="shared" ref="M134:M143" si="22">K134/L134</f>
        <v>0.45799999999999996</v>
      </c>
      <c r="N134" s="558">
        <f t="shared" si="17"/>
        <v>46.715999999999994</v>
      </c>
      <c r="O134" s="559">
        <f t="shared" si="10"/>
        <v>-12.715999999999994</v>
      </c>
      <c r="P134" s="560">
        <v>34</v>
      </c>
      <c r="Q134" s="561">
        <f t="shared" si="11"/>
        <v>0.54200000000000004</v>
      </c>
      <c r="R134" s="558">
        <v>38</v>
      </c>
      <c r="S134" s="562">
        <f t="shared" si="18"/>
        <v>0.59021052631578952</v>
      </c>
      <c r="T134" s="563">
        <v>40</v>
      </c>
      <c r="U134" s="562">
        <f t="shared" si="19"/>
        <v>0.61070000000000002</v>
      </c>
      <c r="V134" s="341">
        <f t="shared" si="20"/>
        <v>-6.715999999999994</v>
      </c>
      <c r="X134" s="317">
        <f t="shared" si="21"/>
        <v>39.520000000000003</v>
      </c>
    </row>
    <row r="135" spans="2:26" x14ac:dyDescent="0.25">
      <c r="D135" s="209"/>
      <c r="H135" s="170"/>
      <c r="I135" s="564" t="s">
        <v>311</v>
      </c>
      <c r="J135" s="565" t="s">
        <v>441</v>
      </c>
      <c r="K135" s="566">
        <v>15.57</v>
      </c>
      <c r="L135" s="567"/>
      <c r="M135" s="568"/>
      <c r="N135" s="569"/>
      <c r="O135" s="570"/>
      <c r="P135" s="571"/>
      <c r="Q135" s="572"/>
      <c r="R135" s="573"/>
      <c r="S135" s="574"/>
      <c r="T135" s="575">
        <v>45</v>
      </c>
      <c r="U135" s="574"/>
      <c r="V135" s="351"/>
    </row>
    <row r="136" spans="2:26" x14ac:dyDescent="0.25">
      <c r="D136" s="209"/>
      <c r="H136" s="170">
        <v>132</v>
      </c>
      <c r="I136" s="564" t="s">
        <v>311</v>
      </c>
      <c r="J136" s="565" t="s">
        <v>306</v>
      </c>
      <c r="K136" s="567">
        <f>(+E80*3)+E84</f>
        <v>29.143999999999998</v>
      </c>
      <c r="L136" s="567">
        <v>50</v>
      </c>
      <c r="M136" s="568">
        <f t="shared" si="22"/>
        <v>0.58287999999999995</v>
      </c>
      <c r="N136" s="569">
        <f t="shared" si="17"/>
        <v>87.431999999999988</v>
      </c>
      <c r="O136" s="570">
        <f t="shared" si="10"/>
        <v>-37.431999999999988</v>
      </c>
      <c r="P136" s="571">
        <v>50</v>
      </c>
      <c r="Q136" s="572">
        <f t="shared" si="11"/>
        <v>0.41712000000000005</v>
      </c>
      <c r="R136" s="576">
        <v>60</v>
      </c>
      <c r="S136" s="574">
        <f t="shared" si="18"/>
        <v>0.51426666666666665</v>
      </c>
      <c r="T136" s="575">
        <v>65</v>
      </c>
      <c r="U136" s="574">
        <f t="shared" si="19"/>
        <v>0.55163076923076926</v>
      </c>
      <c r="V136" s="351">
        <f t="shared" si="20"/>
        <v>-22.431999999999988</v>
      </c>
      <c r="X136" s="317">
        <f t="shared" si="21"/>
        <v>62.400000000000006</v>
      </c>
    </row>
    <row r="137" spans="2:26" ht="16.5" thickBot="1" x14ac:dyDescent="0.3">
      <c r="D137" s="209"/>
      <c r="H137" s="170"/>
      <c r="I137" s="577" t="s">
        <v>311</v>
      </c>
      <c r="J137" s="578" t="s">
        <v>445</v>
      </c>
      <c r="K137" s="579">
        <v>29.14</v>
      </c>
      <c r="L137" s="579">
        <v>50</v>
      </c>
      <c r="M137" s="580">
        <f t="shared" ref="M137" si="23">K137/L137</f>
        <v>0.58279999999999998</v>
      </c>
      <c r="N137" s="581">
        <f t="shared" ref="N137" si="24">K137*3</f>
        <v>87.42</v>
      </c>
      <c r="O137" s="582">
        <f t="shared" ref="O137" si="25">L137-N137</f>
        <v>-37.42</v>
      </c>
      <c r="P137" s="583">
        <v>50</v>
      </c>
      <c r="Q137" s="584">
        <f t="shared" ref="Q137" si="26">(P137-K137)/P137</f>
        <v>0.41720000000000002</v>
      </c>
      <c r="R137" s="581">
        <v>60</v>
      </c>
      <c r="S137" s="585">
        <f t="shared" ref="S137" si="27">(R137-K137)/R137</f>
        <v>0.51433333333333331</v>
      </c>
      <c r="T137" s="586">
        <v>70</v>
      </c>
      <c r="U137" s="585">
        <f t="shared" ref="U137" si="28">(T137-K137)/T137</f>
        <v>0.58371428571428574</v>
      </c>
      <c r="V137" s="348">
        <f t="shared" ref="V137" si="29">T137-N137</f>
        <v>-17.420000000000002</v>
      </c>
    </row>
    <row r="138" spans="2:26" x14ac:dyDescent="0.25">
      <c r="D138" s="209"/>
      <c r="H138" s="82">
        <v>133</v>
      </c>
      <c r="I138" s="544" t="s">
        <v>311</v>
      </c>
      <c r="J138" s="544" t="s">
        <v>307</v>
      </c>
      <c r="K138" s="545">
        <f>(+E80*1.5)+E83+E84</f>
        <v>18.983764705882351</v>
      </c>
      <c r="L138" s="546">
        <v>39</v>
      </c>
      <c r="M138" s="547">
        <f t="shared" si="22"/>
        <v>0.48676319758672693</v>
      </c>
      <c r="N138" s="548">
        <f t="shared" si="17"/>
        <v>56.951294117647052</v>
      </c>
      <c r="O138" s="549">
        <f t="shared" si="10"/>
        <v>-17.951294117647052</v>
      </c>
      <c r="P138" s="550">
        <v>39</v>
      </c>
      <c r="Q138" s="551">
        <f t="shared" si="11"/>
        <v>0.51323680241327307</v>
      </c>
      <c r="R138" s="552">
        <v>40</v>
      </c>
      <c r="S138" s="553">
        <f t="shared" si="18"/>
        <v>0.52540588235294128</v>
      </c>
      <c r="T138" s="535">
        <v>45</v>
      </c>
      <c r="U138" s="553">
        <f t="shared" si="19"/>
        <v>0.57813856209150327</v>
      </c>
      <c r="V138" s="549">
        <f t="shared" si="20"/>
        <v>-11.951294117647052</v>
      </c>
      <c r="X138" s="317">
        <f t="shared" si="21"/>
        <v>41.6</v>
      </c>
    </row>
    <row r="139" spans="2:26" x14ac:dyDescent="0.25">
      <c r="D139" s="209"/>
      <c r="H139" s="82"/>
      <c r="I139" s="536" t="s">
        <v>311</v>
      </c>
      <c r="J139" s="536" t="s">
        <v>442</v>
      </c>
      <c r="K139" s="537"/>
      <c r="L139" s="73"/>
      <c r="M139" s="538"/>
      <c r="N139" s="539"/>
      <c r="O139" s="540"/>
      <c r="P139" s="541"/>
      <c r="Q139" s="542"/>
      <c r="R139" s="543"/>
      <c r="S139" s="500"/>
      <c r="T139" s="530">
        <v>50</v>
      </c>
      <c r="U139" s="500"/>
      <c r="V139" s="540"/>
    </row>
    <row r="140" spans="2:26" x14ac:dyDescent="0.25">
      <c r="H140" s="82">
        <v>135</v>
      </c>
      <c r="I140" s="536" t="s">
        <v>311</v>
      </c>
      <c r="J140" s="536" t="s">
        <v>309</v>
      </c>
      <c r="K140" s="537">
        <f>(+E80*3)+E83+E84</f>
        <v>32.555764705882353</v>
      </c>
      <c r="L140" s="73">
        <v>55</v>
      </c>
      <c r="M140" s="538">
        <f t="shared" si="22"/>
        <v>0.59192299465240639</v>
      </c>
      <c r="N140" s="539">
        <f t="shared" si="17"/>
        <v>97.66729411764706</v>
      </c>
      <c r="O140" s="540">
        <f t="shared" si="10"/>
        <v>-42.66729411764706</v>
      </c>
      <c r="P140" s="541">
        <v>55</v>
      </c>
      <c r="Q140" s="542">
        <f t="shared" si="11"/>
        <v>0.40807700534759356</v>
      </c>
      <c r="R140" s="543">
        <v>65</v>
      </c>
      <c r="S140" s="500">
        <f t="shared" si="18"/>
        <v>0.49914208144796379</v>
      </c>
      <c r="T140" s="530">
        <v>75</v>
      </c>
      <c r="U140" s="500">
        <f t="shared" si="19"/>
        <v>0.56592313725490195</v>
      </c>
      <c r="V140" s="540">
        <f t="shared" si="20"/>
        <v>-22.66729411764706</v>
      </c>
      <c r="X140" s="317">
        <f t="shared" si="21"/>
        <v>67.600000000000009</v>
      </c>
    </row>
    <row r="141" spans="2:26" x14ac:dyDescent="0.25">
      <c r="H141" s="82"/>
      <c r="I141" s="536" t="s">
        <v>311</v>
      </c>
      <c r="J141" s="536" t="s">
        <v>443</v>
      </c>
      <c r="K141" s="537"/>
      <c r="L141" s="73"/>
      <c r="M141" s="538"/>
      <c r="N141" s="539"/>
      <c r="O141" s="540"/>
      <c r="P141" s="541"/>
      <c r="Q141" s="542"/>
      <c r="R141" s="543"/>
      <c r="S141" s="500"/>
      <c r="T141" s="530">
        <v>80</v>
      </c>
      <c r="U141" s="500"/>
      <c r="V141" s="540"/>
    </row>
    <row r="142" spans="2:26" s="496" customFormat="1" x14ac:dyDescent="0.25">
      <c r="B142" s="494"/>
      <c r="C142" s="494"/>
      <c r="D142" s="495"/>
      <c r="E142" s="494"/>
      <c r="H142" s="497">
        <v>134</v>
      </c>
      <c r="I142" s="480" t="s">
        <v>311</v>
      </c>
      <c r="J142" s="480" t="s">
        <v>308</v>
      </c>
      <c r="K142" s="485">
        <f>(+E80*1.5)+E84</f>
        <v>15.571999999999999</v>
      </c>
      <c r="L142" s="486">
        <v>34</v>
      </c>
      <c r="M142" s="487">
        <f>K142/L142</f>
        <v>0.45799999999999996</v>
      </c>
      <c r="N142" s="488">
        <f>K142*3</f>
        <v>46.715999999999994</v>
      </c>
      <c r="O142" s="489">
        <f>L142-N142</f>
        <v>-12.715999999999994</v>
      </c>
      <c r="P142" s="490">
        <v>34</v>
      </c>
      <c r="Q142" s="491">
        <f>(P142-K142)/P142</f>
        <v>0.54200000000000004</v>
      </c>
      <c r="R142" s="492">
        <v>38</v>
      </c>
      <c r="S142" s="491">
        <f>(R142-K142)/R142</f>
        <v>0.59021052631578952</v>
      </c>
      <c r="T142" s="530">
        <v>40</v>
      </c>
      <c r="U142" s="491">
        <f>(T142-K142)/T142</f>
        <v>0.61070000000000002</v>
      </c>
      <c r="V142" s="489">
        <f>T142-N142</f>
        <v>-6.715999999999994</v>
      </c>
      <c r="X142" s="498">
        <f>+R142*$X$3</f>
        <v>39.520000000000003</v>
      </c>
      <c r="Y142" s="499"/>
      <c r="Z142" s="499"/>
    </row>
    <row r="143" spans="2:26" s="496" customFormat="1" x14ac:dyDescent="0.25">
      <c r="B143" s="494"/>
      <c r="C143" s="494"/>
      <c r="D143" s="495"/>
      <c r="E143" s="494"/>
      <c r="H143" s="497">
        <v>136</v>
      </c>
      <c r="I143" s="480" t="s">
        <v>311</v>
      </c>
      <c r="J143" s="480" t="s">
        <v>310</v>
      </c>
      <c r="K143" s="485">
        <f>(+E80*3)+E84</f>
        <v>29.143999999999998</v>
      </c>
      <c r="L143" s="486">
        <v>50</v>
      </c>
      <c r="M143" s="487">
        <f t="shared" si="22"/>
        <v>0.58287999999999995</v>
      </c>
      <c r="N143" s="488">
        <f t="shared" si="17"/>
        <v>87.431999999999988</v>
      </c>
      <c r="O143" s="489">
        <f t="shared" ref="O143" si="30">L143-N143</f>
        <v>-37.431999999999988</v>
      </c>
      <c r="P143" s="490">
        <v>50</v>
      </c>
      <c r="Q143" s="491">
        <f t="shared" ref="Q143" si="31">(P143-K143)/P143</f>
        <v>0.41712000000000005</v>
      </c>
      <c r="R143" s="492">
        <v>60</v>
      </c>
      <c r="S143" s="491">
        <f t="shared" si="18"/>
        <v>0.51426666666666665</v>
      </c>
      <c r="T143" s="530">
        <v>70</v>
      </c>
      <c r="U143" s="491">
        <f t="shared" si="19"/>
        <v>0.58365714285714287</v>
      </c>
      <c r="V143" s="489">
        <f t="shared" si="20"/>
        <v>-17.431999999999988</v>
      </c>
      <c r="X143" s="498">
        <f t="shared" si="21"/>
        <v>62.400000000000006</v>
      </c>
      <c r="Y143" s="499"/>
      <c r="Z143" s="499"/>
    </row>
    <row r="144" spans="2:26" x14ac:dyDescent="0.25">
      <c r="H144" s="82"/>
      <c r="I144" s="17" t="s">
        <v>311</v>
      </c>
      <c r="J144" s="480" t="s">
        <v>444</v>
      </c>
      <c r="K144" s="110"/>
      <c r="L144" s="83"/>
      <c r="M144" s="84"/>
      <c r="N144" s="101"/>
      <c r="O144" s="85"/>
      <c r="P144" s="118"/>
      <c r="Q144" s="122"/>
      <c r="R144" s="198"/>
      <c r="S144" s="198"/>
      <c r="T144" s="530">
        <v>75</v>
      </c>
      <c r="U144" s="98"/>
      <c r="V144" s="85"/>
    </row>
    <row r="145" spans="4:22" x14ac:dyDescent="0.25">
      <c r="H145" s="82"/>
      <c r="I145" s="17"/>
      <c r="J145" s="17"/>
      <c r="K145" s="110"/>
      <c r="L145" s="83"/>
      <c r="M145" s="84"/>
      <c r="N145" s="101"/>
      <c r="O145" s="85"/>
      <c r="P145" s="118"/>
      <c r="Q145" s="122"/>
      <c r="R145" s="198"/>
      <c r="S145" s="198"/>
      <c r="T145" s="270"/>
      <c r="U145" s="98"/>
      <c r="V145" s="85"/>
    </row>
    <row r="146" spans="4:22" x14ac:dyDescent="0.25">
      <c r="H146" s="82"/>
      <c r="I146" s="17"/>
      <c r="J146" s="17"/>
      <c r="K146" s="110"/>
      <c r="L146" s="83"/>
      <c r="M146" s="84"/>
      <c r="N146" s="101"/>
      <c r="O146" s="85"/>
      <c r="P146" s="118"/>
      <c r="Q146" s="122"/>
      <c r="R146" s="198"/>
      <c r="S146" s="198"/>
      <c r="T146" s="270"/>
      <c r="U146" s="98"/>
      <c r="V146" s="85"/>
    </row>
    <row r="147" spans="4:22" x14ac:dyDescent="0.25">
      <c r="H147" s="82"/>
      <c r="I147" s="17"/>
      <c r="J147" s="17"/>
      <c r="K147" s="110"/>
      <c r="L147" s="83"/>
      <c r="M147" s="84"/>
      <c r="N147" s="101"/>
      <c r="O147" s="85"/>
      <c r="P147" s="118"/>
      <c r="Q147" s="122"/>
      <c r="R147" s="198"/>
      <c r="S147" s="198"/>
      <c r="T147" s="270"/>
      <c r="U147" s="98"/>
      <c r="V147" s="85"/>
    </row>
    <row r="148" spans="4:22" x14ac:dyDescent="0.25">
      <c r="H148" s="82"/>
      <c r="I148" s="17"/>
      <c r="J148" s="17"/>
      <c r="K148" s="110"/>
      <c r="L148" s="83"/>
      <c r="M148" s="84"/>
      <c r="N148" s="101"/>
      <c r="O148" s="85"/>
      <c r="P148" s="118"/>
      <c r="Q148" s="122"/>
      <c r="R148" s="198"/>
      <c r="S148" s="198"/>
      <c r="T148" s="270"/>
      <c r="U148" s="98"/>
      <c r="V148" s="85"/>
    </row>
    <row r="149" spans="4:22" x14ac:dyDescent="0.25">
      <c r="D149" s="209"/>
      <c r="H149" s="82"/>
      <c r="I149" s="17"/>
      <c r="J149" s="17"/>
      <c r="K149" s="110"/>
      <c r="L149" s="83"/>
      <c r="M149" s="84"/>
      <c r="N149" s="101"/>
      <c r="O149" s="85"/>
      <c r="P149" s="118"/>
      <c r="Q149" s="122"/>
      <c r="R149" s="198"/>
      <c r="S149" s="198"/>
      <c r="T149" s="270"/>
      <c r="U149" s="98"/>
      <c r="V149" s="85"/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00FF00"/>
  </sheetPr>
  <dimension ref="A1:AB149"/>
  <sheetViews>
    <sheetView tabSelected="1" topLeftCell="I1" zoomScaleNormal="100" workbookViewId="0">
      <pane ySplit="3" topLeftCell="A132" activePane="bottomLeft" state="frozen"/>
      <selection activeCell="H1" sqref="H1"/>
      <selection pane="bottomLeft" activeCell="I135" sqref="I135"/>
    </sheetView>
  </sheetViews>
  <sheetFormatPr baseColWidth="10" defaultRowHeight="15.75" x14ac:dyDescent="0.25"/>
  <cols>
    <col min="1" max="1" width="1.5" customWidth="1"/>
    <col min="2" max="2" width="34" style="209" customWidth="1"/>
    <col min="3" max="3" width="15.375" style="209" bestFit="1" customWidth="1"/>
    <col min="4" max="4" width="9.25" style="31" customWidth="1"/>
    <col min="5" max="5" width="17.625" style="209" customWidth="1"/>
    <col min="6" max="6" width="6.625" customWidth="1"/>
    <col min="7" max="7" width="6" customWidth="1"/>
    <col min="8" max="8" width="3.875" style="81" bestFit="1" customWidth="1"/>
    <col min="9" max="9" width="19.75" style="80" customWidth="1"/>
    <col min="10" max="10" width="33" style="80" customWidth="1"/>
    <col min="11" max="11" width="11" style="108" customWidth="1"/>
    <col min="12" max="12" width="11" style="80" hidden="1" customWidth="1"/>
    <col min="13" max="13" width="10.625" style="81" hidden="1" customWidth="1"/>
    <col min="14" max="14" width="11" style="95" customWidth="1"/>
    <col min="15" max="15" width="9.375" style="95" hidden="1" customWidth="1"/>
    <col min="16" max="16" width="8.125" style="115" hidden="1" customWidth="1"/>
    <col min="17" max="17" width="14.375" style="115" hidden="1" customWidth="1"/>
    <col min="18" max="18" width="7.875" style="81" customWidth="1"/>
    <col min="19" max="19" width="12.125" style="81" customWidth="1"/>
    <col min="20" max="20" width="14.375" style="267" customWidth="1"/>
    <col min="21" max="21" width="10.875" style="80" customWidth="1"/>
    <col min="22" max="22" width="10" style="80" bestFit="1" customWidth="1"/>
    <col min="23" max="23" width="8.375" customWidth="1"/>
    <col min="24" max="24" width="11" style="317"/>
    <col min="25" max="27" width="12" style="319" customWidth="1"/>
    <col min="28" max="28" width="11.75" style="319" customWidth="1"/>
  </cols>
  <sheetData>
    <row r="1" spans="1:28" x14ac:dyDescent="0.25">
      <c r="I1" s="200" t="s">
        <v>451</v>
      </c>
      <c r="N1" s="108" t="s">
        <v>288</v>
      </c>
      <c r="P1" s="81"/>
      <c r="Q1" s="81"/>
      <c r="U1" s="80" t="s">
        <v>291</v>
      </c>
    </row>
    <row r="2" spans="1:28" ht="16.5" thickBot="1" x14ac:dyDescent="0.3">
      <c r="L2" s="81"/>
      <c r="P2" s="197"/>
      <c r="Q2" s="81"/>
    </row>
    <row r="3" spans="1:28" ht="45" customHeight="1" thickBot="1" x14ac:dyDescent="0.3">
      <c r="B3" s="287" t="s">
        <v>319</v>
      </c>
      <c r="C3" s="288" t="s">
        <v>320</v>
      </c>
      <c r="D3" s="289" t="s">
        <v>317</v>
      </c>
      <c r="E3" s="289" t="s">
        <v>318</v>
      </c>
      <c r="H3" s="82"/>
      <c r="I3" s="322" t="s">
        <v>73</v>
      </c>
      <c r="J3" s="322" t="s">
        <v>25</v>
      </c>
      <c r="K3" s="323" t="s">
        <v>287</v>
      </c>
      <c r="L3" s="324" t="s">
        <v>240</v>
      </c>
      <c r="M3" s="324" t="s">
        <v>238</v>
      </c>
      <c r="N3" s="325" t="s">
        <v>315</v>
      </c>
      <c r="O3" s="326" t="s">
        <v>259</v>
      </c>
      <c r="P3" s="327">
        <v>42767</v>
      </c>
      <c r="Q3" s="328" t="s">
        <v>269</v>
      </c>
      <c r="R3" s="329">
        <v>43435</v>
      </c>
      <c r="S3" s="330" t="s">
        <v>285</v>
      </c>
      <c r="T3" s="528" t="s">
        <v>454</v>
      </c>
      <c r="U3" s="330" t="s">
        <v>289</v>
      </c>
      <c r="V3" s="323" t="s">
        <v>290</v>
      </c>
      <c r="X3" s="318">
        <v>1.07</v>
      </c>
      <c r="Y3" s="587" t="s">
        <v>452</v>
      </c>
      <c r="Z3" s="587" t="s">
        <v>453</v>
      </c>
      <c r="AA3" s="587"/>
      <c r="AB3" s="320" t="s">
        <v>401</v>
      </c>
    </row>
    <row r="4" spans="1:28" x14ac:dyDescent="0.25">
      <c r="B4" s="210" t="s">
        <v>0</v>
      </c>
      <c r="C4" s="210" t="s">
        <v>19</v>
      </c>
      <c r="D4" s="202">
        <v>3.5</v>
      </c>
      <c r="E4" s="211">
        <f>D4</f>
        <v>3.5</v>
      </c>
      <c r="H4" s="170">
        <v>1</v>
      </c>
      <c r="I4" s="389" t="s">
        <v>270</v>
      </c>
      <c r="J4" s="390" t="s">
        <v>29</v>
      </c>
      <c r="K4" s="391">
        <v>20.3</v>
      </c>
      <c r="L4" s="392">
        <v>45</v>
      </c>
      <c r="M4" s="393">
        <f>K4/L4</f>
        <v>0.45111111111111113</v>
      </c>
      <c r="N4" s="394">
        <f>K4*3</f>
        <v>60.900000000000006</v>
      </c>
      <c r="O4" s="395">
        <f>L4-N4</f>
        <v>-15.900000000000006</v>
      </c>
      <c r="P4" s="396">
        <v>48</v>
      </c>
      <c r="Q4" s="397">
        <f>(P4-K4)/P4</f>
        <v>0.57708333333333328</v>
      </c>
      <c r="R4" s="398">
        <v>52</v>
      </c>
      <c r="S4" s="397">
        <f>(R4-K4)/R4</f>
        <v>0.60961538461538456</v>
      </c>
      <c r="T4" s="529">
        <v>55</v>
      </c>
      <c r="U4" s="397">
        <f>(T4-K4)/T4</f>
        <v>0.63090909090909097</v>
      </c>
      <c r="V4" s="400">
        <f>T4-N4</f>
        <v>-5.9000000000000057</v>
      </c>
      <c r="X4" s="317">
        <f>+R4*$X$3</f>
        <v>55.64</v>
      </c>
      <c r="Y4" s="319">
        <v>55</v>
      </c>
      <c r="Z4" s="319">
        <v>59</v>
      </c>
      <c r="AA4" s="588">
        <f>(+Z4/Y4)</f>
        <v>1.0727272727272728</v>
      </c>
      <c r="AB4" s="319">
        <v>40</v>
      </c>
    </row>
    <row r="5" spans="1:28" ht="16.5" thickBot="1" x14ac:dyDescent="0.3">
      <c r="B5" s="212" t="s">
        <v>1</v>
      </c>
      <c r="C5" s="212" t="s">
        <v>19</v>
      </c>
      <c r="D5" s="33">
        <v>2.5</v>
      </c>
      <c r="E5" s="213">
        <f>D5</f>
        <v>2.5</v>
      </c>
      <c r="H5" s="170">
        <v>2</v>
      </c>
      <c r="I5" s="411" t="s">
        <v>270</v>
      </c>
      <c r="J5" s="412" t="s">
        <v>30</v>
      </c>
      <c r="K5" s="413">
        <v>10.9</v>
      </c>
      <c r="L5" s="414">
        <v>26</v>
      </c>
      <c r="M5" s="415">
        <f>K5/L5</f>
        <v>0.41923076923076924</v>
      </c>
      <c r="N5" s="416">
        <f t="shared" ref="N5:N68" si="0">K5*3</f>
        <v>32.700000000000003</v>
      </c>
      <c r="O5" s="417">
        <f t="shared" ref="O5:O68" si="1">L5-N5</f>
        <v>-6.7000000000000028</v>
      </c>
      <c r="P5" s="418">
        <v>27</v>
      </c>
      <c r="Q5" s="419">
        <f t="shared" ref="Q5:Q68" si="2">(P5-K5)/P5</f>
        <v>0.59629629629629632</v>
      </c>
      <c r="R5" s="420">
        <v>28</v>
      </c>
      <c r="S5" s="419">
        <f t="shared" ref="S5:S68" si="3">(R5-K5)/R5</f>
        <v>0.61071428571428577</v>
      </c>
      <c r="T5" s="421">
        <v>34</v>
      </c>
      <c r="U5" s="419">
        <f t="shared" ref="U5:U68" si="4">(T5-K5)/T5</f>
        <v>0.67941176470588238</v>
      </c>
      <c r="V5" s="422">
        <f t="shared" ref="V5:V68" si="5">T5-N5</f>
        <v>1.2999999999999972</v>
      </c>
      <c r="X5" s="317">
        <f t="shared" ref="X5:X68" si="6">+R5*$X$3</f>
        <v>29.96</v>
      </c>
      <c r="Z5" s="319">
        <v>36</v>
      </c>
    </row>
    <row r="6" spans="1:28" x14ac:dyDescent="0.25">
      <c r="B6" s="212" t="s">
        <v>2</v>
      </c>
      <c r="C6" s="212" t="s">
        <v>19</v>
      </c>
      <c r="D6" s="33">
        <f>(2.3+2.3+3.5)/3</f>
        <v>2.6999999999999997</v>
      </c>
      <c r="E6" s="213">
        <f>D6</f>
        <v>2.6999999999999997</v>
      </c>
      <c r="H6" s="170">
        <v>3</v>
      </c>
      <c r="I6" s="354" t="s">
        <v>271</v>
      </c>
      <c r="J6" s="355" t="s">
        <v>31</v>
      </c>
      <c r="K6" s="356">
        <v>23.9</v>
      </c>
      <c r="L6" s="357">
        <v>55</v>
      </c>
      <c r="M6" s="358">
        <f t="shared" ref="M6:M69" si="7">K6/L6</f>
        <v>0.43454545454545451</v>
      </c>
      <c r="N6" s="359">
        <f t="shared" si="0"/>
        <v>71.699999999999989</v>
      </c>
      <c r="O6" s="360">
        <f t="shared" si="1"/>
        <v>-16.699999999999989</v>
      </c>
      <c r="P6" s="361">
        <v>58</v>
      </c>
      <c r="Q6" s="362">
        <f t="shared" si="2"/>
        <v>0.58793103448275863</v>
      </c>
      <c r="R6" s="363">
        <v>62</v>
      </c>
      <c r="S6" s="362">
        <f t="shared" si="3"/>
        <v>0.61451612903225805</v>
      </c>
      <c r="T6" s="529">
        <v>65</v>
      </c>
      <c r="U6" s="362">
        <f t="shared" si="4"/>
        <v>0.63230769230769235</v>
      </c>
      <c r="V6" s="365">
        <f t="shared" si="5"/>
        <v>-6.6999999999999886</v>
      </c>
      <c r="X6" s="317">
        <f t="shared" si="6"/>
        <v>66.34</v>
      </c>
      <c r="Y6" s="319">
        <v>65</v>
      </c>
      <c r="Z6" s="319">
        <v>70</v>
      </c>
      <c r="AB6" s="319">
        <v>70</v>
      </c>
    </row>
    <row r="7" spans="1:28" x14ac:dyDescent="0.25">
      <c r="B7" s="214" t="s">
        <v>333</v>
      </c>
      <c r="C7" s="212" t="s">
        <v>326</v>
      </c>
      <c r="D7" s="34">
        <v>18</v>
      </c>
      <c r="E7" s="217">
        <f>D7/20</f>
        <v>0.9</v>
      </c>
      <c r="H7" s="170">
        <v>4</v>
      </c>
      <c r="I7" s="378" t="s">
        <v>271</v>
      </c>
      <c r="J7" s="379" t="s">
        <v>35</v>
      </c>
      <c r="K7" s="380">
        <v>12.7</v>
      </c>
      <c r="L7" s="381">
        <v>31</v>
      </c>
      <c r="M7" s="382">
        <f>K7/L7</f>
        <v>0.4096774193548387</v>
      </c>
      <c r="N7" s="383">
        <f t="shared" si="0"/>
        <v>38.099999999999994</v>
      </c>
      <c r="O7" s="384">
        <f t="shared" si="1"/>
        <v>-7.0999999999999943</v>
      </c>
      <c r="P7" s="385">
        <v>32</v>
      </c>
      <c r="Q7" s="386">
        <f t="shared" si="2"/>
        <v>0.60312500000000002</v>
      </c>
      <c r="R7" s="387">
        <v>33</v>
      </c>
      <c r="S7" s="386">
        <f t="shared" si="3"/>
        <v>0.61515151515151523</v>
      </c>
      <c r="T7" s="530">
        <v>34</v>
      </c>
      <c r="U7" s="386">
        <f t="shared" si="4"/>
        <v>0.62647058823529411</v>
      </c>
      <c r="V7" s="388">
        <f t="shared" si="5"/>
        <v>-4.0999999999999943</v>
      </c>
      <c r="X7" s="317">
        <f t="shared" si="6"/>
        <v>35.31</v>
      </c>
    </row>
    <row r="8" spans="1:28" x14ac:dyDescent="0.25">
      <c r="A8" s="26"/>
      <c r="B8" s="214" t="s">
        <v>322</v>
      </c>
      <c r="C8" s="212" t="s">
        <v>327</v>
      </c>
      <c r="D8" s="34">
        <f>13+1</f>
        <v>14</v>
      </c>
      <c r="E8" s="217">
        <f>D8/45</f>
        <v>0.31111111111111112</v>
      </c>
      <c r="H8" s="170">
        <v>5</v>
      </c>
      <c r="I8" s="378" t="s">
        <v>271</v>
      </c>
      <c r="J8" s="379" t="s">
        <v>32</v>
      </c>
      <c r="K8" s="380">
        <v>17.36</v>
      </c>
      <c r="L8" s="381">
        <v>55</v>
      </c>
      <c r="M8" s="382">
        <f t="shared" si="7"/>
        <v>0.3156363636363636</v>
      </c>
      <c r="N8" s="383">
        <f t="shared" si="0"/>
        <v>52.08</v>
      </c>
      <c r="O8" s="384">
        <f t="shared" si="1"/>
        <v>2.9200000000000017</v>
      </c>
      <c r="P8" s="385">
        <v>58</v>
      </c>
      <c r="Q8" s="386">
        <f t="shared" si="2"/>
        <v>0.70068965517241377</v>
      </c>
      <c r="R8" s="387">
        <v>62</v>
      </c>
      <c r="S8" s="386">
        <f t="shared" si="3"/>
        <v>0.72</v>
      </c>
      <c r="T8" s="530">
        <v>65</v>
      </c>
      <c r="U8" s="386">
        <f t="shared" si="4"/>
        <v>0.7329230769230769</v>
      </c>
      <c r="V8" s="388">
        <f t="shared" si="5"/>
        <v>12.920000000000002</v>
      </c>
      <c r="X8" s="317">
        <f t="shared" si="6"/>
        <v>66.34</v>
      </c>
    </row>
    <row r="9" spans="1:28" ht="16.5" thickBot="1" x14ac:dyDescent="0.3">
      <c r="B9" s="214" t="s">
        <v>77</v>
      </c>
      <c r="C9" s="212" t="s">
        <v>18</v>
      </c>
      <c r="D9" s="34">
        <v>17</v>
      </c>
      <c r="E9" s="217">
        <f>D9/10</f>
        <v>1.7</v>
      </c>
      <c r="H9" s="170">
        <v>6</v>
      </c>
      <c r="I9" s="366" t="s">
        <v>271</v>
      </c>
      <c r="J9" s="367" t="s">
        <v>36</v>
      </c>
      <c r="K9" s="368">
        <v>9.43</v>
      </c>
      <c r="L9" s="369">
        <v>31</v>
      </c>
      <c r="M9" s="370">
        <f t="shared" si="7"/>
        <v>0.30419354838709678</v>
      </c>
      <c r="N9" s="371">
        <f t="shared" si="0"/>
        <v>28.29</v>
      </c>
      <c r="O9" s="372">
        <f t="shared" si="1"/>
        <v>2.7100000000000009</v>
      </c>
      <c r="P9" s="373">
        <v>32</v>
      </c>
      <c r="Q9" s="374">
        <f t="shared" si="2"/>
        <v>0.70531250000000001</v>
      </c>
      <c r="R9" s="375">
        <v>33</v>
      </c>
      <c r="S9" s="374">
        <f t="shared" si="3"/>
        <v>0.71424242424242423</v>
      </c>
      <c r="T9" s="531">
        <v>34</v>
      </c>
      <c r="U9" s="374">
        <f t="shared" si="4"/>
        <v>0.72264705882352942</v>
      </c>
      <c r="V9" s="377">
        <f t="shared" si="5"/>
        <v>5.7100000000000009</v>
      </c>
      <c r="X9" s="317">
        <f t="shared" si="6"/>
        <v>35.31</v>
      </c>
    </row>
    <row r="10" spans="1:28" x14ac:dyDescent="0.25">
      <c r="B10" s="214" t="s">
        <v>323</v>
      </c>
      <c r="C10" s="212" t="s">
        <v>18</v>
      </c>
      <c r="D10" s="34">
        <v>15</v>
      </c>
      <c r="E10" s="217">
        <f>D10/10</f>
        <v>1.5</v>
      </c>
      <c r="H10" s="170">
        <v>7</v>
      </c>
      <c r="I10" s="335" t="s">
        <v>272</v>
      </c>
      <c r="J10" s="336" t="s">
        <v>274</v>
      </c>
      <c r="K10" s="146">
        <v>25.31</v>
      </c>
      <c r="L10" s="147">
        <v>60</v>
      </c>
      <c r="M10" s="148">
        <f t="shared" si="7"/>
        <v>0.42183333333333334</v>
      </c>
      <c r="N10" s="337">
        <f t="shared" si="0"/>
        <v>75.929999999999993</v>
      </c>
      <c r="O10" s="150">
        <f t="shared" si="1"/>
        <v>-15.929999999999993</v>
      </c>
      <c r="P10" s="352">
        <v>60</v>
      </c>
      <c r="Q10" s="339">
        <f t="shared" si="2"/>
        <v>0.57816666666666661</v>
      </c>
      <c r="R10" s="338">
        <v>68</v>
      </c>
      <c r="S10" s="339">
        <f t="shared" si="3"/>
        <v>0.62779411764705884</v>
      </c>
      <c r="T10" s="529">
        <v>70</v>
      </c>
      <c r="U10" s="339">
        <f t="shared" si="4"/>
        <v>0.63842857142857135</v>
      </c>
      <c r="V10" s="341">
        <f t="shared" si="5"/>
        <v>-5.9299999999999926</v>
      </c>
      <c r="X10" s="317">
        <f t="shared" si="6"/>
        <v>72.760000000000005</v>
      </c>
    </row>
    <row r="11" spans="1:28" ht="16.5" thickBot="1" x14ac:dyDescent="0.3">
      <c r="B11" s="214" t="s">
        <v>4</v>
      </c>
      <c r="C11" s="212" t="s">
        <v>21</v>
      </c>
      <c r="D11" s="33">
        <v>100</v>
      </c>
      <c r="E11" s="217">
        <f>D11/100</f>
        <v>1</v>
      </c>
      <c r="H11" s="170">
        <v>8</v>
      </c>
      <c r="I11" s="342" t="s">
        <v>272</v>
      </c>
      <c r="J11" s="343" t="s">
        <v>275</v>
      </c>
      <c r="K11" s="156">
        <v>14.11</v>
      </c>
      <c r="L11" s="157">
        <v>33</v>
      </c>
      <c r="M11" s="158">
        <f t="shared" si="7"/>
        <v>0.42757575757575755</v>
      </c>
      <c r="N11" s="344">
        <f t="shared" si="0"/>
        <v>42.33</v>
      </c>
      <c r="O11" s="160">
        <f t="shared" si="1"/>
        <v>-9.3299999999999983</v>
      </c>
      <c r="P11" s="353">
        <v>33</v>
      </c>
      <c r="Q11" s="346">
        <f t="shared" si="2"/>
        <v>0.57242424242424239</v>
      </c>
      <c r="R11" s="345">
        <v>36</v>
      </c>
      <c r="S11" s="346">
        <f t="shared" si="3"/>
        <v>0.60805555555555557</v>
      </c>
      <c r="T11" s="531">
        <v>37</v>
      </c>
      <c r="U11" s="346">
        <f t="shared" si="4"/>
        <v>0.61864864864864866</v>
      </c>
      <c r="V11" s="348">
        <f t="shared" si="5"/>
        <v>-5.3299999999999983</v>
      </c>
      <c r="X11" s="317">
        <f>+R11*$X$3</f>
        <v>38.520000000000003</v>
      </c>
    </row>
    <row r="12" spans="1:28" x14ac:dyDescent="0.25">
      <c r="B12" s="214" t="s">
        <v>7</v>
      </c>
      <c r="C12" s="212" t="s">
        <v>76</v>
      </c>
      <c r="D12" s="33">
        <v>47.5</v>
      </c>
      <c r="E12" s="217">
        <f>D12/50</f>
        <v>0.95</v>
      </c>
      <c r="H12" s="170">
        <v>9</v>
      </c>
      <c r="I12" s="335" t="s">
        <v>273</v>
      </c>
      <c r="J12" s="336" t="s">
        <v>40</v>
      </c>
      <c r="K12" s="146">
        <v>14.3</v>
      </c>
      <c r="L12" s="147">
        <v>45</v>
      </c>
      <c r="M12" s="148">
        <f t="shared" si="7"/>
        <v>0.31777777777777777</v>
      </c>
      <c r="N12" s="337">
        <f t="shared" si="0"/>
        <v>42.900000000000006</v>
      </c>
      <c r="O12" s="150">
        <f t="shared" si="1"/>
        <v>2.0999999999999943</v>
      </c>
      <c r="P12" s="151">
        <v>48</v>
      </c>
      <c r="Q12" s="152">
        <f t="shared" si="2"/>
        <v>0.70208333333333339</v>
      </c>
      <c r="R12" s="338">
        <v>50</v>
      </c>
      <c r="S12" s="339">
        <f t="shared" si="3"/>
        <v>0.71400000000000008</v>
      </c>
      <c r="T12" s="529">
        <v>52</v>
      </c>
      <c r="U12" s="339">
        <f t="shared" si="4"/>
        <v>0.72500000000000009</v>
      </c>
      <c r="V12" s="341">
        <f t="shared" si="5"/>
        <v>9.0999999999999943</v>
      </c>
      <c r="X12" s="317">
        <f t="shared" si="6"/>
        <v>53.5</v>
      </c>
    </row>
    <row r="13" spans="1:28" x14ac:dyDescent="0.25">
      <c r="B13" s="214" t="s">
        <v>5</v>
      </c>
      <c r="C13" s="212" t="s">
        <v>17</v>
      </c>
      <c r="D13" s="33">
        <v>35</v>
      </c>
      <c r="E13" s="217">
        <f>D13/25</f>
        <v>1.4</v>
      </c>
      <c r="H13" s="170">
        <v>10</v>
      </c>
      <c r="I13" s="350" t="s">
        <v>273</v>
      </c>
      <c r="J13" s="17" t="s">
        <v>41</v>
      </c>
      <c r="K13" s="110">
        <v>7.9</v>
      </c>
      <c r="L13" s="83">
        <v>26</v>
      </c>
      <c r="M13" s="84">
        <f t="shared" si="7"/>
        <v>0.30384615384615388</v>
      </c>
      <c r="N13" s="101">
        <f t="shared" si="0"/>
        <v>23.700000000000003</v>
      </c>
      <c r="O13" s="85">
        <f t="shared" si="1"/>
        <v>2.2999999999999972</v>
      </c>
      <c r="P13" s="118">
        <v>27</v>
      </c>
      <c r="Q13" s="104">
        <f t="shared" si="2"/>
        <v>0.70740740740740748</v>
      </c>
      <c r="R13" s="201">
        <v>28</v>
      </c>
      <c r="S13" s="199">
        <f t="shared" si="3"/>
        <v>0.71785714285714286</v>
      </c>
      <c r="T13" s="268">
        <v>28</v>
      </c>
      <c r="U13" s="199">
        <f t="shared" si="4"/>
        <v>0.71785714285714286</v>
      </c>
      <c r="V13" s="351">
        <f t="shared" si="5"/>
        <v>4.2999999999999972</v>
      </c>
      <c r="X13" s="317">
        <f t="shared" si="6"/>
        <v>29.96</v>
      </c>
    </row>
    <row r="14" spans="1:28" x14ac:dyDescent="0.25">
      <c r="B14" s="214" t="s">
        <v>6</v>
      </c>
      <c r="C14" s="212" t="s">
        <v>17</v>
      </c>
      <c r="D14" s="33">
        <v>45</v>
      </c>
      <c r="E14" s="217">
        <f>D14/25</f>
        <v>1.8</v>
      </c>
      <c r="H14" s="170">
        <v>11</v>
      </c>
      <c r="I14" s="350" t="s">
        <v>273</v>
      </c>
      <c r="J14" s="17" t="s">
        <v>91</v>
      </c>
      <c r="K14" s="110">
        <v>16.7</v>
      </c>
      <c r="L14" s="83">
        <v>48</v>
      </c>
      <c r="M14" s="84">
        <f t="shared" si="7"/>
        <v>0.34791666666666665</v>
      </c>
      <c r="N14" s="101">
        <f t="shared" si="0"/>
        <v>50.099999999999994</v>
      </c>
      <c r="O14" s="85">
        <f t="shared" si="1"/>
        <v>-2.0999999999999943</v>
      </c>
      <c r="P14" s="198">
        <v>48</v>
      </c>
      <c r="Q14" s="199">
        <f t="shared" si="2"/>
        <v>0.65208333333333335</v>
      </c>
      <c r="R14" s="201">
        <v>50</v>
      </c>
      <c r="S14" s="199">
        <f t="shared" si="3"/>
        <v>0.66599999999999993</v>
      </c>
      <c r="T14" s="530">
        <v>52</v>
      </c>
      <c r="U14" s="199">
        <f t="shared" si="4"/>
        <v>0.67884615384615377</v>
      </c>
      <c r="V14" s="351">
        <f t="shared" si="5"/>
        <v>1.9000000000000057</v>
      </c>
      <c r="X14" s="317">
        <f t="shared" si="6"/>
        <v>53.5</v>
      </c>
    </row>
    <row r="15" spans="1:28" ht="16.5" thickBot="1" x14ac:dyDescent="0.3">
      <c r="B15" s="214" t="s">
        <v>325</v>
      </c>
      <c r="C15" s="212" t="s">
        <v>324</v>
      </c>
      <c r="D15" s="33">
        <v>25</v>
      </c>
      <c r="E15" s="217">
        <f>D15/50</f>
        <v>0.5</v>
      </c>
      <c r="H15" s="170">
        <v>12</v>
      </c>
      <c r="I15" s="342" t="s">
        <v>273</v>
      </c>
      <c r="J15" s="343" t="s">
        <v>92</v>
      </c>
      <c r="K15" s="156">
        <v>9.1</v>
      </c>
      <c r="L15" s="157">
        <v>27</v>
      </c>
      <c r="M15" s="158">
        <f t="shared" si="7"/>
        <v>0.33703703703703702</v>
      </c>
      <c r="N15" s="344">
        <f t="shared" si="0"/>
        <v>27.299999999999997</v>
      </c>
      <c r="O15" s="160">
        <f t="shared" si="1"/>
        <v>-0.29999999999999716</v>
      </c>
      <c r="P15" s="353">
        <v>27</v>
      </c>
      <c r="Q15" s="346">
        <f t="shared" si="2"/>
        <v>0.66296296296296287</v>
      </c>
      <c r="R15" s="345">
        <v>28</v>
      </c>
      <c r="S15" s="346">
        <f t="shared" si="3"/>
        <v>0.67499999999999993</v>
      </c>
      <c r="T15" s="347">
        <v>28</v>
      </c>
      <c r="U15" s="346">
        <f t="shared" si="4"/>
        <v>0.67499999999999993</v>
      </c>
      <c r="V15" s="348">
        <f t="shared" si="5"/>
        <v>0.70000000000000284</v>
      </c>
      <c r="X15" s="317">
        <f t="shared" si="6"/>
        <v>29.96</v>
      </c>
    </row>
    <row r="16" spans="1:28" x14ac:dyDescent="0.25">
      <c r="A16" s="26"/>
      <c r="B16" s="215"/>
      <c r="C16" s="215"/>
      <c r="D16" s="203"/>
      <c r="E16" s="216"/>
      <c r="H16" s="82">
        <v>13</v>
      </c>
      <c r="I16" s="428" t="s">
        <v>246</v>
      </c>
      <c r="J16" s="428" t="s">
        <v>55</v>
      </c>
      <c r="K16" s="429">
        <v>3.5</v>
      </c>
      <c r="L16" s="430">
        <v>11</v>
      </c>
      <c r="M16" s="431">
        <f t="shared" si="7"/>
        <v>0.31818181818181818</v>
      </c>
      <c r="N16" s="432">
        <f t="shared" si="0"/>
        <v>10.5</v>
      </c>
      <c r="O16" s="433">
        <f t="shared" si="1"/>
        <v>0.5</v>
      </c>
      <c r="P16" s="434">
        <v>11</v>
      </c>
      <c r="Q16" s="435">
        <f t="shared" si="2"/>
        <v>0.68181818181818177</v>
      </c>
      <c r="R16" s="436">
        <v>12</v>
      </c>
      <c r="S16" s="435">
        <f t="shared" si="3"/>
        <v>0.70833333333333337</v>
      </c>
      <c r="T16" s="437">
        <v>12</v>
      </c>
      <c r="U16" s="435">
        <f t="shared" si="4"/>
        <v>0.70833333333333337</v>
      </c>
      <c r="V16" s="433">
        <f t="shared" si="5"/>
        <v>1.5</v>
      </c>
      <c r="X16" s="317">
        <f t="shared" si="6"/>
        <v>12.84</v>
      </c>
      <c r="Y16" s="319">
        <v>13</v>
      </c>
      <c r="AB16" s="321" t="s">
        <v>402</v>
      </c>
    </row>
    <row r="17" spans="2:28" ht="16.5" thickBot="1" x14ac:dyDescent="0.3">
      <c r="H17" s="82">
        <v>14</v>
      </c>
      <c r="I17" s="401" t="s">
        <v>246</v>
      </c>
      <c r="J17" s="401" t="s">
        <v>93</v>
      </c>
      <c r="K17" s="402">
        <v>11.9</v>
      </c>
      <c r="L17" s="403">
        <v>24</v>
      </c>
      <c r="M17" s="404">
        <f t="shared" si="7"/>
        <v>0.49583333333333335</v>
      </c>
      <c r="N17" s="405">
        <f t="shared" si="0"/>
        <v>35.700000000000003</v>
      </c>
      <c r="O17" s="406">
        <f t="shared" si="1"/>
        <v>-11.700000000000003</v>
      </c>
      <c r="P17" s="407">
        <v>25</v>
      </c>
      <c r="Q17" s="408">
        <f t="shared" si="2"/>
        <v>0.52400000000000002</v>
      </c>
      <c r="R17" s="409">
        <v>26</v>
      </c>
      <c r="S17" s="408">
        <f t="shared" si="3"/>
        <v>0.54230769230769227</v>
      </c>
      <c r="T17" s="410">
        <v>26</v>
      </c>
      <c r="U17" s="408">
        <f t="shared" si="4"/>
        <v>0.54230769230769227</v>
      </c>
      <c r="V17" s="406">
        <f t="shared" si="5"/>
        <v>-9.7000000000000028</v>
      </c>
      <c r="X17" s="317">
        <f t="shared" si="6"/>
        <v>27.82</v>
      </c>
      <c r="Y17" s="319">
        <v>28</v>
      </c>
      <c r="AB17" s="319">
        <v>20</v>
      </c>
    </row>
    <row r="18" spans="2:28" ht="16.5" thickBot="1" x14ac:dyDescent="0.3">
      <c r="B18" s="283" t="s">
        <v>335</v>
      </c>
      <c r="C18" s="284" t="s">
        <v>336</v>
      </c>
      <c r="D18" s="285">
        <v>43101</v>
      </c>
      <c r="E18" s="286"/>
      <c r="H18" s="170">
        <v>15</v>
      </c>
      <c r="I18" s="401" t="s">
        <v>262</v>
      </c>
      <c r="J18" s="401" t="s">
        <v>51</v>
      </c>
      <c r="K18" s="402">
        <v>8.4</v>
      </c>
      <c r="L18" s="403">
        <v>24</v>
      </c>
      <c r="M18" s="404">
        <f t="shared" si="7"/>
        <v>0.35000000000000003</v>
      </c>
      <c r="N18" s="405">
        <f t="shared" si="0"/>
        <v>25.200000000000003</v>
      </c>
      <c r="O18" s="406">
        <f t="shared" si="1"/>
        <v>-1.2000000000000028</v>
      </c>
      <c r="P18" s="407">
        <v>25</v>
      </c>
      <c r="Q18" s="408">
        <f t="shared" si="2"/>
        <v>0.66400000000000003</v>
      </c>
      <c r="R18" s="409">
        <v>26</v>
      </c>
      <c r="S18" s="408">
        <f t="shared" si="3"/>
        <v>0.67692307692307696</v>
      </c>
      <c r="T18" s="410">
        <v>26</v>
      </c>
      <c r="U18" s="408">
        <f t="shared" si="4"/>
        <v>0.67692307692307696</v>
      </c>
      <c r="V18" s="406">
        <f t="shared" si="5"/>
        <v>0.79999999999999716</v>
      </c>
      <c r="X18" s="317">
        <f t="shared" si="6"/>
        <v>27.82</v>
      </c>
    </row>
    <row r="19" spans="2:28" x14ac:dyDescent="0.25">
      <c r="B19" s="245" t="s">
        <v>8</v>
      </c>
      <c r="C19" s="210" t="s">
        <v>23</v>
      </c>
      <c r="D19" s="202">
        <f>+E43</f>
        <v>114.04999999999998</v>
      </c>
      <c r="E19" s="255">
        <f>D19*0.06</f>
        <v>6.8429999999999991</v>
      </c>
      <c r="H19" s="170">
        <v>16</v>
      </c>
      <c r="I19" s="17" t="s">
        <v>249</v>
      </c>
      <c r="J19" s="17" t="s">
        <v>52</v>
      </c>
      <c r="K19" s="110">
        <v>13.5</v>
      </c>
      <c r="L19" s="83">
        <v>24</v>
      </c>
      <c r="M19" s="84">
        <f t="shared" si="7"/>
        <v>0.5625</v>
      </c>
      <c r="N19" s="101">
        <f t="shared" si="0"/>
        <v>40.5</v>
      </c>
      <c r="O19" s="85">
        <f t="shared" si="1"/>
        <v>-16.5</v>
      </c>
      <c r="P19" s="198">
        <v>25</v>
      </c>
      <c r="Q19" s="199">
        <f t="shared" si="2"/>
        <v>0.46</v>
      </c>
      <c r="R19" s="201">
        <v>26</v>
      </c>
      <c r="S19" s="199">
        <f t="shared" si="3"/>
        <v>0.48076923076923078</v>
      </c>
      <c r="T19" s="268">
        <v>26</v>
      </c>
      <c r="U19" s="199">
        <f t="shared" si="4"/>
        <v>0.48076923076923078</v>
      </c>
      <c r="V19" s="85">
        <f t="shared" si="5"/>
        <v>-14.5</v>
      </c>
      <c r="X19" s="317">
        <f t="shared" si="6"/>
        <v>27.82</v>
      </c>
    </row>
    <row r="20" spans="2:28" x14ac:dyDescent="0.25">
      <c r="B20" s="236" t="s">
        <v>12</v>
      </c>
      <c r="C20" s="212" t="s">
        <v>24</v>
      </c>
      <c r="D20" s="33">
        <v>215</v>
      </c>
      <c r="E20" s="256">
        <f>D20/65</f>
        <v>3.3076923076923075</v>
      </c>
      <c r="F20" s="7"/>
      <c r="H20" s="170">
        <v>17</v>
      </c>
      <c r="I20" s="401" t="s">
        <v>406</v>
      </c>
      <c r="J20" s="401" t="s">
        <v>247</v>
      </c>
      <c r="K20" s="402">
        <v>18.28</v>
      </c>
      <c r="L20" s="403">
        <v>45</v>
      </c>
      <c r="M20" s="404">
        <f t="shared" si="7"/>
        <v>0.40622222222222226</v>
      </c>
      <c r="N20" s="405">
        <f t="shared" si="0"/>
        <v>54.84</v>
      </c>
      <c r="O20" s="406">
        <f t="shared" si="1"/>
        <v>-9.8400000000000034</v>
      </c>
      <c r="P20" s="407">
        <v>65</v>
      </c>
      <c r="Q20" s="408">
        <f t="shared" si="2"/>
        <v>0.71876923076923072</v>
      </c>
      <c r="R20" s="409">
        <v>68</v>
      </c>
      <c r="S20" s="408">
        <f t="shared" si="3"/>
        <v>0.73117647058823532</v>
      </c>
      <c r="T20" s="530">
        <v>70</v>
      </c>
      <c r="U20" s="408">
        <f t="shared" si="4"/>
        <v>0.73885714285714288</v>
      </c>
      <c r="V20" s="406">
        <f t="shared" si="5"/>
        <v>15.159999999999997</v>
      </c>
      <c r="X20" s="317">
        <f t="shared" si="6"/>
        <v>72.760000000000005</v>
      </c>
    </row>
    <row r="21" spans="2:28" x14ac:dyDescent="0.25">
      <c r="B21" s="236" t="s">
        <v>11</v>
      </c>
      <c r="C21" s="212" t="s">
        <v>277</v>
      </c>
      <c r="D21" s="34">
        <v>215</v>
      </c>
      <c r="E21" s="256">
        <f>D21/12</f>
        <v>17.916666666666668</v>
      </c>
      <c r="F21" s="7"/>
      <c r="H21" s="82">
        <v>18</v>
      </c>
      <c r="I21" s="401" t="s">
        <v>406</v>
      </c>
      <c r="J21" s="401" t="s">
        <v>248</v>
      </c>
      <c r="K21" s="402">
        <v>19</v>
      </c>
      <c r="L21" s="403">
        <v>45</v>
      </c>
      <c r="M21" s="404">
        <f t="shared" si="7"/>
        <v>0.42222222222222222</v>
      </c>
      <c r="N21" s="405">
        <f t="shared" si="0"/>
        <v>57</v>
      </c>
      <c r="O21" s="406">
        <f t="shared" si="1"/>
        <v>-12</v>
      </c>
      <c r="P21" s="407">
        <v>65</v>
      </c>
      <c r="Q21" s="408">
        <f t="shared" si="2"/>
        <v>0.70769230769230773</v>
      </c>
      <c r="R21" s="409">
        <v>68</v>
      </c>
      <c r="S21" s="408">
        <f t="shared" si="3"/>
        <v>0.72058823529411764</v>
      </c>
      <c r="T21" s="530">
        <v>70</v>
      </c>
      <c r="U21" s="408">
        <f t="shared" si="4"/>
        <v>0.72857142857142854</v>
      </c>
      <c r="V21" s="406">
        <f t="shared" si="5"/>
        <v>13</v>
      </c>
      <c r="X21" s="317">
        <f t="shared" si="6"/>
        <v>72.760000000000005</v>
      </c>
    </row>
    <row r="22" spans="2:28" x14ac:dyDescent="0.25">
      <c r="B22" s="236" t="s">
        <v>9</v>
      </c>
      <c r="C22" s="212" t="s">
        <v>212</v>
      </c>
      <c r="D22" s="34">
        <v>68.5</v>
      </c>
      <c r="E22" s="256">
        <f>D22/10</f>
        <v>6.85</v>
      </c>
      <c r="H22" s="82">
        <v>19</v>
      </c>
      <c r="I22" s="401" t="s">
        <v>407</v>
      </c>
      <c r="J22" s="401" t="s">
        <v>280</v>
      </c>
      <c r="K22" s="402">
        <v>8.8699999999999992</v>
      </c>
      <c r="L22" s="403">
        <v>40</v>
      </c>
      <c r="M22" s="404">
        <f t="shared" si="7"/>
        <v>0.22174999999999997</v>
      </c>
      <c r="N22" s="405">
        <f t="shared" si="0"/>
        <v>26.61</v>
      </c>
      <c r="O22" s="406">
        <f t="shared" si="1"/>
        <v>13.39</v>
      </c>
      <c r="P22" s="407">
        <v>40</v>
      </c>
      <c r="Q22" s="408">
        <f t="shared" si="2"/>
        <v>0.77825000000000011</v>
      </c>
      <c r="R22" s="409">
        <v>42</v>
      </c>
      <c r="S22" s="408">
        <f t="shared" si="3"/>
        <v>0.78880952380952385</v>
      </c>
      <c r="T22" s="410">
        <v>42</v>
      </c>
      <c r="U22" s="408">
        <f t="shared" si="4"/>
        <v>0.78880952380952385</v>
      </c>
      <c r="V22" s="406">
        <f t="shared" si="5"/>
        <v>15.39</v>
      </c>
      <c r="X22" s="317">
        <f t="shared" si="6"/>
        <v>44.940000000000005</v>
      </c>
    </row>
    <row r="23" spans="2:28" x14ac:dyDescent="0.25">
      <c r="B23" s="236" t="s">
        <v>83</v>
      </c>
      <c r="C23" s="212" t="s">
        <v>84</v>
      </c>
      <c r="D23" s="34">
        <v>21.99</v>
      </c>
      <c r="E23" s="256">
        <f>D23/6</f>
        <v>3.6649999999999996</v>
      </c>
      <c r="H23" s="170">
        <v>20</v>
      </c>
      <c r="I23" s="401" t="s">
        <v>407</v>
      </c>
      <c r="J23" s="401" t="s">
        <v>98</v>
      </c>
      <c r="K23" s="402">
        <v>9.33</v>
      </c>
      <c r="L23" s="403">
        <v>35</v>
      </c>
      <c r="M23" s="404">
        <f t="shared" si="7"/>
        <v>0.26657142857142857</v>
      </c>
      <c r="N23" s="405">
        <f t="shared" si="0"/>
        <v>27.990000000000002</v>
      </c>
      <c r="O23" s="406">
        <f t="shared" si="1"/>
        <v>7.009999999999998</v>
      </c>
      <c r="P23" s="407">
        <v>40</v>
      </c>
      <c r="Q23" s="408">
        <f t="shared" si="2"/>
        <v>0.76675000000000004</v>
      </c>
      <c r="R23" s="409">
        <v>42</v>
      </c>
      <c r="S23" s="408">
        <f t="shared" si="3"/>
        <v>0.77785714285714291</v>
      </c>
      <c r="T23" s="410">
        <v>42</v>
      </c>
      <c r="U23" s="408">
        <f t="shared" si="4"/>
        <v>0.77785714285714291</v>
      </c>
      <c r="V23" s="406">
        <f t="shared" si="5"/>
        <v>14.009999999999998</v>
      </c>
      <c r="X23" s="317">
        <f t="shared" si="6"/>
        <v>44.940000000000005</v>
      </c>
    </row>
    <row r="24" spans="2:28" x14ac:dyDescent="0.25">
      <c r="B24" s="236" t="s">
        <v>10</v>
      </c>
      <c r="C24" s="212" t="s">
        <v>16</v>
      </c>
      <c r="D24" s="34">
        <v>185</v>
      </c>
      <c r="E24" s="257">
        <f>D24/24</f>
        <v>7.708333333333333</v>
      </c>
      <c r="H24" s="170">
        <v>21</v>
      </c>
      <c r="I24" s="17" t="s">
        <v>276</v>
      </c>
      <c r="J24" s="17" t="s">
        <v>103</v>
      </c>
      <c r="K24" s="110">
        <v>13</v>
      </c>
      <c r="L24" s="83">
        <v>24</v>
      </c>
      <c r="M24" s="84">
        <f t="shared" si="7"/>
        <v>0.54166666666666663</v>
      </c>
      <c r="N24" s="101">
        <f t="shared" si="0"/>
        <v>39</v>
      </c>
      <c r="O24" s="85">
        <f t="shared" si="1"/>
        <v>-15</v>
      </c>
      <c r="P24" s="118">
        <v>25</v>
      </c>
      <c r="Q24" s="104">
        <f>(P24-K24)/P24</f>
        <v>0.48</v>
      </c>
      <c r="R24" s="201">
        <v>26</v>
      </c>
      <c r="S24" s="199">
        <f t="shared" si="3"/>
        <v>0.5</v>
      </c>
      <c r="T24" s="268">
        <v>26</v>
      </c>
      <c r="U24" s="199">
        <f t="shared" si="4"/>
        <v>0.5</v>
      </c>
      <c r="V24" s="85">
        <f t="shared" si="5"/>
        <v>-13</v>
      </c>
      <c r="X24" s="317">
        <f t="shared" si="6"/>
        <v>27.82</v>
      </c>
    </row>
    <row r="25" spans="2:28" x14ac:dyDescent="0.25">
      <c r="B25" s="236" t="s">
        <v>13</v>
      </c>
      <c r="C25" s="212" t="s">
        <v>16</v>
      </c>
      <c r="D25" s="33">
        <v>122</v>
      </c>
      <c r="E25" s="256">
        <f>D25/14</f>
        <v>8.7142857142857135</v>
      </c>
      <c r="H25" s="170">
        <v>22</v>
      </c>
      <c r="I25" s="17" t="s">
        <v>276</v>
      </c>
      <c r="J25" s="17" t="s">
        <v>104</v>
      </c>
      <c r="K25" s="110">
        <v>11.48</v>
      </c>
      <c r="L25" s="83">
        <v>24</v>
      </c>
      <c r="M25" s="84">
        <f t="shared" si="7"/>
        <v>0.47833333333333333</v>
      </c>
      <c r="N25" s="101">
        <f t="shared" si="0"/>
        <v>34.44</v>
      </c>
      <c r="O25" s="85">
        <f t="shared" si="1"/>
        <v>-10.439999999999998</v>
      </c>
      <c r="P25" s="118">
        <v>25</v>
      </c>
      <c r="Q25" s="104">
        <f t="shared" si="2"/>
        <v>0.54079999999999995</v>
      </c>
      <c r="R25" s="201">
        <v>26</v>
      </c>
      <c r="S25" s="199">
        <f t="shared" si="3"/>
        <v>0.55846153846153845</v>
      </c>
      <c r="T25" s="268">
        <v>26</v>
      </c>
      <c r="U25" s="199">
        <f t="shared" si="4"/>
        <v>0.55846153846153845</v>
      </c>
      <c r="V25" s="85">
        <f t="shared" si="5"/>
        <v>-8.4399999999999977</v>
      </c>
      <c r="X25" s="317">
        <f t="shared" si="6"/>
        <v>27.82</v>
      </c>
    </row>
    <row r="26" spans="2:28" x14ac:dyDescent="0.25">
      <c r="B26" s="236" t="s">
        <v>82</v>
      </c>
      <c r="C26" s="212" t="s">
        <v>16</v>
      </c>
      <c r="D26" s="33">
        <v>82</v>
      </c>
      <c r="E26" s="256">
        <f>D26/14</f>
        <v>5.8571428571428568</v>
      </c>
      <c r="H26" s="170">
        <v>23</v>
      </c>
      <c r="I26" s="17" t="s">
        <v>250</v>
      </c>
      <c r="J26" s="17" t="s">
        <v>136</v>
      </c>
      <c r="K26" s="110">
        <f>E7+E29</f>
        <v>7.08</v>
      </c>
      <c r="L26" s="83">
        <v>23</v>
      </c>
      <c r="M26" s="84">
        <f t="shared" si="7"/>
        <v>0.30782608695652175</v>
      </c>
      <c r="N26" s="101">
        <f t="shared" si="0"/>
        <v>21.240000000000002</v>
      </c>
      <c r="O26" s="85">
        <f t="shared" si="1"/>
        <v>1.759999999999998</v>
      </c>
      <c r="P26" s="118">
        <v>24</v>
      </c>
      <c r="Q26" s="104">
        <f t="shared" si="2"/>
        <v>0.70500000000000007</v>
      </c>
      <c r="R26" s="201">
        <v>24</v>
      </c>
      <c r="S26" s="199">
        <f t="shared" si="3"/>
        <v>0.70500000000000007</v>
      </c>
      <c r="T26" s="268">
        <v>24</v>
      </c>
      <c r="U26" s="199">
        <f t="shared" si="4"/>
        <v>0.70500000000000007</v>
      </c>
      <c r="V26" s="85">
        <f t="shared" si="5"/>
        <v>2.759999999999998</v>
      </c>
      <c r="X26" s="317">
        <f t="shared" si="6"/>
        <v>25.68</v>
      </c>
    </row>
    <row r="27" spans="2:28" x14ac:dyDescent="0.25">
      <c r="B27" s="236" t="s">
        <v>14</v>
      </c>
      <c r="C27" s="212" t="s">
        <v>16</v>
      </c>
      <c r="D27" s="33">
        <v>145</v>
      </c>
      <c r="E27" s="256">
        <f>D27/14</f>
        <v>10.357142857142858</v>
      </c>
      <c r="H27" s="82">
        <v>24</v>
      </c>
      <c r="I27" s="17" t="s">
        <v>410</v>
      </c>
      <c r="J27" s="17" t="s">
        <v>53</v>
      </c>
      <c r="K27" s="110">
        <v>15.28</v>
      </c>
      <c r="L27" s="83">
        <v>24</v>
      </c>
      <c r="M27" s="84">
        <f t="shared" si="7"/>
        <v>0.6366666666666666</v>
      </c>
      <c r="N27" s="101">
        <f t="shared" si="0"/>
        <v>45.839999999999996</v>
      </c>
      <c r="O27" s="85">
        <f t="shared" si="1"/>
        <v>-21.839999999999996</v>
      </c>
      <c r="P27" s="118">
        <v>25</v>
      </c>
      <c r="Q27" s="104">
        <f t="shared" si="2"/>
        <v>0.38880000000000003</v>
      </c>
      <c r="R27" s="201">
        <v>26</v>
      </c>
      <c r="S27" s="199">
        <f t="shared" si="3"/>
        <v>0.41230769230769232</v>
      </c>
      <c r="T27" s="268">
        <v>26</v>
      </c>
      <c r="U27" s="199">
        <f t="shared" si="4"/>
        <v>0.41230769230769232</v>
      </c>
      <c r="V27" s="85">
        <f t="shared" si="5"/>
        <v>-19.839999999999996</v>
      </c>
      <c r="X27" s="317">
        <f t="shared" si="6"/>
        <v>27.82</v>
      </c>
    </row>
    <row r="28" spans="2:28" x14ac:dyDescent="0.25">
      <c r="B28" s="236" t="s">
        <v>89</v>
      </c>
      <c r="C28" s="212" t="s">
        <v>16</v>
      </c>
      <c r="D28" s="33">
        <v>92.8</v>
      </c>
      <c r="E28" s="256">
        <f>D28/13</f>
        <v>7.138461538461538</v>
      </c>
      <c r="H28" s="82">
        <v>25</v>
      </c>
      <c r="I28" s="17" t="s">
        <v>410</v>
      </c>
      <c r="J28" s="17" t="s">
        <v>71</v>
      </c>
      <c r="K28" s="110">
        <v>11.53</v>
      </c>
      <c r="L28" s="83">
        <v>24</v>
      </c>
      <c r="M28" s="84">
        <f t="shared" si="7"/>
        <v>0.48041666666666666</v>
      </c>
      <c r="N28" s="101">
        <f t="shared" si="0"/>
        <v>34.589999999999996</v>
      </c>
      <c r="O28" s="85">
        <f t="shared" si="1"/>
        <v>-10.589999999999996</v>
      </c>
      <c r="P28" s="118">
        <v>25</v>
      </c>
      <c r="Q28" s="104">
        <f t="shared" si="2"/>
        <v>0.53880000000000006</v>
      </c>
      <c r="R28" s="201">
        <v>26</v>
      </c>
      <c r="S28" s="199">
        <f t="shared" si="3"/>
        <v>0.55653846153846154</v>
      </c>
      <c r="T28" s="268">
        <v>26</v>
      </c>
      <c r="U28" s="199">
        <f t="shared" si="4"/>
        <v>0.55653846153846154</v>
      </c>
      <c r="V28" s="85">
        <f t="shared" si="5"/>
        <v>-8.5899999999999963</v>
      </c>
      <c r="X28" s="317">
        <f t="shared" si="6"/>
        <v>27.82</v>
      </c>
    </row>
    <row r="29" spans="2:28" x14ac:dyDescent="0.25">
      <c r="B29" s="236" t="s">
        <v>242</v>
      </c>
      <c r="C29" s="212" t="s">
        <v>16</v>
      </c>
      <c r="D29" s="34">
        <v>103</v>
      </c>
      <c r="E29" s="256">
        <f>(D29/1000)*60</f>
        <v>6.18</v>
      </c>
      <c r="H29" s="82">
        <v>26</v>
      </c>
      <c r="I29" s="17" t="s">
        <v>410</v>
      </c>
      <c r="J29" s="17" t="s">
        <v>137</v>
      </c>
      <c r="K29" s="110">
        <v>11.2</v>
      </c>
      <c r="L29" s="83">
        <v>25</v>
      </c>
      <c r="M29" s="84">
        <f t="shared" si="7"/>
        <v>0.44799999999999995</v>
      </c>
      <c r="N29" s="101">
        <f t="shared" si="0"/>
        <v>33.599999999999994</v>
      </c>
      <c r="O29" s="85">
        <f t="shared" si="1"/>
        <v>-8.5999999999999943</v>
      </c>
      <c r="P29" s="118">
        <v>25</v>
      </c>
      <c r="Q29" s="104">
        <f t="shared" si="2"/>
        <v>0.55200000000000005</v>
      </c>
      <c r="R29" s="201">
        <v>26</v>
      </c>
      <c r="S29" s="199">
        <f t="shared" si="3"/>
        <v>0.56923076923076921</v>
      </c>
      <c r="T29" s="268">
        <v>26</v>
      </c>
      <c r="U29" s="199">
        <f t="shared" si="4"/>
        <v>0.56923076923076921</v>
      </c>
      <c r="V29" s="85">
        <f t="shared" si="5"/>
        <v>-7.5999999999999943</v>
      </c>
      <c r="X29" s="317">
        <f t="shared" si="6"/>
        <v>27.82</v>
      </c>
    </row>
    <row r="30" spans="2:28" x14ac:dyDescent="0.25">
      <c r="B30" s="239" t="s">
        <v>243</v>
      </c>
      <c r="C30" s="214" t="s">
        <v>16</v>
      </c>
      <c r="D30" s="34">
        <v>34</v>
      </c>
      <c r="E30" s="256">
        <f>D30/14</f>
        <v>2.4285714285714284</v>
      </c>
      <c r="H30" s="82">
        <v>27</v>
      </c>
      <c r="I30" s="17" t="s">
        <v>410</v>
      </c>
      <c r="J30" s="17" t="s">
        <v>106</v>
      </c>
      <c r="K30" s="110">
        <v>13.6</v>
      </c>
      <c r="L30" s="83">
        <v>25</v>
      </c>
      <c r="M30" s="84">
        <f t="shared" si="7"/>
        <v>0.54400000000000004</v>
      </c>
      <c r="N30" s="101">
        <f t="shared" si="0"/>
        <v>40.799999999999997</v>
      </c>
      <c r="O30" s="85">
        <f t="shared" si="1"/>
        <v>-15.799999999999997</v>
      </c>
      <c r="P30" s="118">
        <v>25</v>
      </c>
      <c r="Q30" s="104">
        <f t="shared" si="2"/>
        <v>0.45600000000000002</v>
      </c>
      <c r="R30" s="201">
        <v>26</v>
      </c>
      <c r="S30" s="199">
        <f t="shared" si="3"/>
        <v>0.47692307692307695</v>
      </c>
      <c r="T30" s="268">
        <v>26</v>
      </c>
      <c r="U30" s="199">
        <f t="shared" si="4"/>
        <v>0.47692307692307695</v>
      </c>
      <c r="V30" s="85">
        <f t="shared" si="5"/>
        <v>-14.799999999999997</v>
      </c>
      <c r="X30" s="317">
        <f t="shared" si="6"/>
        <v>27.82</v>
      </c>
    </row>
    <row r="31" spans="2:28" ht="16.5" thickBot="1" x14ac:dyDescent="0.3">
      <c r="B31" s="239" t="s">
        <v>80</v>
      </c>
      <c r="C31" s="214" t="s">
        <v>16</v>
      </c>
      <c r="D31" s="34">
        <v>66</v>
      </c>
      <c r="E31" s="256">
        <f>D31/14</f>
        <v>4.7142857142857144</v>
      </c>
      <c r="H31" s="82">
        <v>28</v>
      </c>
      <c r="I31" s="17" t="s">
        <v>410</v>
      </c>
      <c r="J31" s="125" t="s">
        <v>54</v>
      </c>
      <c r="K31" s="126">
        <v>17.8</v>
      </c>
      <c r="L31" s="127">
        <v>28</v>
      </c>
      <c r="M31" s="128">
        <f t="shared" si="7"/>
        <v>0.63571428571428579</v>
      </c>
      <c r="N31" s="447">
        <f t="shared" si="0"/>
        <v>53.400000000000006</v>
      </c>
      <c r="O31" s="130">
        <f t="shared" si="1"/>
        <v>-25.400000000000006</v>
      </c>
      <c r="P31" s="131">
        <v>33</v>
      </c>
      <c r="Q31" s="132">
        <f t="shared" si="2"/>
        <v>0.46060606060606057</v>
      </c>
      <c r="R31" s="448">
        <v>34</v>
      </c>
      <c r="S31" s="449">
        <f t="shared" si="3"/>
        <v>0.47647058823529409</v>
      </c>
      <c r="T31" s="450">
        <v>34</v>
      </c>
      <c r="U31" s="449">
        <f t="shared" si="4"/>
        <v>0.47647058823529409</v>
      </c>
      <c r="V31" s="130">
        <f t="shared" si="5"/>
        <v>-19.400000000000006</v>
      </c>
      <c r="X31" s="317">
        <f t="shared" si="6"/>
        <v>36.380000000000003</v>
      </c>
    </row>
    <row r="32" spans="2:28" x14ac:dyDescent="0.25">
      <c r="B32" s="239" t="s">
        <v>141</v>
      </c>
      <c r="C32" s="214" t="s">
        <v>16</v>
      </c>
      <c r="D32" s="34">
        <v>78</v>
      </c>
      <c r="E32" s="257">
        <f>+D32/12</f>
        <v>6.5</v>
      </c>
      <c r="F32" s="26"/>
      <c r="G32" s="26"/>
      <c r="H32" s="170">
        <v>29</v>
      </c>
      <c r="I32" s="451" t="s">
        <v>408</v>
      </c>
      <c r="J32" s="452" t="s">
        <v>114</v>
      </c>
      <c r="K32" s="589">
        <v>25.77</v>
      </c>
      <c r="L32" s="454">
        <v>65</v>
      </c>
      <c r="M32" s="455">
        <f t="shared" si="7"/>
        <v>0.39646153846153848</v>
      </c>
      <c r="N32" s="456">
        <f t="shared" si="0"/>
        <v>77.31</v>
      </c>
      <c r="O32" s="457">
        <f t="shared" si="1"/>
        <v>-12.310000000000002</v>
      </c>
      <c r="P32" s="458">
        <v>65</v>
      </c>
      <c r="Q32" s="459">
        <f t="shared" si="2"/>
        <v>0.60353846153846158</v>
      </c>
      <c r="R32" s="460">
        <v>68</v>
      </c>
      <c r="S32" s="459">
        <f t="shared" si="3"/>
        <v>0.62102941176470594</v>
      </c>
      <c r="T32" s="461">
        <v>68</v>
      </c>
      <c r="U32" s="459">
        <f t="shared" si="4"/>
        <v>0.62102941176470594</v>
      </c>
      <c r="V32" s="462">
        <f t="shared" si="5"/>
        <v>-9.3100000000000023</v>
      </c>
      <c r="X32" s="317">
        <f t="shared" si="6"/>
        <v>72.760000000000005</v>
      </c>
    </row>
    <row r="33" spans="2:24" x14ac:dyDescent="0.25">
      <c r="B33" s="239" t="s">
        <v>142</v>
      </c>
      <c r="C33" s="214" t="s">
        <v>16</v>
      </c>
      <c r="D33" s="34">
        <v>47</v>
      </c>
      <c r="E33" s="257">
        <f>+D33/16.6</f>
        <v>2.831325301204819</v>
      </c>
      <c r="F33" s="26"/>
      <c r="G33" s="26"/>
      <c r="H33" s="170">
        <v>30</v>
      </c>
      <c r="I33" s="463" t="s">
        <v>109</v>
      </c>
      <c r="J33" s="401" t="s">
        <v>115</v>
      </c>
      <c r="K33" s="110">
        <v>22.03</v>
      </c>
      <c r="L33" s="403">
        <v>65</v>
      </c>
      <c r="M33" s="404">
        <f t="shared" si="7"/>
        <v>0.33892307692307694</v>
      </c>
      <c r="N33" s="405">
        <f t="shared" si="0"/>
        <v>66.09</v>
      </c>
      <c r="O33" s="406">
        <f t="shared" si="1"/>
        <v>-1.0900000000000034</v>
      </c>
      <c r="P33" s="407">
        <v>65</v>
      </c>
      <c r="Q33" s="408">
        <f t="shared" si="2"/>
        <v>0.66107692307692301</v>
      </c>
      <c r="R33" s="409">
        <v>68</v>
      </c>
      <c r="S33" s="408">
        <f t="shared" si="3"/>
        <v>0.67602941176470588</v>
      </c>
      <c r="T33" s="410">
        <v>68</v>
      </c>
      <c r="U33" s="408">
        <f t="shared" si="4"/>
        <v>0.67602941176470588</v>
      </c>
      <c r="V33" s="464">
        <f t="shared" si="5"/>
        <v>1.9099999999999966</v>
      </c>
      <c r="X33" s="317">
        <f t="shared" si="6"/>
        <v>72.760000000000005</v>
      </c>
    </row>
    <row r="34" spans="2:24" ht="16.5" thickBot="1" x14ac:dyDescent="0.3">
      <c r="B34" s="239" t="s">
        <v>328</v>
      </c>
      <c r="C34" s="214" t="s">
        <v>16</v>
      </c>
      <c r="D34" s="34">
        <v>17</v>
      </c>
      <c r="E34" s="257">
        <f>+D34/16.6</f>
        <v>1.0240963855421685</v>
      </c>
      <c r="H34" s="170">
        <v>31</v>
      </c>
      <c r="I34" s="465" t="s">
        <v>109</v>
      </c>
      <c r="J34" s="466" t="s">
        <v>116</v>
      </c>
      <c r="K34" s="590">
        <v>24.81</v>
      </c>
      <c r="L34" s="468">
        <v>65</v>
      </c>
      <c r="M34" s="469">
        <f t="shared" si="7"/>
        <v>0.38169230769230766</v>
      </c>
      <c r="N34" s="470">
        <f t="shared" si="0"/>
        <v>74.429999999999993</v>
      </c>
      <c r="O34" s="471">
        <f t="shared" si="1"/>
        <v>-9.4299999999999926</v>
      </c>
      <c r="P34" s="472">
        <v>65</v>
      </c>
      <c r="Q34" s="473">
        <f t="shared" si="2"/>
        <v>0.61830769230769222</v>
      </c>
      <c r="R34" s="474">
        <v>68</v>
      </c>
      <c r="S34" s="473">
        <f t="shared" si="3"/>
        <v>0.6351470588235294</v>
      </c>
      <c r="T34" s="475">
        <v>68</v>
      </c>
      <c r="U34" s="473">
        <f t="shared" si="4"/>
        <v>0.6351470588235294</v>
      </c>
      <c r="V34" s="476">
        <f t="shared" si="5"/>
        <v>-6.4299999999999926</v>
      </c>
      <c r="X34" s="317">
        <f t="shared" si="6"/>
        <v>72.760000000000005</v>
      </c>
    </row>
    <row r="35" spans="2:24" x14ac:dyDescent="0.25">
      <c r="B35" s="236" t="s">
        <v>120</v>
      </c>
      <c r="C35" s="212" t="s">
        <v>16</v>
      </c>
      <c r="D35" s="34">
        <v>17</v>
      </c>
      <c r="E35" s="257">
        <f>+D35/3.3</f>
        <v>5.1515151515151514</v>
      </c>
      <c r="H35" s="170">
        <v>32</v>
      </c>
      <c r="I35" s="477" t="s">
        <v>109</v>
      </c>
      <c r="J35" s="428" t="s">
        <v>117</v>
      </c>
      <c r="K35" s="136">
        <v>28.29</v>
      </c>
      <c r="L35" s="430">
        <v>75</v>
      </c>
      <c r="M35" s="431">
        <f t="shared" si="7"/>
        <v>0.37719999999999998</v>
      </c>
      <c r="N35" s="432">
        <f t="shared" si="0"/>
        <v>84.87</v>
      </c>
      <c r="O35" s="433">
        <f t="shared" si="1"/>
        <v>-9.8700000000000045</v>
      </c>
      <c r="P35" s="434">
        <v>75</v>
      </c>
      <c r="Q35" s="435">
        <f t="shared" si="2"/>
        <v>0.62280000000000002</v>
      </c>
      <c r="R35" s="436">
        <v>78</v>
      </c>
      <c r="S35" s="435">
        <f t="shared" si="3"/>
        <v>0.63730769230769235</v>
      </c>
      <c r="T35" s="530">
        <v>85</v>
      </c>
      <c r="U35" s="435">
        <f t="shared" si="4"/>
        <v>0.66717647058823526</v>
      </c>
      <c r="V35" s="478">
        <f t="shared" si="5"/>
        <v>0.12999999999999545</v>
      </c>
      <c r="X35" s="317">
        <f t="shared" si="6"/>
        <v>83.460000000000008</v>
      </c>
    </row>
    <row r="36" spans="2:24" x14ac:dyDescent="0.25">
      <c r="B36" s="239" t="s">
        <v>245</v>
      </c>
      <c r="C36" s="214" t="s">
        <v>16</v>
      </c>
      <c r="D36" s="34">
        <v>0</v>
      </c>
      <c r="E36" s="256">
        <f>D36/14</f>
        <v>0</v>
      </c>
      <c r="H36" s="170">
        <v>33</v>
      </c>
      <c r="I36" s="463" t="s">
        <v>109</v>
      </c>
      <c r="J36" s="401" t="s">
        <v>118</v>
      </c>
      <c r="K36" s="110">
        <v>31.53</v>
      </c>
      <c r="L36" s="403">
        <v>75</v>
      </c>
      <c r="M36" s="404">
        <f t="shared" si="7"/>
        <v>0.4204</v>
      </c>
      <c r="N36" s="405">
        <f t="shared" si="0"/>
        <v>94.59</v>
      </c>
      <c r="O36" s="406">
        <f t="shared" si="1"/>
        <v>-19.590000000000003</v>
      </c>
      <c r="P36" s="407">
        <v>75</v>
      </c>
      <c r="Q36" s="408">
        <f t="shared" si="2"/>
        <v>0.5796</v>
      </c>
      <c r="R36" s="409">
        <v>78</v>
      </c>
      <c r="S36" s="408">
        <f t="shared" si="3"/>
        <v>0.59576923076923072</v>
      </c>
      <c r="T36" s="530">
        <v>85</v>
      </c>
      <c r="U36" s="408">
        <f t="shared" si="4"/>
        <v>0.62905882352941178</v>
      </c>
      <c r="V36" s="464">
        <f t="shared" si="5"/>
        <v>-9.5900000000000034</v>
      </c>
      <c r="X36" s="317">
        <f t="shared" si="6"/>
        <v>83.460000000000008</v>
      </c>
    </row>
    <row r="37" spans="2:24" ht="16.5" thickBot="1" x14ac:dyDescent="0.3">
      <c r="B37" s="239" t="s">
        <v>146</v>
      </c>
      <c r="C37" s="214" t="s">
        <v>16</v>
      </c>
      <c r="D37" s="34">
        <v>38.5</v>
      </c>
      <c r="E37" s="257">
        <f>+D37/16.6</f>
        <v>2.3192771084337349</v>
      </c>
      <c r="H37" s="170">
        <v>34</v>
      </c>
      <c r="I37" s="465" t="s">
        <v>109</v>
      </c>
      <c r="J37" s="466" t="s">
        <v>119</v>
      </c>
      <c r="K37" s="590">
        <v>24.75</v>
      </c>
      <c r="L37" s="468">
        <v>75</v>
      </c>
      <c r="M37" s="469">
        <f t="shared" si="7"/>
        <v>0.33</v>
      </c>
      <c r="N37" s="470">
        <f t="shared" si="0"/>
        <v>74.25</v>
      </c>
      <c r="O37" s="471">
        <f t="shared" si="1"/>
        <v>0.75</v>
      </c>
      <c r="P37" s="472">
        <v>75</v>
      </c>
      <c r="Q37" s="473">
        <f t="shared" si="2"/>
        <v>0.67</v>
      </c>
      <c r="R37" s="474">
        <v>78</v>
      </c>
      <c r="S37" s="473">
        <f t="shared" si="3"/>
        <v>0.68269230769230771</v>
      </c>
      <c r="T37" s="532">
        <v>85</v>
      </c>
      <c r="U37" s="473">
        <f t="shared" si="4"/>
        <v>0.70882352941176474</v>
      </c>
      <c r="V37" s="476">
        <f t="shared" si="5"/>
        <v>10.75</v>
      </c>
      <c r="X37" s="317">
        <f t="shared" si="6"/>
        <v>83.460000000000008</v>
      </c>
    </row>
    <row r="38" spans="2:24" x14ac:dyDescent="0.25">
      <c r="B38" s="239" t="s">
        <v>193</v>
      </c>
      <c r="C38" s="214" t="s">
        <v>16</v>
      </c>
      <c r="D38" s="34">
        <v>68</v>
      </c>
      <c r="E38" s="247">
        <f>+D38/16</f>
        <v>4.25</v>
      </c>
      <c r="H38" s="82">
        <v>35</v>
      </c>
      <c r="I38" s="135" t="s">
        <v>107</v>
      </c>
      <c r="J38" s="135" t="s">
        <v>45</v>
      </c>
      <c r="K38" s="136">
        <f>E9+E29+E19</f>
        <v>14.722999999999999</v>
      </c>
      <c r="L38" s="137">
        <v>45</v>
      </c>
      <c r="M38" s="138">
        <f t="shared" si="7"/>
        <v>0.32717777777777773</v>
      </c>
      <c r="N38" s="331">
        <f t="shared" si="0"/>
        <v>44.168999999999997</v>
      </c>
      <c r="O38" s="140">
        <f t="shared" si="1"/>
        <v>0.83100000000000307</v>
      </c>
      <c r="P38" s="349">
        <v>45</v>
      </c>
      <c r="Q38" s="333">
        <f t="shared" si="2"/>
        <v>0.67282222222222221</v>
      </c>
      <c r="R38" s="332">
        <v>45</v>
      </c>
      <c r="S38" s="333">
        <f t="shared" si="3"/>
        <v>0.67282222222222221</v>
      </c>
      <c r="T38" s="334">
        <v>45</v>
      </c>
      <c r="U38" s="333">
        <f t="shared" si="4"/>
        <v>0.67282222222222221</v>
      </c>
      <c r="V38" s="140">
        <f t="shared" si="5"/>
        <v>0.83100000000000307</v>
      </c>
      <c r="X38" s="317">
        <f>+R38*$X$3</f>
        <v>48.150000000000006</v>
      </c>
    </row>
    <row r="39" spans="2:24" x14ac:dyDescent="0.25">
      <c r="B39" s="239" t="s">
        <v>278</v>
      </c>
      <c r="C39" s="212" t="s">
        <v>16</v>
      </c>
      <c r="D39" s="34">
        <v>63</v>
      </c>
      <c r="E39" s="258">
        <f>+D39/5</f>
        <v>12.6</v>
      </c>
      <c r="H39" s="82">
        <v>36</v>
      </c>
      <c r="I39" s="379" t="s">
        <v>107</v>
      </c>
      <c r="J39" s="379" t="s">
        <v>46</v>
      </c>
      <c r="K39" s="380">
        <v>18.38</v>
      </c>
      <c r="L39" s="381">
        <v>42</v>
      </c>
      <c r="M39" s="382">
        <f t="shared" si="7"/>
        <v>0.43761904761904757</v>
      </c>
      <c r="N39" s="383">
        <f t="shared" si="0"/>
        <v>55.14</v>
      </c>
      <c r="O39" s="384">
        <f t="shared" si="1"/>
        <v>-13.14</v>
      </c>
      <c r="P39" s="385">
        <v>50</v>
      </c>
      <c r="Q39" s="386">
        <f t="shared" si="2"/>
        <v>0.63240000000000007</v>
      </c>
      <c r="R39" s="387">
        <v>52</v>
      </c>
      <c r="S39" s="386">
        <f t="shared" si="3"/>
        <v>0.64653846153846162</v>
      </c>
      <c r="T39" s="269">
        <v>52</v>
      </c>
      <c r="U39" s="386">
        <f t="shared" si="4"/>
        <v>0.64653846153846162</v>
      </c>
      <c r="V39" s="384">
        <f t="shared" si="5"/>
        <v>-3.1400000000000006</v>
      </c>
      <c r="X39" s="317">
        <f t="shared" si="6"/>
        <v>55.64</v>
      </c>
    </row>
    <row r="40" spans="2:24" x14ac:dyDescent="0.25">
      <c r="B40" s="239" t="s">
        <v>211</v>
      </c>
      <c r="C40" s="212" t="s">
        <v>16</v>
      </c>
      <c r="D40" s="34">
        <v>30</v>
      </c>
      <c r="E40" s="258">
        <f>+D40/6.6</f>
        <v>4.5454545454545459</v>
      </c>
      <c r="H40" s="82">
        <v>37</v>
      </c>
      <c r="I40" s="379" t="s">
        <v>107</v>
      </c>
      <c r="J40" s="379" t="s">
        <v>47</v>
      </c>
      <c r="K40" s="380">
        <v>14.63</v>
      </c>
      <c r="L40" s="381">
        <v>42</v>
      </c>
      <c r="M40" s="382">
        <f t="shared" si="7"/>
        <v>0.34833333333333333</v>
      </c>
      <c r="N40" s="383">
        <f t="shared" si="0"/>
        <v>43.89</v>
      </c>
      <c r="O40" s="384">
        <f t="shared" si="1"/>
        <v>-1.8900000000000006</v>
      </c>
      <c r="P40" s="385">
        <v>50</v>
      </c>
      <c r="Q40" s="386">
        <f t="shared" si="2"/>
        <v>0.70739999999999992</v>
      </c>
      <c r="R40" s="387">
        <v>52</v>
      </c>
      <c r="S40" s="386">
        <f t="shared" si="3"/>
        <v>0.71865384615384609</v>
      </c>
      <c r="T40" s="269">
        <v>52</v>
      </c>
      <c r="U40" s="386">
        <f t="shared" si="4"/>
        <v>0.71865384615384609</v>
      </c>
      <c r="V40" s="384">
        <f t="shared" si="5"/>
        <v>8.11</v>
      </c>
      <c r="X40" s="317">
        <f t="shared" si="6"/>
        <v>55.64</v>
      </c>
    </row>
    <row r="41" spans="2:24" ht="16.5" thickBot="1" x14ac:dyDescent="0.3">
      <c r="B41" s="241" t="s">
        <v>188</v>
      </c>
      <c r="C41" s="259" t="s">
        <v>16</v>
      </c>
      <c r="D41" s="260">
        <v>7.14</v>
      </c>
      <c r="E41" s="261">
        <f>+D41</f>
        <v>7.14</v>
      </c>
      <c r="H41" s="82">
        <v>38</v>
      </c>
      <c r="I41" s="379" t="s">
        <v>107</v>
      </c>
      <c r="J41" s="379" t="s">
        <v>113</v>
      </c>
      <c r="K41" s="380">
        <v>20.72</v>
      </c>
      <c r="L41" s="381">
        <v>50</v>
      </c>
      <c r="M41" s="382">
        <f t="shared" si="7"/>
        <v>0.41439999999999999</v>
      </c>
      <c r="N41" s="383">
        <f t="shared" si="0"/>
        <v>62.16</v>
      </c>
      <c r="O41" s="384">
        <f t="shared" si="1"/>
        <v>-12.159999999999997</v>
      </c>
      <c r="P41" s="385">
        <v>50</v>
      </c>
      <c r="Q41" s="386">
        <f t="shared" si="2"/>
        <v>0.58560000000000001</v>
      </c>
      <c r="R41" s="387">
        <v>52</v>
      </c>
      <c r="S41" s="386">
        <f t="shared" si="3"/>
        <v>0.60153846153846158</v>
      </c>
      <c r="T41" s="269">
        <v>52</v>
      </c>
      <c r="U41" s="386">
        <f t="shared" si="4"/>
        <v>0.60153846153846158</v>
      </c>
      <c r="V41" s="384">
        <f t="shared" si="5"/>
        <v>-10.159999999999997</v>
      </c>
      <c r="X41" s="317">
        <f t="shared" si="6"/>
        <v>55.64</v>
      </c>
    </row>
    <row r="42" spans="2:24" ht="16.5" thickBot="1" x14ac:dyDescent="0.3">
      <c r="H42" s="82">
        <v>39</v>
      </c>
      <c r="I42" s="379" t="s">
        <v>107</v>
      </c>
      <c r="J42" s="379" t="s">
        <v>48</v>
      </c>
      <c r="K42" s="380">
        <v>20.9</v>
      </c>
      <c r="L42" s="381">
        <v>45</v>
      </c>
      <c r="M42" s="382">
        <f t="shared" si="7"/>
        <v>0.46444444444444444</v>
      </c>
      <c r="N42" s="383">
        <f t="shared" si="0"/>
        <v>62.699999999999996</v>
      </c>
      <c r="O42" s="384">
        <f t="shared" si="1"/>
        <v>-17.699999999999996</v>
      </c>
      <c r="P42" s="385">
        <v>60</v>
      </c>
      <c r="Q42" s="386">
        <f t="shared" si="2"/>
        <v>0.65166666666666673</v>
      </c>
      <c r="R42" s="387">
        <v>62</v>
      </c>
      <c r="S42" s="386">
        <f t="shared" si="3"/>
        <v>0.66290322580645167</v>
      </c>
      <c r="T42" s="269">
        <v>62</v>
      </c>
      <c r="U42" s="386">
        <f t="shared" si="4"/>
        <v>0.66290322580645167</v>
      </c>
      <c r="V42" s="384">
        <f t="shared" si="5"/>
        <v>-0.69999999999999574</v>
      </c>
      <c r="X42" s="317">
        <f t="shared" si="6"/>
        <v>66.34</v>
      </c>
    </row>
    <row r="43" spans="2:24" ht="16.5" thickBot="1" x14ac:dyDescent="0.3">
      <c r="B43" s="271" t="s">
        <v>334</v>
      </c>
      <c r="C43" s="272" t="s">
        <v>321</v>
      </c>
      <c r="D43" s="276">
        <v>43118</v>
      </c>
      <c r="E43" s="282">
        <f>SUM(E44:E47)</f>
        <v>114.04999999999998</v>
      </c>
      <c r="H43" s="82">
        <v>40</v>
      </c>
      <c r="I43" s="17" t="s">
        <v>108</v>
      </c>
      <c r="J43" s="17" t="s">
        <v>56</v>
      </c>
      <c r="K43" s="110">
        <v>15.16</v>
      </c>
      <c r="L43" s="83">
        <v>38</v>
      </c>
      <c r="M43" s="84">
        <f t="shared" si="7"/>
        <v>0.39894736842105266</v>
      </c>
      <c r="N43" s="101">
        <f t="shared" si="0"/>
        <v>45.480000000000004</v>
      </c>
      <c r="O43" s="85">
        <f t="shared" si="1"/>
        <v>-7.480000000000004</v>
      </c>
      <c r="P43" s="118">
        <v>40</v>
      </c>
      <c r="Q43" s="104">
        <f t="shared" si="2"/>
        <v>0.621</v>
      </c>
      <c r="R43" s="201">
        <v>42</v>
      </c>
      <c r="S43" s="199">
        <f t="shared" si="3"/>
        <v>0.63904761904761909</v>
      </c>
      <c r="T43" s="268">
        <v>42</v>
      </c>
      <c r="U43" s="199">
        <f t="shared" si="4"/>
        <v>0.63904761904761909</v>
      </c>
      <c r="V43" s="85">
        <f t="shared" si="5"/>
        <v>-3.480000000000004</v>
      </c>
      <c r="X43" s="317">
        <f t="shared" si="6"/>
        <v>44.940000000000005</v>
      </c>
    </row>
    <row r="44" spans="2:24" x14ac:dyDescent="0.25">
      <c r="B44" s="251" t="s">
        <v>237</v>
      </c>
      <c r="C44" s="252">
        <v>0.6</v>
      </c>
      <c r="D44" s="253">
        <v>102</v>
      </c>
      <c r="E44" s="254">
        <f>+C44*D44</f>
        <v>61.199999999999996</v>
      </c>
      <c r="H44" s="82">
        <v>41</v>
      </c>
      <c r="I44" s="17" t="s">
        <v>108</v>
      </c>
      <c r="J44" s="17" t="s">
        <v>57</v>
      </c>
      <c r="K44" s="110">
        <v>11.41</v>
      </c>
      <c r="L44" s="83">
        <v>38</v>
      </c>
      <c r="M44" s="84">
        <f t="shared" si="7"/>
        <v>0.30026315789473684</v>
      </c>
      <c r="N44" s="101">
        <f t="shared" si="0"/>
        <v>34.230000000000004</v>
      </c>
      <c r="O44" s="85">
        <f t="shared" si="1"/>
        <v>3.769999999999996</v>
      </c>
      <c r="P44" s="118">
        <v>40</v>
      </c>
      <c r="Q44" s="104">
        <f t="shared" si="2"/>
        <v>0.71475</v>
      </c>
      <c r="R44" s="201">
        <v>42</v>
      </c>
      <c r="S44" s="199">
        <f t="shared" si="3"/>
        <v>0.72833333333333328</v>
      </c>
      <c r="T44" s="268">
        <v>42</v>
      </c>
      <c r="U44" s="199">
        <f t="shared" si="4"/>
        <v>0.72833333333333328</v>
      </c>
      <c r="V44" s="85">
        <f t="shared" si="5"/>
        <v>7.769999999999996</v>
      </c>
      <c r="X44" s="317">
        <f t="shared" si="6"/>
        <v>44.940000000000005</v>
      </c>
    </row>
    <row r="45" spans="2:24" x14ac:dyDescent="0.25">
      <c r="B45" s="239" t="s">
        <v>68</v>
      </c>
      <c r="C45" s="218">
        <v>0.18</v>
      </c>
      <c r="D45" s="39">
        <v>140</v>
      </c>
      <c r="E45" s="247">
        <f t="shared" ref="E45:E47" si="8">+C45*D45</f>
        <v>25.2</v>
      </c>
      <c r="H45" s="82">
        <v>42</v>
      </c>
      <c r="I45" s="17" t="s">
        <v>108</v>
      </c>
      <c r="J45" s="17" t="s">
        <v>112</v>
      </c>
      <c r="K45" s="110">
        <v>13.48</v>
      </c>
      <c r="L45" s="83">
        <v>40</v>
      </c>
      <c r="M45" s="84">
        <f t="shared" si="7"/>
        <v>0.33700000000000002</v>
      </c>
      <c r="N45" s="101">
        <f t="shared" si="0"/>
        <v>40.44</v>
      </c>
      <c r="O45" s="85">
        <f t="shared" si="1"/>
        <v>-0.43999999999999773</v>
      </c>
      <c r="P45" s="118">
        <v>40</v>
      </c>
      <c r="Q45" s="104">
        <f t="shared" si="2"/>
        <v>0.66300000000000003</v>
      </c>
      <c r="R45" s="201">
        <v>42</v>
      </c>
      <c r="S45" s="199">
        <f t="shared" si="3"/>
        <v>0.67904761904761901</v>
      </c>
      <c r="T45" s="268">
        <v>42</v>
      </c>
      <c r="U45" s="199">
        <f t="shared" si="4"/>
        <v>0.67904761904761901</v>
      </c>
      <c r="V45" s="85">
        <f t="shared" si="5"/>
        <v>1.5600000000000023</v>
      </c>
      <c r="X45" s="317">
        <f t="shared" si="6"/>
        <v>44.940000000000005</v>
      </c>
    </row>
    <row r="46" spans="2:24" x14ac:dyDescent="0.25">
      <c r="B46" s="239" t="s">
        <v>69</v>
      </c>
      <c r="C46" s="218">
        <v>0.11</v>
      </c>
      <c r="D46" s="39">
        <v>135</v>
      </c>
      <c r="E46" s="247">
        <f t="shared" si="8"/>
        <v>14.85</v>
      </c>
      <c r="H46" s="82">
        <v>43</v>
      </c>
      <c r="I46" s="17" t="s">
        <v>108</v>
      </c>
      <c r="J46" s="17" t="s">
        <v>58</v>
      </c>
      <c r="K46" s="110">
        <v>17.68</v>
      </c>
      <c r="L46" s="83">
        <v>45</v>
      </c>
      <c r="M46" s="84">
        <f t="shared" si="7"/>
        <v>0.3928888888888889</v>
      </c>
      <c r="N46" s="101">
        <f t="shared" si="0"/>
        <v>53.04</v>
      </c>
      <c r="O46" s="85">
        <f t="shared" si="1"/>
        <v>-8.0399999999999991</v>
      </c>
      <c r="P46" s="118">
        <v>50</v>
      </c>
      <c r="Q46" s="104">
        <f t="shared" si="2"/>
        <v>0.64639999999999997</v>
      </c>
      <c r="R46" s="201">
        <v>52</v>
      </c>
      <c r="S46" s="199">
        <f t="shared" si="3"/>
        <v>0.66</v>
      </c>
      <c r="T46" s="268">
        <v>52</v>
      </c>
      <c r="U46" s="199">
        <f t="shared" si="4"/>
        <v>0.66</v>
      </c>
      <c r="V46" s="85">
        <f t="shared" si="5"/>
        <v>-1.0399999999999991</v>
      </c>
      <c r="X46" s="317">
        <f t="shared" si="6"/>
        <v>55.64</v>
      </c>
    </row>
    <row r="47" spans="2:24" ht="16.5" thickBot="1" x14ac:dyDescent="0.3">
      <c r="B47" s="241" t="s">
        <v>70</v>
      </c>
      <c r="C47" s="248">
        <v>0.10666666666666667</v>
      </c>
      <c r="D47" s="249">
        <v>120</v>
      </c>
      <c r="E47" s="250">
        <f t="shared" si="8"/>
        <v>12.8</v>
      </c>
      <c r="H47" s="82">
        <v>44</v>
      </c>
      <c r="I47" s="17" t="s">
        <v>251</v>
      </c>
      <c r="J47" s="17" t="s">
        <v>252</v>
      </c>
      <c r="K47" s="110">
        <v>18.38</v>
      </c>
      <c r="L47" s="83">
        <v>45</v>
      </c>
      <c r="M47" s="84">
        <f t="shared" si="7"/>
        <v>0.40844444444444444</v>
      </c>
      <c r="N47" s="101">
        <f t="shared" si="0"/>
        <v>55.14</v>
      </c>
      <c r="O47" s="85">
        <f t="shared" si="1"/>
        <v>-10.14</v>
      </c>
      <c r="P47" s="118">
        <v>58</v>
      </c>
      <c r="Q47" s="104">
        <f t="shared" si="2"/>
        <v>0.68310344827586211</v>
      </c>
      <c r="R47" s="201">
        <v>60</v>
      </c>
      <c r="S47" s="199">
        <f t="shared" si="3"/>
        <v>0.69366666666666676</v>
      </c>
      <c r="T47" s="268">
        <v>60</v>
      </c>
      <c r="U47" s="199">
        <f t="shared" si="4"/>
        <v>0.69366666666666676</v>
      </c>
      <c r="V47" s="85">
        <f t="shared" si="5"/>
        <v>4.8599999999999994</v>
      </c>
      <c r="X47" s="317">
        <f t="shared" si="6"/>
        <v>64.2</v>
      </c>
    </row>
    <row r="48" spans="2:24" x14ac:dyDescent="0.25">
      <c r="H48" s="82">
        <v>45</v>
      </c>
      <c r="I48" s="17" t="s">
        <v>251</v>
      </c>
      <c r="J48" s="17" t="s">
        <v>82</v>
      </c>
      <c r="K48" s="110">
        <v>14.63</v>
      </c>
      <c r="L48" s="83">
        <v>58</v>
      </c>
      <c r="M48" s="84">
        <f t="shared" si="7"/>
        <v>0.25224137931034485</v>
      </c>
      <c r="N48" s="101">
        <f t="shared" si="0"/>
        <v>43.89</v>
      </c>
      <c r="O48" s="85">
        <f t="shared" si="1"/>
        <v>14.11</v>
      </c>
      <c r="P48" s="118">
        <v>58</v>
      </c>
      <c r="Q48" s="104">
        <f t="shared" si="2"/>
        <v>0.74775862068965515</v>
      </c>
      <c r="R48" s="201">
        <v>60</v>
      </c>
      <c r="S48" s="199">
        <f t="shared" si="3"/>
        <v>0.75616666666666665</v>
      </c>
      <c r="T48" s="268">
        <v>60</v>
      </c>
      <c r="U48" s="199">
        <f t="shared" si="4"/>
        <v>0.75616666666666665</v>
      </c>
      <c r="V48" s="85">
        <f t="shared" si="5"/>
        <v>16.11</v>
      </c>
      <c r="X48" s="317">
        <f t="shared" si="6"/>
        <v>64.2</v>
      </c>
    </row>
    <row r="49" spans="2:28" x14ac:dyDescent="0.25">
      <c r="B49" s="212" t="s">
        <v>149</v>
      </c>
      <c r="C49" s="219"/>
      <c r="D49" s="207">
        <f>+E71</f>
        <v>85.773333333333326</v>
      </c>
      <c r="E49" s="213">
        <f>+D49/30</f>
        <v>2.8591111111111109</v>
      </c>
      <c r="H49" s="82">
        <v>46</v>
      </c>
      <c r="I49" s="102" t="s">
        <v>251</v>
      </c>
      <c r="J49" s="102" t="s">
        <v>89</v>
      </c>
      <c r="K49" s="196">
        <f>E4+E28+E28</f>
        <v>17.776923076923076</v>
      </c>
      <c r="L49" s="423">
        <v>58</v>
      </c>
      <c r="M49" s="122">
        <f t="shared" si="7"/>
        <v>0.30649867374005302</v>
      </c>
      <c r="N49" s="424">
        <f t="shared" si="0"/>
        <v>53.330769230769228</v>
      </c>
      <c r="O49" s="425">
        <f t="shared" si="1"/>
        <v>4.6692307692307722</v>
      </c>
      <c r="P49" s="118">
        <v>58</v>
      </c>
      <c r="Q49" s="104">
        <f t="shared" si="2"/>
        <v>0.69350132625994698</v>
      </c>
      <c r="R49" s="426">
        <v>60</v>
      </c>
      <c r="S49" s="104">
        <f t="shared" si="3"/>
        <v>0.70371794871794868</v>
      </c>
      <c r="T49" s="427">
        <v>60</v>
      </c>
      <c r="U49" s="104">
        <f t="shared" si="4"/>
        <v>0.70371794871794868</v>
      </c>
      <c r="V49" s="425">
        <f t="shared" si="5"/>
        <v>6.6692307692307722</v>
      </c>
      <c r="W49" t="s">
        <v>409</v>
      </c>
      <c r="X49" s="317">
        <f t="shared" si="6"/>
        <v>64.2</v>
      </c>
    </row>
    <row r="50" spans="2:28" ht="16.5" thickBot="1" x14ac:dyDescent="0.3">
      <c r="H50" s="82">
        <v>47</v>
      </c>
      <c r="I50" s="17" t="s">
        <v>251</v>
      </c>
      <c r="J50" s="17" t="s">
        <v>14</v>
      </c>
      <c r="K50" s="110">
        <v>20.9</v>
      </c>
      <c r="L50" s="83">
        <v>75</v>
      </c>
      <c r="M50" s="84">
        <f t="shared" si="7"/>
        <v>0.27866666666666667</v>
      </c>
      <c r="N50" s="101">
        <f t="shared" si="0"/>
        <v>62.699999999999996</v>
      </c>
      <c r="O50" s="85">
        <f t="shared" si="1"/>
        <v>12.300000000000004</v>
      </c>
      <c r="P50" s="118">
        <v>65</v>
      </c>
      <c r="Q50" s="104">
        <f t="shared" si="2"/>
        <v>0.67846153846153845</v>
      </c>
      <c r="R50" s="201">
        <v>67</v>
      </c>
      <c r="S50" s="199">
        <f t="shared" si="3"/>
        <v>0.68805970149253737</v>
      </c>
      <c r="T50" s="268">
        <v>67</v>
      </c>
      <c r="U50" s="199">
        <f t="shared" si="4"/>
        <v>0.68805970149253737</v>
      </c>
      <c r="V50" s="85">
        <f t="shared" si="5"/>
        <v>4.3000000000000043</v>
      </c>
      <c r="X50" s="317">
        <f t="shared" si="6"/>
        <v>71.69</v>
      </c>
    </row>
    <row r="51" spans="2:28" ht="16.5" thickBot="1" x14ac:dyDescent="0.3">
      <c r="B51" s="278" t="s">
        <v>194</v>
      </c>
      <c r="C51" s="279" t="s">
        <v>336</v>
      </c>
      <c r="D51" s="280">
        <v>43118</v>
      </c>
      <c r="E51" s="281">
        <f>SUM(E52:E60)</f>
        <v>17.659060240963857</v>
      </c>
      <c r="H51" s="82">
        <v>48</v>
      </c>
      <c r="I51" s="17" t="s">
        <v>251</v>
      </c>
      <c r="J51" s="17" t="s">
        <v>37</v>
      </c>
      <c r="K51" s="110">
        <v>9.94</v>
      </c>
      <c r="L51" s="83">
        <v>32</v>
      </c>
      <c r="M51" s="84">
        <f t="shared" si="7"/>
        <v>0.31062499999999998</v>
      </c>
      <c r="N51" s="101">
        <f t="shared" si="0"/>
        <v>29.82</v>
      </c>
      <c r="O51" s="85">
        <f t="shared" si="1"/>
        <v>2.1799999999999997</v>
      </c>
      <c r="P51" s="118">
        <v>32</v>
      </c>
      <c r="Q51" s="104">
        <f t="shared" si="2"/>
        <v>0.68937500000000007</v>
      </c>
      <c r="R51" s="201">
        <v>33</v>
      </c>
      <c r="S51" s="199">
        <f t="shared" si="3"/>
        <v>0.69878787878787885</v>
      </c>
      <c r="T51" s="268">
        <v>33</v>
      </c>
      <c r="U51" s="199">
        <f t="shared" si="4"/>
        <v>0.69878787878787885</v>
      </c>
      <c r="V51" s="85">
        <f t="shared" si="5"/>
        <v>3.1799999999999997</v>
      </c>
      <c r="X51" s="317">
        <f t="shared" si="6"/>
        <v>35.31</v>
      </c>
    </row>
    <row r="52" spans="2:28" x14ac:dyDescent="0.25">
      <c r="B52" s="245" t="s">
        <v>195</v>
      </c>
      <c r="C52" s="210" t="s">
        <v>16</v>
      </c>
      <c r="D52" s="235">
        <v>21</v>
      </c>
      <c r="E52" s="246">
        <f>+D52/16.6</f>
        <v>1.2650602409638554</v>
      </c>
      <c r="H52" s="82">
        <v>49</v>
      </c>
      <c r="I52" s="17" t="s">
        <v>251</v>
      </c>
      <c r="J52" s="17" t="s">
        <v>38</v>
      </c>
      <c r="K52" s="110">
        <v>8.06</v>
      </c>
      <c r="L52" s="83">
        <v>32</v>
      </c>
      <c r="M52" s="84">
        <f t="shared" si="7"/>
        <v>0.25187500000000002</v>
      </c>
      <c r="N52" s="101">
        <f t="shared" si="0"/>
        <v>24.18</v>
      </c>
      <c r="O52" s="85">
        <f t="shared" si="1"/>
        <v>7.82</v>
      </c>
      <c r="P52" s="118">
        <v>32</v>
      </c>
      <c r="Q52" s="104">
        <f t="shared" si="2"/>
        <v>0.74812499999999993</v>
      </c>
      <c r="R52" s="201">
        <v>33</v>
      </c>
      <c r="S52" s="199">
        <f t="shared" si="3"/>
        <v>0.75575757575757574</v>
      </c>
      <c r="T52" s="268">
        <v>33</v>
      </c>
      <c r="U52" s="199">
        <f t="shared" si="4"/>
        <v>0.75575757575757574</v>
      </c>
      <c r="V52" s="85">
        <f t="shared" si="5"/>
        <v>8.82</v>
      </c>
      <c r="X52" s="317">
        <f t="shared" si="6"/>
        <v>35.31</v>
      </c>
    </row>
    <row r="53" spans="2:28" x14ac:dyDescent="0.25">
      <c r="B53" s="236" t="s">
        <v>286</v>
      </c>
      <c r="C53" s="212" t="s">
        <v>16</v>
      </c>
      <c r="D53" s="34">
        <v>66</v>
      </c>
      <c r="E53" s="237">
        <f>(+D53/1000)*114</f>
        <v>7.524</v>
      </c>
      <c r="H53" s="82">
        <v>50</v>
      </c>
      <c r="I53" s="102" t="s">
        <v>251</v>
      </c>
      <c r="J53" s="102" t="s">
        <v>92</v>
      </c>
      <c r="K53" s="196">
        <f>E5+E28</f>
        <v>9.638461538461538</v>
      </c>
      <c r="L53" s="423">
        <v>32</v>
      </c>
      <c r="M53" s="122">
        <f t="shared" si="7"/>
        <v>0.30120192307692306</v>
      </c>
      <c r="N53" s="424">
        <f t="shared" si="0"/>
        <v>28.915384615384614</v>
      </c>
      <c r="O53" s="425">
        <f t="shared" si="1"/>
        <v>3.0846153846153861</v>
      </c>
      <c r="P53" s="118">
        <v>32</v>
      </c>
      <c r="Q53" s="104">
        <f t="shared" si="2"/>
        <v>0.69879807692307694</v>
      </c>
      <c r="R53" s="426">
        <v>33</v>
      </c>
      <c r="S53" s="104">
        <f t="shared" si="3"/>
        <v>0.70792540792540792</v>
      </c>
      <c r="T53" s="427">
        <v>33</v>
      </c>
      <c r="U53" s="104">
        <f t="shared" si="4"/>
        <v>0.70792540792540792</v>
      </c>
      <c r="V53" s="425">
        <f t="shared" si="5"/>
        <v>4.0846153846153861</v>
      </c>
      <c r="W53" t="s">
        <v>409</v>
      </c>
      <c r="X53" s="317">
        <f t="shared" si="6"/>
        <v>35.31</v>
      </c>
    </row>
    <row r="54" spans="2:28" x14ac:dyDescent="0.25">
      <c r="B54" s="236" t="s">
        <v>196</v>
      </c>
      <c r="C54" s="212" t="s">
        <v>16</v>
      </c>
      <c r="D54" s="34">
        <v>34</v>
      </c>
      <c r="E54" s="238">
        <f>(+D54*2.5)/20</f>
        <v>4.25</v>
      </c>
      <c r="H54" s="82">
        <v>51</v>
      </c>
      <c r="I54" s="17" t="s">
        <v>251</v>
      </c>
      <c r="J54" s="17" t="s">
        <v>135</v>
      </c>
      <c r="K54" s="110">
        <v>11.2</v>
      </c>
      <c r="L54" s="83">
        <v>34</v>
      </c>
      <c r="M54" s="84">
        <f t="shared" si="7"/>
        <v>0.32941176470588235</v>
      </c>
      <c r="N54" s="101">
        <f t="shared" si="0"/>
        <v>33.599999999999994</v>
      </c>
      <c r="O54" s="85">
        <f t="shared" si="1"/>
        <v>0.40000000000000568</v>
      </c>
      <c r="P54" s="118">
        <v>35</v>
      </c>
      <c r="Q54" s="104">
        <f t="shared" si="2"/>
        <v>0.68</v>
      </c>
      <c r="R54" s="201">
        <v>36</v>
      </c>
      <c r="S54" s="199">
        <f t="shared" si="3"/>
        <v>0.68888888888888888</v>
      </c>
      <c r="T54" s="268">
        <v>36</v>
      </c>
      <c r="U54" s="199">
        <f t="shared" si="4"/>
        <v>0.68888888888888888</v>
      </c>
      <c r="V54" s="85">
        <f t="shared" si="5"/>
        <v>2.4000000000000057</v>
      </c>
      <c r="X54" s="317">
        <f t="shared" si="6"/>
        <v>38.520000000000003</v>
      </c>
    </row>
    <row r="55" spans="2:28" x14ac:dyDescent="0.25">
      <c r="B55" s="239" t="s">
        <v>197</v>
      </c>
      <c r="C55" s="212"/>
      <c r="D55" s="34">
        <v>77</v>
      </c>
      <c r="E55" s="237">
        <f>+D55/40</f>
        <v>1.925</v>
      </c>
      <c r="H55" s="82">
        <v>52</v>
      </c>
      <c r="I55" s="533" t="s">
        <v>153</v>
      </c>
      <c r="J55" s="481" t="s">
        <v>140</v>
      </c>
      <c r="K55" s="402">
        <v>9.3699999999999992</v>
      </c>
      <c r="L55" s="403">
        <v>16</v>
      </c>
      <c r="M55" s="404">
        <f t="shared" si="7"/>
        <v>0.58562499999999995</v>
      </c>
      <c r="N55" s="405">
        <f t="shared" si="0"/>
        <v>28.11</v>
      </c>
      <c r="O55" s="406">
        <f t="shared" si="1"/>
        <v>-12.11</v>
      </c>
      <c r="P55" s="407">
        <v>18</v>
      </c>
      <c r="Q55" s="408">
        <f t="shared" si="2"/>
        <v>0.47944444444444451</v>
      </c>
      <c r="R55" s="409">
        <v>19</v>
      </c>
      <c r="S55" s="408">
        <f t="shared" si="3"/>
        <v>0.50684210526315798</v>
      </c>
      <c r="T55" s="530">
        <v>20</v>
      </c>
      <c r="U55" s="408">
        <f t="shared" si="4"/>
        <v>0.53150000000000008</v>
      </c>
      <c r="V55" s="406">
        <f t="shared" si="5"/>
        <v>-8.11</v>
      </c>
      <c r="X55" s="317">
        <f t="shared" si="6"/>
        <v>20.330000000000002</v>
      </c>
    </row>
    <row r="56" spans="2:28" x14ac:dyDescent="0.25">
      <c r="B56" s="239" t="s">
        <v>198</v>
      </c>
      <c r="C56" s="212"/>
      <c r="D56" s="34">
        <v>47.8</v>
      </c>
      <c r="E56" s="237">
        <f>+D56/40</f>
        <v>1.1949999999999998</v>
      </c>
      <c r="H56" s="82">
        <v>53</v>
      </c>
      <c r="I56" s="401" t="s">
        <v>153</v>
      </c>
      <c r="J56" s="481" t="s">
        <v>141</v>
      </c>
      <c r="K56" s="402">
        <v>8.64</v>
      </c>
      <c r="L56" s="403">
        <v>16</v>
      </c>
      <c r="M56" s="404">
        <f t="shared" si="7"/>
        <v>0.54</v>
      </c>
      <c r="N56" s="405">
        <f t="shared" si="0"/>
        <v>25.92</v>
      </c>
      <c r="O56" s="406">
        <f t="shared" si="1"/>
        <v>-9.9200000000000017</v>
      </c>
      <c r="P56" s="407">
        <v>18</v>
      </c>
      <c r="Q56" s="408">
        <f t="shared" si="2"/>
        <v>0.52</v>
      </c>
      <c r="R56" s="409">
        <v>19</v>
      </c>
      <c r="S56" s="408">
        <f t="shared" si="3"/>
        <v>0.54526315789473678</v>
      </c>
      <c r="T56" s="530">
        <v>20</v>
      </c>
      <c r="U56" s="408">
        <f t="shared" si="4"/>
        <v>0.56799999999999995</v>
      </c>
      <c r="V56" s="406">
        <f t="shared" si="5"/>
        <v>-5.9200000000000017</v>
      </c>
      <c r="X56" s="317">
        <f t="shared" si="6"/>
        <v>20.330000000000002</v>
      </c>
    </row>
    <row r="57" spans="2:28" x14ac:dyDescent="0.25">
      <c r="B57" s="239" t="s">
        <v>199</v>
      </c>
      <c r="C57" s="212"/>
      <c r="D57" s="36"/>
      <c r="E57" s="240">
        <v>0.5</v>
      </c>
      <c r="H57" s="82">
        <v>54</v>
      </c>
      <c r="I57" s="401" t="s">
        <v>153</v>
      </c>
      <c r="J57" s="481" t="s">
        <v>142</v>
      </c>
      <c r="K57" s="402">
        <v>5.63</v>
      </c>
      <c r="L57" s="403">
        <v>16</v>
      </c>
      <c r="M57" s="404">
        <f t="shared" si="7"/>
        <v>0.35187499999999999</v>
      </c>
      <c r="N57" s="405">
        <f t="shared" si="0"/>
        <v>16.89</v>
      </c>
      <c r="O57" s="406">
        <f t="shared" si="1"/>
        <v>-0.89000000000000057</v>
      </c>
      <c r="P57" s="407">
        <v>18</v>
      </c>
      <c r="Q57" s="408">
        <f t="shared" si="2"/>
        <v>0.68722222222222229</v>
      </c>
      <c r="R57" s="409">
        <v>19</v>
      </c>
      <c r="S57" s="408">
        <f t="shared" si="3"/>
        <v>0.7036842105263158</v>
      </c>
      <c r="T57" s="530">
        <v>20</v>
      </c>
      <c r="U57" s="408">
        <f t="shared" si="4"/>
        <v>0.71850000000000003</v>
      </c>
      <c r="V57" s="406">
        <f t="shared" si="5"/>
        <v>3.1099999999999994</v>
      </c>
      <c r="X57" s="317">
        <f t="shared" si="6"/>
        <v>20.330000000000002</v>
      </c>
    </row>
    <row r="58" spans="2:28" x14ac:dyDescent="0.25">
      <c r="B58" s="239" t="s">
        <v>200</v>
      </c>
      <c r="C58" s="212"/>
      <c r="D58" s="36"/>
      <c r="E58" s="240">
        <v>0.5</v>
      </c>
      <c r="H58" s="82">
        <v>55</v>
      </c>
      <c r="I58" s="401" t="s">
        <v>153</v>
      </c>
      <c r="J58" s="291" t="s">
        <v>143</v>
      </c>
      <c r="K58" s="402">
        <v>2.83</v>
      </c>
      <c r="L58" s="403">
        <v>16</v>
      </c>
      <c r="M58" s="404">
        <f t="shared" si="7"/>
        <v>0.176875</v>
      </c>
      <c r="N58" s="405">
        <f t="shared" si="0"/>
        <v>8.49</v>
      </c>
      <c r="O58" s="406">
        <f t="shared" si="1"/>
        <v>7.51</v>
      </c>
      <c r="P58" s="407">
        <v>18</v>
      </c>
      <c r="Q58" s="408">
        <f t="shared" si="2"/>
        <v>0.84277777777777774</v>
      </c>
      <c r="R58" s="409">
        <v>19</v>
      </c>
      <c r="S58" s="408">
        <f t="shared" si="3"/>
        <v>0.8510526315789475</v>
      </c>
      <c r="T58" s="410">
        <v>19</v>
      </c>
      <c r="U58" s="408">
        <f t="shared" si="4"/>
        <v>0.8510526315789475</v>
      </c>
      <c r="V58" s="406">
        <f t="shared" si="5"/>
        <v>10.51</v>
      </c>
      <c r="X58" s="317">
        <f t="shared" si="6"/>
        <v>20.330000000000002</v>
      </c>
    </row>
    <row r="59" spans="2:28" x14ac:dyDescent="0.25">
      <c r="B59" s="239" t="s">
        <v>201</v>
      </c>
      <c r="C59" s="212"/>
      <c r="D59" s="36"/>
      <c r="E59" s="240">
        <v>0.5</v>
      </c>
      <c r="H59" s="82">
        <v>56</v>
      </c>
      <c r="I59" s="401" t="s">
        <v>153</v>
      </c>
      <c r="J59" s="481" t="s">
        <v>144</v>
      </c>
      <c r="K59" s="402">
        <v>4.99</v>
      </c>
      <c r="L59" s="403">
        <v>16</v>
      </c>
      <c r="M59" s="404">
        <f t="shared" si="7"/>
        <v>0.31187500000000001</v>
      </c>
      <c r="N59" s="405">
        <f t="shared" si="0"/>
        <v>14.97</v>
      </c>
      <c r="O59" s="406">
        <f t="shared" si="1"/>
        <v>1.0299999999999994</v>
      </c>
      <c r="P59" s="407">
        <v>18</v>
      </c>
      <c r="Q59" s="408">
        <f t="shared" si="2"/>
        <v>0.72277777777777774</v>
      </c>
      <c r="R59" s="409">
        <v>19</v>
      </c>
      <c r="S59" s="408">
        <f t="shared" si="3"/>
        <v>0.73736842105263156</v>
      </c>
      <c r="T59" s="530">
        <v>20</v>
      </c>
      <c r="U59" s="408">
        <f t="shared" si="4"/>
        <v>0.75049999999999994</v>
      </c>
      <c r="V59" s="406">
        <f t="shared" si="5"/>
        <v>5.0299999999999994</v>
      </c>
      <c r="X59" s="317">
        <f t="shared" si="6"/>
        <v>20.330000000000002</v>
      </c>
    </row>
    <row r="60" spans="2:28" ht="16.5" thickBot="1" x14ac:dyDescent="0.3">
      <c r="B60" s="241" t="s">
        <v>202</v>
      </c>
      <c r="C60" s="242"/>
      <c r="D60" s="243"/>
      <c r="E60" s="244">
        <v>0</v>
      </c>
      <c r="H60" s="82">
        <v>57</v>
      </c>
      <c r="I60" s="401" t="s">
        <v>153</v>
      </c>
      <c r="J60" s="291" t="s">
        <v>145</v>
      </c>
      <c r="K60" s="402">
        <f>E14+E35+(E31)</f>
        <v>11.665800865800865</v>
      </c>
      <c r="L60" s="403">
        <v>16</v>
      </c>
      <c r="M60" s="404">
        <f t="shared" si="7"/>
        <v>0.72911255411255405</v>
      </c>
      <c r="N60" s="405">
        <f t="shared" si="0"/>
        <v>34.997402597402598</v>
      </c>
      <c r="O60" s="406">
        <f t="shared" si="1"/>
        <v>-18.997402597402598</v>
      </c>
      <c r="P60" s="407">
        <v>18</v>
      </c>
      <c r="Q60" s="408">
        <f t="shared" si="2"/>
        <v>0.35189995189995193</v>
      </c>
      <c r="R60" s="409">
        <v>19</v>
      </c>
      <c r="S60" s="408">
        <f t="shared" si="3"/>
        <v>0.38601048074732291</v>
      </c>
      <c r="T60" s="410">
        <v>19</v>
      </c>
      <c r="U60" s="408">
        <f t="shared" si="4"/>
        <v>0.38601048074732291</v>
      </c>
      <c r="V60" s="406">
        <f t="shared" si="5"/>
        <v>-15.997402597402598</v>
      </c>
      <c r="X60" s="317">
        <f t="shared" si="6"/>
        <v>20.330000000000002</v>
      </c>
    </row>
    <row r="61" spans="2:28" ht="16.5" thickBot="1" x14ac:dyDescent="0.3">
      <c r="H61" s="82">
        <v>58</v>
      </c>
      <c r="I61" s="401" t="s">
        <v>153</v>
      </c>
      <c r="J61" s="481" t="s">
        <v>146</v>
      </c>
      <c r="K61" s="402">
        <v>7.29</v>
      </c>
      <c r="L61" s="403">
        <v>16</v>
      </c>
      <c r="M61" s="404">
        <f t="shared" si="7"/>
        <v>0.455625</v>
      </c>
      <c r="N61" s="405">
        <f t="shared" si="0"/>
        <v>21.87</v>
      </c>
      <c r="O61" s="406">
        <f t="shared" si="1"/>
        <v>-5.870000000000001</v>
      </c>
      <c r="P61" s="407">
        <v>18</v>
      </c>
      <c r="Q61" s="408">
        <f t="shared" si="2"/>
        <v>0.59500000000000008</v>
      </c>
      <c r="R61" s="409">
        <v>19</v>
      </c>
      <c r="S61" s="408">
        <f t="shared" si="3"/>
        <v>0.61631578947368426</v>
      </c>
      <c r="T61" s="530">
        <v>20</v>
      </c>
      <c r="U61" s="408">
        <f t="shared" si="4"/>
        <v>0.63550000000000006</v>
      </c>
      <c r="V61" s="406">
        <f t="shared" si="5"/>
        <v>-1.870000000000001</v>
      </c>
      <c r="X61" s="317">
        <f t="shared" si="6"/>
        <v>20.330000000000002</v>
      </c>
    </row>
    <row r="62" spans="2:28" s="26" customFormat="1" ht="16.5" thickBot="1" x14ac:dyDescent="0.3">
      <c r="B62" s="503" t="s">
        <v>129</v>
      </c>
      <c r="C62" s="284" t="s">
        <v>329</v>
      </c>
      <c r="D62" s="504">
        <v>43118</v>
      </c>
      <c r="E62" s="482"/>
      <c r="H62" s="82">
        <v>59</v>
      </c>
      <c r="I62" s="17" t="s">
        <v>153</v>
      </c>
      <c r="J62" s="291" t="s">
        <v>14</v>
      </c>
      <c r="K62" s="110">
        <f>E14+E27</f>
        <v>12.157142857142858</v>
      </c>
      <c r="L62" s="83">
        <v>24</v>
      </c>
      <c r="M62" s="84">
        <f t="shared" si="7"/>
        <v>0.50654761904761914</v>
      </c>
      <c r="N62" s="101">
        <f t="shared" si="0"/>
        <v>36.471428571428575</v>
      </c>
      <c r="O62" s="85">
        <f t="shared" si="1"/>
        <v>-12.471428571428575</v>
      </c>
      <c r="P62" s="198">
        <v>25</v>
      </c>
      <c r="Q62" s="199">
        <f t="shared" si="2"/>
        <v>0.51371428571428568</v>
      </c>
      <c r="R62" s="201">
        <v>26</v>
      </c>
      <c r="S62" s="199">
        <f t="shared" si="3"/>
        <v>0.53241758241758241</v>
      </c>
      <c r="T62" s="268">
        <v>26</v>
      </c>
      <c r="U62" s="199">
        <f t="shared" si="4"/>
        <v>0.53241758241758241</v>
      </c>
      <c r="V62" s="85">
        <f t="shared" si="5"/>
        <v>-10.471428571428575</v>
      </c>
      <c r="X62" s="483">
        <f t="shared" si="6"/>
        <v>27.82</v>
      </c>
      <c r="Y62" s="484"/>
      <c r="Z62" s="484"/>
      <c r="AA62" s="484"/>
      <c r="AB62" s="484"/>
    </row>
    <row r="63" spans="2:28" s="26" customFormat="1" x14ac:dyDescent="0.25">
      <c r="B63" s="229" t="s">
        <v>121</v>
      </c>
      <c r="C63" s="220">
        <v>2</v>
      </c>
      <c r="D63" s="205">
        <v>9.08</v>
      </c>
      <c r="E63" s="221">
        <f>+C63*D63</f>
        <v>18.16</v>
      </c>
      <c r="H63" s="82">
        <v>60</v>
      </c>
      <c r="I63" s="17" t="s">
        <v>153</v>
      </c>
      <c r="J63" s="291" t="s">
        <v>89</v>
      </c>
      <c r="K63" s="110">
        <f>E14+E28</f>
        <v>8.9384615384615387</v>
      </c>
      <c r="L63" s="83">
        <v>24</v>
      </c>
      <c r="M63" s="84">
        <f t="shared" si="7"/>
        <v>0.37243589743589745</v>
      </c>
      <c r="N63" s="101">
        <f t="shared" si="0"/>
        <v>26.815384615384616</v>
      </c>
      <c r="O63" s="85">
        <f t="shared" si="1"/>
        <v>-2.815384615384616</v>
      </c>
      <c r="P63" s="198">
        <v>25</v>
      </c>
      <c r="Q63" s="199">
        <f t="shared" si="2"/>
        <v>0.64246153846153842</v>
      </c>
      <c r="R63" s="201">
        <v>26</v>
      </c>
      <c r="S63" s="199">
        <f t="shared" si="3"/>
        <v>0.65621301775147933</v>
      </c>
      <c r="T63" s="268">
        <v>26</v>
      </c>
      <c r="U63" s="199">
        <f t="shared" si="4"/>
        <v>0.65621301775147933</v>
      </c>
      <c r="V63" s="85">
        <f t="shared" si="5"/>
        <v>-0.81538461538461604</v>
      </c>
      <c r="X63" s="483">
        <f t="shared" si="6"/>
        <v>27.82</v>
      </c>
      <c r="Y63" s="484"/>
      <c r="Z63" s="484"/>
      <c r="AA63" s="484"/>
      <c r="AB63" s="484"/>
    </row>
    <row r="64" spans="2:28" x14ac:dyDescent="0.25">
      <c r="B64" s="230" t="s">
        <v>332</v>
      </c>
      <c r="C64" s="215">
        <v>5</v>
      </c>
      <c r="D64" s="222">
        <f>7.8*1.16</f>
        <v>9.048</v>
      </c>
      <c r="E64" s="223">
        <f>+C64*D64</f>
        <v>45.24</v>
      </c>
      <c r="H64" s="82">
        <v>61</v>
      </c>
      <c r="I64" s="401" t="s">
        <v>153</v>
      </c>
      <c r="J64" s="401" t="s">
        <v>154</v>
      </c>
      <c r="K64" s="402">
        <v>13.15</v>
      </c>
      <c r="L64" s="403">
        <v>24</v>
      </c>
      <c r="M64" s="404">
        <f t="shared" si="7"/>
        <v>0.54791666666666672</v>
      </c>
      <c r="N64" s="405">
        <f t="shared" si="0"/>
        <v>39.450000000000003</v>
      </c>
      <c r="O64" s="406">
        <f t="shared" si="1"/>
        <v>-15.450000000000003</v>
      </c>
      <c r="P64" s="407">
        <v>25</v>
      </c>
      <c r="Q64" s="408">
        <f t="shared" si="2"/>
        <v>0.47399999999999998</v>
      </c>
      <c r="R64" s="409">
        <v>26</v>
      </c>
      <c r="S64" s="408">
        <f t="shared" si="3"/>
        <v>0.4942307692307692</v>
      </c>
      <c r="T64" s="530">
        <v>28</v>
      </c>
      <c r="U64" s="408">
        <f t="shared" si="4"/>
        <v>0.53035714285714286</v>
      </c>
      <c r="V64" s="406">
        <f t="shared" si="5"/>
        <v>-11.450000000000003</v>
      </c>
      <c r="X64" s="317">
        <f t="shared" si="6"/>
        <v>27.82</v>
      </c>
    </row>
    <row r="65" spans="1:24" x14ac:dyDescent="0.25">
      <c r="B65" s="230" t="s">
        <v>330</v>
      </c>
      <c r="C65" s="215">
        <v>8</v>
      </c>
      <c r="D65" s="204">
        <v>33.5</v>
      </c>
      <c r="E65" s="223">
        <f>+(D65/30)*C65</f>
        <v>8.9333333333333336</v>
      </c>
      <c r="H65" s="82">
        <v>62</v>
      </c>
      <c r="I65" s="401" t="s">
        <v>153</v>
      </c>
      <c r="J65" s="401" t="s">
        <v>10</v>
      </c>
      <c r="K65" s="402">
        <v>9.76</v>
      </c>
      <c r="L65" s="403">
        <v>24</v>
      </c>
      <c r="M65" s="404">
        <f t="shared" si="7"/>
        <v>0.40666666666666668</v>
      </c>
      <c r="N65" s="405">
        <f t="shared" si="0"/>
        <v>29.28</v>
      </c>
      <c r="O65" s="406">
        <f t="shared" si="1"/>
        <v>-5.2800000000000011</v>
      </c>
      <c r="P65" s="407">
        <v>25</v>
      </c>
      <c r="Q65" s="408">
        <f t="shared" si="2"/>
        <v>0.60960000000000003</v>
      </c>
      <c r="R65" s="409">
        <v>26</v>
      </c>
      <c r="S65" s="408">
        <f t="shared" si="3"/>
        <v>0.62461538461538468</v>
      </c>
      <c r="T65" s="530">
        <v>28</v>
      </c>
      <c r="U65" s="408">
        <f t="shared" si="4"/>
        <v>0.65142857142857147</v>
      </c>
      <c r="V65" s="406">
        <f t="shared" si="5"/>
        <v>-1.2800000000000011</v>
      </c>
      <c r="X65" s="317">
        <f t="shared" si="6"/>
        <v>27.82</v>
      </c>
    </row>
    <row r="66" spans="1:24" x14ac:dyDescent="0.25">
      <c r="B66" s="230" t="s">
        <v>124</v>
      </c>
      <c r="C66" s="224">
        <v>0.3</v>
      </c>
      <c r="D66" s="225">
        <v>18.41</v>
      </c>
      <c r="E66" s="223">
        <f>+C66*D66</f>
        <v>5.5229999999999997</v>
      </c>
      <c r="H66" s="82">
        <v>63</v>
      </c>
      <c r="I66" s="17" t="s">
        <v>156</v>
      </c>
      <c r="J66" s="17" t="s">
        <v>140</v>
      </c>
      <c r="K66" s="110">
        <v>8.75</v>
      </c>
      <c r="L66" s="83">
        <v>40</v>
      </c>
      <c r="M66" s="84">
        <f t="shared" si="7"/>
        <v>0.21875</v>
      </c>
      <c r="N66" s="101">
        <f t="shared" si="0"/>
        <v>26.25</v>
      </c>
      <c r="O66" s="85">
        <f t="shared" si="1"/>
        <v>13.75</v>
      </c>
      <c r="P66" s="198">
        <v>40</v>
      </c>
      <c r="Q66" s="199">
        <f t="shared" si="2"/>
        <v>0.78125</v>
      </c>
      <c r="R66" s="201">
        <v>40</v>
      </c>
      <c r="S66" s="199">
        <f t="shared" si="3"/>
        <v>0.78125</v>
      </c>
      <c r="T66" s="268">
        <v>40</v>
      </c>
      <c r="U66" s="199">
        <f t="shared" si="4"/>
        <v>0.78125</v>
      </c>
      <c r="V66" s="85">
        <f t="shared" si="5"/>
        <v>13.75</v>
      </c>
      <c r="X66" s="317">
        <f t="shared" si="6"/>
        <v>42.800000000000004</v>
      </c>
    </row>
    <row r="67" spans="1:24" x14ac:dyDescent="0.25">
      <c r="B67" s="230" t="s">
        <v>125</v>
      </c>
      <c r="C67" s="224">
        <v>0.06</v>
      </c>
      <c r="D67" s="204">
        <v>30</v>
      </c>
      <c r="E67" s="223">
        <f>+C67*D67</f>
        <v>1.7999999999999998</v>
      </c>
      <c r="H67" s="82">
        <v>64</v>
      </c>
      <c r="I67" s="17" t="s">
        <v>156</v>
      </c>
      <c r="J67" s="17" t="s">
        <v>141</v>
      </c>
      <c r="K67" s="110">
        <v>8.1</v>
      </c>
      <c r="L67" s="83">
        <v>40</v>
      </c>
      <c r="M67" s="84">
        <f t="shared" si="7"/>
        <v>0.20249999999999999</v>
      </c>
      <c r="N67" s="101">
        <f t="shared" si="0"/>
        <v>24.299999999999997</v>
      </c>
      <c r="O67" s="85">
        <f t="shared" si="1"/>
        <v>15.700000000000003</v>
      </c>
      <c r="P67" s="198">
        <v>40</v>
      </c>
      <c r="Q67" s="199">
        <f t="shared" si="2"/>
        <v>0.79749999999999999</v>
      </c>
      <c r="R67" s="201">
        <v>40</v>
      </c>
      <c r="S67" s="199">
        <f t="shared" si="3"/>
        <v>0.79749999999999999</v>
      </c>
      <c r="T67" s="268">
        <v>40</v>
      </c>
      <c r="U67" s="199">
        <f t="shared" si="4"/>
        <v>0.79749999999999999</v>
      </c>
      <c r="V67" s="85">
        <f t="shared" si="5"/>
        <v>15.700000000000003</v>
      </c>
      <c r="X67" s="317">
        <f t="shared" si="6"/>
        <v>42.800000000000004</v>
      </c>
    </row>
    <row r="68" spans="1:24" x14ac:dyDescent="0.25">
      <c r="B68" s="230" t="s">
        <v>126</v>
      </c>
      <c r="C68" s="224">
        <v>0.06</v>
      </c>
      <c r="D68" s="225">
        <v>47.95</v>
      </c>
      <c r="E68" s="223">
        <f>+C68*D68</f>
        <v>2.8770000000000002</v>
      </c>
      <c r="H68" s="82">
        <v>65</v>
      </c>
      <c r="I68" s="17" t="s">
        <v>156</v>
      </c>
      <c r="J68" s="17" t="s">
        <v>193</v>
      </c>
      <c r="K68" s="110">
        <v>7.07</v>
      </c>
      <c r="L68" s="83">
        <v>40</v>
      </c>
      <c r="M68" s="84">
        <f t="shared" si="7"/>
        <v>0.17675000000000002</v>
      </c>
      <c r="N68" s="101">
        <f t="shared" si="0"/>
        <v>21.21</v>
      </c>
      <c r="O68" s="85">
        <f t="shared" si="1"/>
        <v>18.79</v>
      </c>
      <c r="P68" s="198">
        <v>40</v>
      </c>
      <c r="Q68" s="199">
        <f t="shared" si="2"/>
        <v>0.82325000000000004</v>
      </c>
      <c r="R68" s="201">
        <v>40</v>
      </c>
      <c r="S68" s="199">
        <f t="shared" si="3"/>
        <v>0.82325000000000004</v>
      </c>
      <c r="T68" s="268">
        <v>40</v>
      </c>
      <c r="U68" s="199">
        <f t="shared" si="4"/>
        <v>0.82325000000000004</v>
      </c>
      <c r="V68" s="85">
        <f t="shared" si="5"/>
        <v>18.79</v>
      </c>
      <c r="X68" s="317">
        <f t="shared" si="6"/>
        <v>42.800000000000004</v>
      </c>
    </row>
    <row r="69" spans="1:24" x14ac:dyDescent="0.25">
      <c r="A69" s="15"/>
      <c r="B69" s="230" t="s">
        <v>331</v>
      </c>
      <c r="C69" s="224">
        <v>0.08</v>
      </c>
      <c r="D69" s="204">
        <v>18</v>
      </c>
      <c r="E69" s="223">
        <f>+C69*D69</f>
        <v>1.44</v>
      </c>
      <c r="H69" s="82">
        <v>66</v>
      </c>
      <c r="I69" s="17" t="s">
        <v>156</v>
      </c>
      <c r="J69" s="17" t="s">
        <v>158</v>
      </c>
      <c r="K69" s="110">
        <v>7.67</v>
      </c>
      <c r="L69" s="83">
        <v>40</v>
      </c>
      <c r="M69" s="84">
        <f t="shared" si="7"/>
        <v>0.19175</v>
      </c>
      <c r="N69" s="101">
        <f t="shared" ref="N69:N132" si="9">K69*3</f>
        <v>23.009999999999998</v>
      </c>
      <c r="O69" s="85">
        <f t="shared" ref="O69:O140" si="10">L69-N69</f>
        <v>16.990000000000002</v>
      </c>
      <c r="P69" s="198">
        <v>40</v>
      </c>
      <c r="Q69" s="199">
        <f t="shared" ref="Q69:Q140" si="11">(P69-K69)/P69</f>
        <v>0.80824999999999991</v>
      </c>
      <c r="R69" s="201">
        <v>40</v>
      </c>
      <c r="S69" s="199">
        <f t="shared" ref="S69:S132" si="12">(R69-K69)/R69</f>
        <v>0.80824999999999991</v>
      </c>
      <c r="T69" s="268">
        <v>40</v>
      </c>
      <c r="U69" s="199">
        <f t="shared" ref="U69:U132" si="13">(T69-K69)/T69</f>
        <v>0.80824999999999991</v>
      </c>
      <c r="V69" s="85">
        <f t="shared" ref="V69:V132" si="14">T69-N69</f>
        <v>16.990000000000002</v>
      </c>
      <c r="X69" s="317">
        <f t="shared" ref="X69:X132" si="15">+R69*$X$3</f>
        <v>42.800000000000004</v>
      </c>
    </row>
    <row r="70" spans="1:24" ht="16.5" thickBot="1" x14ac:dyDescent="0.3">
      <c r="B70" s="231" t="s">
        <v>128</v>
      </c>
      <c r="C70" s="232">
        <v>0.12</v>
      </c>
      <c r="D70" s="233">
        <v>15</v>
      </c>
      <c r="E70" s="234">
        <f>+C70*D70</f>
        <v>1.7999999999999998</v>
      </c>
      <c r="H70" s="82">
        <v>67</v>
      </c>
      <c r="I70" s="17" t="s">
        <v>156</v>
      </c>
      <c r="J70" s="17" t="s">
        <v>10</v>
      </c>
      <c r="K70" s="110">
        <v>9.2100000000000009</v>
      </c>
      <c r="L70" s="83">
        <v>40</v>
      </c>
      <c r="M70" s="84">
        <f t="shared" ref="M70:M133" si="16">K70/L70</f>
        <v>0.23025000000000001</v>
      </c>
      <c r="N70" s="101">
        <f t="shared" si="9"/>
        <v>27.630000000000003</v>
      </c>
      <c r="O70" s="85">
        <f t="shared" si="10"/>
        <v>12.369999999999997</v>
      </c>
      <c r="P70" s="198">
        <v>40</v>
      </c>
      <c r="Q70" s="199">
        <f t="shared" si="11"/>
        <v>0.76974999999999993</v>
      </c>
      <c r="R70" s="201">
        <v>40</v>
      </c>
      <c r="S70" s="199">
        <f t="shared" si="12"/>
        <v>0.76974999999999993</v>
      </c>
      <c r="T70" s="268">
        <v>40</v>
      </c>
      <c r="U70" s="199">
        <f t="shared" si="13"/>
        <v>0.76974999999999993</v>
      </c>
      <c r="V70" s="85">
        <f t="shared" si="14"/>
        <v>12.369999999999997</v>
      </c>
      <c r="X70" s="317">
        <f t="shared" si="15"/>
        <v>42.800000000000004</v>
      </c>
    </row>
    <row r="71" spans="1:24" ht="16.5" thickBot="1" x14ac:dyDescent="0.3">
      <c r="B71" s="226"/>
      <c r="C71" s="227"/>
      <c r="D71" s="206"/>
      <c r="E71" s="273">
        <f>SUM(E63:E70)</f>
        <v>85.773333333333326</v>
      </c>
      <c r="H71" s="82">
        <v>68</v>
      </c>
      <c r="I71" s="17" t="s">
        <v>156</v>
      </c>
      <c r="J71" s="17" t="s">
        <v>159</v>
      </c>
      <c r="K71" s="110">
        <v>9.82</v>
      </c>
      <c r="L71" s="83">
        <v>40</v>
      </c>
      <c r="M71" s="84">
        <f t="shared" si="16"/>
        <v>0.2455</v>
      </c>
      <c r="N71" s="101">
        <f t="shared" si="9"/>
        <v>29.46</v>
      </c>
      <c r="O71" s="85">
        <f t="shared" si="10"/>
        <v>10.54</v>
      </c>
      <c r="P71" s="198">
        <v>40</v>
      </c>
      <c r="Q71" s="199">
        <f t="shared" si="11"/>
        <v>0.75449999999999995</v>
      </c>
      <c r="R71" s="201">
        <v>40</v>
      </c>
      <c r="S71" s="199">
        <f t="shared" si="12"/>
        <v>0.75449999999999995</v>
      </c>
      <c r="T71" s="268">
        <v>40</v>
      </c>
      <c r="U71" s="199">
        <f t="shared" si="13"/>
        <v>0.75449999999999995</v>
      </c>
      <c r="V71" s="85">
        <f t="shared" si="14"/>
        <v>10.54</v>
      </c>
      <c r="X71" s="317">
        <f t="shared" si="15"/>
        <v>42.800000000000004</v>
      </c>
    </row>
    <row r="72" spans="1:24" ht="16.5" thickBot="1" x14ac:dyDescent="0.3">
      <c r="H72" s="82">
        <v>69</v>
      </c>
      <c r="I72" s="479" t="s">
        <v>160</v>
      </c>
      <c r="J72" s="401" t="s">
        <v>161</v>
      </c>
      <c r="K72" s="110">
        <v>16.7</v>
      </c>
      <c r="L72" s="403">
        <v>50</v>
      </c>
      <c r="M72" s="404">
        <f t="shared" si="16"/>
        <v>0.33399999999999996</v>
      </c>
      <c r="N72" s="405">
        <f t="shared" si="9"/>
        <v>50.099999999999994</v>
      </c>
      <c r="O72" s="406">
        <f t="shared" si="10"/>
        <v>-9.9999999999994316E-2</v>
      </c>
      <c r="P72" s="407">
        <v>50</v>
      </c>
      <c r="Q72" s="408">
        <f t="shared" si="11"/>
        <v>0.66599999999999993</v>
      </c>
      <c r="R72" s="409">
        <v>55</v>
      </c>
      <c r="S72" s="408">
        <f t="shared" si="12"/>
        <v>0.6963636363636363</v>
      </c>
      <c r="T72" s="530">
        <v>55</v>
      </c>
      <c r="U72" s="408">
        <f t="shared" si="13"/>
        <v>0.6963636363636363</v>
      </c>
      <c r="V72" s="406">
        <f t="shared" si="14"/>
        <v>4.9000000000000057</v>
      </c>
      <c r="X72" s="317">
        <f t="shared" si="15"/>
        <v>58.85</v>
      </c>
    </row>
    <row r="73" spans="1:24" ht="16.5" thickBot="1" x14ac:dyDescent="0.3">
      <c r="B73" s="274" t="s">
        <v>236</v>
      </c>
      <c r="C73" s="275"/>
      <c r="D73" s="276">
        <v>43118</v>
      </c>
      <c r="E73" s="277">
        <f>SUM(E74:E77)</f>
        <v>21.721666666666664</v>
      </c>
      <c r="H73" s="82">
        <v>70</v>
      </c>
      <c r="I73" s="479" t="s">
        <v>160</v>
      </c>
      <c r="J73" s="401" t="s">
        <v>162</v>
      </c>
      <c r="K73" s="110">
        <v>19.399999999999999</v>
      </c>
      <c r="L73" s="403">
        <v>60</v>
      </c>
      <c r="M73" s="404">
        <f t="shared" si="16"/>
        <v>0.32333333333333331</v>
      </c>
      <c r="N73" s="405">
        <f t="shared" si="9"/>
        <v>58.199999999999996</v>
      </c>
      <c r="O73" s="406">
        <f t="shared" si="10"/>
        <v>1.8000000000000043</v>
      </c>
      <c r="P73" s="407">
        <v>60</v>
      </c>
      <c r="Q73" s="408">
        <f t="shared" si="11"/>
        <v>0.67666666666666664</v>
      </c>
      <c r="R73" s="409">
        <v>70</v>
      </c>
      <c r="S73" s="408">
        <f t="shared" si="12"/>
        <v>0.72285714285714286</v>
      </c>
      <c r="T73" s="530">
        <v>75</v>
      </c>
      <c r="U73" s="408">
        <f t="shared" si="13"/>
        <v>0.7413333333333334</v>
      </c>
      <c r="V73" s="406">
        <f t="shared" si="14"/>
        <v>16.800000000000004</v>
      </c>
      <c r="X73" s="317">
        <f t="shared" si="15"/>
        <v>74.900000000000006</v>
      </c>
    </row>
    <row r="74" spans="1:24" x14ac:dyDescent="0.25">
      <c r="B74" s="245" t="s">
        <v>207</v>
      </c>
      <c r="C74" s="210" t="s">
        <v>16</v>
      </c>
      <c r="D74" s="235">
        <v>15</v>
      </c>
      <c r="E74" s="246">
        <f>+D74/5</f>
        <v>3</v>
      </c>
      <c r="H74" s="82">
        <v>71</v>
      </c>
      <c r="I74" s="479" t="s">
        <v>160</v>
      </c>
      <c r="J74" s="401" t="s">
        <v>163</v>
      </c>
      <c r="K74" s="110">
        <v>31.22</v>
      </c>
      <c r="L74" s="403">
        <v>70</v>
      </c>
      <c r="M74" s="404">
        <f t="shared" si="16"/>
        <v>0.44600000000000001</v>
      </c>
      <c r="N74" s="405">
        <f t="shared" si="9"/>
        <v>93.66</v>
      </c>
      <c r="O74" s="406">
        <f t="shared" si="10"/>
        <v>-23.659999999999997</v>
      </c>
      <c r="P74" s="407">
        <v>70</v>
      </c>
      <c r="Q74" s="408">
        <f t="shared" si="11"/>
        <v>0.55400000000000005</v>
      </c>
      <c r="R74" s="409">
        <v>80</v>
      </c>
      <c r="S74" s="408">
        <f t="shared" si="12"/>
        <v>0.60975000000000001</v>
      </c>
      <c r="T74" s="530">
        <v>85</v>
      </c>
      <c r="U74" s="408">
        <f t="shared" si="13"/>
        <v>0.63270588235294123</v>
      </c>
      <c r="V74" s="406">
        <f t="shared" si="14"/>
        <v>-8.6599999999999966</v>
      </c>
      <c r="X74" s="317">
        <f t="shared" si="15"/>
        <v>85.600000000000009</v>
      </c>
    </row>
    <row r="75" spans="1:24" x14ac:dyDescent="0.25">
      <c r="B75" s="236" t="s">
        <v>208</v>
      </c>
      <c r="C75" s="212" t="s">
        <v>16</v>
      </c>
      <c r="D75" s="34">
        <v>9</v>
      </c>
      <c r="E75" s="237">
        <f>+D75/5</f>
        <v>1.8</v>
      </c>
      <c r="H75" s="82">
        <v>72</v>
      </c>
      <c r="I75" s="291" t="s">
        <v>164</v>
      </c>
      <c r="J75" s="291" t="s">
        <v>204</v>
      </c>
      <c r="K75" s="438">
        <f>E39</f>
        <v>12.6</v>
      </c>
      <c r="L75" s="439">
        <v>20</v>
      </c>
      <c r="M75" s="440">
        <f t="shared" si="16"/>
        <v>0.63</v>
      </c>
      <c r="N75" s="441">
        <f t="shared" si="9"/>
        <v>37.799999999999997</v>
      </c>
      <c r="O75" s="442">
        <f t="shared" si="10"/>
        <v>-17.799999999999997</v>
      </c>
      <c r="P75" s="443">
        <v>20</v>
      </c>
      <c r="Q75" s="444">
        <f t="shared" si="11"/>
        <v>0.37</v>
      </c>
      <c r="R75" s="445">
        <v>25</v>
      </c>
      <c r="S75" s="444">
        <f t="shared" si="12"/>
        <v>0.496</v>
      </c>
      <c r="T75" s="446">
        <v>25</v>
      </c>
      <c r="U75" s="444">
        <f t="shared" si="13"/>
        <v>0.496</v>
      </c>
      <c r="V75" s="442">
        <f t="shared" si="14"/>
        <v>-12.799999999999997</v>
      </c>
      <c r="X75" s="317">
        <f t="shared" si="15"/>
        <v>26.75</v>
      </c>
    </row>
    <row r="76" spans="1:24" x14ac:dyDescent="0.25">
      <c r="B76" s="236" t="s">
        <v>89</v>
      </c>
      <c r="C76" s="212" t="s">
        <v>16</v>
      </c>
      <c r="D76" s="34">
        <v>92.8</v>
      </c>
      <c r="E76" s="237">
        <f>(+D76)/6</f>
        <v>15.466666666666667</v>
      </c>
      <c r="H76" s="82">
        <v>73</v>
      </c>
      <c r="I76" s="291" t="s">
        <v>164</v>
      </c>
      <c r="J76" s="291" t="s">
        <v>205</v>
      </c>
      <c r="K76" s="438">
        <f>E39*2</f>
        <v>25.2</v>
      </c>
      <c r="L76" s="439">
        <v>30</v>
      </c>
      <c r="M76" s="440">
        <f t="shared" si="16"/>
        <v>0.84</v>
      </c>
      <c r="N76" s="441">
        <f t="shared" si="9"/>
        <v>75.599999999999994</v>
      </c>
      <c r="O76" s="442">
        <f t="shared" si="10"/>
        <v>-45.599999999999994</v>
      </c>
      <c r="P76" s="443">
        <v>35</v>
      </c>
      <c r="Q76" s="444">
        <f t="shared" si="11"/>
        <v>0.28000000000000003</v>
      </c>
      <c r="R76" s="445">
        <v>40</v>
      </c>
      <c r="S76" s="444">
        <f t="shared" si="12"/>
        <v>0.37</v>
      </c>
      <c r="T76" s="446">
        <v>40</v>
      </c>
      <c r="U76" s="444">
        <f t="shared" si="13"/>
        <v>0.37</v>
      </c>
      <c r="V76" s="442">
        <f t="shared" si="14"/>
        <v>-35.599999999999994</v>
      </c>
      <c r="X76" s="317">
        <f t="shared" si="15"/>
        <v>42.800000000000004</v>
      </c>
    </row>
    <row r="77" spans="1:24" ht="16.5" thickBot="1" x14ac:dyDescent="0.3">
      <c r="B77" s="241" t="s">
        <v>209</v>
      </c>
      <c r="C77" s="259" t="s">
        <v>210</v>
      </c>
      <c r="D77" s="260">
        <v>14.55</v>
      </c>
      <c r="E77" s="262">
        <f>+D77/10</f>
        <v>1.4550000000000001</v>
      </c>
      <c r="H77" s="82">
        <v>74</v>
      </c>
      <c r="I77" s="291" t="s">
        <v>164</v>
      </c>
      <c r="J77" s="291" t="s">
        <v>206</v>
      </c>
      <c r="K77" s="438">
        <f>E39*4</f>
        <v>50.4</v>
      </c>
      <c r="L77" s="439">
        <v>50</v>
      </c>
      <c r="M77" s="440">
        <f t="shared" si="16"/>
        <v>1.008</v>
      </c>
      <c r="N77" s="441">
        <f t="shared" si="9"/>
        <v>151.19999999999999</v>
      </c>
      <c r="O77" s="442">
        <f t="shared" si="10"/>
        <v>-101.19999999999999</v>
      </c>
      <c r="P77" s="443">
        <v>60</v>
      </c>
      <c r="Q77" s="444">
        <f t="shared" si="11"/>
        <v>0.16000000000000003</v>
      </c>
      <c r="R77" s="445">
        <v>75</v>
      </c>
      <c r="S77" s="444">
        <f t="shared" si="12"/>
        <v>0.32800000000000001</v>
      </c>
      <c r="T77" s="446">
        <v>75</v>
      </c>
      <c r="U77" s="444">
        <f t="shared" si="13"/>
        <v>0.32800000000000001</v>
      </c>
      <c r="V77" s="442">
        <f t="shared" si="14"/>
        <v>-76.199999999999989</v>
      </c>
      <c r="X77" s="317">
        <f t="shared" si="15"/>
        <v>80.25</v>
      </c>
    </row>
    <row r="78" spans="1:24" ht="16.5" thickBot="1" x14ac:dyDescent="0.3">
      <c r="H78" s="82">
        <v>75</v>
      </c>
      <c r="I78" s="379" t="s">
        <v>139</v>
      </c>
      <c r="J78" s="379" t="s">
        <v>140</v>
      </c>
      <c r="K78" s="380">
        <v>9.4</v>
      </c>
      <c r="L78" s="381">
        <v>13</v>
      </c>
      <c r="M78" s="382">
        <f t="shared" si="16"/>
        <v>0.72307692307692306</v>
      </c>
      <c r="N78" s="383">
        <f t="shared" si="9"/>
        <v>28.200000000000003</v>
      </c>
      <c r="O78" s="384">
        <f t="shared" si="10"/>
        <v>-15.200000000000003</v>
      </c>
      <c r="P78" s="385">
        <v>15</v>
      </c>
      <c r="Q78" s="386">
        <f t="shared" si="11"/>
        <v>0.37333333333333329</v>
      </c>
      <c r="R78" s="387">
        <v>16</v>
      </c>
      <c r="S78" s="386">
        <f t="shared" si="12"/>
        <v>0.41249999999999998</v>
      </c>
      <c r="T78" s="269">
        <v>16</v>
      </c>
      <c r="U78" s="386">
        <f t="shared" si="13"/>
        <v>0.41249999999999998</v>
      </c>
      <c r="V78" s="384">
        <f t="shared" si="14"/>
        <v>-12.200000000000003</v>
      </c>
      <c r="X78" s="317">
        <f t="shared" si="15"/>
        <v>17.12</v>
      </c>
    </row>
    <row r="79" spans="1:24" x14ac:dyDescent="0.25">
      <c r="B79" s="263" t="s">
        <v>312</v>
      </c>
      <c r="C79" s="264" t="s">
        <v>210</v>
      </c>
      <c r="D79" s="266">
        <v>199</v>
      </c>
      <c r="E79" s="265">
        <f>+D79/8.5</f>
        <v>23.411764705882351</v>
      </c>
      <c r="H79" s="82">
        <v>76</v>
      </c>
      <c r="I79" s="379" t="s">
        <v>139</v>
      </c>
      <c r="J79" s="379" t="s">
        <v>141</v>
      </c>
      <c r="K79" s="380">
        <v>9.75</v>
      </c>
      <c r="L79" s="381">
        <v>13</v>
      </c>
      <c r="M79" s="382">
        <f t="shared" si="16"/>
        <v>0.75</v>
      </c>
      <c r="N79" s="383">
        <f t="shared" si="9"/>
        <v>29.25</v>
      </c>
      <c r="O79" s="384">
        <f t="shared" si="10"/>
        <v>-16.25</v>
      </c>
      <c r="P79" s="385">
        <v>17</v>
      </c>
      <c r="Q79" s="386">
        <f t="shared" si="11"/>
        <v>0.4264705882352941</v>
      </c>
      <c r="R79" s="387">
        <v>16</v>
      </c>
      <c r="S79" s="386">
        <f t="shared" si="12"/>
        <v>0.390625</v>
      </c>
      <c r="T79" s="269">
        <v>16</v>
      </c>
      <c r="U79" s="386">
        <f t="shared" si="13"/>
        <v>0.390625</v>
      </c>
      <c r="V79" s="384">
        <f t="shared" si="14"/>
        <v>-13.25</v>
      </c>
      <c r="X79" s="317">
        <f t="shared" si="15"/>
        <v>17.12</v>
      </c>
    </row>
    <row r="80" spans="1:24" x14ac:dyDescent="0.25">
      <c r="B80" s="239" t="s">
        <v>183</v>
      </c>
      <c r="C80" s="212" t="s">
        <v>222</v>
      </c>
      <c r="D80" s="222">
        <f>7.8*1.16</f>
        <v>9.048</v>
      </c>
      <c r="E80" s="256">
        <f>+D80</f>
        <v>9.048</v>
      </c>
      <c r="H80" s="82">
        <v>77</v>
      </c>
      <c r="I80" s="379" t="s">
        <v>139</v>
      </c>
      <c r="J80" s="379" t="s">
        <v>142</v>
      </c>
      <c r="K80" s="380">
        <v>5.74</v>
      </c>
      <c r="L80" s="381">
        <v>13</v>
      </c>
      <c r="M80" s="382">
        <f t="shared" si="16"/>
        <v>0.44153846153846155</v>
      </c>
      <c r="N80" s="383">
        <f t="shared" si="9"/>
        <v>17.22</v>
      </c>
      <c r="O80" s="384">
        <f t="shared" si="10"/>
        <v>-4.2199999999999989</v>
      </c>
      <c r="P80" s="385">
        <v>15</v>
      </c>
      <c r="Q80" s="386">
        <f t="shared" si="11"/>
        <v>0.61733333333333329</v>
      </c>
      <c r="R80" s="387">
        <v>16</v>
      </c>
      <c r="S80" s="386">
        <f t="shared" si="12"/>
        <v>0.64124999999999999</v>
      </c>
      <c r="T80" s="269">
        <v>16</v>
      </c>
      <c r="U80" s="386">
        <f t="shared" si="13"/>
        <v>0.64124999999999999</v>
      </c>
      <c r="V80" s="384">
        <f t="shared" si="14"/>
        <v>-1.2199999999999989</v>
      </c>
      <c r="X80" s="317">
        <f t="shared" si="15"/>
        <v>17.12</v>
      </c>
    </row>
    <row r="81" spans="2:24" x14ac:dyDescent="0.25">
      <c r="B81" s="239" t="s">
        <v>221</v>
      </c>
      <c r="C81" s="212" t="s">
        <v>222</v>
      </c>
      <c r="D81" s="34">
        <v>12.07</v>
      </c>
      <c r="E81" s="256">
        <f>+D81</f>
        <v>12.07</v>
      </c>
      <c r="H81" s="82">
        <v>78</v>
      </c>
      <c r="I81" s="379" t="s">
        <v>139</v>
      </c>
      <c r="J81" s="379" t="s">
        <v>143</v>
      </c>
      <c r="K81" s="380">
        <v>2.92</v>
      </c>
      <c r="L81" s="381">
        <v>13</v>
      </c>
      <c r="M81" s="382">
        <f t="shared" si="16"/>
        <v>0.22461538461538461</v>
      </c>
      <c r="N81" s="383">
        <f t="shared" si="9"/>
        <v>8.76</v>
      </c>
      <c r="O81" s="384">
        <f t="shared" si="10"/>
        <v>4.24</v>
      </c>
      <c r="P81" s="385">
        <v>15</v>
      </c>
      <c r="Q81" s="386">
        <f t="shared" si="11"/>
        <v>0.80533333333333335</v>
      </c>
      <c r="R81" s="387">
        <v>16</v>
      </c>
      <c r="S81" s="386">
        <f t="shared" si="12"/>
        <v>0.8175</v>
      </c>
      <c r="T81" s="269">
        <v>16</v>
      </c>
      <c r="U81" s="386">
        <f t="shared" si="13"/>
        <v>0.8175</v>
      </c>
      <c r="V81" s="384">
        <f t="shared" si="14"/>
        <v>7.24</v>
      </c>
      <c r="X81" s="317">
        <f t="shared" si="15"/>
        <v>17.12</v>
      </c>
    </row>
    <row r="82" spans="2:24" x14ac:dyDescent="0.25">
      <c r="B82" s="239" t="s">
        <v>181</v>
      </c>
      <c r="C82" s="212" t="s">
        <v>222</v>
      </c>
      <c r="D82" s="34">
        <f>5.08*1.16</f>
        <v>5.8927999999999994</v>
      </c>
      <c r="E82" s="256">
        <f>+D82</f>
        <v>5.8927999999999994</v>
      </c>
      <c r="H82" s="82">
        <v>79</v>
      </c>
      <c r="I82" s="379" t="s">
        <v>139</v>
      </c>
      <c r="J82" s="379" t="s">
        <v>144</v>
      </c>
      <c r="K82" s="380">
        <v>5.08</v>
      </c>
      <c r="L82" s="381">
        <v>13</v>
      </c>
      <c r="M82" s="382">
        <f t="shared" si="16"/>
        <v>0.39076923076923076</v>
      </c>
      <c r="N82" s="383">
        <f t="shared" si="9"/>
        <v>15.24</v>
      </c>
      <c r="O82" s="384">
        <f t="shared" si="10"/>
        <v>-2.2400000000000002</v>
      </c>
      <c r="P82" s="385">
        <v>15</v>
      </c>
      <c r="Q82" s="386">
        <f t="shared" si="11"/>
        <v>0.66133333333333333</v>
      </c>
      <c r="R82" s="387">
        <v>16</v>
      </c>
      <c r="S82" s="386">
        <f t="shared" si="12"/>
        <v>0.6825</v>
      </c>
      <c r="T82" s="269">
        <v>16</v>
      </c>
      <c r="U82" s="386">
        <f t="shared" si="13"/>
        <v>0.6825</v>
      </c>
      <c r="V82" s="384">
        <f t="shared" si="14"/>
        <v>0.75999999999999979</v>
      </c>
      <c r="X82" s="317">
        <f t="shared" si="15"/>
        <v>17.12</v>
      </c>
    </row>
    <row r="83" spans="2:24" x14ac:dyDescent="0.25">
      <c r="B83" s="239" t="s">
        <v>223</v>
      </c>
      <c r="C83" s="212" t="s">
        <v>224</v>
      </c>
      <c r="D83" s="34">
        <v>58</v>
      </c>
      <c r="E83" s="258">
        <f>+D83/17</f>
        <v>3.4117647058823528</v>
      </c>
      <c r="H83" s="82">
        <v>80</v>
      </c>
      <c r="I83" s="379" t="s">
        <v>139</v>
      </c>
      <c r="J83" s="379" t="s">
        <v>145</v>
      </c>
      <c r="K83" s="380">
        <f>E13+E35+(E31)</f>
        <v>11.265800865800866</v>
      </c>
      <c r="L83" s="381">
        <v>13</v>
      </c>
      <c r="M83" s="382">
        <f t="shared" si="16"/>
        <v>0.86660006660006661</v>
      </c>
      <c r="N83" s="383">
        <f t="shared" si="9"/>
        <v>33.797402597402595</v>
      </c>
      <c r="O83" s="384">
        <f t="shared" si="10"/>
        <v>-20.797402597402595</v>
      </c>
      <c r="P83" s="385">
        <v>15</v>
      </c>
      <c r="Q83" s="386">
        <f t="shared" si="11"/>
        <v>0.24894660894660892</v>
      </c>
      <c r="R83" s="387">
        <v>16</v>
      </c>
      <c r="S83" s="386">
        <f t="shared" si="12"/>
        <v>0.29588744588744587</v>
      </c>
      <c r="T83" s="269">
        <v>16</v>
      </c>
      <c r="U83" s="386">
        <f t="shared" si="13"/>
        <v>0.29588744588744587</v>
      </c>
      <c r="V83" s="384">
        <f t="shared" si="14"/>
        <v>-17.797402597402595</v>
      </c>
      <c r="X83" s="317">
        <f t="shared" si="15"/>
        <v>17.12</v>
      </c>
    </row>
    <row r="84" spans="2:24" ht="16.5" thickBot="1" x14ac:dyDescent="0.3">
      <c r="B84" s="241" t="s">
        <v>229</v>
      </c>
      <c r="C84" s="242"/>
      <c r="D84" s="260">
        <v>2</v>
      </c>
      <c r="E84" s="244">
        <f>+D84</f>
        <v>2</v>
      </c>
      <c r="H84" s="82">
        <v>81</v>
      </c>
      <c r="I84" s="379" t="s">
        <v>139</v>
      </c>
      <c r="J84" s="379" t="s">
        <v>146</v>
      </c>
      <c r="K84" s="380">
        <v>7.38</v>
      </c>
      <c r="L84" s="381">
        <v>13</v>
      </c>
      <c r="M84" s="382">
        <f t="shared" si="16"/>
        <v>0.56769230769230772</v>
      </c>
      <c r="N84" s="383">
        <f t="shared" si="9"/>
        <v>22.14</v>
      </c>
      <c r="O84" s="384">
        <f t="shared" si="10"/>
        <v>-9.14</v>
      </c>
      <c r="P84" s="385">
        <v>15</v>
      </c>
      <c r="Q84" s="386">
        <f t="shared" si="11"/>
        <v>0.50800000000000001</v>
      </c>
      <c r="R84" s="387">
        <v>16</v>
      </c>
      <c r="S84" s="386">
        <f t="shared" si="12"/>
        <v>0.53875000000000006</v>
      </c>
      <c r="T84" s="269">
        <v>16</v>
      </c>
      <c r="U84" s="386">
        <f t="shared" si="13"/>
        <v>0.53875000000000006</v>
      </c>
      <c r="V84" s="384">
        <f t="shared" si="14"/>
        <v>-6.1400000000000006</v>
      </c>
      <c r="X84" s="317">
        <f t="shared" si="15"/>
        <v>17.12</v>
      </c>
    </row>
    <row r="85" spans="2:24" ht="16.5" thickBot="1" x14ac:dyDescent="0.3">
      <c r="H85" s="82">
        <v>82</v>
      </c>
      <c r="I85" s="379" t="s">
        <v>139</v>
      </c>
      <c r="J85" s="379" t="s">
        <v>154</v>
      </c>
      <c r="K85" s="380">
        <v>13.24</v>
      </c>
      <c r="L85" s="381">
        <v>24</v>
      </c>
      <c r="M85" s="382">
        <f t="shared" si="16"/>
        <v>0.55166666666666664</v>
      </c>
      <c r="N85" s="383">
        <f t="shared" si="9"/>
        <v>39.72</v>
      </c>
      <c r="O85" s="384">
        <f t="shared" si="10"/>
        <v>-15.719999999999999</v>
      </c>
      <c r="P85" s="385">
        <v>24</v>
      </c>
      <c r="Q85" s="386">
        <f t="shared" si="11"/>
        <v>0.44833333333333331</v>
      </c>
      <c r="R85" s="387">
        <v>26</v>
      </c>
      <c r="S85" s="386">
        <f t="shared" si="12"/>
        <v>0.49076923076923074</v>
      </c>
      <c r="T85" s="269">
        <v>26</v>
      </c>
      <c r="U85" s="386">
        <f t="shared" si="13"/>
        <v>0.49076923076923074</v>
      </c>
      <c r="V85" s="384">
        <f t="shared" si="14"/>
        <v>-13.719999999999999</v>
      </c>
      <c r="X85" s="317">
        <f t="shared" si="15"/>
        <v>27.82</v>
      </c>
    </row>
    <row r="86" spans="2:24" ht="16.5" thickBot="1" x14ac:dyDescent="0.3">
      <c r="B86" s="507" t="s">
        <v>418</v>
      </c>
      <c r="C86" s="508"/>
      <c r="D86" s="509" t="s">
        <v>411</v>
      </c>
      <c r="E86" s="527">
        <f>SUM(E87:E92)/5</f>
        <v>202.28199999999998</v>
      </c>
      <c r="H86" s="82">
        <v>83</v>
      </c>
      <c r="I86" s="379" t="s">
        <v>139</v>
      </c>
      <c r="J86" s="379" t="s">
        <v>10</v>
      </c>
      <c r="K86" s="380">
        <v>9.86</v>
      </c>
      <c r="L86" s="381">
        <v>24</v>
      </c>
      <c r="M86" s="382">
        <f t="shared" si="16"/>
        <v>0.41083333333333333</v>
      </c>
      <c r="N86" s="383">
        <f t="shared" si="9"/>
        <v>29.58</v>
      </c>
      <c r="O86" s="384">
        <f t="shared" si="10"/>
        <v>-5.5799999999999983</v>
      </c>
      <c r="P86" s="385">
        <v>24</v>
      </c>
      <c r="Q86" s="386">
        <f t="shared" si="11"/>
        <v>0.58916666666666673</v>
      </c>
      <c r="R86" s="387">
        <v>26</v>
      </c>
      <c r="S86" s="386">
        <f t="shared" si="12"/>
        <v>0.62076923076923074</v>
      </c>
      <c r="T86" s="269">
        <v>26</v>
      </c>
      <c r="U86" s="386">
        <f t="shared" si="13"/>
        <v>0.62076923076923074</v>
      </c>
      <c r="V86" s="384">
        <f t="shared" si="14"/>
        <v>-3.5799999999999983</v>
      </c>
      <c r="X86" s="317">
        <f t="shared" si="15"/>
        <v>27.82</v>
      </c>
    </row>
    <row r="87" spans="2:24" x14ac:dyDescent="0.25">
      <c r="B87" s="263" t="s">
        <v>417</v>
      </c>
      <c r="C87" s="264" t="s">
        <v>16</v>
      </c>
      <c r="D87" s="266">
        <v>185</v>
      </c>
      <c r="E87" s="265">
        <f>+D87*5</f>
        <v>925</v>
      </c>
      <c r="H87" s="82">
        <v>84</v>
      </c>
      <c r="I87" s="401" t="s">
        <v>151</v>
      </c>
      <c r="J87" s="401" t="s">
        <v>140</v>
      </c>
      <c r="K87" s="402">
        <v>9.09</v>
      </c>
      <c r="L87" s="403">
        <v>13</v>
      </c>
      <c r="M87" s="404">
        <f t="shared" si="16"/>
        <v>0.69923076923076921</v>
      </c>
      <c r="N87" s="405">
        <f t="shared" si="9"/>
        <v>27.27</v>
      </c>
      <c r="O87" s="406">
        <f t="shared" si="10"/>
        <v>-14.27</v>
      </c>
      <c r="P87" s="407">
        <v>15</v>
      </c>
      <c r="Q87" s="408">
        <f t="shared" si="11"/>
        <v>0.39400000000000002</v>
      </c>
      <c r="R87" s="409">
        <v>16</v>
      </c>
      <c r="S87" s="408">
        <f t="shared" si="12"/>
        <v>0.43187500000000001</v>
      </c>
      <c r="T87" s="410">
        <v>16</v>
      </c>
      <c r="U87" s="408">
        <f t="shared" si="13"/>
        <v>0.43187500000000001</v>
      </c>
      <c r="V87" s="406">
        <f t="shared" si="14"/>
        <v>-11.27</v>
      </c>
      <c r="X87" s="317">
        <f t="shared" si="15"/>
        <v>17.12</v>
      </c>
    </row>
    <row r="88" spans="2:24" x14ac:dyDescent="0.25">
      <c r="B88" s="236" t="s">
        <v>412</v>
      </c>
      <c r="C88" s="212" t="s">
        <v>16</v>
      </c>
      <c r="D88" s="34">
        <v>7.61</v>
      </c>
      <c r="E88" s="237">
        <f>+D88</f>
        <v>7.61</v>
      </c>
      <c r="H88" s="82">
        <v>85</v>
      </c>
      <c r="I88" s="401" t="s">
        <v>151</v>
      </c>
      <c r="J88" s="401" t="s">
        <v>141</v>
      </c>
      <c r="K88" s="402">
        <v>8.35</v>
      </c>
      <c r="L88" s="403">
        <v>13</v>
      </c>
      <c r="M88" s="404">
        <f t="shared" si="16"/>
        <v>0.64230769230769225</v>
      </c>
      <c r="N88" s="405">
        <f t="shared" si="9"/>
        <v>25.049999999999997</v>
      </c>
      <c r="O88" s="406">
        <f t="shared" si="10"/>
        <v>-12.049999999999997</v>
      </c>
      <c r="P88" s="407">
        <v>15</v>
      </c>
      <c r="Q88" s="408">
        <f t="shared" si="11"/>
        <v>0.44333333333333336</v>
      </c>
      <c r="R88" s="409">
        <v>16</v>
      </c>
      <c r="S88" s="408">
        <f t="shared" si="12"/>
        <v>0.47812500000000002</v>
      </c>
      <c r="T88" s="410">
        <v>16</v>
      </c>
      <c r="U88" s="408">
        <f t="shared" si="13"/>
        <v>0.47812500000000002</v>
      </c>
      <c r="V88" s="406">
        <f t="shared" si="14"/>
        <v>-9.0499999999999972</v>
      </c>
      <c r="X88" s="317">
        <f t="shared" si="15"/>
        <v>17.12</v>
      </c>
    </row>
    <row r="89" spans="2:24" x14ac:dyDescent="0.25">
      <c r="B89" s="236" t="s">
        <v>413</v>
      </c>
      <c r="C89" s="212" t="s">
        <v>16</v>
      </c>
      <c r="D89" s="34">
        <v>9.9</v>
      </c>
      <c r="E89" s="237">
        <f>(+D89)</f>
        <v>9.9</v>
      </c>
      <c r="H89" s="82">
        <v>86</v>
      </c>
      <c r="I89" s="401" t="s">
        <v>151</v>
      </c>
      <c r="J89" s="401" t="s">
        <v>142</v>
      </c>
      <c r="K89" s="402">
        <v>5.34</v>
      </c>
      <c r="L89" s="403">
        <v>13</v>
      </c>
      <c r="M89" s="404">
        <f t="shared" si="16"/>
        <v>0.41076923076923078</v>
      </c>
      <c r="N89" s="405">
        <f t="shared" si="9"/>
        <v>16.02</v>
      </c>
      <c r="O89" s="406">
        <f t="shared" si="10"/>
        <v>-3.0199999999999996</v>
      </c>
      <c r="P89" s="407">
        <v>15</v>
      </c>
      <c r="Q89" s="408">
        <f t="shared" si="11"/>
        <v>0.64400000000000002</v>
      </c>
      <c r="R89" s="409">
        <v>16</v>
      </c>
      <c r="S89" s="408">
        <f t="shared" si="12"/>
        <v>0.66625000000000001</v>
      </c>
      <c r="T89" s="410">
        <v>16</v>
      </c>
      <c r="U89" s="408">
        <f t="shared" si="13"/>
        <v>0.66625000000000001</v>
      </c>
      <c r="V89" s="406">
        <f t="shared" si="14"/>
        <v>-1.9999999999999574E-2</v>
      </c>
      <c r="X89" s="317">
        <f t="shared" si="15"/>
        <v>17.12</v>
      </c>
    </row>
    <row r="90" spans="2:24" x14ac:dyDescent="0.25">
      <c r="B90" s="239" t="s">
        <v>414</v>
      </c>
      <c r="C90" s="214" t="s">
        <v>210</v>
      </c>
      <c r="D90" s="34">
        <v>104.5</v>
      </c>
      <c r="E90" s="237">
        <f>+D90/2</f>
        <v>52.25</v>
      </c>
      <c r="H90" s="82">
        <v>87</v>
      </c>
      <c r="I90" s="401" t="s">
        <v>151</v>
      </c>
      <c r="J90" s="401" t="s">
        <v>143</v>
      </c>
      <c r="K90" s="438">
        <v>2.52</v>
      </c>
      <c r="L90" s="403">
        <v>13</v>
      </c>
      <c r="M90" s="404">
        <f t="shared" si="16"/>
        <v>0.19384615384615383</v>
      </c>
      <c r="N90" s="405">
        <f t="shared" si="9"/>
        <v>7.5600000000000005</v>
      </c>
      <c r="O90" s="406">
        <f t="shared" si="10"/>
        <v>5.4399999999999995</v>
      </c>
      <c r="P90" s="407">
        <v>15</v>
      </c>
      <c r="Q90" s="408">
        <f t="shared" si="11"/>
        <v>0.83200000000000007</v>
      </c>
      <c r="R90" s="409">
        <v>16</v>
      </c>
      <c r="S90" s="408">
        <f t="shared" si="12"/>
        <v>0.84250000000000003</v>
      </c>
      <c r="T90" s="410">
        <v>16</v>
      </c>
      <c r="U90" s="408">
        <f t="shared" si="13"/>
        <v>0.84250000000000003</v>
      </c>
      <c r="V90" s="406">
        <f t="shared" si="14"/>
        <v>8.44</v>
      </c>
      <c r="X90" s="317">
        <f t="shared" si="15"/>
        <v>17.12</v>
      </c>
    </row>
    <row r="91" spans="2:24" x14ac:dyDescent="0.25">
      <c r="B91" s="236" t="s">
        <v>415</v>
      </c>
      <c r="C91" s="212" t="s">
        <v>16</v>
      </c>
      <c r="D91" s="34">
        <v>15</v>
      </c>
      <c r="E91" s="237">
        <f>(+D91)</f>
        <v>15</v>
      </c>
      <c r="H91" s="82">
        <v>88</v>
      </c>
      <c r="I91" s="401" t="s">
        <v>151</v>
      </c>
      <c r="J91" s="401" t="s">
        <v>144</v>
      </c>
      <c r="K91" s="402">
        <v>4.68</v>
      </c>
      <c r="L91" s="403">
        <v>13</v>
      </c>
      <c r="M91" s="404">
        <f t="shared" si="16"/>
        <v>0.36</v>
      </c>
      <c r="N91" s="405">
        <f t="shared" si="9"/>
        <v>14.04</v>
      </c>
      <c r="O91" s="406">
        <f t="shared" si="10"/>
        <v>-1.0399999999999991</v>
      </c>
      <c r="P91" s="407">
        <v>15</v>
      </c>
      <c r="Q91" s="408">
        <f t="shared" si="11"/>
        <v>0.68800000000000006</v>
      </c>
      <c r="R91" s="409">
        <v>16</v>
      </c>
      <c r="S91" s="408">
        <f t="shared" si="12"/>
        <v>0.70750000000000002</v>
      </c>
      <c r="T91" s="410">
        <v>16</v>
      </c>
      <c r="U91" s="408">
        <f t="shared" si="13"/>
        <v>0.70750000000000002</v>
      </c>
      <c r="V91" s="406">
        <f t="shared" si="14"/>
        <v>1.9600000000000009</v>
      </c>
      <c r="X91" s="317">
        <f t="shared" si="15"/>
        <v>17.12</v>
      </c>
    </row>
    <row r="92" spans="2:24" ht="16.5" thickBot="1" x14ac:dyDescent="0.3">
      <c r="B92" s="241" t="s">
        <v>416</v>
      </c>
      <c r="C92" s="259" t="s">
        <v>210</v>
      </c>
      <c r="D92" s="260">
        <v>6.6</v>
      </c>
      <c r="E92" s="262">
        <f>+D92*0.25</f>
        <v>1.65</v>
      </c>
      <c r="H92" s="82">
        <v>89</v>
      </c>
      <c r="I92" s="401" t="s">
        <v>151</v>
      </c>
      <c r="J92" s="401" t="s">
        <v>145</v>
      </c>
      <c r="K92" s="438">
        <f>E12+E35+(E31)</f>
        <v>10.815800865800867</v>
      </c>
      <c r="L92" s="403">
        <v>13</v>
      </c>
      <c r="M92" s="404">
        <f t="shared" si="16"/>
        <v>0.83198468198468212</v>
      </c>
      <c r="N92" s="405">
        <f t="shared" si="9"/>
        <v>32.447402597402601</v>
      </c>
      <c r="O92" s="406">
        <f t="shared" si="10"/>
        <v>-19.447402597402601</v>
      </c>
      <c r="P92" s="407">
        <v>15</v>
      </c>
      <c r="Q92" s="408">
        <f t="shared" si="11"/>
        <v>0.27894660894660889</v>
      </c>
      <c r="R92" s="409">
        <v>16</v>
      </c>
      <c r="S92" s="408">
        <f t="shared" si="12"/>
        <v>0.32401244588744582</v>
      </c>
      <c r="T92" s="410">
        <v>16</v>
      </c>
      <c r="U92" s="408">
        <f t="shared" si="13"/>
        <v>0.32401244588744582</v>
      </c>
      <c r="V92" s="406">
        <f t="shared" si="14"/>
        <v>-16.447402597402601</v>
      </c>
      <c r="X92" s="317">
        <f t="shared" si="15"/>
        <v>17.12</v>
      </c>
    </row>
    <row r="93" spans="2:24" ht="16.5" thickBot="1" x14ac:dyDescent="0.3">
      <c r="B93" s="228"/>
      <c r="H93" s="82">
        <v>90</v>
      </c>
      <c r="I93" s="401" t="s">
        <v>151</v>
      </c>
      <c r="J93" s="401" t="s">
        <v>146</v>
      </c>
      <c r="K93" s="402">
        <v>7.29</v>
      </c>
      <c r="L93" s="403">
        <v>13</v>
      </c>
      <c r="M93" s="404">
        <f t="shared" si="16"/>
        <v>0.5607692307692308</v>
      </c>
      <c r="N93" s="405">
        <f t="shared" si="9"/>
        <v>21.87</v>
      </c>
      <c r="O93" s="406">
        <f t="shared" si="10"/>
        <v>-8.870000000000001</v>
      </c>
      <c r="P93" s="407">
        <v>15</v>
      </c>
      <c r="Q93" s="408">
        <f t="shared" si="11"/>
        <v>0.51400000000000001</v>
      </c>
      <c r="R93" s="409">
        <v>16</v>
      </c>
      <c r="S93" s="408">
        <f t="shared" si="12"/>
        <v>0.54437500000000005</v>
      </c>
      <c r="T93" s="410">
        <v>16</v>
      </c>
      <c r="U93" s="408">
        <f t="shared" si="13"/>
        <v>0.54437500000000005</v>
      </c>
      <c r="V93" s="406">
        <f t="shared" si="14"/>
        <v>-5.870000000000001</v>
      </c>
      <c r="X93" s="317">
        <f t="shared" si="15"/>
        <v>17.12</v>
      </c>
    </row>
    <row r="94" spans="2:24" ht="16.5" thickBot="1" x14ac:dyDescent="0.3">
      <c r="B94" s="510" t="s">
        <v>431</v>
      </c>
      <c r="C94" s="511"/>
      <c r="D94" s="512" t="s">
        <v>411</v>
      </c>
      <c r="E94" s="513">
        <f>SUM(E95:E100)</f>
        <v>380.45</v>
      </c>
      <c r="H94" s="82">
        <v>91</v>
      </c>
      <c r="I94" s="401" t="s">
        <v>151</v>
      </c>
      <c r="J94" s="401" t="s">
        <v>154</v>
      </c>
      <c r="K94" s="402">
        <v>12.84</v>
      </c>
      <c r="L94" s="403">
        <v>24</v>
      </c>
      <c r="M94" s="404">
        <f t="shared" si="16"/>
        <v>0.53500000000000003</v>
      </c>
      <c r="N94" s="405">
        <f t="shared" si="9"/>
        <v>38.519999999999996</v>
      </c>
      <c r="O94" s="406">
        <f t="shared" si="10"/>
        <v>-14.519999999999996</v>
      </c>
      <c r="P94" s="407">
        <v>24</v>
      </c>
      <c r="Q94" s="408">
        <f t="shared" si="11"/>
        <v>0.46500000000000002</v>
      </c>
      <c r="R94" s="409">
        <v>26</v>
      </c>
      <c r="S94" s="408">
        <f t="shared" si="12"/>
        <v>0.50615384615384618</v>
      </c>
      <c r="T94" s="410">
        <v>26</v>
      </c>
      <c r="U94" s="408">
        <f t="shared" si="13"/>
        <v>0.50615384615384618</v>
      </c>
      <c r="V94" s="406">
        <f t="shared" si="14"/>
        <v>-12.519999999999996</v>
      </c>
      <c r="X94" s="317">
        <f t="shared" si="15"/>
        <v>27.82</v>
      </c>
    </row>
    <row r="95" spans="2:24" x14ac:dyDescent="0.25">
      <c r="B95" s="517" t="s">
        <v>419</v>
      </c>
      <c r="C95" s="264" t="s">
        <v>16</v>
      </c>
      <c r="D95" s="266">
        <v>95</v>
      </c>
      <c r="E95" s="265">
        <f>+D95*3.5</f>
        <v>332.5</v>
      </c>
      <c r="F95" s="520"/>
      <c r="H95" s="82">
        <v>92</v>
      </c>
      <c r="I95" s="401" t="s">
        <v>151</v>
      </c>
      <c r="J95" s="401" t="s">
        <v>10</v>
      </c>
      <c r="K95" s="402">
        <v>9.4600000000000009</v>
      </c>
      <c r="L95" s="403">
        <v>24</v>
      </c>
      <c r="M95" s="404">
        <f t="shared" si="16"/>
        <v>0.39416666666666672</v>
      </c>
      <c r="N95" s="405">
        <f t="shared" si="9"/>
        <v>28.380000000000003</v>
      </c>
      <c r="O95" s="406">
        <f t="shared" si="10"/>
        <v>-4.3800000000000026</v>
      </c>
      <c r="P95" s="407">
        <v>24</v>
      </c>
      <c r="Q95" s="408">
        <f t="shared" si="11"/>
        <v>0.60583333333333333</v>
      </c>
      <c r="R95" s="409">
        <v>26</v>
      </c>
      <c r="S95" s="408">
        <f t="shared" si="12"/>
        <v>0.63615384615384607</v>
      </c>
      <c r="T95" s="410">
        <v>26</v>
      </c>
      <c r="U95" s="408">
        <f t="shared" si="13"/>
        <v>0.63615384615384607</v>
      </c>
      <c r="V95" s="406">
        <f t="shared" si="14"/>
        <v>-2.3800000000000026</v>
      </c>
      <c r="X95" s="317">
        <f t="shared" si="15"/>
        <v>27.82</v>
      </c>
    </row>
    <row r="96" spans="2:24" x14ac:dyDescent="0.25">
      <c r="B96" s="518" t="s">
        <v>432</v>
      </c>
      <c r="C96" s="212" t="s">
        <v>16</v>
      </c>
      <c r="D96" s="34">
        <v>210</v>
      </c>
      <c r="E96" s="237">
        <f>+D96*0.05</f>
        <v>10.5</v>
      </c>
      <c r="F96" s="521"/>
      <c r="H96" s="82">
        <v>93</v>
      </c>
      <c r="I96" s="17" t="s">
        <v>152</v>
      </c>
      <c r="J96" s="17" t="s">
        <v>140</v>
      </c>
      <c r="K96" s="110">
        <v>6.98</v>
      </c>
      <c r="L96" s="83">
        <v>13</v>
      </c>
      <c r="M96" s="84">
        <f t="shared" si="16"/>
        <v>0.53692307692307695</v>
      </c>
      <c r="N96" s="101">
        <f t="shared" si="9"/>
        <v>20.94</v>
      </c>
      <c r="O96" s="85">
        <f t="shared" si="10"/>
        <v>-7.9400000000000013</v>
      </c>
      <c r="P96" s="118">
        <v>15</v>
      </c>
      <c r="Q96" s="104">
        <f t="shared" si="11"/>
        <v>0.53466666666666662</v>
      </c>
      <c r="R96" s="201">
        <v>16</v>
      </c>
      <c r="S96" s="199">
        <f t="shared" si="12"/>
        <v>0.56374999999999997</v>
      </c>
      <c r="T96" s="268">
        <v>16</v>
      </c>
      <c r="U96" s="199">
        <f t="shared" si="13"/>
        <v>0.56374999999999997</v>
      </c>
      <c r="V96" s="85">
        <f t="shared" si="14"/>
        <v>-4.9400000000000013</v>
      </c>
      <c r="X96" s="317">
        <f t="shared" si="15"/>
        <v>17.12</v>
      </c>
    </row>
    <row r="97" spans="2:24" x14ac:dyDescent="0.25">
      <c r="B97" s="518" t="s">
        <v>420</v>
      </c>
      <c r="C97" s="212" t="s">
        <v>16</v>
      </c>
      <c r="D97" s="34">
        <v>3</v>
      </c>
      <c r="E97" s="237">
        <f>(+D97)</f>
        <v>3</v>
      </c>
      <c r="F97" s="521"/>
      <c r="H97" s="82">
        <v>94</v>
      </c>
      <c r="I97" s="17" t="s">
        <v>152</v>
      </c>
      <c r="J97" s="17" t="s">
        <v>141</v>
      </c>
      <c r="K97" s="110">
        <v>6.32</v>
      </c>
      <c r="L97" s="83">
        <v>13</v>
      </c>
      <c r="M97" s="84">
        <f t="shared" si="16"/>
        <v>0.48615384615384616</v>
      </c>
      <c r="N97" s="101">
        <f t="shared" si="9"/>
        <v>18.96</v>
      </c>
      <c r="O97" s="85">
        <f t="shared" si="10"/>
        <v>-5.9600000000000009</v>
      </c>
      <c r="P97" s="118">
        <v>15</v>
      </c>
      <c r="Q97" s="104">
        <f t="shared" si="11"/>
        <v>0.57866666666666666</v>
      </c>
      <c r="R97" s="201">
        <v>16</v>
      </c>
      <c r="S97" s="199">
        <f t="shared" si="12"/>
        <v>0.60499999999999998</v>
      </c>
      <c r="T97" s="268">
        <v>16</v>
      </c>
      <c r="U97" s="199">
        <f t="shared" si="13"/>
        <v>0.60499999999999998</v>
      </c>
      <c r="V97" s="85">
        <f t="shared" si="14"/>
        <v>-2.9600000000000009</v>
      </c>
      <c r="X97" s="317">
        <f t="shared" si="15"/>
        <v>17.12</v>
      </c>
    </row>
    <row r="98" spans="2:24" x14ac:dyDescent="0.25">
      <c r="B98" s="518" t="s">
        <v>421</v>
      </c>
      <c r="C98" s="214" t="s">
        <v>210</v>
      </c>
      <c r="D98" s="34">
        <v>25</v>
      </c>
      <c r="E98" s="237">
        <f>+D98/2</f>
        <v>12.5</v>
      </c>
      <c r="F98" s="521"/>
      <c r="H98" s="82">
        <v>95</v>
      </c>
      <c r="I98" s="17" t="s">
        <v>152</v>
      </c>
      <c r="J98" s="17" t="s">
        <v>142</v>
      </c>
      <c r="K98" s="110">
        <v>3.32</v>
      </c>
      <c r="L98" s="83">
        <v>13</v>
      </c>
      <c r="M98" s="84">
        <f t="shared" si="16"/>
        <v>0.25538461538461538</v>
      </c>
      <c r="N98" s="101">
        <f t="shared" si="9"/>
        <v>9.9599999999999991</v>
      </c>
      <c r="O98" s="85">
        <f t="shared" si="10"/>
        <v>3.0400000000000009</v>
      </c>
      <c r="P98" s="118">
        <v>15</v>
      </c>
      <c r="Q98" s="104">
        <f t="shared" si="11"/>
        <v>0.77866666666666662</v>
      </c>
      <c r="R98" s="201">
        <v>16</v>
      </c>
      <c r="S98" s="199">
        <f t="shared" si="12"/>
        <v>0.79249999999999998</v>
      </c>
      <c r="T98" s="268">
        <v>16</v>
      </c>
      <c r="U98" s="199">
        <f t="shared" si="13"/>
        <v>0.79249999999999998</v>
      </c>
      <c r="V98" s="85">
        <f t="shared" si="14"/>
        <v>6.0400000000000009</v>
      </c>
      <c r="X98" s="317">
        <f t="shared" si="15"/>
        <v>17.12</v>
      </c>
    </row>
    <row r="99" spans="2:24" x14ac:dyDescent="0.25">
      <c r="B99" s="518" t="s">
        <v>433</v>
      </c>
      <c r="C99" s="212" t="s">
        <v>16</v>
      </c>
      <c r="D99" s="34">
        <v>75</v>
      </c>
      <c r="E99" s="237">
        <f>+D99*0.09</f>
        <v>6.75</v>
      </c>
      <c r="F99" s="521"/>
      <c r="H99" s="82">
        <v>96</v>
      </c>
      <c r="I99" s="17" t="s">
        <v>152</v>
      </c>
      <c r="J99" s="17" t="s">
        <v>143</v>
      </c>
      <c r="K99" s="110">
        <v>0.5</v>
      </c>
      <c r="L99" s="83">
        <v>13</v>
      </c>
      <c r="M99" s="84">
        <f t="shared" si="16"/>
        <v>3.8461538461538464E-2</v>
      </c>
      <c r="N99" s="101">
        <f t="shared" si="9"/>
        <v>1.5</v>
      </c>
      <c r="O99" s="85">
        <f t="shared" si="10"/>
        <v>11.5</v>
      </c>
      <c r="P99" s="118">
        <v>15</v>
      </c>
      <c r="Q99" s="104">
        <f t="shared" si="11"/>
        <v>0.96666666666666667</v>
      </c>
      <c r="R99" s="201">
        <v>16</v>
      </c>
      <c r="S99" s="199">
        <f t="shared" si="12"/>
        <v>0.96875</v>
      </c>
      <c r="T99" s="268">
        <v>16</v>
      </c>
      <c r="U99" s="199">
        <f t="shared" si="13"/>
        <v>0.96875</v>
      </c>
      <c r="V99" s="85">
        <f t="shared" si="14"/>
        <v>14.5</v>
      </c>
      <c r="X99" s="317">
        <f t="shared" si="15"/>
        <v>17.12</v>
      </c>
    </row>
    <row r="100" spans="2:24" x14ac:dyDescent="0.25">
      <c r="B100" s="518" t="s">
        <v>434</v>
      </c>
      <c r="C100" s="214" t="s">
        <v>210</v>
      </c>
      <c r="D100" s="34">
        <f>190</f>
        <v>190</v>
      </c>
      <c r="E100" s="237">
        <f>+D100*0.08</f>
        <v>15.200000000000001</v>
      </c>
      <c r="F100" s="521"/>
      <c r="H100" s="82">
        <v>97</v>
      </c>
      <c r="I100" s="17" t="s">
        <v>152</v>
      </c>
      <c r="J100" s="17" t="s">
        <v>144</v>
      </c>
      <c r="K100" s="110">
        <v>2.66</v>
      </c>
      <c r="L100" s="83">
        <v>13</v>
      </c>
      <c r="M100" s="84">
        <f t="shared" si="16"/>
        <v>0.20461538461538462</v>
      </c>
      <c r="N100" s="101">
        <f t="shared" si="9"/>
        <v>7.98</v>
      </c>
      <c r="O100" s="85">
        <f t="shared" si="10"/>
        <v>5.0199999999999996</v>
      </c>
      <c r="P100" s="118">
        <v>15</v>
      </c>
      <c r="Q100" s="104">
        <f t="shared" si="11"/>
        <v>0.82266666666666666</v>
      </c>
      <c r="R100" s="201">
        <v>16</v>
      </c>
      <c r="S100" s="199">
        <f t="shared" si="12"/>
        <v>0.83374999999999999</v>
      </c>
      <c r="T100" s="268">
        <v>16</v>
      </c>
      <c r="U100" s="199">
        <f t="shared" si="13"/>
        <v>0.83374999999999999</v>
      </c>
      <c r="V100" s="85">
        <f t="shared" si="14"/>
        <v>8.02</v>
      </c>
      <c r="X100" s="317">
        <f t="shared" si="15"/>
        <v>17.12</v>
      </c>
    </row>
    <row r="101" spans="2:24" ht="16.5" thickBot="1" x14ac:dyDescent="0.3">
      <c r="B101" s="519" t="s">
        <v>422</v>
      </c>
      <c r="C101" s="242" t="s">
        <v>16</v>
      </c>
      <c r="D101" s="260">
        <v>50</v>
      </c>
      <c r="E101" s="262">
        <f>+D101*0.36</f>
        <v>18</v>
      </c>
      <c r="F101" s="521"/>
      <c r="H101" s="82">
        <v>98</v>
      </c>
      <c r="I101" s="17" t="s">
        <v>152</v>
      </c>
      <c r="J101" s="17" t="s">
        <v>145</v>
      </c>
      <c r="K101" s="110">
        <f>E7+E35+(E31)</f>
        <v>10.765800865800866</v>
      </c>
      <c r="L101" s="83">
        <v>13</v>
      </c>
      <c r="M101" s="84">
        <f t="shared" si="16"/>
        <v>0.82813852813852817</v>
      </c>
      <c r="N101" s="101">
        <f t="shared" si="9"/>
        <v>32.297402597402595</v>
      </c>
      <c r="O101" s="85">
        <f t="shared" si="10"/>
        <v>-19.297402597402595</v>
      </c>
      <c r="P101" s="118">
        <v>15</v>
      </c>
      <c r="Q101" s="104">
        <f t="shared" si="11"/>
        <v>0.28227994227994224</v>
      </c>
      <c r="R101" s="201">
        <v>16</v>
      </c>
      <c r="S101" s="199">
        <f t="shared" si="12"/>
        <v>0.32713744588744587</v>
      </c>
      <c r="T101" s="268">
        <v>16</v>
      </c>
      <c r="U101" s="199">
        <f t="shared" si="13"/>
        <v>0.32713744588744587</v>
      </c>
      <c r="V101" s="85">
        <f t="shared" si="14"/>
        <v>-16.297402597402595</v>
      </c>
      <c r="X101" s="317">
        <f t="shared" si="15"/>
        <v>17.12</v>
      </c>
    </row>
    <row r="102" spans="2:24" ht="16.5" thickBot="1" x14ac:dyDescent="0.3">
      <c r="H102" s="82">
        <v>99</v>
      </c>
      <c r="I102" s="17" t="s">
        <v>152</v>
      </c>
      <c r="J102" s="17" t="s">
        <v>146</v>
      </c>
      <c r="K102" s="110">
        <v>4.95</v>
      </c>
      <c r="L102" s="83">
        <v>13</v>
      </c>
      <c r="M102" s="84">
        <f t="shared" si="16"/>
        <v>0.3807692307692308</v>
      </c>
      <c r="N102" s="101">
        <f t="shared" si="9"/>
        <v>14.850000000000001</v>
      </c>
      <c r="O102" s="85">
        <f t="shared" si="10"/>
        <v>-1.8500000000000014</v>
      </c>
      <c r="P102" s="118">
        <v>15</v>
      </c>
      <c r="Q102" s="104">
        <f t="shared" si="11"/>
        <v>0.67</v>
      </c>
      <c r="R102" s="201">
        <v>16</v>
      </c>
      <c r="S102" s="199">
        <f t="shared" si="12"/>
        <v>0.69062500000000004</v>
      </c>
      <c r="T102" s="268">
        <v>16</v>
      </c>
      <c r="U102" s="199">
        <f t="shared" si="13"/>
        <v>0.69062500000000004</v>
      </c>
      <c r="V102" s="85">
        <f t="shared" si="14"/>
        <v>1.1499999999999986</v>
      </c>
      <c r="X102" s="317">
        <f t="shared" si="15"/>
        <v>17.12</v>
      </c>
    </row>
    <row r="103" spans="2:24" x14ac:dyDescent="0.25">
      <c r="B103" s="514" t="s">
        <v>430</v>
      </c>
      <c r="C103" s="522"/>
      <c r="D103" s="515" t="s">
        <v>411</v>
      </c>
      <c r="E103" s="526">
        <f>SUM(E104:E109)</f>
        <v>315.51000000000005</v>
      </c>
      <c r="H103" s="82">
        <v>100</v>
      </c>
      <c r="I103" s="17" t="s">
        <v>152</v>
      </c>
      <c r="J103" s="17" t="s">
        <v>154</v>
      </c>
      <c r="K103" s="110">
        <v>10.82</v>
      </c>
      <c r="L103" s="83">
        <v>24</v>
      </c>
      <c r="M103" s="84">
        <f t="shared" si="16"/>
        <v>0.45083333333333336</v>
      </c>
      <c r="N103" s="101">
        <f t="shared" si="9"/>
        <v>32.46</v>
      </c>
      <c r="O103" s="85">
        <f t="shared" si="10"/>
        <v>-8.4600000000000009</v>
      </c>
      <c r="P103" s="118">
        <v>24</v>
      </c>
      <c r="Q103" s="104">
        <f t="shared" si="11"/>
        <v>0.54916666666666669</v>
      </c>
      <c r="R103" s="201">
        <v>26</v>
      </c>
      <c r="S103" s="199">
        <f t="shared" si="12"/>
        <v>0.58384615384615379</v>
      </c>
      <c r="T103" s="268">
        <v>26</v>
      </c>
      <c r="U103" s="199">
        <f t="shared" si="13"/>
        <v>0.58384615384615379</v>
      </c>
      <c r="V103" s="85">
        <f t="shared" si="14"/>
        <v>-6.4600000000000009</v>
      </c>
      <c r="X103" s="317">
        <f t="shared" si="15"/>
        <v>27.82</v>
      </c>
    </row>
    <row r="104" spans="2:24" x14ac:dyDescent="0.25">
      <c r="B104" s="523" t="s">
        <v>423</v>
      </c>
      <c r="C104" s="212" t="s">
        <v>16</v>
      </c>
      <c r="D104" s="34">
        <f>7.61</f>
        <v>7.61</v>
      </c>
      <c r="E104" s="237">
        <f>+D104*15</f>
        <v>114.15</v>
      </c>
      <c r="F104" s="520"/>
      <c r="H104" s="82">
        <v>101</v>
      </c>
      <c r="I104" s="17" t="s">
        <v>152</v>
      </c>
      <c r="J104" s="17" t="s">
        <v>10</v>
      </c>
      <c r="K104" s="110">
        <v>7.43</v>
      </c>
      <c r="L104" s="83">
        <v>24</v>
      </c>
      <c r="M104" s="84">
        <f t="shared" si="16"/>
        <v>0.30958333333333332</v>
      </c>
      <c r="N104" s="101">
        <f t="shared" si="9"/>
        <v>22.29</v>
      </c>
      <c r="O104" s="85">
        <f t="shared" si="10"/>
        <v>1.7100000000000009</v>
      </c>
      <c r="P104" s="118">
        <v>24</v>
      </c>
      <c r="Q104" s="104">
        <f t="shared" si="11"/>
        <v>0.69041666666666668</v>
      </c>
      <c r="R104" s="201">
        <v>26</v>
      </c>
      <c r="S104" s="199">
        <f t="shared" si="12"/>
        <v>0.71423076923076922</v>
      </c>
      <c r="T104" s="268">
        <v>26</v>
      </c>
      <c r="U104" s="199">
        <f t="shared" si="13"/>
        <v>0.71423076923076922</v>
      </c>
      <c r="V104" s="85">
        <f t="shared" si="14"/>
        <v>3.7100000000000009</v>
      </c>
      <c r="X104" s="317">
        <f t="shared" si="15"/>
        <v>27.82</v>
      </c>
    </row>
    <row r="105" spans="2:24" x14ac:dyDescent="0.25">
      <c r="B105" s="518" t="s">
        <v>424</v>
      </c>
      <c r="C105" s="212" t="s">
        <v>16</v>
      </c>
      <c r="D105" s="34">
        <v>50</v>
      </c>
      <c r="E105" s="237">
        <f>+D105*0.08</f>
        <v>4</v>
      </c>
      <c r="F105" s="521"/>
      <c r="H105" s="82">
        <v>102</v>
      </c>
      <c r="I105" s="17" t="s">
        <v>253</v>
      </c>
      <c r="J105" s="17" t="s">
        <v>165</v>
      </c>
      <c r="K105" s="110">
        <v>23.63</v>
      </c>
      <c r="L105" s="83">
        <v>60</v>
      </c>
      <c r="M105" s="84">
        <f t="shared" si="16"/>
        <v>0.39383333333333331</v>
      </c>
      <c r="N105" s="101">
        <f t="shared" si="9"/>
        <v>70.89</v>
      </c>
      <c r="O105" s="85">
        <f t="shared" si="10"/>
        <v>-10.89</v>
      </c>
      <c r="P105" s="118">
        <v>70</v>
      </c>
      <c r="Q105" s="104">
        <f t="shared" si="11"/>
        <v>0.66242857142857148</v>
      </c>
      <c r="R105" s="201">
        <v>70</v>
      </c>
      <c r="S105" s="199">
        <f t="shared" si="12"/>
        <v>0.66242857142857148</v>
      </c>
      <c r="T105" s="268">
        <v>70</v>
      </c>
      <c r="U105" s="199">
        <f t="shared" si="13"/>
        <v>0.66242857142857148</v>
      </c>
      <c r="V105" s="85">
        <f t="shared" si="14"/>
        <v>-0.89000000000000057</v>
      </c>
      <c r="X105" s="317">
        <f t="shared" si="15"/>
        <v>74.900000000000006</v>
      </c>
    </row>
    <row r="106" spans="2:24" x14ac:dyDescent="0.25">
      <c r="B106" s="518" t="s">
        <v>435</v>
      </c>
      <c r="C106" s="212" t="s">
        <v>16</v>
      </c>
      <c r="D106" s="34">
        <f>43</f>
        <v>43</v>
      </c>
      <c r="E106" s="237">
        <f>+D106*0.75</f>
        <v>32.25</v>
      </c>
      <c r="F106" s="521"/>
      <c r="H106" s="82">
        <v>103</v>
      </c>
      <c r="I106" s="17" t="s">
        <v>166</v>
      </c>
      <c r="J106" s="17" t="s">
        <v>165</v>
      </c>
      <c r="K106" s="110">
        <v>4.21</v>
      </c>
      <c r="L106" s="83">
        <v>30</v>
      </c>
      <c r="M106" s="84">
        <f t="shared" si="16"/>
        <v>0.14033333333333334</v>
      </c>
      <c r="N106" s="101">
        <f t="shared" si="9"/>
        <v>12.629999999999999</v>
      </c>
      <c r="O106" s="85">
        <f t="shared" si="10"/>
        <v>17.37</v>
      </c>
      <c r="P106" s="118">
        <v>25</v>
      </c>
      <c r="Q106" s="104">
        <f t="shared" si="11"/>
        <v>0.83160000000000001</v>
      </c>
      <c r="R106" s="201">
        <v>26</v>
      </c>
      <c r="S106" s="199">
        <f t="shared" si="12"/>
        <v>0.83807692307692305</v>
      </c>
      <c r="T106" s="268">
        <v>26</v>
      </c>
      <c r="U106" s="199">
        <f t="shared" si="13"/>
        <v>0.83807692307692305</v>
      </c>
      <c r="V106" s="85">
        <f t="shared" si="14"/>
        <v>13.370000000000001</v>
      </c>
      <c r="X106" s="317">
        <f t="shared" si="15"/>
        <v>27.82</v>
      </c>
    </row>
    <row r="107" spans="2:24" x14ac:dyDescent="0.25">
      <c r="B107" s="518" t="s">
        <v>436</v>
      </c>
      <c r="C107" s="214" t="s">
        <v>210</v>
      </c>
      <c r="D107" s="34">
        <f>132</f>
        <v>132</v>
      </c>
      <c r="E107" s="237">
        <f>+D107*0.85</f>
        <v>112.2</v>
      </c>
      <c r="F107" s="521"/>
      <c r="H107" s="82">
        <v>104</v>
      </c>
      <c r="I107" s="17" t="s">
        <v>166</v>
      </c>
      <c r="J107" s="17" t="s">
        <v>89</v>
      </c>
      <c r="K107" s="110">
        <v>7.36</v>
      </c>
      <c r="L107" s="83">
        <v>30</v>
      </c>
      <c r="M107" s="84">
        <f t="shared" si="16"/>
        <v>0.24533333333333335</v>
      </c>
      <c r="N107" s="101">
        <f t="shared" si="9"/>
        <v>22.080000000000002</v>
      </c>
      <c r="O107" s="85">
        <f t="shared" si="10"/>
        <v>7.9199999999999982</v>
      </c>
      <c r="P107" s="118">
        <v>25</v>
      </c>
      <c r="Q107" s="104">
        <f t="shared" si="11"/>
        <v>0.7056</v>
      </c>
      <c r="R107" s="201">
        <v>26</v>
      </c>
      <c r="S107" s="199">
        <f t="shared" si="12"/>
        <v>0.716923076923077</v>
      </c>
      <c r="T107" s="268">
        <v>26</v>
      </c>
      <c r="U107" s="199">
        <f t="shared" si="13"/>
        <v>0.716923076923077</v>
      </c>
      <c r="V107" s="85">
        <f t="shared" si="14"/>
        <v>3.9199999999999982</v>
      </c>
      <c r="X107" s="317">
        <f t="shared" si="15"/>
        <v>27.82</v>
      </c>
    </row>
    <row r="108" spans="2:24" x14ac:dyDescent="0.25">
      <c r="B108" s="518" t="s">
        <v>437</v>
      </c>
      <c r="C108" s="212" t="s">
        <v>16</v>
      </c>
      <c r="D108" s="34">
        <f>104.5</f>
        <v>104.5</v>
      </c>
      <c r="E108" s="237">
        <f>+D108/2</f>
        <v>52.25</v>
      </c>
      <c r="F108" s="521"/>
      <c r="H108" s="82">
        <v>105</v>
      </c>
      <c r="I108" s="17" t="s">
        <v>166</v>
      </c>
      <c r="J108" s="17" t="s">
        <v>158</v>
      </c>
      <c r="K108" s="110">
        <v>5.8</v>
      </c>
      <c r="L108" s="83">
        <v>30</v>
      </c>
      <c r="M108" s="84">
        <f t="shared" si="16"/>
        <v>0.19333333333333333</v>
      </c>
      <c r="N108" s="101">
        <f t="shared" si="9"/>
        <v>17.399999999999999</v>
      </c>
      <c r="O108" s="85">
        <f t="shared" si="10"/>
        <v>12.600000000000001</v>
      </c>
      <c r="P108" s="118">
        <v>25</v>
      </c>
      <c r="Q108" s="104">
        <f t="shared" si="11"/>
        <v>0.76800000000000002</v>
      </c>
      <c r="R108" s="201">
        <v>26</v>
      </c>
      <c r="S108" s="199">
        <f t="shared" si="12"/>
        <v>0.77692307692307694</v>
      </c>
      <c r="T108" s="268">
        <v>26</v>
      </c>
      <c r="U108" s="199">
        <f t="shared" si="13"/>
        <v>0.77692307692307694</v>
      </c>
      <c r="V108" s="85">
        <f t="shared" si="14"/>
        <v>8.6000000000000014</v>
      </c>
      <c r="X108" s="317">
        <f t="shared" si="15"/>
        <v>27.82</v>
      </c>
    </row>
    <row r="109" spans="2:24" ht="16.5" thickBot="1" x14ac:dyDescent="0.3">
      <c r="B109" s="519" t="s">
        <v>438</v>
      </c>
      <c r="C109" s="259" t="s">
        <v>210</v>
      </c>
      <c r="D109" s="260">
        <f>6.6</f>
        <v>6.6</v>
      </c>
      <c r="E109" s="262">
        <f>+D109*0.1</f>
        <v>0.66</v>
      </c>
      <c r="F109" s="521"/>
      <c r="H109" s="82">
        <v>106</v>
      </c>
      <c r="I109" s="17" t="s">
        <v>166</v>
      </c>
      <c r="J109" s="17" t="s">
        <v>14</v>
      </c>
      <c r="K109" s="110">
        <v>9.1</v>
      </c>
      <c r="L109" s="83">
        <v>40</v>
      </c>
      <c r="M109" s="84">
        <f t="shared" si="16"/>
        <v>0.22749999999999998</v>
      </c>
      <c r="N109" s="101">
        <f t="shared" si="9"/>
        <v>27.299999999999997</v>
      </c>
      <c r="O109" s="85">
        <f t="shared" si="10"/>
        <v>12.700000000000003</v>
      </c>
      <c r="P109" s="118">
        <v>33</v>
      </c>
      <c r="Q109" s="104">
        <f t="shared" si="11"/>
        <v>0.72424242424242424</v>
      </c>
      <c r="R109" s="201">
        <v>34</v>
      </c>
      <c r="S109" s="199">
        <f t="shared" si="12"/>
        <v>0.73235294117647054</v>
      </c>
      <c r="T109" s="268">
        <v>34</v>
      </c>
      <c r="U109" s="199">
        <f t="shared" si="13"/>
        <v>0.73235294117647054</v>
      </c>
      <c r="V109" s="85">
        <f t="shared" si="14"/>
        <v>6.7000000000000028</v>
      </c>
      <c r="X109" s="317">
        <f t="shared" si="15"/>
        <v>36.380000000000003</v>
      </c>
    </row>
    <row r="110" spans="2:24" x14ac:dyDescent="0.25">
      <c r="D110" s="209"/>
      <c r="H110" s="82">
        <v>107</v>
      </c>
      <c r="I110" s="17" t="s">
        <v>166</v>
      </c>
      <c r="J110" s="17" t="s">
        <v>154</v>
      </c>
      <c r="K110" s="110">
        <v>10.72</v>
      </c>
      <c r="L110" s="83">
        <v>40</v>
      </c>
      <c r="M110" s="84">
        <f t="shared" si="16"/>
        <v>0.26800000000000002</v>
      </c>
      <c r="N110" s="101">
        <f t="shared" si="9"/>
        <v>32.160000000000004</v>
      </c>
      <c r="O110" s="85">
        <f t="shared" si="10"/>
        <v>7.8399999999999963</v>
      </c>
      <c r="P110" s="118">
        <v>33</v>
      </c>
      <c r="Q110" s="104">
        <f t="shared" si="11"/>
        <v>0.67515151515151517</v>
      </c>
      <c r="R110" s="201">
        <v>34</v>
      </c>
      <c r="S110" s="199">
        <f t="shared" si="12"/>
        <v>0.68470588235294116</v>
      </c>
      <c r="T110" s="268">
        <v>34</v>
      </c>
      <c r="U110" s="199">
        <f t="shared" si="13"/>
        <v>0.68470588235294116</v>
      </c>
      <c r="V110" s="85">
        <f t="shared" si="14"/>
        <v>1.8399999999999963</v>
      </c>
      <c r="X110" s="317">
        <f t="shared" si="15"/>
        <v>36.380000000000003</v>
      </c>
    </row>
    <row r="111" spans="2:24" ht="16.5" thickBot="1" x14ac:dyDescent="0.3">
      <c r="D111" s="209"/>
      <c r="H111" s="82">
        <v>108</v>
      </c>
      <c r="I111" s="17" t="s">
        <v>166</v>
      </c>
      <c r="J111" s="17" t="s">
        <v>10</v>
      </c>
      <c r="K111" s="110">
        <v>7.33</v>
      </c>
      <c r="L111" s="83">
        <v>40</v>
      </c>
      <c r="M111" s="84">
        <f t="shared" si="16"/>
        <v>0.18325</v>
      </c>
      <c r="N111" s="101">
        <f t="shared" si="9"/>
        <v>21.990000000000002</v>
      </c>
      <c r="O111" s="85">
        <f t="shared" si="10"/>
        <v>18.009999999999998</v>
      </c>
      <c r="P111" s="118">
        <v>33</v>
      </c>
      <c r="Q111" s="104">
        <f t="shared" si="11"/>
        <v>0.77787878787878795</v>
      </c>
      <c r="R111" s="201">
        <v>34</v>
      </c>
      <c r="S111" s="199">
        <f t="shared" si="12"/>
        <v>0.78441176470588236</v>
      </c>
      <c r="T111" s="268">
        <v>34</v>
      </c>
      <c r="U111" s="199">
        <f t="shared" si="13"/>
        <v>0.78441176470588236</v>
      </c>
      <c r="V111" s="85">
        <f t="shared" si="14"/>
        <v>12.009999999999998</v>
      </c>
      <c r="X111" s="317">
        <f t="shared" si="15"/>
        <v>36.380000000000003</v>
      </c>
    </row>
    <row r="112" spans="2:24" ht="16.5" thickBot="1" x14ac:dyDescent="0.3">
      <c r="B112" s="514" t="s">
        <v>429</v>
      </c>
      <c r="C112" s="525"/>
      <c r="D112" s="515" t="s">
        <v>411</v>
      </c>
      <c r="E112" s="516">
        <f>SUM(E113:E116)</f>
        <v>6.4300000000000015</v>
      </c>
      <c r="H112" s="82">
        <v>109</v>
      </c>
      <c r="I112" s="17" t="s">
        <v>254</v>
      </c>
      <c r="J112" s="17" t="s">
        <v>167</v>
      </c>
      <c r="K112" s="110">
        <v>28.98</v>
      </c>
      <c r="L112" s="83">
        <v>60</v>
      </c>
      <c r="M112" s="84">
        <f t="shared" si="16"/>
        <v>0.48299999999999998</v>
      </c>
      <c r="N112" s="101">
        <f t="shared" si="9"/>
        <v>86.94</v>
      </c>
      <c r="O112" s="85">
        <f t="shared" si="10"/>
        <v>-26.939999999999998</v>
      </c>
      <c r="P112" s="118">
        <v>70</v>
      </c>
      <c r="Q112" s="104">
        <f t="shared" si="11"/>
        <v>0.58599999999999997</v>
      </c>
      <c r="R112" s="201">
        <v>70</v>
      </c>
      <c r="S112" s="199">
        <f t="shared" si="12"/>
        <v>0.58599999999999997</v>
      </c>
      <c r="T112" s="268">
        <v>70</v>
      </c>
      <c r="U112" s="199">
        <f t="shared" si="13"/>
        <v>0.58599999999999997</v>
      </c>
      <c r="V112" s="85">
        <f t="shared" si="14"/>
        <v>-16.939999999999998</v>
      </c>
      <c r="X112" s="317">
        <f t="shared" si="15"/>
        <v>74.900000000000006</v>
      </c>
    </row>
    <row r="113" spans="2:24" x14ac:dyDescent="0.25">
      <c r="B113" s="517" t="s">
        <v>426</v>
      </c>
      <c r="C113" s="264" t="s">
        <v>16</v>
      </c>
      <c r="D113" s="266">
        <f>58</f>
        <v>58</v>
      </c>
      <c r="E113" s="265">
        <f>+D113*0.03</f>
        <v>1.74</v>
      </c>
      <c r="F113" s="520"/>
      <c r="H113" s="82">
        <v>110</v>
      </c>
      <c r="I113" s="17" t="s">
        <v>169</v>
      </c>
      <c r="J113" s="17" t="s">
        <v>170</v>
      </c>
      <c r="K113" s="110">
        <v>11</v>
      </c>
      <c r="L113" s="83">
        <v>22</v>
      </c>
      <c r="M113" s="84">
        <f t="shared" si="16"/>
        <v>0.5</v>
      </c>
      <c r="N113" s="101">
        <f t="shared" si="9"/>
        <v>33</v>
      </c>
      <c r="O113" s="85">
        <f t="shared" si="10"/>
        <v>-11</v>
      </c>
      <c r="P113" s="118">
        <v>25</v>
      </c>
      <c r="Q113" s="104">
        <f t="shared" si="11"/>
        <v>0.56000000000000005</v>
      </c>
      <c r="R113" s="201">
        <v>25</v>
      </c>
      <c r="S113" s="199">
        <f t="shared" si="12"/>
        <v>0.56000000000000005</v>
      </c>
      <c r="T113" s="268">
        <v>25</v>
      </c>
      <c r="U113" s="199">
        <f t="shared" si="13"/>
        <v>0.56000000000000005</v>
      </c>
      <c r="V113" s="85">
        <f t="shared" si="14"/>
        <v>-8</v>
      </c>
      <c r="X113" s="317">
        <f t="shared" si="15"/>
        <v>26.75</v>
      </c>
    </row>
    <row r="114" spans="2:24" x14ac:dyDescent="0.25">
      <c r="B114" s="518" t="s">
        <v>427</v>
      </c>
      <c r="C114" s="212" t="s">
        <v>16</v>
      </c>
      <c r="D114" s="34">
        <v>50</v>
      </c>
      <c r="E114" s="237">
        <f>+D114*0.08</f>
        <v>4</v>
      </c>
      <c r="F114" s="520"/>
      <c r="H114" s="82">
        <v>111</v>
      </c>
      <c r="I114" s="17" t="s">
        <v>169</v>
      </c>
      <c r="J114" s="17" t="s">
        <v>171</v>
      </c>
      <c r="K114" s="110">
        <v>16</v>
      </c>
      <c r="L114" s="83">
        <v>22</v>
      </c>
      <c r="M114" s="84">
        <f t="shared" si="16"/>
        <v>0.72727272727272729</v>
      </c>
      <c r="N114" s="101">
        <f t="shared" si="9"/>
        <v>48</v>
      </c>
      <c r="O114" s="85">
        <f t="shared" si="10"/>
        <v>-26</v>
      </c>
      <c r="P114" s="118">
        <v>30</v>
      </c>
      <c r="Q114" s="104">
        <f t="shared" si="11"/>
        <v>0.46666666666666667</v>
      </c>
      <c r="R114" s="201">
        <v>30</v>
      </c>
      <c r="S114" s="199">
        <f t="shared" si="12"/>
        <v>0.46666666666666667</v>
      </c>
      <c r="T114" s="268">
        <v>30</v>
      </c>
      <c r="U114" s="199">
        <f t="shared" si="13"/>
        <v>0.46666666666666667</v>
      </c>
      <c r="V114" s="85">
        <f t="shared" si="14"/>
        <v>-18</v>
      </c>
      <c r="X114" s="317">
        <f t="shared" si="15"/>
        <v>32.1</v>
      </c>
    </row>
    <row r="115" spans="2:24" x14ac:dyDescent="0.25">
      <c r="B115" s="518" t="s">
        <v>428</v>
      </c>
      <c r="C115" s="212" t="s">
        <v>16</v>
      </c>
      <c r="D115" s="235">
        <f>7.61</f>
        <v>7.61</v>
      </c>
      <c r="E115" s="237">
        <f>(+D115*13)-98.9</f>
        <v>3.0000000000001137E-2</v>
      </c>
      <c r="F115" s="520"/>
      <c r="H115" s="82">
        <v>112</v>
      </c>
      <c r="I115" s="17" t="s">
        <v>169</v>
      </c>
      <c r="J115" s="17" t="s">
        <v>172</v>
      </c>
      <c r="K115" s="110">
        <v>10</v>
      </c>
      <c r="L115" s="83">
        <v>18</v>
      </c>
      <c r="M115" s="84">
        <f t="shared" si="16"/>
        <v>0.55555555555555558</v>
      </c>
      <c r="N115" s="101">
        <f t="shared" si="9"/>
        <v>30</v>
      </c>
      <c r="O115" s="85">
        <f t="shared" si="10"/>
        <v>-12</v>
      </c>
      <c r="P115" s="118">
        <v>22</v>
      </c>
      <c r="Q115" s="104">
        <f t="shared" si="11"/>
        <v>0.54545454545454541</v>
      </c>
      <c r="R115" s="201">
        <v>22</v>
      </c>
      <c r="S115" s="199">
        <f t="shared" si="12"/>
        <v>0.54545454545454541</v>
      </c>
      <c r="T115" s="268">
        <v>22</v>
      </c>
      <c r="U115" s="199">
        <f t="shared" si="13"/>
        <v>0.54545454545454541</v>
      </c>
      <c r="V115" s="85">
        <f t="shared" si="14"/>
        <v>-8</v>
      </c>
      <c r="X115" s="317">
        <f t="shared" si="15"/>
        <v>23.540000000000003</v>
      </c>
    </row>
    <row r="116" spans="2:24" ht="16.5" thickBot="1" x14ac:dyDescent="0.3">
      <c r="B116" s="519" t="s">
        <v>425</v>
      </c>
      <c r="C116" s="259" t="s">
        <v>210</v>
      </c>
      <c r="D116" s="260">
        <f>6.6</f>
        <v>6.6</v>
      </c>
      <c r="E116" s="262">
        <f>+D116*0.1</f>
        <v>0.66</v>
      </c>
      <c r="F116" s="520"/>
      <c r="H116" s="82">
        <v>113</v>
      </c>
      <c r="I116" s="17" t="s">
        <v>169</v>
      </c>
      <c r="J116" s="17" t="s">
        <v>173</v>
      </c>
      <c r="K116" s="110">
        <v>10</v>
      </c>
      <c r="L116" s="83">
        <v>18</v>
      </c>
      <c r="M116" s="84">
        <f t="shared" si="16"/>
        <v>0.55555555555555558</v>
      </c>
      <c r="N116" s="101">
        <f t="shared" si="9"/>
        <v>30</v>
      </c>
      <c r="O116" s="85">
        <f t="shared" si="10"/>
        <v>-12</v>
      </c>
      <c r="P116" s="118">
        <v>22</v>
      </c>
      <c r="Q116" s="104">
        <f t="shared" si="11"/>
        <v>0.54545454545454541</v>
      </c>
      <c r="R116" s="201">
        <v>22</v>
      </c>
      <c r="S116" s="199">
        <f t="shared" si="12"/>
        <v>0.54545454545454541</v>
      </c>
      <c r="T116" s="268">
        <v>22</v>
      </c>
      <c r="U116" s="199">
        <f t="shared" si="13"/>
        <v>0.54545454545454541</v>
      </c>
      <c r="V116" s="85">
        <f t="shared" si="14"/>
        <v>-8</v>
      </c>
      <c r="X116" s="317">
        <f t="shared" si="15"/>
        <v>23.540000000000003</v>
      </c>
    </row>
    <row r="117" spans="2:24" x14ac:dyDescent="0.25">
      <c r="B117" s="524"/>
      <c r="C117" s="505"/>
      <c r="D117" s="203"/>
      <c r="E117" s="506"/>
      <c r="H117" s="82">
        <v>114</v>
      </c>
      <c r="I117" s="480" t="s">
        <v>311</v>
      </c>
      <c r="J117" s="480" t="s">
        <v>292</v>
      </c>
      <c r="K117" s="485">
        <v>13.72</v>
      </c>
      <c r="L117" s="486">
        <v>25</v>
      </c>
      <c r="M117" s="487">
        <f t="shared" si="16"/>
        <v>0.54880000000000007</v>
      </c>
      <c r="N117" s="488">
        <f t="shared" si="9"/>
        <v>41.160000000000004</v>
      </c>
      <c r="O117" s="489">
        <f t="shared" si="10"/>
        <v>-16.160000000000004</v>
      </c>
      <c r="P117" s="490">
        <v>25</v>
      </c>
      <c r="Q117" s="491">
        <f t="shared" si="11"/>
        <v>0.45119999999999999</v>
      </c>
      <c r="R117" s="492">
        <v>25</v>
      </c>
      <c r="S117" s="491">
        <f t="shared" si="12"/>
        <v>0.45119999999999999</v>
      </c>
      <c r="T117" s="493">
        <v>25</v>
      </c>
      <c r="U117" s="491">
        <f t="shared" si="13"/>
        <v>0.45119999999999999</v>
      </c>
      <c r="V117" s="489">
        <f t="shared" si="14"/>
        <v>-16.160000000000004</v>
      </c>
      <c r="X117" s="317">
        <f t="shared" si="15"/>
        <v>26.75</v>
      </c>
    </row>
    <row r="118" spans="2:24" x14ac:dyDescent="0.25">
      <c r="B118" s="524"/>
      <c r="C118" s="215"/>
      <c r="D118" s="203"/>
      <c r="E118" s="506"/>
      <c r="H118" s="82">
        <v>115</v>
      </c>
      <c r="I118" s="480" t="s">
        <v>311</v>
      </c>
      <c r="J118" s="480" t="s">
        <v>293</v>
      </c>
      <c r="K118" s="485">
        <v>12.39</v>
      </c>
      <c r="L118" s="486">
        <v>25</v>
      </c>
      <c r="M118" s="487">
        <f t="shared" si="16"/>
        <v>0.49560000000000004</v>
      </c>
      <c r="N118" s="488">
        <f t="shared" si="9"/>
        <v>37.17</v>
      </c>
      <c r="O118" s="489">
        <f t="shared" si="10"/>
        <v>-12.170000000000002</v>
      </c>
      <c r="P118" s="490">
        <v>25</v>
      </c>
      <c r="Q118" s="491">
        <f t="shared" si="11"/>
        <v>0.50439999999999996</v>
      </c>
      <c r="R118" s="492">
        <v>25</v>
      </c>
      <c r="S118" s="491">
        <f t="shared" si="12"/>
        <v>0.50439999999999996</v>
      </c>
      <c r="T118" s="493">
        <v>25</v>
      </c>
      <c r="U118" s="491">
        <f t="shared" si="13"/>
        <v>0.50439999999999996</v>
      </c>
      <c r="V118" s="489">
        <f t="shared" si="14"/>
        <v>-12.170000000000002</v>
      </c>
      <c r="X118" s="317">
        <f t="shared" si="15"/>
        <v>26.75</v>
      </c>
    </row>
    <row r="119" spans="2:24" x14ac:dyDescent="0.25">
      <c r="D119" s="209"/>
      <c r="H119" s="82">
        <v>116</v>
      </c>
      <c r="I119" s="480" t="s">
        <v>311</v>
      </c>
      <c r="J119" s="480" t="s">
        <v>294</v>
      </c>
      <c r="K119" s="485">
        <v>15.84</v>
      </c>
      <c r="L119" s="486">
        <v>35</v>
      </c>
      <c r="M119" s="487">
        <f t="shared" si="16"/>
        <v>0.45257142857142857</v>
      </c>
      <c r="N119" s="488">
        <f t="shared" si="9"/>
        <v>47.519999999999996</v>
      </c>
      <c r="O119" s="489">
        <f t="shared" si="10"/>
        <v>-12.519999999999996</v>
      </c>
      <c r="P119" s="490">
        <v>35</v>
      </c>
      <c r="Q119" s="491">
        <f t="shared" si="11"/>
        <v>0.54742857142857149</v>
      </c>
      <c r="R119" s="492">
        <v>35</v>
      </c>
      <c r="S119" s="491">
        <f t="shared" si="12"/>
        <v>0.54742857142857149</v>
      </c>
      <c r="T119" s="493">
        <v>35</v>
      </c>
      <c r="U119" s="491">
        <f t="shared" si="13"/>
        <v>0.54742857142857149</v>
      </c>
      <c r="V119" s="489">
        <f t="shared" si="14"/>
        <v>-12.519999999999996</v>
      </c>
      <c r="X119" s="317">
        <f t="shared" si="15"/>
        <v>37.450000000000003</v>
      </c>
    </row>
    <row r="120" spans="2:24" x14ac:dyDescent="0.25">
      <c r="D120" s="209"/>
      <c r="H120" s="82">
        <v>117</v>
      </c>
      <c r="I120" s="480" t="s">
        <v>311</v>
      </c>
      <c r="J120" s="480" t="s">
        <v>295</v>
      </c>
      <c r="K120" s="485">
        <v>15.17</v>
      </c>
      <c r="L120" s="486">
        <v>35</v>
      </c>
      <c r="M120" s="487">
        <f t="shared" si="16"/>
        <v>0.43342857142857144</v>
      </c>
      <c r="N120" s="488">
        <f t="shared" si="9"/>
        <v>45.51</v>
      </c>
      <c r="O120" s="489">
        <f t="shared" si="10"/>
        <v>-10.509999999999998</v>
      </c>
      <c r="P120" s="490">
        <v>35</v>
      </c>
      <c r="Q120" s="491">
        <f t="shared" si="11"/>
        <v>0.5665714285714285</v>
      </c>
      <c r="R120" s="492">
        <v>35</v>
      </c>
      <c r="S120" s="491">
        <f t="shared" si="12"/>
        <v>0.5665714285714285</v>
      </c>
      <c r="T120" s="493">
        <v>35</v>
      </c>
      <c r="U120" s="491">
        <f t="shared" si="13"/>
        <v>0.5665714285714285</v>
      </c>
      <c r="V120" s="489">
        <f t="shared" si="14"/>
        <v>-10.509999999999998</v>
      </c>
      <c r="X120" s="317">
        <f t="shared" si="15"/>
        <v>37.450000000000003</v>
      </c>
    </row>
    <row r="121" spans="2:24" x14ac:dyDescent="0.25">
      <c r="D121" s="209"/>
      <c r="H121" s="82">
        <v>118</v>
      </c>
      <c r="I121" s="17" t="s">
        <v>311</v>
      </c>
      <c r="J121" s="17" t="s">
        <v>296</v>
      </c>
      <c r="K121" s="110">
        <v>6.5</v>
      </c>
      <c r="L121" s="83">
        <v>27</v>
      </c>
      <c r="M121" s="84">
        <f t="shared" si="16"/>
        <v>0.24074074074074073</v>
      </c>
      <c r="N121" s="101">
        <f t="shared" si="9"/>
        <v>19.5</v>
      </c>
      <c r="O121" s="85">
        <f t="shared" si="10"/>
        <v>7.5</v>
      </c>
      <c r="P121" s="118">
        <v>27</v>
      </c>
      <c r="Q121" s="104">
        <f t="shared" si="11"/>
        <v>0.7592592592592593</v>
      </c>
      <c r="R121" s="201">
        <v>28</v>
      </c>
      <c r="S121" s="199">
        <f t="shared" si="12"/>
        <v>0.7678571428571429</v>
      </c>
      <c r="T121" s="268">
        <v>28</v>
      </c>
      <c r="U121" s="199">
        <f t="shared" si="13"/>
        <v>0.7678571428571429</v>
      </c>
      <c r="V121" s="85">
        <f t="shared" si="14"/>
        <v>8.5</v>
      </c>
      <c r="X121" s="317">
        <f t="shared" si="15"/>
        <v>29.96</v>
      </c>
    </row>
    <row r="122" spans="2:24" x14ac:dyDescent="0.25">
      <c r="D122" s="209"/>
      <c r="H122" s="82">
        <v>119</v>
      </c>
      <c r="I122" s="17" t="s">
        <v>311</v>
      </c>
      <c r="J122" s="17" t="s">
        <v>297</v>
      </c>
      <c r="K122" s="110">
        <v>13</v>
      </c>
      <c r="L122" s="83">
        <v>42</v>
      </c>
      <c r="M122" s="84">
        <f t="shared" si="16"/>
        <v>0.30952380952380953</v>
      </c>
      <c r="N122" s="101">
        <f t="shared" si="9"/>
        <v>39</v>
      </c>
      <c r="O122" s="85">
        <f t="shared" si="10"/>
        <v>3</v>
      </c>
      <c r="P122" s="118">
        <v>42</v>
      </c>
      <c r="Q122" s="104">
        <f t="shared" si="11"/>
        <v>0.69047619047619047</v>
      </c>
      <c r="R122" s="201">
        <v>45</v>
      </c>
      <c r="S122" s="199">
        <f t="shared" si="12"/>
        <v>0.71111111111111114</v>
      </c>
      <c r="T122" s="268">
        <v>45</v>
      </c>
      <c r="U122" s="199">
        <f t="shared" si="13"/>
        <v>0.71111111111111114</v>
      </c>
      <c r="V122" s="85">
        <f t="shared" si="14"/>
        <v>6</v>
      </c>
      <c r="X122" s="317">
        <f t="shared" si="15"/>
        <v>48.150000000000006</v>
      </c>
    </row>
    <row r="123" spans="2:24" x14ac:dyDescent="0.25">
      <c r="D123" s="209"/>
      <c r="H123" s="82">
        <v>120</v>
      </c>
      <c r="I123" s="17" t="s">
        <v>311</v>
      </c>
      <c r="J123" s="17" t="s">
        <v>298</v>
      </c>
      <c r="K123" s="110">
        <v>7.25</v>
      </c>
      <c r="L123" s="83">
        <v>19</v>
      </c>
      <c r="M123" s="84">
        <f t="shared" si="16"/>
        <v>0.38157894736842107</v>
      </c>
      <c r="N123" s="101">
        <f t="shared" si="9"/>
        <v>21.75</v>
      </c>
      <c r="O123" s="85">
        <f t="shared" si="10"/>
        <v>-2.75</v>
      </c>
      <c r="P123" s="118">
        <v>20</v>
      </c>
      <c r="Q123" s="104">
        <f t="shared" si="11"/>
        <v>0.63749999999999996</v>
      </c>
      <c r="R123" s="201">
        <v>21</v>
      </c>
      <c r="S123" s="199">
        <f t="shared" si="12"/>
        <v>0.65476190476190477</v>
      </c>
      <c r="T123" s="530">
        <v>22</v>
      </c>
      <c r="U123" s="502">
        <f t="shared" si="13"/>
        <v>0.67045454545454541</v>
      </c>
      <c r="V123" s="85">
        <f t="shared" si="14"/>
        <v>0.25</v>
      </c>
      <c r="X123" s="317">
        <f t="shared" si="15"/>
        <v>22.470000000000002</v>
      </c>
    </row>
    <row r="124" spans="2:24" x14ac:dyDescent="0.25">
      <c r="D124" s="209"/>
      <c r="H124" s="82">
        <v>121</v>
      </c>
      <c r="I124" s="17" t="s">
        <v>311</v>
      </c>
      <c r="J124" s="17" t="s">
        <v>299</v>
      </c>
      <c r="K124" s="110">
        <v>11.5</v>
      </c>
      <c r="L124" s="83">
        <v>25</v>
      </c>
      <c r="M124" s="84">
        <f t="shared" si="16"/>
        <v>0.46</v>
      </c>
      <c r="N124" s="101">
        <f t="shared" si="9"/>
        <v>34.5</v>
      </c>
      <c r="O124" s="85">
        <f t="shared" si="10"/>
        <v>-9.5</v>
      </c>
      <c r="P124" s="118">
        <v>25</v>
      </c>
      <c r="Q124" s="104">
        <f t="shared" si="11"/>
        <v>0.54</v>
      </c>
      <c r="R124" s="201">
        <v>28</v>
      </c>
      <c r="S124" s="199">
        <f t="shared" si="12"/>
        <v>0.5892857142857143</v>
      </c>
      <c r="T124" s="530">
        <v>30</v>
      </c>
      <c r="U124" s="199">
        <f t="shared" si="13"/>
        <v>0.6166666666666667</v>
      </c>
      <c r="V124" s="85">
        <f t="shared" si="14"/>
        <v>-4.5</v>
      </c>
      <c r="X124" s="317">
        <f t="shared" si="15"/>
        <v>29.96</v>
      </c>
    </row>
    <row r="125" spans="2:24" x14ac:dyDescent="0.25">
      <c r="D125" s="209"/>
      <c r="H125" s="82">
        <v>122</v>
      </c>
      <c r="I125" s="17" t="s">
        <v>311</v>
      </c>
      <c r="J125" s="17" t="s">
        <v>257</v>
      </c>
      <c r="K125" s="110">
        <v>5.46</v>
      </c>
      <c r="L125" s="83">
        <v>18</v>
      </c>
      <c r="M125" s="84">
        <f t="shared" si="16"/>
        <v>0.30333333333333334</v>
      </c>
      <c r="N125" s="101">
        <f t="shared" si="9"/>
        <v>16.38</v>
      </c>
      <c r="O125" s="85">
        <f t="shared" si="10"/>
        <v>1.620000000000001</v>
      </c>
      <c r="P125" s="118">
        <v>16</v>
      </c>
      <c r="Q125" s="104">
        <f t="shared" si="11"/>
        <v>0.65874999999999995</v>
      </c>
      <c r="R125" s="201">
        <v>17</v>
      </c>
      <c r="S125" s="199">
        <f t="shared" si="12"/>
        <v>0.6788235294117646</v>
      </c>
      <c r="T125" s="268">
        <v>17</v>
      </c>
      <c r="U125" s="199">
        <f t="shared" si="13"/>
        <v>0.6788235294117646</v>
      </c>
      <c r="V125" s="85">
        <f t="shared" si="14"/>
        <v>0.62000000000000099</v>
      </c>
      <c r="X125" s="317">
        <f t="shared" si="15"/>
        <v>18.190000000000001</v>
      </c>
    </row>
    <row r="126" spans="2:24" x14ac:dyDescent="0.25">
      <c r="D126" s="209"/>
      <c r="H126" s="82">
        <v>123</v>
      </c>
      <c r="I126" s="17" t="s">
        <v>311</v>
      </c>
      <c r="J126" s="17" t="s">
        <v>300</v>
      </c>
      <c r="K126" s="110">
        <v>6.88</v>
      </c>
      <c r="L126" s="83">
        <v>20</v>
      </c>
      <c r="M126" s="84">
        <f t="shared" si="16"/>
        <v>0.34399999999999997</v>
      </c>
      <c r="N126" s="101">
        <f t="shared" si="9"/>
        <v>20.64</v>
      </c>
      <c r="O126" s="85">
        <f t="shared" si="10"/>
        <v>-0.64000000000000057</v>
      </c>
      <c r="P126" s="118">
        <v>20</v>
      </c>
      <c r="Q126" s="104">
        <f t="shared" si="11"/>
        <v>0.65600000000000003</v>
      </c>
      <c r="R126" s="201">
        <v>21</v>
      </c>
      <c r="S126" s="199">
        <f t="shared" si="12"/>
        <v>0.67238095238095241</v>
      </c>
      <c r="T126" s="530">
        <v>22</v>
      </c>
      <c r="U126" s="199">
        <f t="shared" si="13"/>
        <v>0.68727272727272737</v>
      </c>
      <c r="V126" s="85">
        <f t="shared" si="14"/>
        <v>1.3599999999999994</v>
      </c>
      <c r="X126" s="317">
        <f t="shared" si="15"/>
        <v>22.470000000000002</v>
      </c>
    </row>
    <row r="127" spans="2:24" x14ac:dyDescent="0.25">
      <c r="D127" s="209"/>
      <c r="H127" s="82">
        <v>124</v>
      </c>
      <c r="I127" s="17" t="s">
        <v>311</v>
      </c>
      <c r="J127" s="17" t="s">
        <v>301</v>
      </c>
      <c r="K127" s="110">
        <v>5.46</v>
      </c>
      <c r="L127" s="83">
        <v>19</v>
      </c>
      <c r="M127" s="84">
        <f t="shared" si="16"/>
        <v>0.28736842105263155</v>
      </c>
      <c r="N127" s="101">
        <f t="shared" si="9"/>
        <v>16.38</v>
      </c>
      <c r="O127" s="85">
        <f t="shared" si="10"/>
        <v>2.620000000000001</v>
      </c>
      <c r="P127" s="118">
        <v>20</v>
      </c>
      <c r="Q127" s="104">
        <f t="shared" si="11"/>
        <v>0.72699999999999998</v>
      </c>
      <c r="R127" s="201">
        <v>21</v>
      </c>
      <c r="S127" s="199">
        <f t="shared" si="12"/>
        <v>0.74</v>
      </c>
      <c r="T127" s="530">
        <v>22</v>
      </c>
      <c r="U127" s="501">
        <f t="shared" si="13"/>
        <v>0.75181818181818183</v>
      </c>
      <c r="V127" s="85">
        <f t="shared" si="14"/>
        <v>5.620000000000001</v>
      </c>
      <c r="X127" s="317">
        <f t="shared" si="15"/>
        <v>22.470000000000002</v>
      </c>
    </row>
    <row r="128" spans="2:24" x14ac:dyDescent="0.25">
      <c r="D128" s="209"/>
      <c r="H128" s="82">
        <v>125</v>
      </c>
      <c r="I128" s="17" t="s">
        <v>311</v>
      </c>
      <c r="J128" s="17" t="s">
        <v>302</v>
      </c>
      <c r="K128" s="110">
        <v>9.23</v>
      </c>
      <c r="L128" s="83">
        <v>19</v>
      </c>
      <c r="M128" s="84">
        <f t="shared" si="16"/>
        <v>0.48578947368421055</v>
      </c>
      <c r="N128" s="101">
        <f t="shared" si="9"/>
        <v>27.69</v>
      </c>
      <c r="O128" s="85">
        <f t="shared" si="10"/>
        <v>-8.6900000000000013</v>
      </c>
      <c r="P128" s="118">
        <v>20</v>
      </c>
      <c r="Q128" s="104">
        <f t="shared" si="11"/>
        <v>0.53849999999999998</v>
      </c>
      <c r="R128" s="201">
        <v>21</v>
      </c>
      <c r="S128" s="199">
        <f t="shared" si="12"/>
        <v>0.56047619047619046</v>
      </c>
      <c r="T128" s="530">
        <v>22</v>
      </c>
      <c r="U128" s="199">
        <f t="shared" si="13"/>
        <v>0.58045454545454545</v>
      </c>
      <c r="V128" s="85">
        <f t="shared" si="14"/>
        <v>-5.6900000000000013</v>
      </c>
      <c r="X128" s="317">
        <f t="shared" si="15"/>
        <v>22.470000000000002</v>
      </c>
    </row>
    <row r="129" spans="2:28" x14ac:dyDescent="0.25">
      <c r="D129" s="209"/>
      <c r="H129" s="290">
        <v>126</v>
      </c>
      <c r="I129" s="291" t="s">
        <v>311</v>
      </c>
      <c r="J129" s="291" t="s">
        <v>303</v>
      </c>
      <c r="K129" s="438">
        <f>+E79</f>
        <v>23.411764705882351</v>
      </c>
      <c r="L129" s="439">
        <v>50</v>
      </c>
      <c r="M129" s="440">
        <f t="shared" si="16"/>
        <v>0.46823529411764703</v>
      </c>
      <c r="N129" s="441">
        <f t="shared" si="9"/>
        <v>70.235294117647058</v>
      </c>
      <c r="O129" s="442">
        <f t="shared" si="10"/>
        <v>-20.235294117647058</v>
      </c>
      <c r="P129" s="443">
        <v>50</v>
      </c>
      <c r="Q129" s="444">
        <f t="shared" si="11"/>
        <v>0.53176470588235292</v>
      </c>
      <c r="R129" s="445">
        <v>50</v>
      </c>
      <c r="S129" s="444">
        <f t="shared" si="12"/>
        <v>0.53176470588235292</v>
      </c>
      <c r="T129" s="446">
        <v>50</v>
      </c>
      <c r="U129" s="444">
        <f t="shared" si="13"/>
        <v>0.53176470588235292</v>
      </c>
      <c r="V129" s="442">
        <f t="shared" si="14"/>
        <v>-20.235294117647058</v>
      </c>
      <c r="X129" s="317">
        <f t="shared" si="15"/>
        <v>53.5</v>
      </c>
    </row>
    <row r="130" spans="2:28" x14ac:dyDescent="0.25">
      <c r="D130" s="209"/>
      <c r="H130" s="290">
        <v>127</v>
      </c>
      <c r="I130" s="291" t="s">
        <v>311</v>
      </c>
      <c r="J130" s="291" t="s">
        <v>304</v>
      </c>
      <c r="K130" s="438">
        <f>+D79</f>
        <v>199</v>
      </c>
      <c r="L130" s="439">
        <v>250</v>
      </c>
      <c r="M130" s="440">
        <f t="shared" si="16"/>
        <v>0.79600000000000004</v>
      </c>
      <c r="N130" s="441">
        <f t="shared" si="9"/>
        <v>597</v>
      </c>
      <c r="O130" s="442">
        <f t="shared" si="10"/>
        <v>-347</v>
      </c>
      <c r="P130" s="443">
        <v>250</v>
      </c>
      <c r="Q130" s="444">
        <f t="shared" si="11"/>
        <v>0.20399999999999999</v>
      </c>
      <c r="R130" s="445">
        <v>250</v>
      </c>
      <c r="S130" s="444">
        <f t="shared" si="12"/>
        <v>0.20399999999999999</v>
      </c>
      <c r="T130" s="446">
        <v>250</v>
      </c>
      <c r="U130" s="444">
        <f t="shared" si="13"/>
        <v>0.20399999999999999</v>
      </c>
      <c r="V130" s="442">
        <f t="shared" si="14"/>
        <v>-347</v>
      </c>
      <c r="X130" s="317">
        <f t="shared" si="15"/>
        <v>267.5</v>
      </c>
    </row>
    <row r="131" spans="2:28" x14ac:dyDescent="0.25">
      <c r="D131" s="209"/>
      <c r="H131" s="290">
        <v>128</v>
      </c>
      <c r="I131" s="291" t="s">
        <v>311</v>
      </c>
      <c r="J131" s="291" t="s">
        <v>316</v>
      </c>
      <c r="K131" s="438">
        <f>+E79+E82</f>
        <v>29.304564705882349</v>
      </c>
      <c r="L131" s="439">
        <v>50</v>
      </c>
      <c r="M131" s="440">
        <f t="shared" si="16"/>
        <v>0.58609129411764693</v>
      </c>
      <c r="N131" s="441">
        <f t="shared" si="9"/>
        <v>87.913694117647054</v>
      </c>
      <c r="O131" s="442">
        <f t="shared" si="10"/>
        <v>-37.913694117647054</v>
      </c>
      <c r="P131" s="443">
        <v>60</v>
      </c>
      <c r="Q131" s="444">
        <f t="shared" si="11"/>
        <v>0.51159058823529413</v>
      </c>
      <c r="R131" s="445">
        <v>60</v>
      </c>
      <c r="S131" s="444">
        <f t="shared" si="12"/>
        <v>0.51159058823529413</v>
      </c>
      <c r="T131" s="446">
        <v>60</v>
      </c>
      <c r="U131" s="444">
        <f t="shared" si="13"/>
        <v>0.51159058823529413</v>
      </c>
      <c r="V131" s="442">
        <f t="shared" si="14"/>
        <v>-27.913694117647054</v>
      </c>
      <c r="X131" s="317">
        <f t="shared" si="15"/>
        <v>64.2</v>
      </c>
    </row>
    <row r="132" spans="2:28" x14ac:dyDescent="0.25">
      <c r="D132" s="209"/>
      <c r="H132" s="82">
        <v>129</v>
      </c>
      <c r="I132" s="17" t="s">
        <v>311</v>
      </c>
      <c r="J132" s="17" t="s">
        <v>313</v>
      </c>
      <c r="K132" s="110">
        <v>13.52</v>
      </c>
      <c r="L132" s="83">
        <v>24</v>
      </c>
      <c r="M132" s="84">
        <f t="shared" si="16"/>
        <v>0.56333333333333335</v>
      </c>
      <c r="N132" s="101">
        <f t="shared" si="9"/>
        <v>40.56</v>
      </c>
      <c r="O132" s="85">
        <f t="shared" si="10"/>
        <v>-16.560000000000002</v>
      </c>
      <c r="P132" s="118">
        <v>25</v>
      </c>
      <c r="Q132" s="104">
        <f t="shared" si="11"/>
        <v>0.4592</v>
      </c>
      <c r="R132" s="201">
        <v>30</v>
      </c>
      <c r="S132" s="199">
        <f t="shared" si="12"/>
        <v>0.54933333333333334</v>
      </c>
      <c r="T132" s="268">
        <v>30</v>
      </c>
      <c r="U132" s="500">
        <f t="shared" si="13"/>
        <v>0.54933333333333334</v>
      </c>
      <c r="V132" s="85">
        <f t="shared" si="14"/>
        <v>-10.560000000000002</v>
      </c>
      <c r="X132" s="317">
        <f t="shared" si="15"/>
        <v>32.1</v>
      </c>
    </row>
    <row r="133" spans="2:28" ht="16.5" thickBot="1" x14ac:dyDescent="0.3">
      <c r="D133" s="209"/>
      <c r="H133" s="82">
        <v>130</v>
      </c>
      <c r="I133" s="125" t="s">
        <v>311</v>
      </c>
      <c r="J133" s="125" t="s">
        <v>314</v>
      </c>
      <c r="K133" s="126">
        <v>14.46</v>
      </c>
      <c r="L133" s="127">
        <v>30</v>
      </c>
      <c r="M133" s="128">
        <f t="shared" si="16"/>
        <v>0.48200000000000004</v>
      </c>
      <c r="N133" s="447">
        <f t="shared" ref="N133:N144" si="17">K133*3</f>
        <v>43.38</v>
      </c>
      <c r="O133" s="130">
        <f t="shared" si="10"/>
        <v>-13.380000000000003</v>
      </c>
      <c r="P133" s="131">
        <v>30</v>
      </c>
      <c r="Q133" s="132">
        <f t="shared" si="11"/>
        <v>0.51800000000000002</v>
      </c>
      <c r="R133" s="448">
        <v>30</v>
      </c>
      <c r="S133" s="449">
        <f t="shared" ref="S133:S143" si="18">(R133-K133)/R133</f>
        <v>0.51800000000000002</v>
      </c>
      <c r="T133" s="534">
        <v>35</v>
      </c>
      <c r="U133" s="449">
        <f t="shared" ref="U133:U144" si="19">(T133-K133)/T133</f>
        <v>0.58685714285714285</v>
      </c>
      <c r="V133" s="130">
        <f t="shared" ref="V133:V144" si="20">T133-N133</f>
        <v>-8.3800000000000026</v>
      </c>
      <c r="X133" s="317">
        <f t="shared" ref="X133:X143" si="21">+R133*$X$3</f>
        <v>32.1</v>
      </c>
    </row>
    <row r="134" spans="2:28" x14ac:dyDescent="0.25">
      <c r="D134" s="209"/>
      <c r="H134" s="170">
        <v>131</v>
      </c>
      <c r="I134" s="554" t="s">
        <v>311</v>
      </c>
      <c r="J134" s="555" t="s">
        <v>305</v>
      </c>
      <c r="K134" s="556">
        <v>13.57</v>
      </c>
      <c r="L134" s="556">
        <v>34</v>
      </c>
      <c r="M134" s="557">
        <f t="shared" ref="M134:M143" si="22">K134/L134</f>
        <v>0.39911764705882352</v>
      </c>
      <c r="N134" s="558">
        <f t="shared" si="17"/>
        <v>40.71</v>
      </c>
      <c r="O134" s="559">
        <f t="shared" si="10"/>
        <v>-6.7100000000000009</v>
      </c>
      <c r="P134" s="560">
        <v>34</v>
      </c>
      <c r="Q134" s="561">
        <f t="shared" si="11"/>
        <v>0.60088235294117642</v>
      </c>
      <c r="R134" s="558">
        <v>38</v>
      </c>
      <c r="S134" s="562">
        <f t="shared" si="18"/>
        <v>0.6428947368421053</v>
      </c>
      <c r="T134" s="563">
        <v>40</v>
      </c>
      <c r="U134" s="562">
        <f t="shared" si="19"/>
        <v>0.66074999999999995</v>
      </c>
      <c r="V134" s="341">
        <f t="shared" si="20"/>
        <v>-0.71000000000000085</v>
      </c>
      <c r="X134" s="317">
        <f t="shared" si="21"/>
        <v>40.660000000000004</v>
      </c>
    </row>
    <row r="135" spans="2:28" x14ac:dyDescent="0.25">
      <c r="D135" s="209"/>
      <c r="H135" s="170"/>
      <c r="I135" s="564" t="s">
        <v>311</v>
      </c>
      <c r="J135" s="565" t="s">
        <v>441</v>
      </c>
      <c r="K135" s="566">
        <v>14.51</v>
      </c>
      <c r="L135" s="567"/>
      <c r="M135" s="568"/>
      <c r="N135" s="569"/>
      <c r="O135" s="570"/>
      <c r="P135" s="571"/>
      <c r="Q135" s="572"/>
      <c r="R135" s="573"/>
      <c r="S135" s="574"/>
      <c r="T135" s="575">
        <v>45</v>
      </c>
      <c r="U135" s="574"/>
      <c r="V135" s="351"/>
    </row>
    <row r="136" spans="2:28" x14ac:dyDescent="0.25">
      <c r="D136" s="209"/>
      <c r="H136" s="170">
        <v>132</v>
      </c>
      <c r="I136" s="564" t="s">
        <v>311</v>
      </c>
      <c r="J136" s="565" t="s">
        <v>306</v>
      </c>
      <c r="K136" s="567">
        <v>27.19</v>
      </c>
      <c r="L136" s="567">
        <v>50</v>
      </c>
      <c r="M136" s="568">
        <f t="shared" si="22"/>
        <v>0.54380000000000006</v>
      </c>
      <c r="N136" s="569">
        <f t="shared" si="17"/>
        <v>81.570000000000007</v>
      </c>
      <c r="O136" s="570">
        <f t="shared" si="10"/>
        <v>-31.570000000000007</v>
      </c>
      <c r="P136" s="571">
        <v>50</v>
      </c>
      <c r="Q136" s="572">
        <f t="shared" si="11"/>
        <v>0.45619999999999999</v>
      </c>
      <c r="R136" s="576">
        <v>60</v>
      </c>
      <c r="S136" s="574">
        <f t="shared" si="18"/>
        <v>0.54683333333333339</v>
      </c>
      <c r="T136" s="575">
        <v>65</v>
      </c>
      <c r="U136" s="574">
        <f t="shared" si="19"/>
        <v>0.58169230769230773</v>
      </c>
      <c r="V136" s="351">
        <f t="shared" si="20"/>
        <v>-16.570000000000007</v>
      </c>
      <c r="X136" s="317">
        <f t="shared" si="21"/>
        <v>64.2</v>
      </c>
    </row>
    <row r="137" spans="2:28" ht="16.5" thickBot="1" x14ac:dyDescent="0.3">
      <c r="D137" s="209"/>
      <c r="H137" s="170"/>
      <c r="I137" s="577" t="s">
        <v>311</v>
      </c>
      <c r="J137" s="578" t="s">
        <v>445</v>
      </c>
      <c r="K137" s="579">
        <v>29.07</v>
      </c>
      <c r="L137" s="579">
        <v>50</v>
      </c>
      <c r="M137" s="580">
        <f t="shared" si="22"/>
        <v>0.58140000000000003</v>
      </c>
      <c r="N137" s="581">
        <f t="shared" si="17"/>
        <v>87.210000000000008</v>
      </c>
      <c r="O137" s="582">
        <f t="shared" si="10"/>
        <v>-37.210000000000008</v>
      </c>
      <c r="P137" s="583">
        <v>50</v>
      </c>
      <c r="Q137" s="584">
        <f t="shared" si="11"/>
        <v>0.41859999999999997</v>
      </c>
      <c r="R137" s="581">
        <v>60</v>
      </c>
      <c r="S137" s="585">
        <f t="shared" si="18"/>
        <v>0.51549999999999996</v>
      </c>
      <c r="T137" s="586">
        <v>70</v>
      </c>
      <c r="U137" s="585">
        <f t="shared" si="19"/>
        <v>0.58471428571428574</v>
      </c>
      <c r="V137" s="348">
        <f t="shared" si="20"/>
        <v>-17.210000000000008</v>
      </c>
    </row>
    <row r="138" spans="2:28" x14ac:dyDescent="0.25">
      <c r="D138" s="209"/>
      <c r="H138" s="82">
        <v>133</v>
      </c>
      <c r="I138" s="544" t="s">
        <v>311</v>
      </c>
      <c r="J138" s="544" t="s">
        <v>307</v>
      </c>
      <c r="K138" s="545">
        <v>13.67</v>
      </c>
      <c r="L138" s="546">
        <v>39</v>
      </c>
      <c r="M138" s="547">
        <f t="shared" si="22"/>
        <v>0.35051282051282051</v>
      </c>
      <c r="N138" s="548">
        <f t="shared" si="17"/>
        <v>41.01</v>
      </c>
      <c r="O138" s="549">
        <f t="shared" si="10"/>
        <v>-2.009999999999998</v>
      </c>
      <c r="P138" s="550">
        <v>39</v>
      </c>
      <c r="Q138" s="551">
        <f t="shared" si="11"/>
        <v>0.64948717948717949</v>
      </c>
      <c r="R138" s="552">
        <v>40</v>
      </c>
      <c r="S138" s="553">
        <f t="shared" si="18"/>
        <v>0.65825</v>
      </c>
      <c r="T138" s="535">
        <v>45</v>
      </c>
      <c r="U138" s="553">
        <f t="shared" si="19"/>
        <v>0.69622222222222219</v>
      </c>
      <c r="V138" s="549">
        <f t="shared" si="20"/>
        <v>3.990000000000002</v>
      </c>
      <c r="X138" s="317">
        <f t="shared" si="21"/>
        <v>42.800000000000004</v>
      </c>
    </row>
    <row r="139" spans="2:28" x14ac:dyDescent="0.25">
      <c r="D139" s="209"/>
      <c r="H139" s="82"/>
      <c r="I139" s="536" t="s">
        <v>311</v>
      </c>
      <c r="J139" s="536" t="s">
        <v>442</v>
      </c>
      <c r="K139" s="537">
        <v>14.61</v>
      </c>
      <c r="L139" s="73"/>
      <c r="M139" s="538"/>
      <c r="N139" s="539">
        <f t="shared" si="17"/>
        <v>43.83</v>
      </c>
      <c r="O139" s="540"/>
      <c r="P139" s="541"/>
      <c r="Q139" s="542"/>
      <c r="R139" s="543"/>
      <c r="S139" s="500"/>
      <c r="T139" s="530">
        <v>50</v>
      </c>
      <c r="U139" s="500">
        <f t="shared" si="19"/>
        <v>0.70779999999999998</v>
      </c>
      <c r="V139" s="540">
        <f t="shared" si="20"/>
        <v>6.1700000000000017</v>
      </c>
    </row>
    <row r="140" spans="2:28" x14ac:dyDescent="0.25">
      <c r="H140" s="82">
        <v>135</v>
      </c>
      <c r="I140" s="536" t="s">
        <v>311</v>
      </c>
      <c r="J140" s="536" t="s">
        <v>309</v>
      </c>
      <c r="K140" s="537">
        <v>30.92</v>
      </c>
      <c r="L140" s="73">
        <v>55</v>
      </c>
      <c r="M140" s="538">
        <f t="shared" si="22"/>
        <v>0.56218181818181823</v>
      </c>
      <c r="N140" s="539">
        <f t="shared" si="17"/>
        <v>92.76</v>
      </c>
      <c r="O140" s="540">
        <f t="shared" si="10"/>
        <v>-37.760000000000005</v>
      </c>
      <c r="P140" s="541">
        <v>55</v>
      </c>
      <c r="Q140" s="542">
        <f t="shared" si="11"/>
        <v>0.43781818181818177</v>
      </c>
      <c r="R140" s="543">
        <v>65</v>
      </c>
      <c r="S140" s="500">
        <f t="shared" si="18"/>
        <v>0.52430769230769225</v>
      </c>
      <c r="T140" s="530">
        <v>75</v>
      </c>
      <c r="U140" s="500">
        <f t="shared" si="19"/>
        <v>0.58773333333333333</v>
      </c>
      <c r="V140" s="540">
        <f t="shared" si="20"/>
        <v>-17.760000000000005</v>
      </c>
      <c r="X140" s="317">
        <f t="shared" si="21"/>
        <v>69.55</v>
      </c>
    </row>
    <row r="141" spans="2:28" x14ac:dyDescent="0.25">
      <c r="H141" s="82"/>
      <c r="I141" s="536" t="s">
        <v>311</v>
      </c>
      <c r="J141" s="536" t="s">
        <v>443</v>
      </c>
      <c r="K141" s="537">
        <v>32.799999999999997</v>
      </c>
      <c r="L141" s="73"/>
      <c r="M141" s="538"/>
      <c r="N141" s="539">
        <f t="shared" si="17"/>
        <v>98.399999999999991</v>
      </c>
      <c r="O141" s="540"/>
      <c r="P141" s="541"/>
      <c r="Q141" s="542"/>
      <c r="R141" s="543"/>
      <c r="S141" s="500"/>
      <c r="T141" s="530">
        <v>80</v>
      </c>
      <c r="U141" s="500">
        <f t="shared" si="19"/>
        <v>0.59000000000000008</v>
      </c>
      <c r="V141" s="540">
        <f t="shared" si="20"/>
        <v>-18.399999999999991</v>
      </c>
    </row>
    <row r="142" spans="2:28" s="496" customFormat="1" x14ac:dyDescent="0.25">
      <c r="B142" s="494"/>
      <c r="C142" s="494"/>
      <c r="D142" s="495"/>
      <c r="E142" s="494"/>
      <c r="H142" s="497">
        <v>134</v>
      </c>
      <c r="I142" s="480" t="s">
        <v>311</v>
      </c>
      <c r="J142" s="480" t="s">
        <v>308</v>
      </c>
      <c r="K142" s="485">
        <v>13.67</v>
      </c>
      <c r="L142" s="486">
        <v>34</v>
      </c>
      <c r="M142" s="487">
        <f>K142/L142</f>
        <v>0.40205882352941175</v>
      </c>
      <c r="N142" s="488">
        <f>K142*3</f>
        <v>41.01</v>
      </c>
      <c r="O142" s="489">
        <f>L142-N142</f>
        <v>-7.009999999999998</v>
      </c>
      <c r="P142" s="490">
        <v>34</v>
      </c>
      <c r="Q142" s="491">
        <f>(P142-K142)/P142</f>
        <v>0.5979411764705882</v>
      </c>
      <c r="R142" s="492">
        <v>38</v>
      </c>
      <c r="S142" s="491">
        <f>(R142-K142)/R142</f>
        <v>0.64026315789473676</v>
      </c>
      <c r="T142" s="530">
        <v>40</v>
      </c>
      <c r="U142" s="491">
        <f>(T142-K142)/T142</f>
        <v>0.65825</v>
      </c>
      <c r="V142" s="489">
        <f>T142-N142</f>
        <v>-1.009999999999998</v>
      </c>
      <c r="X142" s="498">
        <f>+R142*$X$3</f>
        <v>40.660000000000004</v>
      </c>
      <c r="Y142" s="499"/>
      <c r="Z142" s="499"/>
      <c r="AA142" s="499"/>
      <c r="AB142" s="499"/>
    </row>
    <row r="143" spans="2:28" s="496" customFormat="1" x14ac:dyDescent="0.25">
      <c r="B143" s="494"/>
      <c r="C143" s="494"/>
      <c r="D143" s="495"/>
      <c r="E143" s="494"/>
      <c r="H143" s="497">
        <v>136</v>
      </c>
      <c r="I143" s="480" t="s">
        <v>311</v>
      </c>
      <c r="J143" s="480" t="s">
        <v>310</v>
      </c>
      <c r="K143" s="485">
        <v>27.39</v>
      </c>
      <c r="L143" s="486">
        <v>50</v>
      </c>
      <c r="M143" s="487">
        <f t="shared" si="22"/>
        <v>0.54780000000000006</v>
      </c>
      <c r="N143" s="488">
        <f t="shared" si="17"/>
        <v>82.17</v>
      </c>
      <c r="O143" s="489">
        <f t="shared" ref="O143" si="23">L143-N143</f>
        <v>-32.17</v>
      </c>
      <c r="P143" s="490">
        <v>50</v>
      </c>
      <c r="Q143" s="491">
        <f t="shared" ref="Q143" si="24">(P143-K143)/P143</f>
        <v>0.45219999999999999</v>
      </c>
      <c r="R143" s="492">
        <v>60</v>
      </c>
      <c r="S143" s="491">
        <f t="shared" si="18"/>
        <v>0.54349999999999998</v>
      </c>
      <c r="T143" s="530">
        <v>70</v>
      </c>
      <c r="U143" s="491">
        <f t="shared" si="19"/>
        <v>0.60871428571428565</v>
      </c>
      <c r="V143" s="489">
        <f t="shared" si="20"/>
        <v>-12.170000000000002</v>
      </c>
      <c r="X143" s="498">
        <f t="shared" si="21"/>
        <v>64.2</v>
      </c>
      <c r="Y143" s="499"/>
      <c r="Z143" s="499"/>
      <c r="AA143" s="499"/>
      <c r="AB143" s="499"/>
    </row>
    <row r="144" spans="2:28" x14ac:dyDescent="0.25">
      <c r="H144" s="82"/>
      <c r="I144" s="17" t="s">
        <v>311</v>
      </c>
      <c r="J144" s="480" t="s">
        <v>444</v>
      </c>
      <c r="K144" s="110">
        <v>29.27</v>
      </c>
      <c r="L144" s="83"/>
      <c r="M144" s="84"/>
      <c r="N144" s="101">
        <f t="shared" si="17"/>
        <v>87.81</v>
      </c>
      <c r="O144" s="85"/>
      <c r="P144" s="118"/>
      <c r="Q144" s="122"/>
      <c r="R144" s="198"/>
      <c r="S144" s="198"/>
      <c r="T144" s="530">
        <v>75</v>
      </c>
      <c r="U144" s="98">
        <f t="shared" si="19"/>
        <v>0.60973333333333335</v>
      </c>
      <c r="V144" s="85">
        <f t="shared" si="20"/>
        <v>-12.810000000000002</v>
      </c>
    </row>
    <row r="145" spans="4:22" x14ac:dyDescent="0.25">
      <c r="H145" s="82"/>
      <c r="I145" s="17"/>
      <c r="J145" s="17"/>
      <c r="K145" s="110"/>
      <c r="L145" s="83"/>
      <c r="M145" s="84"/>
      <c r="N145" s="101"/>
      <c r="O145" s="85"/>
      <c r="P145" s="118"/>
      <c r="Q145" s="122"/>
      <c r="R145" s="198"/>
      <c r="S145" s="198"/>
      <c r="T145" s="270"/>
      <c r="U145" s="98"/>
      <c r="V145" s="85"/>
    </row>
    <row r="146" spans="4:22" x14ac:dyDescent="0.25">
      <c r="H146" s="82"/>
      <c r="I146" s="17"/>
      <c r="J146" s="17"/>
      <c r="K146" s="110"/>
      <c r="L146" s="83"/>
      <c r="M146" s="84"/>
      <c r="N146" s="101"/>
      <c r="O146" s="85"/>
      <c r="P146" s="118"/>
      <c r="Q146" s="122"/>
      <c r="R146" s="198"/>
      <c r="S146" s="198"/>
      <c r="T146" s="270"/>
      <c r="U146" s="98"/>
      <c r="V146" s="85"/>
    </row>
    <row r="147" spans="4:22" x14ac:dyDescent="0.25">
      <c r="H147" s="82"/>
      <c r="I147" s="17"/>
      <c r="J147" s="17"/>
      <c r="K147" s="110"/>
      <c r="L147" s="83"/>
      <c r="M147" s="84"/>
      <c r="N147" s="101"/>
      <c r="O147" s="85"/>
      <c r="P147" s="118"/>
      <c r="Q147" s="122"/>
      <c r="R147" s="198"/>
      <c r="S147" s="198"/>
      <c r="T147" s="270"/>
      <c r="U147" s="98"/>
      <c r="V147" s="85"/>
    </row>
    <row r="148" spans="4:22" x14ac:dyDescent="0.25">
      <c r="H148" s="82"/>
      <c r="I148" s="17"/>
      <c r="J148" s="17"/>
      <c r="K148" s="110"/>
      <c r="L148" s="83"/>
      <c r="M148" s="84"/>
      <c r="N148" s="101"/>
      <c r="O148" s="85"/>
      <c r="P148" s="118"/>
      <c r="Q148" s="122"/>
      <c r="R148" s="198"/>
      <c r="S148" s="198"/>
      <c r="T148" s="270"/>
      <c r="U148" s="98"/>
      <c r="V148" s="85"/>
    </row>
    <row r="149" spans="4:22" x14ac:dyDescent="0.25">
      <c r="D149" s="209"/>
      <c r="H149" s="82"/>
      <c r="I149" s="17"/>
      <c r="J149" s="17"/>
      <c r="K149" s="110"/>
      <c r="L149" s="83"/>
      <c r="M149" s="84"/>
      <c r="N149" s="101"/>
      <c r="O149" s="85"/>
      <c r="P149" s="118"/>
      <c r="Q149" s="122"/>
      <c r="R149" s="198"/>
      <c r="S149" s="198"/>
      <c r="T149" s="270"/>
      <c r="U149" s="98"/>
      <c r="V149" s="85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K49"/>
  <sheetViews>
    <sheetView workbookViewId="0">
      <selection activeCell="A23" sqref="A23"/>
    </sheetView>
  </sheetViews>
  <sheetFormatPr baseColWidth="10" defaultRowHeight="15.75" outlineLevelRow="1" x14ac:dyDescent="0.25"/>
  <cols>
    <col min="1" max="1" width="16" customWidth="1"/>
    <col min="2" max="3" width="10.375" bestFit="1" customWidth="1"/>
    <col min="4" max="4" width="28.5" customWidth="1"/>
    <col min="5" max="5" width="21.75" customWidth="1"/>
    <col min="6" max="6" width="11" style="15"/>
    <col min="8" max="8" width="18.875" customWidth="1"/>
  </cols>
  <sheetData>
    <row r="1" spans="1:11" x14ac:dyDescent="0.25">
      <c r="A1" s="15" t="s">
        <v>321</v>
      </c>
      <c r="B1" t="s">
        <v>404</v>
      </c>
    </row>
    <row r="2" spans="1:11" ht="16.5" thickBot="1" x14ac:dyDescent="0.3">
      <c r="B2" s="15"/>
      <c r="C2" s="15"/>
      <c r="I2" t="s">
        <v>398</v>
      </c>
      <c r="J2" t="s">
        <v>401</v>
      </c>
      <c r="K2" s="316" t="s">
        <v>403</v>
      </c>
    </row>
    <row r="3" spans="1:11" ht="16.5" thickBot="1" x14ac:dyDescent="0.3">
      <c r="A3" s="302"/>
      <c r="B3" s="303" t="s">
        <v>341</v>
      </c>
      <c r="C3" s="303" t="s">
        <v>397</v>
      </c>
      <c r="D3" s="303" t="s">
        <v>339</v>
      </c>
      <c r="E3" s="303" t="s">
        <v>349</v>
      </c>
      <c r="F3" s="304" t="s">
        <v>50</v>
      </c>
      <c r="H3" s="315" t="s">
        <v>385</v>
      </c>
      <c r="I3">
        <v>55</v>
      </c>
      <c r="J3">
        <v>40</v>
      </c>
      <c r="K3">
        <v>48</v>
      </c>
    </row>
    <row r="4" spans="1:11" outlineLevel="1" x14ac:dyDescent="0.25">
      <c r="A4" s="293" t="s">
        <v>183</v>
      </c>
      <c r="B4" s="294"/>
      <c r="C4" s="294"/>
      <c r="D4" t="s">
        <v>352</v>
      </c>
      <c r="E4" s="300" t="s">
        <v>353</v>
      </c>
      <c r="F4" s="292">
        <v>7.28</v>
      </c>
      <c r="H4" s="315" t="s">
        <v>446</v>
      </c>
      <c r="I4">
        <v>59</v>
      </c>
    </row>
    <row r="5" spans="1:11" outlineLevel="1" x14ac:dyDescent="0.25">
      <c r="A5" s="293" t="s">
        <v>342</v>
      </c>
      <c r="B5" s="294"/>
      <c r="C5" s="294"/>
      <c r="D5" t="s">
        <v>355</v>
      </c>
      <c r="E5" s="300" t="s">
        <v>354</v>
      </c>
      <c r="F5" s="292">
        <v>7.05</v>
      </c>
    </row>
    <row r="6" spans="1:11" outlineLevel="1" x14ac:dyDescent="0.25">
      <c r="A6" s="293" t="s">
        <v>181</v>
      </c>
      <c r="B6" s="294"/>
      <c r="C6" s="294"/>
      <c r="D6" t="s">
        <v>350</v>
      </c>
      <c r="E6" s="300" t="s">
        <v>351</v>
      </c>
      <c r="F6" s="292">
        <v>5.19</v>
      </c>
    </row>
    <row r="7" spans="1:11" outlineLevel="1" x14ac:dyDescent="0.25">
      <c r="A7" s="293" t="s">
        <v>356</v>
      </c>
      <c r="B7" s="294"/>
      <c r="C7" s="294"/>
      <c r="D7" t="s">
        <v>357</v>
      </c>
      <c r="E7" s="300" t="s">
        <v>358</v>
      </c>
      <c r="F7" s="292">
        <v>2.78</v>
      </c>
    </row>
    <row r="8" spans="1:11" x14ac:dyDescent="0.25">
      <c r="A8" s="298" t="s">
        <v>343</v>
      </c>
      <c r="B8" s="299">
        <v>23.5</v>
      </c>
      <c r="C8" s="299">
        <v>22.3</v>
      </c>
      <c r="D8" s="26"/>
      <c r="E8" s="26"/>
      <c r="F8" s="301"/>
      <c r="H8" t="s">
        <v>31</v>
      </c>
      <c r="I8">
        <v>65</v>
      </c>
      <c r="J8">
        <v>70</v>
      </c>
      <c r="K8">
        <v>58</v>
      </c>
    </row>
    <row r="9" spans="1:11" outlineLevel="1" x14ac:dyDescent="0.25">
      <c r="A9" s="293" t="s">
        <v>144</v>
      </c>
      <c r="B9" s="294"/>
      <c r="C9" s="294"/>
      <c r="D9" s="26" t="s">
        <v>361</v>
      </c>
      <c r="E9" s="26"/>
      <c r="F9" s="307">
        <v>2.46</v>
      </c>
      <c r="H9" t="s">
        <v>447</v>
      </c>
      <c r="I9">
        <v>70</v>
      </c>
    </row>
    <row r="10" spans="1:11" outlineLevel="1" x14ac:dyDescent="0.25">
      <c r="A10" s="293" t="s">
        <v>338</v>
      </c>
      <c r="B10" s="294"/>
      <c r="C10" s="294"/>
      <c r="D10" s="26" t="s">
        <v>360</v>
      </c>
      <c r="E10" s="26"/>
      <c r="F10" s="307">
        <v>2.3199999999999998</v>
      </c>
    </row>
    <row r="11" spans="1:11" outlineLevel="1" x14ac:dyDescent="0.25">
      <c r="A11" s="293" t="s">
        <v>107</v>
      </c>
      <c r="B11" s="294"/>
      <c r="C11" s="294"/>
      <c r="D11" s="26" t="s">
        <v>359</v>
      </c>
      <c r="E11" s="26"/>
      <c r="F11" s="307">
        <v>2.06</v>
      </c>
    </row>
    <row r="12" spans="1:11" outlineLevel="1" x14ac:dyDescent="0.25">
      <c r="A12" s="293" t="s">
        <v>108</v>
      </c>
      <c r="B12" s="294"/>
      <c r="C12" s="294"/>
      <c r="D12" s="26" t="s">
        <v>362</v>
      </c>
      <c r="E12" s="26"/>
      <c r="F12" s="307">
        <v>1.75</v>
      </c>
    </row>
    <row r="13" spans="1:11" outlineLevel="1" x14ac:dyDescent="0.25">
      <c r="A13" s="309" t="s">
        <v>86</v>
      </c>
      <c r="B13" s="310"/>
      <c r="C13" s="310"/>
      <c r="D13" s="311" t="s">
        <v>363</v>
      </c>
      <c r="E13" s="311"/>
      <c r="F13" s="308">
        <v>0.68</v>
      </c>
    </row>
    <row r="14" spans="1:11" outlineLevel="1" x14ac:dyDescent="0.25">
      <c r="A14" s="309" t="s">
        <v>158</v>
      </c>
      <c r="B14" s="310"/>
      <c r="C14" s="310"/>
      <c r="D14" s="311" t="s">
        <v>158</v>
      </c>
      <c r="E14" s="311"/>
      <c r="F14" s="308">
        <v>0.22</v>
      </c>
    </row>
    <row r="15" spans="1:11" outlineLevel="1" x14ac:dyDescent="0.25">
      <c r="A15" s="309" t="s">
        <v>168</v>
      </c>
      <c r="B15" s="310"/>
      <c r="C15" s="310"/>
      <c r="D15" s="311" t="s">
        <v>165</v>
      </c>
      <c r="E15" s="311"/>
      <c r="F15" s="308">
        <v>0.2</v>
      </c>
    </row>
    <row r="16" spans="1:11" outlineLevel="1" x14ac:dyDescent="0.25">
      <c r="A16" s="309" t="s">
        <v>364</v>
      </c>
      <c r="B16" s="310"/>
      <c r="C16" s="310"/>
      <c r="D16" s="311" t="s">
        <v>365</v>
      </c>
      <c r="E16" s="311"/>
      <c r="F16" s="308">
        <v>0.14000000000000001</v>
      </c>
    </row>
    <row r="17" spans="1:11" x14ac:dyDescent="0.25">
      <c r="A17" s="298" t="s">
        <v>344</v>
      </c>
      <c r="B17" s="299">
        <v>7.65</v>
      </c>
      <c r="C17" s="299">
        <v>9.8000000000000007</v>
      </c>
      <c r="D17" s="26"/>
      <c r="E17" s="26"/>
      <c r="F17" s="301"/>
      <c r="H17" t="s">
        <v>399</v>
      </c>
      <c r="I17">
        <v>13</v>
      </c>
      <c r="J17" t="s">
        <v>402</v>
      </c>
      <c r="K17">
        <v>11</v>
      </c>
    </row>
    <row r="18" spans="1:11" outlineLevel="1" x14ac:dyDescent="0.25">
      <c r="A18" s="293" t="s">
        <v>160</v>
      </c>
      <c r="B18" s="294"/>
      <c r="C18" s="294"/>
      <c r="D18" s="26" t="s">
        <v>370</v>
      </c>
      <c r="E18" s="26"/>
      <c r="F18" s="307">
        <v>6.45</v>
      </c>
      <c r="H18" t="s">
        <v>448</v>
      </c>
      <c r="I18">
        <v>14</v>
      </c>
    </row>
    <row r="19" spans="1:11" outlineLevel="1" x14ac:dyDescent="0.25">
      <c r="A19" s="293" t="s">
        <v>151</v>
      </c>
      <c r="B19" s="294"/>
      <c r="C19" s="294"/>
      <c r="D19" s="26" t="s">
        <v>366</v>
      </c>
      <c r="E19" s="26"/>
      <c r="F19" s="307">
        <v>2.34</v>
      </c>
    </row>
    <row r="20" spans="1:11" outlineLevel="1" x14ac:dyDescent="0.25">
      <c r="A20" s="293" t="s">
        <v>6</v>
      </c>
      <c r="B20" s="294"/>
      <c r="C20" s="294"/>
      <c r="D20" s="26" t="s">
        <v>367</v>
      </c>
      <c r="E20" s="26"/>
      <c r="F20" s="307">
        <v>2.0299999999999998</v>
      </c>
    </row>
    <row r="21" spans="1:11" outlineLevel="1" x14ac:dyDescent="0.25">
      <c r="A21" s="293" t="s">
        <v>156</v>
      </c>
      <c r="B21" s="294"/>
      <c r="C21" s="294"/>
      <c r="D21" s="26" t="s">
        <v>156</v>
      </c>
      <c r="E21" s="26"/>
      <c r="F21" s="307">
        <v>1.1499999999999999</v>
      </c>
      <c r="H21" t="s">
        <v>449</v>
      </c>
    </row>
    <row r="22" spans="1:11" outlineLevel="1" x14ac:dyDescent="0.25">
      <c r="A22" s="309" t="s">
        <v>5</v>
      </c>
      <c r="B22" s="310"/>
      <c r="C22" s="310"/>
      <c r="D22" s="311" t="s">
        <v>5</v>
      </c>
      <c r="E22" s="311"/>
      <c r="F22" s="308">
        <v>0.85</v>
      </c>
      <c r="H22" t="s">
        <v>450</v>
      </c>
      <c r="I22">
        <v>29</v>
      </c>
    </row>
    <row r="23" spans="1:11" outlineLevel="1" x14ac:dyDescent="0.25">
      <c r="A23" s="309" t="s">
        <v>338</v>
      </c>
      <c r="B23" s="310"/>
      <c r="C23" s="310"/>
      <c r="D23" s="311" t="s">
        <v>371</v>
      </c>
      <c r="E23" s="311"/>
      <c r="F23" s="308">
        <v>0.51</v>
      </c>
    </row>
    <row r="24" spans="1:11" outlineLevel="1" x14ac:dyDescent="0.25">
      <c r="A24" s="309" t="s">
        <v>368</v>
      </c>
      <c r="B24" s="310"/>
      <c r="C24" s="310"/>
      <c r="D24" s="311" t="s">
        <v>369</v>
      </c>
      <c r="E24" s="311"/>
      <c r="F24" s="308">
        <v>0.27</v>
      </c>
    </row>
    <row r="25" spans="1:11" x14ac:dyDescent="0.25">
      <c r="A25" s="298" t="s">
        <v>345</v>
      </c>
      <c r="B25" s="299">
        <v>13.7</v>
      </c>
      <c r="C25" s="299">
        <v>13.6</v>
      </c>
      <c r="D25" s="26"/>
      <c r="E25" s="26"/>
      <c r="F25" s="301"/>
      <c r="H25" t="s">
        <v>400</v>
      </c>
      <c r="I25">
        <v>28</v>
      </c>
      <c r="J25" s="293">
        <v>20</v>
      </c>
      <c r="K25">
        <v>25</v>
      </c>
    </row>
    <row r="26" spans="1:11" outlineLevel="1" x14ac:dyDescent="0.25">
      <c r="A26" s="293" t="s">
        <v>170</v>
      </c>
      <c r="B26" s="294"/>
      <c r="C26" s="294"/>
      <c r="D26" s="26" t="s">
        <v>170</v>
      </c>
      <c r="E26" s="26"/>
      <c r="F26" s="308">
        <v>0.42</v>
      </c>
    </row>
    <row r="27" spans="1:11" outlineLevel="1" x14ac:dyDescent="0.25">
      <c r="A27" s="293" t="s">
        <v>171</v>
      </c>
      <c r="B27" s="294"/>
      <c r="C27" s="294"/>
      <c r="D27" s="26" t="s">
        <v>171</v>
      </c>
      <c r="E27" s="26"/>
      <c r="F27" s="308">
        <v>0.36</v>
      </c>
    </row>
    <row r="28" spans="1:11" outlineLevel="1" x14ac:dyDescent="0.25">
      <c r="A28" s="293" t="s">
        <v>172</v>
      </c>
      <c r="B28" s="294"/>
      <c r="C28" s="294"/>
      <c r="D28" s="26" t="s">
        <v>172</v>
      </c>
      <c r="E28" s="26"/>
      <c r="F28" s="308">
        <v>0.3</v>
      </c>
    </row>
    <row r="29" spans="1:11" outlineLevel="1" x14ac:dyDescent="0.25">
      <c r="A29" s="293" t="s">
        <v>173</v>
      </c>
      <c r="B29" s="294"/>
      <c r="C29" s="294"/>
      <c r="D29" s="26" t="s">
        <v>372</v>
      </c>
      <c r="E29" s="26"/>
      <c r="F29" s="308">
        <v>0.05</v>
      </c>
    </row>
    <row r="30" spans="1:11" x14ac:dyDescent="0.25">
      <c r="A30" s="298" t="s">
        <v>346</v>
      </c>
      <c r="B30" s="299">
        <v>0.7</v>
      </c>
      <c r="C30" s="299">
        <v>1.3</v>
      </c>
      <c r="D30" s="26"/>
      <c r="E30" s="26"/>
      <c r="F30" s="301"/>
    </row>
    <row r="31" spans="1:11" outlineLevel="1" x14ac:dyDescent="0.25">
      <c r="A31" s="293" t="s">
        <v>97</v>
      </c>
      <c r="D31" s="26" t="s">
        <v>373</v>
      </c>
      <c r="E31" s="26"/>
      <c r="F31" s="307">
        <v>8.01</v>
      </c>
    </row>
    <row r="32" spans="1:11" outlineLevel="1" x14ac:dyDescent="0.25">
      <c r="A32" s="293" t="s">
        <v>376</v>
      </c>
      <c r="D32" s="26" t="s">
        <v>377</v>
      </c>
      <c r="E32" s="26"/>
      <c r="F32" s="307">
        <v>5.31</v>
      </c>
    </row>
    <row r="33" spans="1:6" outlineLevel="1" x14ac:dyDescent="0.25">
      <c r="A33" s="293" t="s">
        <v>382</v>
      </c>
      <c r="D33" s="26" t="s">
        <v>383</v>
      </c>
      <c r="E33" s="26"/>
      <c r="F33" s="307">
        <v>3.49</v>
      </c>
    </row>
    <row r="34" spans="1:6" outlineLevel="1" x14ac:dyDescent="0.25">
      <c r="A34" s="293" t="s">
        <v>374</v>
      </c>
      <c r="D34" s="26" t="s">
        <v>375</v>
      </c>
      <c r="E34" s="26"/>
      <c r="F34" s="307">
        <v>2.99</v>
      </c>
    </row>
    <row r="35" spans="1:6" outlineLevel="1" x14ac:dyDescent="0.25">
      <c r="A35" s="293" t="s">
        <v>96</v>
      </c>
      <c r="D35" s="26" t="s">
        <v>154</v>
      </c>
      <c r="E35" s="26"/>
      <c r="F35" s="307">
        <v>1.43</v>
      </c>
    </row>
    <row r="36" spans="1:6" outlineLevel="1" x14ac:dyDescent="0.25">
      <c r="A36" s="309" t="s">
        <v>378</v>
      </c>
      <c r="B36" s="312"/>
      <c r="C36" s="312"/>
      <c r="D36" s="311" t="s">
        <v>379</v>
      </c>
      <c r="E36" s="311"/>
      <c r="F36" s="308">
        <v>0.76</v>
      </c>
    </row>
    <row r="37" spans="1:6" outlineLevel="1" x14ac:dyDescent="0.25">
      <c r="A37" s="309" t="s">
        <v>380</v>
      </c>
      <c r="B37" s="312"/>
      <c r="C37" s="312"/>
      <c r="D37" s="311" t="s">
        <v>381</v>
      </c>
      <c r="E37" s="311"/>
      <c r="F37" s="308">
        <v>0.36</v>
      </c>
    </row>
    <row r="38" spans="1:6" outlineLevel="1" x14ac:dyDescent="0.25">
      <c r="A38" s="309" t="s">
        <v>382</v>
      </c>
      <c r="B38" s="312"/>
      <c r="C38" s="312"/>
      <c r="D38" s="311" t="s">
        <v>384</v>
      </c>
      <c r="E38" s="311"/>
      <c r="F38" s="308">
        <v>7.0000000000000007E-2</v>
      </c>
    </row>
    <row r="39" spans="1:6" x14ac:dyDescent="0.25">
      <c r="A39" s="298" t="s">
        <v>347</v>
      </c>
      <c r="B39" s="299">
        <v>24.33</v>
      </c>
      <c r="C39" s="299">
        <v>22.4</v>
      </c>
      <c r="D39" s="26"/>
      <c r="E39" s="26"/>
      <c r="F39" s="307"/>
    </row>
    <row r="40" spans="1:6" s="26" customFormat="1" outlineLevel="1" x14ac:dyDescent="0.25">
      <c r="A40" s="306" t="s">
        <v>387</v>
      </c>
      <c r="B40" s="305"/>
      <c r="C40" s="305"/>
      <c r="D40" s="26" t="s">
        <v>386</v>
      </c>
      <c r="F40" s="307">
        <v>21.7</v>
      </c>
    </row>
    <row r="41" spans="1:6" s="26" customFormat="1" outlineLevel="1" x14ac:dyDescent="0.25">
      <c r="A41" s="306" t="s">
        <v>388</v>
      </c>
      <c r="B41" s="305"/>
      <c r="C41" s="305"/>
      <c r="D41" s="26" t="s">
        <v>379</v>
      </c>
      <c r="F41" s="307">
        <v>4.7</v>
      </c>
    </row>
    <row r="42" spans="1:6" s="26" customFormat="1" outlineLevel="1" x14ac:dyDescent="0.25">
      <c r="A42" s="306" t="s">
        <v>392</v>
      </c>
      <c r="B42" s="305"/>
      <c r="C42" s="305"/>
      <c r="D42" s="26" t="s">
        <v>393</v>
      </c>
      <c r="F42" s="307">
        <v>2.2000000000000002</v>
      </c>
    </row>
    <row r="43" spans="1:6" s="26" customFormat="1" outlineLevel="1" x14ac:dyDescent="0.25">
      <c r="A43" s="313" t="s">
        <v>390</v>
      </c>
      <c r="B43" s="314"/>
      <c r="C43" s="314"/>
      <c r="D43" s="311" t="s">
        <v>141</v>
      </c>
      <c r="E43" s="311"/>
      <c r="F43" s="308">
        <v>0.8</v>
      </c>
    </row>
    <row r="44" spans="1:6" s="26" customFormat="1" outlineLevel="1" x14ac:dyDescent="0.25">
      <c r="A44" s="313" t="s">
        <v>395</v>
      </c>
      <c r="B44" s="314"/>
      <c r="C44" s="314"/>
      <c r="D44" s="311" t="s">
        <v>396</v>
      </c>
      <c r="E44" s="311"/>
      <c r="F44" s="308">
        <v>0.6</v>
      </c>
    </row>
    <row r="45" spans="1:6" s="26" customFormat="1" outlineLevel="1" x14ac:dyDescent="0.25">
      <c r="A45" s="313" t="s">
        <v>389</v>
      </c>
      <c r="B45" s="314"/>
      <c r="C45" s="314"/>
      <c r="D45" s="311" t="s">
        <v>158</v>
      </c>
      <c r="E45" s="311"/>
      <c r="F45" s="308">
        <v>0.3</v>
      </c>
    </row>
    <row r="46" spans="1:6" s="26" customFormat="1" outlineLevel="1" x14ac:dyDescent="0.25">
      <c r="A46" s="313" t="s">
        <v>394</v>
      </c>
      <c r="B46" s="314"/>
      <c r="C46" s="314"/>
      <c r="D46" s="311" t="s">
        <v>8</v>
      </c>
      <c r="E46" s="311"/>
      <c r="F46" s="308">
        <v>0.2</v>
      </c>
    </row>
    <row r="47" spans="1:6" s="26" customFormat="1" outlineLevel="1" x14ac:dyDescent="0.25">
      <c r="A47" s="313" t="s">
        <v>391</v>
      </c>
      <c r="B47" s="314"/>
      <c r="C47" s="314"/>
      <c r="D47" s="311" t="s">
        <v>89</v>
      </c>
      <c r="E47" s="311"/>
      <c r="F47" s="308">
        <f>0.09</f>
        <v>0.09</v>
      </c>
    </row>
    <row r="48" spans="1:6" x14ac:dyDescent="0.25">
      <c r="A48" s="298" t="s">
        <v>348</v>
      </c>
      <c r="B48" s="299">
        <v>30.4</v>
      </c>
      <c r="C48" s="299">
        <v>30.6</v>
      </c>
      <c r="D48" s="26"/>
      <c r="E48" s="26"/>
      <c r="F48" s="301"/>
    </row>
    <row r="49" spans="1:3" x14ac:dyDescent="0.25">
      <c r="A49" s="295" t="s">
        <v>340</v>
      </c>
      <c r="B49" s="296">
        <f>SUM(B8:B48)</f>
        <v>100.28</v>
      </c>
      <c r="C49" s="297">
        <f>SUM(C8:C48)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menu enero 2017</vt:lpstr>
      <vt:lpstr>menu junio 2017</vt:lpstr>
      <vt:lpstr>enero 2018</vt:lpstr>
      <vt:lpstr>mayo 2018 </vt:lpstr>
      <vt:lpstr>enero 2019</vt:lpstr>
      <vt:lpstr>Participacion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Mestas</dc:creator>
  <cp:lastModifiedBy>admin</cp:lastModifiedBy>
  <dcterms:created xsi:type="dcterms:W3CDTF">2016-04-13T16:27:51Z</dcterms:created>
  <dcterms:modified xsi:type="dcterms:W3CDTF">2019-01-14T20:39:41Z</dcterms:modified>
</cp:coreProperties>
</file>